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10.xml" ContentType="application/vnd.openxmlformats-officedocument.drawing+xml"/>
  <Override PartName="/xl/ctrlProps/ctrlProp70.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omments2.xml" ContentType="application/vnd.openxmlformats-officedocument.spreadsheetml.comments+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https://nuwildcat-my.sharepoint.com/personal/cnk3062_ads_northwestern_edu/Documents/Backup - Wits/TVEE Textbook/"/>
    </mc:Choice>
  </mc:AlternateContent>
  <xr:revisionPtr revIDLastSave="0" documentId="11_750F1F7D8DF69707A794DB72C0C7AF014F20277C" xr6:coauthVersionLast="47" xr6:coauthVersionMax="47" xr10:uidLastSave="{00000000-0000-0000-0000-000000000000}"/>
  <bookViews>
    <workbookView xWindow="-108" yWindow="-108" windowWidth="23256" windowHeight="12576" tabRatio="916" firstSheet="1" activeTab="1" xr2:uid="{00000000-000D-0000-FFFF-FFFF00000000}"/>
  </bookViews>
  <sheets>
    <sheet name="Manual" sheetId="1" r:id="rId1"/>
    <sheet name="General input" sheetId="2" r:id="rId2"/>
    <sheet name="Results" sheetId="25" r:id="rId3"/>
    <sheet name="SA Results" sheetId="27" r:id="rId4"/>
    <sheet name="Tornado Diagram" sheetId="28" r:id="rId5"/>
    <sheet name="VE SA Results" sheetId="32" r:id="rId6"/>
    <sheet name="BoD input" sheetId="11" r:id="rId7"/>
    <sheet name="Cost input" sheetId="14" r:id="rId8"/>
    <sheet name="VE input" sheetId="12" r:id="rId9"/>
    <sheet name="QoL input" sheetId="13" r:id="rId10"/>
    <sheet name="Input summary" sheetId="17" r:id="rId11"/>
    <sheet name="Input Summ SA" sheetId="31" r:id="rId12"/>
    <sheet name="Calculations BC" sheetId="4" r:id="rId13"/>
    <sheet name="Calculations Lower" sheetId="24" r:id="rId14"/>
    <sheet name="Calculations Upper" sheetId="23" r:id="rId15"/>
    <sheet name="Calculations SA" sheetId="29" r:id="rId16"/>
    <sheet name="PSA inputs" sheetId="7" r:id="rId17"/>
    <sheet name="PSA outputs" sheetId="8" r:id="rId18"/>
    <sheet name="Lists" sheetId="3" r:id="rId19"/>
    <sheet name="BoD lists" sheetId="22" r:id="rId20"/>
    <sheet name="Costs lists" sheetId="21" r:id="rId21"/>
    <sheet name="Life table (HE)" sheetId="6" r:id="rId22"/>
    <sheet name="Life table (costs)" sheetId="19" r:id="rId23"/>
    <sheet name="Maternal" sheetId="15" r:id="rId24"/>
    <sheet name="Maternal (2)" sheetId="18" r:id="rId25"/>
    <sheet name="uf" sheetId="26" r:id="rId26"/>
    <sheet name="Sheet1" sheetId="20" r:id="rId27"/>
  </sheets>
  <functionGroups builtInGroupCount="19"/>
  <externalReferences>
    <externalReference r:id="rId28"/>
    <externalReference r:id="rId29"/>
  </externalReferences>
  <definedNames>
    <definedName name="_AtRisk_SimSetting_AutomaticallyGenerateReports" hidden="1">FALSE</definedName>
    <definedName name="_AtRisk_SimSetting_AutomaticResultsDisplayMode" hidden="1">3</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16</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CurList">Lists!$AN$7:$BO$195</definedName>
    <definedName name="Discount_healtheffects" localSheetId="22">'General input'!#REF!</definedName>
    <definedName name="Discount_healtheffects" localSheetId="21">'General input'!#REF!</definedName>
    <definedName name="Distribution">'PSA inputs'!$B$6:$B$9</definedName>
    <definedName name="icerSP">[1]Results!$E$51</definedName>
    <definedName name="icerTPP">[1]Results!$E$53</definedName>
    <definedName name="Month" localSheetId="24">'Maternal (2)'!$B$13:$B$24</definedName>
    <definedName name="Month">Maternal!$B$13:$B$24</definedName>
    <definedName name="Pal_Workbook_GUID" hidden="1">"5ZW4MZRZ4SR89D1JX9S6ID19"</definedName>
    <definedName name="PopList">Lists!$A$7:$AK$195</definedName>
    <definedName name="RiskAfterRecalcMacro" hidden="1">""</definedName>
    <definedName name="RiskAfterSimMacro" hidden="1">""</definedName>
    <definedName name="riskATSSboxGraph" hidden="1">FALSE</definedName>
    <definedName name="riskATSSincludeSimtables" hidden="1">TRUE</definedName>
    <definedName name="riskATSSinputsGraphs" hidden="1">FALSE</definedName>
    <definedName name="riskATSSoutputStatistic" hidden="1">3</definedName>
    <definedName name="riskATSSpercentChangeGraph" hidden="1">TRUE</definedName>
    <definedName name="riskATSSpercentileGraph" hidden="1">TRUE</definedName>
    <definedName name="riskATSSpercentileValue" hidden="1">5</definedName>
    <definedName name="riskATSSprintReport" hidden="1">FALSE</definedName>
    <definedName name="riskATSSreportsInActiveBook" hidden="1">FALSE</definedName>
    <definedName name="riskATSSreportsSelected" hidden="1">TRUE</definedName>
    <definedName name="riskATSSsummaryReport" hidden="1">TRUE</definedName>
    <definedName name="riskATSStornadoGraph" hidden="1">TRUE</definedName>
    <definedName name="riskATSTbaselineRequested" hidden="1">TRUE</definedName>
    <definedName name="riskATSTboxGraph" hidden="1">TRUE</definedName>
    <definedName name="riskATSTcomparisonGraph" hidden="1">TRUE</definedName>
    <definedName name="riskATSThistogramGraph" hidden="1">FALSE</definedName>
    <definedName name="riskATSToutputStatistic" hidden="1">4</definedName>
    <definedName name="riskATSTprintReport" hidden="1">FALSE</definedName>
    <definedName name="riskATSTreportsInActiveBook" hidden="1">FALSE</definedName>
    <definedName name="riskATSTreportsSelected" hidden="1">TRUE</definedName>
    <definedName name="riskATSTsequentialStress" hidden="1">TRUE</definedName>
    <definedName name="riskATSTsummaryReport" hidden="1">TRUE</definedName>
    <definedName name="RiskBeforeRecalcMacro" hidden="1">""</definedName>
    <definedName name="RiskBeforeSimMacro" hidden="1">""</definedName>
    <definedName name="RiskCollectDistributionSamples" hidden="1">0</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2</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Stress1TF" hidden="1">0</definedName>
    <definedName name="RiskSwapState" hidden="1">TRUE</definedName>
    <definedName name="RiskUpdateDisplay" hidden="1">FALSE</definedName>
    <definedName name="RiskUseDifferentSeedForEachSim" hidden="1">FALSE</definedName>
    <definedName name="RiskUseFixedSeed" hidden="1">FALSE</definedName>
    <definedName name="RiskUseMultipleCPUs" hidden="1">TRUE</definedName>
    <definedName name="WTPinput">'PSA outputs'!$Z$1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91" i="12" l="1"/>
  <c r="D291" i="12"/>
  <c r="E290" i="12"/>
  <c r="D290" i="12"/>
  <c r="E288" i="12"/>
  <c r="D288" i="12"/>
  <c r="E287" i="12"/>
  <c r="D287" i="12"/>
  <c r="E286" i="12"/>
  <c r="D286" i="12"/>
  <c r="E285" i="12"/>
  <c r="D285" i="12"/>
  <c r="E283" i="12"/>
  <c r="D283" i="12"/>
  <c r="E282" i="12"/>
  <c r="D282" i="12"/>
  <c r="E281" i="12"/>
  <c r="D281" i="12"/>
  <c r="E280" i="12"/>
  <c r="D280" i="12"/>
  <c r="E279" i="12"/>
  <c r="D279" i="12"/>
  <c r="E278" i="12"/>
  <c r="D278" i="12"/>
  <c r="E277" i="12"/>
  <c r="D277" i="12"/>
  <c r="E275" i="12"/>
  <c r="D275" i="12"/>
  <c r="E274" i="12"/>
  <c r="D274" i="12"/>
  <c r="E273" i="12"/>
  <c r="D273" i="12"/>
  <c r="E272" i="12"/>
  <c r="D272" i="12"/>
  <c r="E271" i="12"/>
  <c r="D271" i="12"/>
  <c r="E270" i="12"/>
  <c r="D270" i="12"/>
  <c r="E269" i="12"/>
  <c r="D269" i="12"/>
  <c r="E264" i="12"/>
  <c r="D264" i="12"/>
  <c r="E263" i="12"/>
  <c r="D263" i="12"/>
  <c r="E261" i="12"/>
  <c r="D261" i="12"/>
  <c r="E260" i="12"/>
  <c r="D260" i="12"/>
  <c r="E259" i="12"/>
  <c r="D259" i="12"/>
  <c r="E258" i="12"/>
  <c r="D258" i="12"/>
  <c r="E256" i="12"/>
  <c r="D256" i="12"/>
  <c r="E255" i="12"/>
  <c r="D255" i="12"/>
  <c r="E254" i="12"/>
  <c r="D254" i="12"/>
  <c r="E253" i="12"/>
  <c r="D253" i="12"/>
  <c r="E252" i="12"/>
  <c r="D252" i="12"/>
  <c r="E251" i="12"/>
  <c r="D251" i="12"/>
  <c r="E250" i="12"/>
  <c r="D250" i="12"/>
  <c r="E248" i="12"/>
  <c r="D248" i="12"/>
  <c r="E247" i="12"/>
  <c r="D247" i="12"/>
  <c r="E246" i="12"/>
  <c r="D246" i="12"/>
  <c r="E245" i="12"/>
  <c r="D245" i="12"/>
  <c r="E244" i="12"/>
  <c r="D244" i="12"/>
  <c r="E243" i="12"/>
  <c r="D243" i="12"/>
  <c r="E242" i="12"/>
  <c r="D242" i="12"/>
  <c r="E236" i="12"/>
  <c r="D236" i="12"/>
  <c r="E235" i="12"/>
  <c r="D235" i="12"/>
  <c r="E233" i="12"/>
  <c r="D233" i="12"/>
  <c r="E232" i="12"/>
  <c r="D232" i="12"/>
  <c r="E231" i="12"/>
  <c r="D231" i="12"/>
  <c r="E230" i="12"/>
  <c r="D230" i="12"/>
  <c r="E228" i="12"/>
  <c r="D228" i="12"/>
  <c r="E227" i="12"/>
  <c r="D227" i="12"/>
  <c r="E226" i="12"/>
  <c r="D226" i="12"/>
  <c r="E225" i="12"/>
  <c r="D225" i="12"/>
  <c r="E224" i="12"/>
  <c r="D224" i="12"/>
  <c r="E223" i="12"/>
  <c r="D223" i="12"/>
  <c r="E222" i="12"/>
  <c r="D222" i="12"/>
  <c r="E220" i="12"/>
  <c r="D220" i="12"/>
  <c r="E219" i="12"/>
  <c r="D219" i="12"/>
  <c r="E218" i="12"/>
  <c r="D218" i="12"/>
  <c r="E217" i="12"/>
  <c r="D217" i="12"/>
  <c r="E216" i="12"/>
  <c r="D216" i="12"/>
  <c r="E215" i="12"/>
  <c r="D215" i="12"/>
  <c r="E214" i="12"/>
  <c r="D214" i="12"/>
  <c r="E209" i="12"/>
  <c r="D209" i="12"/>
  <c r="E208" i="12"/>
  <c r="D208" i="12"/>
  <c r="E206" i="12"/>
  <c r="D206" i="12"/>
  <c r="E205" i="12"/>
  <c r="D205" i="12"/>
  <c r="E204" i="12"/>
  <c r="D204" i="12"/>
  <c r="E203" i="12"/>
  <c r="D203" i="12"/>
  <c r="E201" i="12"/>
  <c r="D201" i="12"/>
  <c r="E200" i="12"/>
  <c r="D200" i="12"/>
  <c r="E199" i="12"/>
  <c r="D199" i="12"/>
  <c r="E198" i="12"/>
  <c r="D198" i="12"/>
  <c r="E197" i="12"/>
  <c r="D197" i="12"/>
  <c r="E196" i="12"/>
  <c r="D196" i="12"/>
  <c r="E195" i="12"/>
  <c r="D195" i="12"/>
  <c r="E193" i="12"/>
  <c r="D193" i="12"/>
  <c r="E192" i="12"/>
  <c r="D192" i="12"/>
  <c r="E191" i="12"/>
  <c r="D191" i="12"/>
  <c r="E190" i="12"/>
  <c r="D190" i="12"/>
  <c r="E189" i="12"/>
  <c r="D189" i="12"/>
  <c r="E188" i="12"/>
  <c r="D188" i="12"/>
  <c r="E187" i="12"/>
  <c r="D187" i="12"/>
  <c r="C6" i="12"/>
  <c r="C5" i="12"/>
  <c r="E600" i="14"/>
  <c r="D600" i="14"/>
  <c r="E599" i="14"/>
  <c r="D599" i="14"/>
  <c r="K256" i="17" l="1"/>
  <c r="K255" i="17"/>
  <c r="K253" i="17"/>
  <c r="K252" i="17"/>
  <c r="K251" i="17"/>
  <c r="K250" i="17"/>
  <c r="K248" i="17"/>
  <c r="K247" i="17"/>
  <c r="K246" i="17"/>
  <c r="K245" i="17"/>
  <c r="K244" i="17"/>
  <c r="K243" i="17"/>
  <c r="K242" i="17"/>
  <c r="K240" i="17"/>
  <c r="K239" i="17"/>
  <c r="K238" i="17"/>
  <c r="K237" i="17"/>
  <c r="K236" i="17"/>
  <c r="K235" i="17"/>
  <c r="K234" i="17"/>
  <c r="K228" i="17"/>
  <c r="K227" i="17"/>
  <c r="K225" i="17"/>
  <c r="K224" i="17"/>
  <c r="K223" i="17"/>
  <c r="K222" i="17"/>
  <c r="K220" i="17"/>
  <c r="K219" i="17"/>
  <c r="K218" i="17"/>
  <c r="K217" i="17"/>
  <c r="K216" i="17"/>
  <c r="K215" i="17"/>
  <c r="K214" i="17"/>
  <c r="K212" i="17"/>
  <c r="K211" i="17"/>
  <c r="K210" i="17"/>
  <c r="K209" i="17"/>
  <c r="K208" i="17"/>
  <c r="K207" i="17"/>
  <c r="K206" i="17"/>
  <c r="K200" i="17"/>
  <c r="K199" i="17"/>
  <c r="K197" i="17"/>
  <c r="K196" i="17"/>
  <c r="K195" i="17"/>
  <c r="K194" i="17"/>
  <c r="K192" i="17"/>
  <c r="K191" i="17"/>
  <c r="K190" i="17"/>
  <c r="K189" i="17"/>
  <c r="K188" i="17"/>
  <c r="K187" i="17"/>
  <c r="K186" i="17"/>
  <c r="K184" i="17"/>
  <c r="K183" i="17"/>
  <c r="K182" i="17"/>
  <c r="K181" i="17"/>
  <c r="K180" i="17"/>
  <c r="K179" i="17"/>
  <c r="K178" i="17"/>
  <c r="D67" i="8" l="1"/>
  <c r="D70" i="8"/>
  <c r="D71" i="8"/>
  <c r="H176" i="31" l="1"/>
  <c r="E21" i="28" l="1"/>
  <c r="E20" i="28"/>
  <c r="E19" i="28"/>
  <c r="E18" i="28"/>
  <c r="E17" i="28"/>
  <c r="E16" i="28"/>
  <c r="E15" i="28"/>
  <c r="E14" i="28"/>
  <c r="E13" i="28"/>
  <c r="E12" i="28"/>
  <c r="E11" i="28"/>
  <c r="E10" i="28"/>
  <c r="E9" i="28"/>
  <c r="E8" i="28"/>
  <c r="AC194" i="17" l="1"/>
  <c r="AC195" i="17" s="1"/>
  <c r="AC196" i="17" s="1"/>
  <c r="AC197" i="17" s="1"/>
  <c r="AC198" i="17" s="1"/>
  <c r="AC199" i="17" s="1"/>
  <c r="AC200" i="17" s="1"/>
  <c r="AC201" i="17" s="1"/>
  <c r="AC202" i="17" s="1"/>
  <c r="AC203" i="17" s="1"/>
  <c r="Z194" i="17"/>
  <c r="Z195" i="17" s="1"/>
  <c r="Z196" i="17" s="1"/>
  <c r="Z197" i="17" s="1"/>
  <c r="Z198" i="17" s="1"/>
  <c r="Z199" i="17" s="1"/>
  <c r="Z200" i="17" s="1"/>
  <c r="Z201" i="17" s="1"/>
  <c r="Z202" i="17" s="1"/>
  <c r="Z203" i="17" s="1"/>
  <c r="W194" i="17"/>
  <c r="W195" i="17" s="1"/>
  <c r="W196" i="17" s="1"/>
  <c r="W197" i="17" s="1"/>
  <c r="W198" i="17" s="1"/>
  <c r="W199" i="17" s="1"/>
  <c r="W200" i="17" s="1"/>
  <c r="W201" i="17" s="1"/>
  <c r="W202" i="17" s="1"/>
  <c r="W203" i="17" s="1"/>
  <c r="T194" i="17"/>
  <c r="T195" i="17" s="1"/>
  <c r="T196" i="17" s="1"/>
  <c r="T197" i="17" s="1"/>
  <c r="T198" i="17" s="1"/>
  <c r="T199" i="17" s="1"/>
  <c r="T200" i="17" s="1"/>
  <c r="T201" i="17" s="1"/>
  <c r="T202" i="17" s="1"/>
  <c r="T203" i="17" s="1"/>
  <c r="Q194" i="17"/>
  <c r="Q195" i="17" s="1"/>
  <c r="Q196" i="17" s="1"/>
  <c r="Q197" i="17" s="1"/>
  <c r="Q198" i="17" s="1"/>
  <c r="Q199" i="17" s="1"/>
  <c r="Q200" i="17" s="1"/>
  <c r="Q201" i="17" s="1"/>
  <c r="Q202" i="17" s="1"/>
  <c r="Q203" i="17" s="1"/>
  <c r="M164" i="31" l="1"/>
  <c r="L164" i="31"/>
  <c r="C164" i="31"/>
  <c r="K164" i="31" s="1"/>
  <c r="M163" i="31"/>
  <c r="L163" i="31"/>
  <c r="C163" i="31"/>
  <c r="K163" i="31" s="1"/>
  <c r="M161" i="31"/>
  <c r="L161" i="31"/>
  <c r="C161" i="31"/>
  <c r="K161" i="31" s="1"/>
  <c r="M160" i="31"/>
  <c r="L160" i="31"/>
  <c r="C160" i="31"/>
  <c r="K160" i="31" s="1"/>
  <c r="M159" i="31"/>
  <c r="L159" i="31"/>
  <c r="C159" i="31"/>
  <c r="K159" i="31" s="1"/>
  <c r="M158" i="31"/>
  <c r="L158" i="31"/>
  <c r="C158" i="31"/>
  <c r="K158" i="31" s="1"/>
  <c r="M156" i="31"/>
  <c r="L156" i="31"/>
  <c r="C156" i="31"/>
  <c r="K156" i="31" s="1"/>
  <c r="M155" i="31"/>
  <c r="L155" i="31"/>
  <c r="C155" i="31"/>
  <c r="K155" i="31" s="1"/>
  <c r="M154" i="31"/>
  <c r="L154" i="31"/>
  <c r="C154" i="31"/>
  <c r="K154" i="31" s="1"/>
  <c r="M153" i="31"/>
  <c r="L153" i="31"/>
  <c r="C153" i="31"/>
  <c r="K153" i="31" s="1"/>
  <c r="M152" i="31"/>
  <c r="L152" i="31"/>
  <c r="C152" i="31"/>
  <c r="K152" i="31" s="1"/>
  <c r="M151" i="31"/>
  <c r="L151" i="31"/>
  <c r="C151" i="31"/>
  <c r="K151" i="31" s="1"/>
  <c r="M150" i="31"/>
  <c r="L150" i="31"/>
  <c r="C150" i="31"/>
  <c r="K150" i="31" s="1"/>
  <c r="M148" i="31"/>
  <c r="L148" i="31"/>
  <c r="C148" i="31"/>
  <c r="K148" i="31" s="1"/>
  <c r="M147" i="31"/>
  <c r="L147" i="31"/>
  <c r="C147" i="31"/>
  <c r="K147" i="31" s="1"/>
  <c r="M146" i="31"/>
  <c r="L146" i="31"/>
  <c r="C146" i="31"/>
  <c r="K146" i="31" s="1"/>
  <c r="M145" i="31"/>
  <c r="L145" i="31"/>
  <c r="C145" i="31"/>
  <c r="K145" i="31" s="1"/>
  <c r="M144" i="31"/>
  <c r="L144" i="31"/>
  <c r="C144" i="31"/>
  <c r="K144" i="31" s="1"/>
  <c r="M143" i="31"/>
  <c r="L143" i="31"/>
  <c r="C143" i="31"/>
  <c r="K143" i="31" s="1"/>
  <c r="M142" i="31"/>
  <c r="L142" i="31"/>
  <c r="C142" i="31"/>
  <c r="K142" i="31" s="1"/>
  <c r="F137" i="31"/>
  <c r="M137" i="31" s="1"/>
  <c r="E137" i="31"/>
  <c r="L137" i="31" s="1"/>
  <c r="D137" i="31"/>
  <c r="C137" i="31" s="1"/>
  <c r="K137" i="31" s="1"/>
  <c r="F136" i="31"/>
  <c r="M136" i="31" s="1"/>
  <c r="E136" i="31"/>
  <c r="L136" i="31" s="1"/>
  <c r="D136" i="31"/>
  <c r="C136" i="31" s="1"/>
  <c r="K136" i="31" s="1"/>
  <c r="F134" i="31"/>
  <c r="M134" i="31" s="1"/>
  <c r="E134" i="31"/>
  <c r="L134" i="31" s="1"/>
  <c r="D134" i="31"/>
  <c r="C134" i="31" s="1"/>
  <c r="K134" i="31" s="1"/>
  <c r="F133" i="31"/>
  <c r="M133" i="31" s="1"/>
  <c r="E133" i="31"/>
  <c r="L133" i="31" s="1"/>
  <c r="D133" i="31"/>
  <c r="C133" i="31" s="1"/>
  <c r="K133" i="31" s="1"/>
  <c r="F132" i="31"/>
  <c r="M132" i="31" s="1"/>
  <c r="E132" i="31"/>
  <c r="L132" i="31" s="1"/>
  <c r="D132" i="31"/>
  <c r="C132" i="31" s="1"/>
  <c r="K132" i="31" s="1"/>
  <c r="F131" i="31"/>
  <c r="M131" i="31" s="1"/>
  <c r="E131" i="31"/>
  <c r="L131" i="31" s="1"/>
  <c r="D131" i="31"/>
  <c r="C131" i="31" s="1"/>
  <c r="K131" i="31" s="1"/>
  <c r="F129" i="31"/>
  <c r="M129" i="31" s="1"/>
  <c r="E129" i="31"/>
  <c r="L129" i="31" s="1"/>
  <c r="D129" i="31"/>
  <c r="C129" i="31" s="1"/>
  <c r="K129" i="31" s="1"/>
  <c r="F128" i="31"/>
  <c r="M128" i="31" s="1"/>
  <c r="E128" i="31"/>
  <c r="L128" i="31" s="1"/>
  <c r="D128" i="31"/>
  <c r="C128" i="31" s="1"/>
  <c r="K128" i="31" s="1"/>
  <c r="F127" i="31"/>
  <c r="M127" i="31" s="1"/>
  <c r="E127" i="31"/>
  <c r="L127" i="31" s="1"/>
  <c r="D127" i="31"/>
  <c r="C127" i="31" s="1"/>
  <c r="K127" i="31" s="1"/>
  <c r="F126" i="31"/>
  <c r="M126" i="31" s="1"/>
  <c r="E126" i="31"/>
  <c r="L126" i="31" s="1"/>
  <c r="D126" i="31"/>
  <c r="C126" i="31" s="1"/>
  <c r="K126" i="31" s="1"/>
  <c r="F125" i="31"/>
  <c r="M125" i="31" s="1"/>
  <c r="E125" i="31"/>
  <c r="L125" i="31" s="1"/>
  <c r="D125" i="31"/>
  <c r="C125" i="31" s="1"/>
  <c r="K125" i="31" s="1"/>
  <c r="F124" i="31"/>
  <c r="M124" i="31" s="1"/>
  <c r="E124" i="31"/>
  <c r="L124" i="31" s="1"/>
  <c r="D124" i="31"/>
  <c r="C124" i="31" s="1"/>
  <c r="K124" i="31" s="1"/>
  <c r="F123" i="31"/>
  <c r="M123" i="31" s="1"/>
  <c r="E123" i="31"/>
  <c r="L123" i="31" s="1"/>
  <c r="D123" i="31"/>
  <c r="C123" i="31" s="1"/>
  <c r="K123" i="31" s="1"/>
  <c r="F121" i="31"/>
  <c r="M121" i="31" s="1"/>
  <c r="E121" i="31"/>
  <c r="L121" i="31" s="1"/>
  <c r="D121" i="31"/>
  <c r="C121" i="31" s="1"/>
  <c r="K121" i="31" s="1"/>
  <c r="F120" i="31"/>
  <c r="M120" i="31" s="1"/>
  <c r="E120" i="31"/>
  <c r="L120" i="31" s="1"/>
  <c r="D120" i="31"/>
  <c r="C120" i="31" s="1"/>
  <c r="K120" i="31" s="1"/>
  <c r="F119" i="31"/>
  <c r="M119" i="31" s="1"/>
  <c r="E119" i="31"/>
  <c r="L119" i="31" s="1"/>
  <c r="D119" i="31"/>
  <c r="C119" i="31" s="1"/>
  <c r="K119" i="31" s="1"/>
  <c r="F118" i="31"/>
  <c r="M118" i="31" s="1"/>
  <c r="E118" i="31"/>
  <c r="L118" i="31" s="1"/>
  <c r="D118" i="31"/>
  <c r="C118" i="31" s="1"/>
  <c r="K118" i="31" s="1"/>
  <c r="F117" i="31"/>
  <c r="M117" i="31" s="1"/>
  <c r="E117" i="31"/>
  <c r="L117" i="31" s="1"/>
  <c r="D117" i="31"/>
  <c r="C117" i="31" s="1"/>
  <c r="K117" i="31" s="1"/>
  <c r="F116" i="31"/>
  <c r="M116" i="31" s="1"/>
  <c r="E116" i="31"/>
  <c r="L116" i="31" s="1"/>
  <c r="D116" i="31"/>
  <c r="C116" i="31" s="1"/>
  <c r="K116" i="31" s="1"/>
  <c r="F115" i="31"/>
  <c r="M115" i="31" s="1"/>
  <c r="E115" i="31"/>
  <c r="L115" i="31" s="1"/>
  <c r="D115" i="31"/>
  <c r="C115" i="31" s="1"/>
  <c r="K115" i="31" s="1"/>
  <c r="C164" i="17"/>
  <c r="K164" i="17" s="1"/>
  <c r="M163" i="17"/>
  <c r="C161" i="17"/>
  <c r="K161" i="17" s="1"/>
  <c r="C160" i="17"/>
  <c r="K160" i="17" s="1"/>
  <c r="M159" i="17"/>
  <c r="M158" i="17"/>
  <c r="L158" i="17"/>
  <c r="C156" i="17"/>
  <c r="K156" i="17" s="1"/>
  <c r="M155" i="17"/>
  <c r="L153" i="17"/>
  <c r="C152" i="17"/>
  <c r="K152" i="17" s="1"/>
  <c r="M151" i="17"/>
  <c r="M147" i="17"/>
  <c r="M146" i="17"/>
  <c r="L146" i="17"/>
  <c r="C145" i="17"/>
  <c r="K145" i="17" s="1"/>
  <c r="C144" i="17"/>
  <c r="K144" i="17" s="1"/>
  <c r="M143" i="17"/>
  <c r="M142" i="17"/>
  <c r="L142" i="17"/>
  <c r="C163" i="17"/>
  <c r="K163" i="17" s="1"/>
  <c r="C159" i="17"/>
  <c r="K159" i="17" s="1"/>
  <c r="C158" i="17"/>
  <c r="K158" i="17" s="1"/>
  <c r="C154" i="17"/>
  <c r="K154" i="17" s="1"/>
  <c r="C153" i="17"/>
  <c r="K153" i="17" s="1"/>
  <c r="C150" i="17"/>
  <c r="K150" i="17" s="1"/>
  <c r="C148" i="17"/>
  <c r="K148" i="17" s="1"/>
  <c r="C147" i="17"/>
  <c r="K147" i="17" s="1"/>
  <c r="C143" i="17"/>
  <c r="K143" i="17" s="1"/>
  <c r="C155" i="17"/>
  <c r="K155" i="17" s="1"/>
  <c r="C151" i="17"/>
  <c r="K151" i="17" s="1"/>
  <c r="C146" i="17"/>
  <c r="K146" i="17" s="1"/>
  <c r="C142" i="17"/>
  <c r="K142" i="17" s="1"/>
  <c r="F137" i="17"/>
  <c r="E137" i="17"/>
  <c r="L137" i="17" s="1"/>
  <c r="D137" i="17"/>
  <c r="C137" i="17" s="1"/>
  <c r="K137" i="17" s="1"/>
  <c r="F136" i="17"/>
  <c r="M136" i="17" s="1"/>
  <c r="E136" i="17"/>
  <c r="L136" i="17" s="1"/>
  <c r="D136" i="17"/>
  <c r="C136" i="17" s="1"/>
  <c r="K136" i="17" s="1"/>
  <c r="F134" i="17"/>
  <c r="M134" i="17" s="1"/>
  <c r="E134" i="17"/>
  <c r="D134" i="17"/>
  <c r="F133" i="17"/>
  <c r="M133" i="17" s="1"/>
  <c r="E133" i="17"/>
  <c r="L133" i="17" s="1"/>
  <c r="D133" i="17"/>
  <c r="F132" i="17"/>
  <c r="M132" i="17" s="1"/>
  <c r="E132" i="17"/>
  <c r="L132" i="17" s="1"/>
  <c r="D132" i="17"/>
  <c r="C132" i="17" s="1"/>
  <c r="K132" i="17" s="1"/>
  <c r="F131" i="17"/>
  <c r="E131" i="17"/>
  <c r="D131" i="17"/>
  <c r="C131" i="17" s="1"/>
  <c r="K131" i="17" s="1"/>
  <c r="F129" i="17"/>
  <c r="M129" i="17" s="1"/>
  <c r="E129" i="17"/>
  <c r="D129" i="17"/>
  <c r="C129" i="17" s="1"/>
  <c r="K129" i="17" s="1"/>
  <c r="F128" i="17"/>
  <c r="M128" i="17" s="1"/>
  <c r="E128" i="17"/>
  <c r="L128" i="17" s="1"/>
  <c r="D128" i="17"/>
  <c r="F127" i="17"/>
  <c r="E127" i="17"/>
  <c r="L127" i="17" s="1"/>
  <c r="D127" i="17"/>
  <c r="C127" i="17" s="1"/>
  <c r="K127" i="17" s="1"/>
  <c r="F126" i="17"/>
  <c r="E126" i="17"/>
  <c r="D126" i="17"/>
  <c r="C126" i="17" s="1"/>
  <c r="K126" i="17" s="1"/>
  <c r="F125" i="17"/>
  <c r="M125" i="17" s="1"/>
  <c r="E125" i="17"/>
  <c r="D125" i="17"/>
  <c r="F124" i="17"/>
  <c r="M124" i="17" s="1"/>
  <c r="E124" i="17"/>
  <c r="L124" i="17" s="1"/>
  <c r="D124" i="17"/>
  <c r="F123" i="17"/>
  <c r="M123" i="17" s="1"/>
  <c r="E123" i="17"/>
  <c r="L123" i="17" s="1"/>
  <c r="D123" i="17"/>
  <c r="C123" i="17" s="1"/>
  <c r="K123" i="17" s="1"/>
  <c r="F121" i="17"/>
  <c r="E121" i="17"/>
  <c r="D121" i="17"/>
  <c r="F120" i="17"/>
  <c r="M120" i="17" s="1"/>
  <c r="E120" i="17"/>
  <c r="D120" i="17"/>
  <c r="F119" i="17"/>
  <c r="M119" i="17" s="1"/>
  <c r="E119" i="17"/>
  <c r="L119" i="17" s="1"/>
  <c r="D119" i="17"/>
  <c r="F118" i="17"/>
  <c r="E118" i="17"/>
  <c r="L118" i="17" s="1"/>
  <c r="D118" i="17"/>
  <c r="C118" i="17" s="1"/>
  <c r="K118" i="17" s="1"/>
  <c r="F117" i="17"/>
  <c r="E117" i="17"/>
  <c r="D117" i="17"/>
  <c r="C117" i="17" s="1"/>
  <c r="K117" i="17" s="1"/>
  <c r="F116" i="17"/>
  <c r="M116" i="17" s="1"/>
  <c r="E116" i="17"/>
  <c r="D116" i="17"/>
  <c r="F115" i="17"/>
  <c r="E115" i="17"/>
  <c r="L115" i="17" s="1"/>
  <c r="D115" i="17"/>
  <c r="C115" i="17" s="1"/>
  <c r="K115" i="17" s="1"/>
  <c r="C134" i="17"/>
  <c r="K134" i="17" s="1"/>
  <c r="C133" i="17"/>
  <c r="K133" i="17" s="1"/>
  <c r="C128" i="17"/>
  <c r="C125" i="17"/>
  <c r="K125" i="17" s="1"/>
  <c r="C124" i="17"/>
  <c r="C121" i="17"/>
  <c r="K121" i="17" s="1"/>
  <c r="C120" i="17"/>
  <c r="C119" i="17"/>
  <c r="K119" i="17" s="1"/>
  <c r="C116" i="17"/>
  <c r="K116" i="17" s="1"/>
  <c r="M164" i="17"/>
  <c r="L164" i="17"/>
  <c r="L163" i="17"/>
  <c r="M161" i="17"/>
  <c r="L161" i="17"/>
  <c r="M160" i="17"/>
  <c r="L160" i="17"/>
  <c r="L159" i="17"/>
  <c r="M156" i="17"/>
  <c r="L156" i="17"/>
  <c r="L155" i="17"/>
  <c r="M154" i="17"/>
  <c r="L154" i="17"/>
  <c r="M153" i="17"/>
  <c r="M152" i="17"/>
  <c r="L152" i="17"/>
  <c r="L151" i="17"/>
  <c r="M150" i="17"/>
  <c r="L150" i="17"/>
  <c r="M148" i="17"/>
  <c r="L148" i="17"/>
  <c r="L147" i="17"/>
  <c r="M145" i="17"/>
  <c r="L145" i="17"/>
  <c r="M144" i="17"/>
  <c r="L144" i="17"/>
  <c r="L143" i="17"/>
  <c r="M137" i="17"/>
  <c r="L134" i="17"/>
  <c r="M131" i="17"/>
  <c r="L131" i="17"/>
  <c r="L129" i="17"/>
  <c r="K128" i="17"/>
  <c r="M127" i="17"/>
  <c r="M126" i="17"/>
  <c r="L126" i="17"/>
  <c r="L125" i="17"/>
  <c r="K124" i="17"/>
  <c r="M121" i="17"/>
  <c r="L121" i="17"/>
  <c r="L120" i="17"/>
  <c r="K120" i="17"/>
  <c r="M118" i="17"/>
  <c r="M117" i="17"/>
  <c r="L117" i="17"/>
  <c r="L116" i="17"/>
  <c r="M115" i="17"/>
  <c r="O131" i="11"/>
  <c r="P131" i="11"/>
  <c r="Q131" i="11"/>
  <c r="O132" i="11"/>
  <c r="P132" i="11"/>
  <c r="Q132" i="11"/>
  <c r="O133" i="11"/>
  <c r="P133" i="11"/>
  <c r="Q133" i="11"/>
  <c r="O134" i="11"/>
  <c r="P134" i="11"/>
  <c r="Q134" i="11"/>
  <c r="O135" i="11"/>
  <c r="P135" i="11"/>
  <c r="Q135" i="11"/>
  <c r="O136" i="11"/>
  <c r="P136" i="11"/>
  <c r="Q136" i="11"/>
  <c r="O137" i="11"/>
  <c r="P137" i="11"/>
  <c r="Q137" i="11"/>
  <c r="O139" i="11"/>
  <c r="P139" i="11"/>
  <c r="Q139" i="11"/>
  <c r="O140" i="11"/>
  <c r="P140" i="11"/>
  <c r="Q140" i="11"/>
  <c r="O141" i="11"/>
  <c r="P141" i="11"/>
  <c r="Q141" i="11"/>
  <c r="O142" i="11"/>
  <c r="P142" i="11"/>
  <c r="Q142" i="11"/>
  <c r="O143" i="11"/>
  <c r="P143" i="11"/>
  <c r="Q143" i="11"/>
  <c r="O144" i="11"/>
  <c r="P144" i="11"/>
  <c r="Q144" i="11"/>
  <c r="O145" i="11"/>
  <c r="P145" i="11"/>
  <c r="Q145" i="11"/>
  <c r="O147" i="11"/>
  <c r="P147" i="11"/>
  <c r="Q147" i="11"/>
  <c r="O148" i="11"/>
  <c r="P148" i="11"/>
  <c r="Q148" i="11"/>
  <c r="O149" i="11"/>
  <c r="P149" i="11"/>
  <c r="Q149" i="11"/>
  <c r="O150" i="11"/>
  <c r="P150" i="11"/>
  <c r="Q150" i="11"/>
  <c r="O152" i="11"/>
  <c r="P152" i="11"/>
  <c r="Q152" i="11"/>
  <c r="O153" i="11"/>
  <c r="P153" i="11"/>
  <c r="Q153" i="11"/>
  <c r="O161" i="11"/>
  <c r="P161" i="11"/>
  <c r="Q161" i="11"/>
  <c r="O162" i="11"/>
  <c r="P162" i="11"/>
  <c r="Q162" i="11"/>
  <c r="O163" i="11"/>
  <c r="P163" i="11"/>
  <c r="Q163" i="11"/>
  <c r="O164" i="11"/>
  <c r="P164" i="11"/>
  <c r="Q164" i="11"/>
  <c r="O165" i="11"/>
  <c r="P165" i="11"/>
  <c r="Q165" i="11"/>
  <c r="O166" i="11"/>
  <c r="P166" i="11"/>
  <c r="Q166" i="11"/>
  <c r="O167" i="11"/>
  <c r="P167" i="11"/>
  <c r="Q167" i="11"/>
  <c r="O169" i="11"/>
  <c r="P169" i="11"/>
  <c r="Q169" i="11"/>
  <c r="O170" i="11"/>
  <c r="P170" i="11"/>
  <c r="Q170" i="11"/>
  <c r="O171" i="11"/>
  <c r="P171" i="11"/>
  <c r="Q171" i="11"/>
  <c r="O172" i="11"/>
  <c r="P172" i="11"/>
  <c r="Q172" i="11"/>
  <c r="O173" i="11"/>
  <c r="P173" i="11"/>
  <c r="Q173" i="11"/>
  <c r="O174" i="11"/>
  <c r="P174" i="11"/>
  <c r="Q174" i="11"/>
  <c r="O175" i="11"/>
  <c r="P175" i="11"/>
  <c r="Q175" i="11"/>
  <c r="O177" i="11"/>
  <c r="P177" i="11"/>
  <c r="Q177" i="11"/>
  <c r="O178" i="11"/>
  <c r="P178" i="11"/>
  <c r="Q178" i="11"/>
  <c r="O179" i="11"/>
  <c r="P179" i="11"/>
  <c r="Q179" i="11"/>
  <c r="O180" i="11"/>
  <c r="P180" i="11"/>
  <c r="Q180" i="11"/>
  <c r="O182" i="11"/>
  <c r="P182" i="11"/>
  <c r="Q182" i="11"/>
  <c r="O183" i="11"/>
  <c r="P183" i="11"/>
  <c r="Q183" i="11"/>
  <c r="Q179" i="17" l="1"/>
  <c r="Q180" i="17" s="1"/>
  <c r="Q181" i="17" s="1"/>
  <c r="Q182" i="17" s="1"/>
  <c r="Q183" i="17" s="1"/>
  <c r="Q184" i="17" s="1"/>
  <c r="Q185" i="17" s="1"/>
  <c r="Q186" i="17" s="1"/>
  <c r="Q187" i="17" s="1"/>
  <c r="Q188" i="17" s="1"/>
  <c r="D68" i="8" l="1"/>
  <c r="C667" i="7" l="1"/>
  <c r="C666" i="7"/>
  <c r="C664" i="7"/>
  <c r="C662" i="7"/>
  <c r="C659" i="7"/>
  <c r="C658" i="7"/>
  <c r="C657" i="7"/>
  <c r="C656" i="7"/>
  <c r="C655" i="7"/>
  <c r="C654" i="7"/>
  <c r="C653" i="7"/>
  <c r="C651" i="7"/>
  <c r="C650" i="7"/>
  <c r="C649" i="7"/>
  <c r="C648" i="7"/>
  <c r="C647" i="7"/>
  <c r="C646" i="7"/>
  <c r="C645" i="7"/>
  <c r="C639" i="7"/>
  <c r="C638" i="7"/>
  <c r="C636" i="7"/>
  <c r="C634" i="7"/>
  <c r="C631" i="7"/>
  <c r="C630" i="7"/>
  <c r="C629" i="7"/>
  <c r="C628" i="7"/>
  <c r="C626" i="7"/>
  <c r="C625" i="7"/>
  <c r="C623" i="7"/>
  <c r="C622" i="7"/>
  <c r="C621" i="7"/>
  <c r="C620" i="7"/>
  <c r="C618" i="7"/>
  <c r="C617" i="7"/>
  <c r="P583" i="7"/>
  <c r="O583" i="7"/>
  <c r="N583" i="7"/>
  <c r="P582" i="7"/>
  <c r="O582" i="7"/>
  <c r="N582" i="7"/>
  <c r="P580" i="7"/>
  <c r="O580" i="7"/>
  <c r="N580" i="7"/>
  <c r="P579" i="7"/>
  <c r="O579" i="7"/>
  <c r="N579" i="7"/>
  <c r="P578" i="7"/>
  <c r="O578" i="7"/>
  <c r="N578" i="7"/>
  <c r="P577" i="7"/>
  <c r="O577" i="7"/>
  <c r="N577" i="7"/>
  <c r="P575" i="7"/>
  <c r="O575" i="7"/>
  <c r="N575" i="7"/>
  <c r="P574" i="7"/>
  <c r="O574" i="7"/>
  <c r="N574" i="7"/>
  <c r="P573" i="7"/>
  <c r="O573" i="7"/>
  <c r="N573" i="7"/>
  <c r="P572" i="7"/>
  <c r="O572" i="7"/>
  <c r="N572" i="7"/>
  <c r="P571" i="7"/>
  <c r="O571" i="7"/>
  <c r="N571" i="7"/>
  <c r="P570" i="7"/>
  <c r="O570" i="7"/>
  <c r="N570" i="7"/>
  <c r="P569" i="7"/>
  <c r="O569" i="7"/>
  <c r="N569" i="7"/>
  <c r="P567" i="7"/>
  <c r="O567" i="7"/>
  <c r="N567" i="7"/>
  <c r="P566" i="7"/>
  <c r="O566" i="7"/>
  <c r="N566" i="7"/>
  <c r="P565" i="7"/>
  <c r="O565" i="7"/>
  <c r="N565" i="7"/>
  <c r="P564" i="7"/>
  <c r="O564" i="7"/>
  <c r="N564" i="7"/>
  <c r="P563" i="7"/>
  <c r="O563" i="7"/>
  <c r="N563" i="7"/>
  <c r="P562" i="7"/>
  <c r="O562" i="7"/>
  <c r="N562" i="7"/>
  <c r="P561" i="7"/>
  <c r="O561" i="7"/>
  <c r="N561" i="7"/>
  <c r="E611" i="7"/>
  <c r="D611" i="7"/>
  <c r="C611" i="7"/>
  <c r="E610" i="7"/>
  <c r="D610" i="7"/>
  <c r="C610" i="7"/>
  <c r="E608" i="7"/>
  <c r="D608" i="7"/>
  <c r="C608" i="7"/>
  <c r="E606" i="7"/>
  <c r="D606" i="7"/>
  <c r="C606" i="7"/>
  <c r="E603" i="7"/>
  <c r="D603" i="7"/>
  <c r="C603" i="7"/>
  <c r="E602" i="7"/>
  <c r="D602" i="7"/>
  <c r="C602" i="7"/>
  <c r="E601" i="7"/>
  <c r="D601" i="7"/>
  <c r="C601" i="7"/>
  <c r="E600" i="7"/>
  <c r="D600" i="7"/>
  <c r="C600" i="7"/>
  <c r="E599" i="7"/>
  <c r="D599" i="7"/>
  <c r="E598" i="7"/>
  <c r="D598" i="7"/>
  <c r="C598" i="7"/>
  <c r="E597" i="7"/>
  <c r="D597" i="7"/>
  <c r="C597" i="7"/>
  <c r="E595" i="7"/>
  <c r="D595" i="7"/>
  <c r="C595" i="7"/>
  <c r="E594" i="7"/>
  <c r="D594" i="7"/>
  <c r="C594" i="7"/>
  <c r="E593" i="7"/>
  <c r="D593" i="7"/>
  <c r="C593" i="7"/>
  <c r="E592" i="7"/>
  <c r="D592" i="7"/>
  <c r="C592" i="7"/>
  <c r="E591" i="7"/>
  <c r="D591" i="7"/>
  <c r="E590" i="7"/>
  <c r="D590" i="7"/>
  <c r="C590" i="7"/>
  <c r="E589" i="7"/>
  <c r="D589" i="7"/>
  <c r="K589" i="7" s="1"/>
  <c r="C589" i="7"/>
  <c r="E583" i="7"/>
  <c r="D583" i="7"/>
  <c r="C583" i="7"/>
  <c r="E582" i="7"/>
  <c r="D582" i="7"/>
  <c r="C582" i="7"/>
  <c r="E580" i="7"/>
  <c r="D580" i="7"/>
  <c r="C580" i="7"/>
  <c r="E579" i="7"/>
  <c r="D579" i="7"/>
  <c r="C579" i="7"/>
  <c r="E578" i="7"/>
  <c r="D578" i="7"/>
  <c r="C578" i="7"/>
  <c r="E577" i="7"/>
  <c r="D577" i="7"/>
  <c r="C577" i="7"/>
  <c r="E575" i="7"/>
  <c r="D575" i="7"/>
  <c r="C575" i="7"/>
  <c r="E574" i="7"/>
  <c r="D574" i="7"/>
  <c r="C574" i="7"/>
  <c r="E573" i="7"/>
  <c r="D573" i="7"/>
  <c r="C573" i="7"/>
  <c r="E572" i="7"/>
  <c r="D572" i="7"/>
  <c r="C572" i="7"/>
  <c r="E571" i="7"/>
  <c r="D571" i="7"/>
  <c r="C571" i="7"/>
  <c r="E570" i="7"/>
  <c r="D570" i="7"/>
  <c r="C570" i="7"/>
  <c r="E569" i="7"/>
  <c r="D569" i="7"/>
  <c r="C569" i="7"/>
  <c r="E567" i="7"/>
  <c r="D567" i="7"/>
  <c r="C567" i="7"/>
  <c r="E566" i="7"/>
  <c r="D566" i="7"/>
  <c r="C566" i="7"/>
  <c r="E565" i="7"/>
  <c r="D565" i="7"/>
  <c r="C565" i="7"/>
  <c r="E564" i="7"/>
  <c r="D564" i="7"/>
  <c r="C564" i="7"/>
  <c r="E563" i="7"/>
  <c r="D563" i="7"/>
  <c r="C563" i="7"/>
  <c r="E562" i="7"/>
  <c r="D562" i="7"/>
  <c r="C562" i="7"/>
  <c r="E561" i="7"/>
  <c r="D561" i="7"/>
  <c r="C561" i="7"/>
  <c r="O243" i="13"/>
  <c r="O242" i="13"/>
  <c r="O240" i="13"/>
  <c r="O239" i="13"/>
  <c r="O238" i="13"/>
  <c r="O237" i="13"/>
  <c r="O235" i="13"/>
  <c r="O234" i="13"/>
  <c r="O233" i="13"/>
  <c r="O232" i="13"/>
  <c r="O231" i="13"/>
  <c r="O230" i="13"/>
  <c r="O229" i="13"/>
  <c r="O227" i="13"/>
  <c r="O226" i="13"/>
  <c r="O225" i="13"/>
  <c r="O224" i="13"/>
  <c r="O223" i="13"/>
  <c r="O222" i="13"/>
  <c r="O221" i="13"/>
  <c r="O215" i="13"/>
  <c r="O214" i="13"/>
  <c r="O212" i="13"/>
  <c r="O211" i="13"/>
  <c r="O210" i="13"/>
  <c r="O209" i="13"/>
  <c r="O207" i="13"/>
  <c r="O206" i="13"/>
  <c r="O205" i="13"/>
  <c r="O204" i="13"/>
  <c r="O203" i="13"/>
  <c r="O202" i="13"/>
  <c r="O201" i="13"/>
  <c r="O199" i="13"/>
  <c r="O198" i="13"/>
  <c r="O197" i="13"/>
  <c r="O196" i="13"/>
  <c r="O195" i="13"/>
  <c r="O194" i="13"/>
  <c r="O193" i="13"/>
  <c r="O187" i="13"/>
  <c r="O186" i="13"/>
  <c r="O184" i="13"/>
  <c r="O183" i="13"/>
  <c r="O182" i="13"/>
  <c r="O181" i="13"/>
  <c r="O179" i="13"/>
  <c r="O178" i="13"/>
  <c r="O177" i="13"/>
  <c r="O176" i="13"/>
  <c r="O175" i="13"/>
  <c r="O174" i="13"/>
  <c r="O173" i="13"/>
  <c r="O171" i="13"/>
  <c r="O170" i="13"/>
  <c r="O169" i="13"/>
  <c r="O168" i="13"/>
  <c r="O167" i="13"/>
  <c r="O166" i="13"/>
  <c r="O165" i="13"/>
  <c r="O159" i="13"/>
  <c r="O158" i="13"/>
  <c r="O156" i="13"/>
  <c r="O155" i="13"/>
  <c r="O154" i="13"/>
  <c r="O153" i="13"/>
  <c r="O151" i="13"/>
  <c r="O150" i="13"/>
  <c r="O149" i="13"/>
  <c r="O148" i="13"/>
  <c r="O147" i="13"/>
  <c r="O146" i="13"/>
  <c r="O145" i="13"/>
  <c r="O143" i="13"/>
  <c r="O142" i="13"/>
  <c r="O141" i="13"/>
  <c r="O140" i="13"/>
  <c r="O139" i="13"/>
  <c r="O138" i="13"/>
  <c r="O137" i="13"/>
  <c r="Q67" i="13"/>
  <c r="P67" i="13"/>
  <c r="O67" i="13"/>
  <c r="Q66" i="13"/>
  <c r="P66" i="13"/>
  <c r="O66" i="13"/>
  <c r="Q64" i="13"/>
  <c r="P64" i="13"/>
  <c r="O64" i="13"/>
  <c r="Q63" i="13"/>
  <c r="P63" i="13"/>
  <c r="O63" i="13"/>
  <c r="Q62" i="13"/>
  <c r="P62" i="13"/>
  <c r="O62" i="13"/>
  <c r="Q61" i="13"/>
  <c r="P61" i="13"/>
  <c r="O61" i="13"/>
  <c r="Q59" i="13"/>
  <c r="P59" i="13"/>
  <c r="O59" i="13"/>
  <c r="Q58" i="13"/>
  <c r="P58" i="13"/>
  <c r="O58" i="13"/>
  <c r="Q57" i="13"/>
  <c r="P57" i="13"/>
  <c r="O57" i="13"/>
  <c r="Q56" i="13"/>
  <c r="P56" i="13"/>
  <c r="O56" i="13"/>
  <c r="Q55" i="13"/>
  <c r="P55" i="13"/>
  <c r="O55" i="13"/>
  <c r="Q54" i="13"/>
  <c r="P54" i="13"/>
  <c r="O54" i="13"/>
  <c r="Q53" i="13"/>
  <c r="P53" i="13"/>
  <c r="O53" i="13"/>
  <c r="Q51" i="13"/>
  <c r="P51" i="13"/>
  <c r="O51" i="13"/>
  <c r="Q50" i="13"/>
  <c r="P50" i="13"/>
  <c r="O50" i="13"/>
  <c r="Q49" i="13"/>
  <c r="P49" i="13"/>
  <c r="O49" i="13"/>
  <c r="Q48" i="13"/>
  <c r="P48" i="13"/>
  <c r="O48" i="13"/>
  <c r="Q47" i="13"/>
  <c r="P47" i="13"/>
  <c r="O47" i="13"/>
  <c r="Q46" i="13"/>
  <c r="P46" i="13"/>
  <c r="O46" i="13"/>
  <c r="Q45" i="13"/>
  <c r="P45" i="13"/>
  <c r="O45" i="13"/>
  <c r="Q36" i="13"/>
  <c r="P36" i="13"/>
  <c r="O36" i="13"/>
  <c r="Q35" i="13"/>
  <c r="P35" i="13"/>
  <c r="O35" i="13"/>
  <c r="Q33" i="13"/>
  <c r="P33" i="13"/>
  <c r="O33" i="13"/>
  <c r="Q32" i="13"/>
  <c r="P32" i="13"/>
  <c r="O32" i="13"/>
  <c r="Q31" i="13"/>
  <c r="P31" i="13"/>
  <c r="O31" i="13"/>
  <c r="Q30" i="13"/>
  <c r="P30" i="13"/>
  <c r="O30" i="13"/>
  <c r="Q28" i="13"/>
  <c r="P28" i="13"/>
  <c r="O28" i="13"/>
  <c r="Q27" i="13"/>
  <c r="P27" i="13"/>
  <c r="O27" i="13"/>
  <c r="Q26" i="13"/>
  <c r="P26" i="13"/>
  <c r="O26" i="13"/>
  <c r="Q25" i="13"/>
  <c r="P25" i="13"/>
  <c r="O25" i="13"/>
  <c r="Q24" i="13"/>
  <c r="P24" i="13"/>
  <c r="O24" i="13"/>
  <c r="Q23" i="13"/>
  <c r="P23" i="13"/>
  <c r="O23" i="13"/>
  <c r="Q22" i="13"/>
  <c r="P22" i="13"/>
  <c r="O22" i="13"/>
  <c r="Q20" i="13"/>
  <c r="P20" i="13"/>
  <c r="O20" i="13"/>
  <c r="Q19" i="13"/>
  <c r="P19" i="13"/>
  <c r="O19" i="13"/>
  <c r="Q18" i="13"/>
  <c r="P18" i="13"/>
  <c r="O18" i="13"/>
  <c r="Q17" i="13"/>
  <c r="P17" i="13"/>
  <c r="O17" i="13"/>
  <c r="Q16" i="13"/>
  <c r="P16" i="13"/>
  <c r="O16" i="13"/>
  <c r="Q15" i="13"/>
  <c r="P15" i="13"/>
  <c r="O15" i="13"/>
  <c r="Q14" i="13"/>
  <c r="P14" i="13"/>
  <c r="O14" i="13"/>
  <c r="Q291" i="12"/>
  <c r="P291" i="12"/>
  <c r="O291" i="12"/>
  <c r="Q290" i="12"/>
  <c r="P290" i="12"/>
  <c r="O290" i="12"/>
  <c r="Q288" i="12"/>
  <c r="P288" i="12"/>
  <c r="O288" i="12"/>
  <c r="Q287" i="12"/>
  <c r="P287" i="12"/>
  <c r="O287" i="12"/>
  <c r="Q286" i="12"/>
  <c r="P286" i="12"/>
  <c r="O286" i="12"/>
  <c r="Q285" i="12"/>
  <c r="P285" i="12"/>
  <c r="O285" i="12"/>
  <c r="Q283" i="12"/>
  <c r="P283" i="12"/>
  <c r="O283" i="12"/>
  <c r="Q282" i="12"/>
  <c r="P282" i="12"/>
  <c r="O282" i="12"/>
  <c r="Q281" i="12"/>
  <c r="P281" i="12"/>
  <c r="O281" i="12"/>
  <c r="Q280" i="12"/>
  <c r="P280" i="12"/>
  <c r="O280" i="12"/>
  <c r="Q279" i="12"/>
  <c r="P279" i="12"/>
  <c r="O279" i="12"/>
  <c r="Q278" i="12"/>
  <c r="P278" i="12"/>
  <c r="O278" i="12"/>
  <c r="Q277" i="12"/>
  <c r="P277" i="12"/>
  <c r="O277" i="12"/>
  <c r="Q275" i="12"/>
  <c r="P275" i="12"/>
  <c r="O275" i="12"/>
  <c r="Q274" i="12"/>
  <c r="P274" i="12"/>
  <c r="O274" i="12"/>
  <c r="Q273" i="12"/>
  <c r="P273" i="12"/>
  <c r="O273" i="12"/>
  <c r="Q272" i="12"/>
  <c r="P272" i="12"/>
  <c r="O272" i="12"/>
  <c r="Q271" i="12"/>
  <c r="P271" i="12"/>
  <c r="O271" i="12"/>
  <c r="Q270" i="12"/>
  <c r="P270" i="12"/>
  <c r="O270" i="12"/>
  <c r="Q269" i="12"/>
  <c r="P269" i="12"/>
  <c r="O269" i="12"/>
  <c r="Q264" i="12"/>
  <c r="P264" i="12"/>
  <c r="O264" i="12"/>
  <c r="Q263" i="12"/>
  <c r="P263" i="12"/>
  <c r="O263" i="12"/>
  <c r="Q261" i="12"/>
  <c r="P261" i="12"/>
  <c r="O261" i="12"/>
  <c r="Q260" i="12"/>
  <c r="P260" i="12"/>
  <c r="O260" i="12"/>
  <c r="Q259" i="12"/>
  <c r="P259" i="12"/>
  <c r="O259" i="12"/>
  <c r="Q258" i="12"/>
  <c r="P258" i="12"/>
  <c r="O258" i="12"/>
  <c r="Q256" i="12"/>
  <c r="P256" i="12"/>
  <c r="O256" i="12"/>
  <c r="Q255" i="12"/>
  <c r="P255" i="12"/>
  <c r="O255" i="12"/>
  <c r="Q254" i="12"/>
  <c r="P254" i="12"/>
  <c r="O254" i="12"/>
  <c r="Q253" i="12"/>
  <c r="P253" i="12"/>
  <c r="O253" i="12"/>
  <c r="Q252" i="12"/>
  <c r="P252" i="12"/>
  <c r="O252" i="12"/>
  <c r="Q251" i="12"/>
  <c r="P251" i="12"/>
  <c r="O251" i="12"/>
  <c r="Q250" i="12"/>
  <c r="P250" i="12"/>
  <c r="O250" i="12"/>
  <c r="Q248" i="12"/>
  <c r="P248" i="12"/>
  <c r="O248" i="12"/>
  <c r="Q247" i="12"/>
  <c r="P247" i="12"/>
  <c r="O247" i="12"/>
  <c r="Q246" i="12"/>
  <c r="P246" i="12"/>
  <c r="O246" i="12"/>
  <c r="Q245" i="12"/>
  <c r="P245" i="12"/>
  <c r="O245" i="12"/>
  <c r="Q244" i="12"/>
  <c r="P244" i="12"/>
  <c r="O244" i="12"/>
  <c r="Q243" i="12"/>
  <c r="P243" i="12"/>
  <c r="O243" i="12"/>
  <c r="Q242" i="12"/>
  <c r="P242" i="12"/>
  <c r="O242" i="12"/>
  <c r="Q236" i="12"/>
  <c r="P236" i="12"/>
  <c r="O236" i="12"/>
  <c r="Q235" i="12"/>
  <c r="P235" i="12"/>
  <c r="O235" i="12"/>
  <c r="Q233" i="12"/>
  <c r="P233" i="12"/>
  <c r="O233" i="12"/>
  <c r="Q232" i="12"/>
  <c r="P232" i="12"/>
  <c r="O232" i="12"/>
  <c r="Q231" i="12"/>
  <c r="P231" i="12"/>
  <c r="O231" i="12"/>
  <c r="Q230" i="12"/>
  <c r="P230" i="12"/>
  <c r="O230" i="12"/>
  <c r="Q228" i="12"/>
  <c r="P228" i="12"/>
  <c r="O228" i="12"/>
  <c r="Q227" i="12"/>
  <c r="P227" i="12"/>
  <c r="O227" i="12"/>
  <c r="Q226" i="12"/>
  <c r="P226" i="12"/>
  <c r="O226" i="12"/>
  <c r="Q225" i="12"/>
  <c r="P225" i="12"/>
  <c r="O225" i="12"/>
  <c r="Q224" i="12"/>
  <c r="P224" i="12"/>
  <c r="O224" i="12"/>
  <c r="Q223" i="12"/>
  <c r="P223" i="12"/>
  <c r="O223" i="12"/>
  <c r="Q222" i="12"/>
  <c r="P222" i="12"/>
  <c r="O222" i="12"/>
  <c r="Q220" i="12"/>
  <c r="P220" i="12"/>
  <c r="O220" i="12"/>
  <c r="Q219" i="12"/>
  <c r="P219" i="12"/>
  <c r="O219" i="12"/>
  <c r="Q218" i="12"/>
  <c r="P218" i="12"/>
  <c r="O218" i="12"/>
  <c r="Q217" i="12"/>
  <c r="P217" i="12"/>
  <c r="O217" i="12"/>
  <c r="Q216" i="12"/>
  <c r="P216" i="12"/>
  <c r="O216" i="12"/>
  <c r="Q215" i="12"/>
  <c r="P215" i="12"/>
  <c r="O215" i="12"/>
  <c r="Q214" i="12"/>
  <c r="P214" i="12"/>
  <c r="O214" i="12"/>
  <c r="Q209" i="12"/>
  <c r="P209" i="12"/>
  <c r="O209" i="12"/>
  <c r="Q208" i="12"/>
  <c r="P208" i="12"/>
  <c r="O208" i="12"/>
  <c r="Q206" i="12"/>
  <c r="P206" i="12"/>
  <c r="O206" i="12"/>
  <c r="Q205" i="12"/>
  <c r="P205" i="12"/>
  <c r="O205" i="12"/>
  <c r="Q204" i="12"/>
  <c r="P204" i="12"/>
  <c r="O204" i="12"/>
  <c r="Q203" i="12"/>
  <c r="P203" i="12"/>
  <c r="O203" i="12"/>
  <c r="Q201" i="12"/>
  <c r="P201" i="12"/>
  <c r="O201" i="12"/>
  <c r="Q200" i="12"/>
  <c r="P200" i="12"/>
  <c r="O200" i="12"/>
  <c r="Q199" i="12"/>
  <c r="P199" i="12"/>
  <c r="O199" i="12"/>
  <c r="Q198" i="12"/>
  <c r="P198" i="12"/>
  <c r="O198" i="12"/>
  <c r="Q197" i="12"/>
  <c r="P197" i="12"/>
  <c r="O197" i="12"/>
  <c r="Q196" i="12"/>
  <c r="P196" i="12"/>
  <c r="O196" i="12"/>
  <c r="Q195" i="12"/>
  <c r="P195" i="12"/>
  <c r="O195" i="12"/>
  <c r="Q193" i="12"/>
  <c r="P193" i="12"/>
  <c r="O193" i="12"/>
  <c r="Q192" i="12"/>
  <c r="P192" i="12"/>
  <c r="O192" i="12"/>
  <c r="Q191" i="12"/>
  <c r="P191" i="12"/>
  <c r="O191" i="12"/>
  <c r="Q190" i="12"/>
  <c r="P190" i="12"/>
  <c r="O190" i="12"/>
  <c r="Q189" i="12"/>
  <c r="P189" i="12"/>
  <c r="O189" i="12"/>
  <c r="Q188" i="12"/>
  <c r="P188" i="12"/>
  <c r="O188" i="12"/>
  <c r="Q187" i="12"/>
  <c r="P187" i="12"/>
  <c r="O187" i="12"/>
  <c r="Q179" i="12"/>
  <c r="P179" i="12"/>
  <c r="O179" i="12"/>
  <c r="Q178" i="12"/>
  <c r="P178" i="12"/>
  <c r="O178" i="12"/>
  <c r="Q176" i="12"/>
  <c r="P176" i="12"/>
  <c r="O176" i="12"/>
  <c r="Q175" i="12"/>
  <c r="P175" i="12"/>
  <c r="O175" i="12"/>
  <c r="Q174" i="12"/>
  <c r="P174" i="12"/>
  <c r="O174" i="12"/>
  <c r="Q173" i="12"/>
  <c r="P173" i="12"/>
  <c r="O173" i="12"/>
  <c r="Q171" i="12"/>
  <c r="P171" i="12"/>
  <c r="O171" i="12"/>
  <c r="Q170" i="12"/>
  <c r="P170" i="12"/>
  <c r="O170" i="12"/>
  <c r="Q169" i="12"/>
  <c r="P169" i="12"/>
  <c r="O169" i="12"/>
  <c r="Q168" i="12"/>
  <c r="P168" i="12"/>
  <c r="O168" i="12"/>
  <c r="Q167" i="12"/>
  <c r="P167" i="12"/>
  <c r="O167" i="12"/>
  <c r="Q166" i="12"/>
  <c r="P166" i="12"/>
  <c r="O166" i="12"/>
  <c r="Q165" i="12"/>
  <c r="P165" i="12"/>
  <c r="O165" i="12"/>
  <c r="Q163" i="12"/>
  <c r="P163" i="12"/>
  <c r="O163" i="12"/>
  <c r="Q162" i="12"/>
  <c r="P162" i="12"/>
  <c r="O162" i="12"/>
  <c r="Q161" i="12"/>
  <c r="P161" i="12"/>
  <c r="O161" i="12"/>
  <c r="Q160" i="12"/>
  <c r="P160" i="12"/>
  <c r="O160" i="12"/>
  <c r="Q159" i="12"/>
  <c r="P159" i="12"/>
  <c r="O159" i="12"/>
  <c r="Q158" i="12"/>
  <c r="P158" i="12"/>
  <c r="O158" i="12"/>
  <c r="Q157" i="12"/>
  <c r="P157" i="12"/>
  <c r="O157" i="12"/>
  <c r="Q152" i="12"/>
  <c r="P152" i="12"/>
  <c r="O152" i="12"/>
  <c r="Q151" i="12"/>
  <c r="P151" i="12"/>
  <c r="O151" i="12"/>
  <c r="Q149" i="12"/>
  <c r="P149" i="12"/>
  <c r="O149" i="12"/>
  <c r="Q148" i="12"/>
  <c r="P148" i="12"/>
  <c r="O148" i="12"/>
  <c r="Q147" i="12"/>
  <c r="P147" i="12"/>
  <c r="O147" i="12"/>
  <c r="Q146" i="12"/>
  <c r="P146" i="12"/>
  <c r="O146" i="12"/>
  <c r="Q144" i="12"/>
  <c r="P144" i="12"/>
  <c r="O144" i="12"/>
  <c r="Q143" i="12"/>
  <c r="P143" i="12"/>
  <c r="O143" i="12"/>
  <c r="Q142" i="12"/>
  <c r="P142" i="12"/>
  <c r="O142" i="12"/>
  <c r="Q141" i="12"/>
  <c r="P141" i="12"/>
  <c r="O141" i="12"/>
  <c r="Q140" i="12"/>
  <c r="P140" i="12"/>
  <c r="O140" i="12"/>
  <c r="Q139" i="12"/>
  <c r="P139" i="12"/>
  <c r="O139" i="12"/>
  <c r="Q138" i="12"/>
  <c r="P138" i="12"/>
  <c r="O138" i="12"/>
  <c r="Q136" i="12"/>
  <c r="P136" i="12"/>
  <c r="O136" i="12"/>
  <c r="Q135" i="12"/>
  <c r="P135" i="12"/>
  <c r="O135" i="12"/>
  <c r="Q134" i="12"/>
  <c r="P134" i="12"/>
  <c r="O134" i="12"/>
  <c r="Q133" i="12"/>
  <c r="P133" i="12"/>
  <c r="O133" i="12"/>
  <c r="Q132" i="12"/>
  <c r="P132" i="12"/>
  <c r="O132" i="12"/>
  <c r="Q131" i="12"/>
  <c r="P131" i="12"/>
  <c r="O131" i="12"/>
  <c r="Q130" i="12"/>
  <c r="P130" i="12"/>
  <c r="O130" i="12"/>
  <c r="Q121" i="12"/>
  <c r="P121" i="12"/>
  <c r="O121" i="12"/>
  <c r="Q120" i="12"/>
  <c r="P120" i="12"/>
  <c r="O120" i="12"/>
  <c r="Q118" i="12"/>
  <c r="P118" i="12"/>
  <c r="O118" i="12"/>
  <c r="Q117" i="12"/>
  <c r="P117" i="12"/>
  <c r="O117" i="12"/>
  <c r="Q116" i="12"/>
  <c r="P116" i="12"/>
  <c r="O116" i="12"/>
  <c r="Q115" i="12"/>
  <c r="P115" i="12"/>
  <c r="O115" i="12"/>
  <c r="Q113" i="12"/>
  <c r="P113" i="12"/>
  <c r="O113" i="12"/>
  <c r="Q112" i="12"/>
  <c r="P112" i="12"/>
  <c r="O112" i="12"/>
  <c r="Q111" i="12"/>
  <c r="P111" i="12"/>
  <c r="O111" i="12"/>
  <c r="Q110" i="12"/>
  <c r="P110" i="12"/>
  <c r="O110" i="12"/>
  <c r="Q109" i="12"/>
  <c r="P109" i="12"/>
  <c r="O109" i="12"/>
  <c r="Q108" i="12"/>
  <c r="P108" i="12"/>
  <c r="O108" i="12"/>
  <c r="Q107" i="12"/>
  <c r="P107" i="12"/>
  <c r="O107" i="12"/>
  <c r="Q105" i="12"/>
  <c r="P105" i="12"/>
  <c r="O105" i="12"/>
  <c r="Q104" i="12"/>
  <c r="P104" i="12"/>
  <c r="O104" i="12"/>
  <c r="Q103" i="12"/>
  <c r="P103" i="12"/>
  <c r="O103" i="12"/>
  <c r="Q102" i="12"/>
  <c r="P102" i="12"/>
  <c r="O102" i="12"/>
  <c r="Q101" i="12"/>
  <c r="P101" i="12"/>
  <c r="O101" i="12"/>
  <c r="Q100" i="12"/>
  <c r="P100" i="12"/>
  <c r="O100" i="12"/>
  <c r="Q99" i="12"/>
  <c r="P99" i="12"/>
  <c r="O99" i="12"/>
  <c r="Q94" i="12"/>
  <c r="P94" i="12"/>
  <c r="O94" i="12"/>
  <c r="Q93" i="12"/>
  <c r="P93" i="12"/>
  <c r="O93" i="12"/>
  <c r="Q91" i="12"/>
  <c r="P91" i="12"/>
  <c r="O91" i="12"/>
  <c r="Q90" i="12"/>
  <c r="P90" i="12"/>
  <c r="O90" i="12"/>
  <c r="Q89" i="12"/>
  <c r="P89" i="12"/>
  <c r="O89" i="12"/>
  <c r="Q88" i="12"/>
  <c r="P88" i="12"/>
  <c r="O88" i="12"/>
  <c r="Q86" i="12"/>
  <c r="P86" i="12"/>
  <c r="O86" i="12"/>
  <c r="Q85" i="12"/>
  <c r="P85" i="12"/>
  <c r="O85" i="12"/>
  <c r="Q84" i="12"/>
  <c r="P84" i="12"/>
  <c r="O84" i="12"/>
  <c r="Q83" i="12"/>
  <c r="P83" i="12"/>
  <c r="O83" i="12"/>
  <c r="Q82" i="12"/>
  <c r="P82" i="12"/>
  <c r="O82" i="12"/>
  <c r="Q81" i="12"/>
  <c r="P81" i="12"/>
  <c r="O81" i="12"/>
  <c r="Q80" i="12"/>
  <c r="P80" i="12"/>
  <c r="O80" i="12"/>
  <c r="Q78" i="12"/>
  <c r="P78" i="12"/>
  <c r="O78" i="12"/>
  <c r="Q77" i="12"/>
  <c r="P77" i="12"/>
  <c r="O77" i="12"/>
  <c r="Q76" i="12"/>
  <c r="P76" i="12"/>
  <c r="O76" i="12"/>
  <c r="Q75" i="12"/>
  <c r="P75" i="12"/>
  <c r="O75" i="12"/>
  <c r="Q74" i="12"/>
  <c r="P74" i="12"/>
  <c r="O74" i="12"/>
  <c r="Q73" i="12"/>
  <c r="P73" i="12"/>
  <c r="O73" i="12"/>
  <c r="Q72" i="12"/>
  <c r="P72" i="12"/>
  <c r="O72" i="12"/>
  <c r="Q63" i="12"/>
  <c r="P63" i="12"/>
  <c r="O63" i="12"/>
  <c r="Q62" i="12"/>
  <c r="P62" i="12"/>
  <c r="O62" i="12"/>
  <c r="Q60" i="12"/>
  <c r="P60" i="12"/>
  <c r="O60" i="12"/>
  <c r="Q59" i="12"/>
  <c r="P59" i="12"/>
  <c r="O59" i="12"/>
  <c r="Q58" i="12"/>
  <c r="P58" i="12"/>
  <c r="O58" i="12"/>
  <c r="Q57" i="12"/>
  <c r="P57" i="12"/>
  <c r="O57" i="12"/>
  <c r="Q55" i="12"/>
  <c r="P55" i="12"/>
  <c r="O55" i="12"/>
  <c r="Q54" i="12"/>
  <c r="P54" i="12"/>
  <c r="O54" i="12"/>
  <c r="Q53" i="12"/>
  <c r="P53" i="12"/>
  <c r="O53" i="12"/>
  <c r="Q52" i="12"/>
  <c r="P52" i="12"/>
  <c r="O52" i="12"/>
  <c r="Q51" i="12"/>
  <c r="P51" i="12"/>
  <c r="O51" i="12"/>
  <c r="Q50" i="12"/>
  <c r="P50" i="12"/>
  <c r="O50" i="12"/>
  <c r="Q49" i="12"/>
  <c r="P49" i="12"/>
  <c r="O49" i="12"/>
  <c r="Q47" i="12"/>
  <c r="P47" i="12"/>
  <c r="O47" i="12"/>
  <c r="Q46" i="12"/>
  <c r="P46" i="12"/>
  <c r="O46" i="12"/>
  <c r="Q45" i="12"/>
  <c r="P45" i="12"/>
  <c r="O45" i="12"/>
  <c r="Q44" i="12"/>
  <c r="P44" i="12"/>
  <c r="O44" i="12"/>
  <c r="Q43" i="12"/>
  <c r="P43" i="12"/>
  <c r="O43" i="12"/>
  <c r="Q42" i="12"/>
  <c r="P42" i="12"/>
  <c r="O42" i="12"/>
  <c r="Q41" i="12"/>
  <c r="P41" i="12"/>
  <c r="O41" i="12"/>
  <c r="Q36" i="12"/>
  <c r="P36" i="12"/>
  <c r="O36" i="12"/>
  <c r="Q35" i="12"/>
  <c r="P35" i="12"/>
  <c r="O35" i="12"/>
  <c r="Q33" i="12"/>
  <c r="P33" i="12"/>
  <c r="O33" i="12"/>
  <c r="Q32" i="12"/>
  <c r="P32" i="12"/>
  <c r="O32" i="12"/>
  <c r="Q31" i="12"/>
  <c r="P31" i="12"/>
  <c r="O31" i="12"/>
  <c r="Q30" i="12"/>
  <c r="P30" i="12"/>
  <c r="O30" i="12"/>
  <c r="Q28" i="12"/>
  <c r="P28" i="12"/>
  <c r="O28" i="12"/>
  <c r="Q27" i="12"/>
  <c r="P27" i="12"/>
  <c r="O27" i="12"/>
  <c r="Q26" i="12"/>
  <c r="P26" i="12"/>
  <c r="O26" i="12"/>
  <c r="Q25" i="12"/>
  <c r="P25" i="12"/>
  <c r="O25" i="12"/>
  <c r="Q24" i="12"/>
  <c r="P24" i="12"/>
  <c r="O24" i="12"/>
  <c r="Q23" i="12"/>
  <c r="P23" i="12"/>
  <c r="O23" i="12"/>
  <c r="Q22" i="12"/>
  <c r="P22" i="12"/>
  <c r="O22" i="12"/>
  <c r="Q20" i="12"/>
  <c r="P20" i="12"/>
  <c r="O20" i="12"/>
  <c r="Q19" i="12"/>
  <c r="P19" i="12"/>
  <c r="O19" i="12"/>
  <c r="Q18" i="12"/>
  <c r="P18" i="12"/>
  <c r="O18" i="12"/>
  <c r="Q17" i="12"/>
  <c r="P17" i="12"/>
  <c r="O17" i="12"/>
  <c r="Q16" i="12"/>
  <c r="P16" i="12"/>
  <c r="O16" i="12"/>
  <c r="Q15" i="12"/>
  <c r="P15" i="12"/>
  <c r="O15" i="12"/>
  <c r="Q14" i="12"/>
  <c r="P14" i="12"/>
  <c r="O14" i="12"/>
  <c r="O631" i="14"/>
  <c r="O630" i="14"/>
  <c r="O628" i="14"/>
  <c r="O626" i="14"/>
  <c r="O623" i="14"/>
  <c r="O622" i="14"/>
  <c r="O621" i="14"/>
  <c r="O620" i="14"/>
  <c r="O619" i="14"/>
  <c r="O618" i="14"/>
  <c r="O617" i="14"/>
  <c r="O615" i="14"/>
  <c r="O614" i="14"/>
  <c r="O613" i="14"/>
  <c r="O612" i="14"/>
  <c r="O611" i="14"/>
  <c r="O610" i="14"/>
  <c r="O609" i="14"/>
  <c r="O600" i="14"/>
  <c r="O599" i="14"/>
  <c r="O597" i="14"/>
  <c r="O595" i="14"/>
  <c r="O592" i="14"/>
  <c r="O591" i="14"/>
  <c r="O590" i="14"/>
  <c r="O589" i="14"/>
  <c r="O587" i="14"/>
  <c r="O586" i="14"/>
  <c r="O584" i="14"/>
  <c r="O583" i="14"/>
  <c r="O582" i="14"/>
  <c r="O581" i="14"/>
  <c r="O579" i="14"/>
  <c r="O578" i="14"/>
  <c r="Q569" i="14"/>
  <c r="P569" i="14"/>
  <c r="O569" i="14"/>
  <c r="Q568" i="14"/>
  <c r="P568" i="14"/>
  <c r="O568" i="14"/>
  <c r="Q566" i="14"/>
  <c r="P566" i="14"/>
  <c r="O566" i="14"/>
  <c r="Q564" i="14"/>
  <c r="P564" i="14"/>
  <c r="O564" i="14"/>
  <c r="Q561" i="14"/>
  <c r="P561" i="14"/>
  <c r="O561" i="14"/>
  <c r="Q560" i="14"/>
  <c r="P560" i="14"/>
  <c r="O560" i="14"/>
  <c r="Q559" i="14"/>
  <c r="P559" i="14"/>
  <c r="O559" i="14"/>
  <c r="Q558" i="14"/>
  <c r="P558" i="14"/>
  <c r="O558" i="14"/>
  <c r="Q557" i="14"/>
  <c r="P557" i="14"/>
  <c r="Q556" i="14"/>
  <c r="P556" i="14"/>
  <c r="O556" i="14"/>
  <c r="Q555" i="14"/>
  <c r="P555" i="14"/>
  <c r="O555" i="14"/>
  <c r="Q553" i="14"/>
  <c r="P553" i="14"/>
  <c r="O553" i="14"/>
  <c r="Q552" i="14"/>
  <c r="P552" i="14"/>
  <c r="O552" i="14"/>
  <c r="Q551" i="14"/>
  <c r="P551" i="14"/>
  <c r="O551" i="14"/>
  <c r="Q550" i="14"/>
  <c r="P550" i="14"/>
  <c r="O550" i="14"/>
  <c r="Q549" i="14"/>
  <c r="P549" i="14"/>
  <c r="Q548" i="14"/>
  <c r="P548" i="14"/>
  <c r="O548" i="14"/>
  <c r="Q547" i="14"/>
  <c r="P547" i="14"/>
  <c r="O547" i="14"/>
  <c r="Q538" i="14"/>
  <c r="P538" i="14"/>
  <c r="O538" i="14"/>
  <c r="Q537" i="14"/>
  <c r="P537" i="14"/>
  <c r="O537" i="14"/>
  <c r="Q535" i="14"/>
  <c r="P535" i="14"/>
  <c r="O535" i="14"/>
  <c r="Q534" i="14"/>
  <c r="P534" i="14"/>
  <c r="O534" i="14"/>
  <c r="Q533" i="14"/>
  <c r="P533" i="14"/>
  <c r="O533" i="14"/>
  <c r="Q532" i="14"/>
  <c r="P532" i="14"/>
  <c r="O532" i="14"/>
  <c r="Q530" i="14"/>
  <c r="P530" i="14"/>
  <c r="O530" i="14"/>
  <c r="Q529" i="14"/>
  <c r="P529" i="14"/>
  <c r="O529" i="14"/>
  <c r="Q528" i="14"/>
  <c r="P528" i="14"/>
  <c r="O528" i="14"/>
  <c r="Q527" i="14"/>
  <c r="P527" i="14"/>
  <c r="O527" i="14"/>
  <c r="Q526" i="14"/>
  <c r="P526" i="14"/>
  <c r="O526" i="14"/>
  <c r="Q525" i="14"/>
  <c r="P525" i="14"/>
  <c r="O525" i="14"/>
  <c r="Q524" i="14"/>
  <c r="P524" i="14"/>
  <c r="O524" i="14"/>
  <c r="Q522" i="14"/>
  <c r="P522" i="14"/>
  <c r="O522" i="14"/>
  <c r="Q521" i="14"/>
  <c r="P521" i="14"/>
  <c r="O521" i="14"/>
  <c r="Q520" i="14"/>
  <c r="P520" i="14"/>
  <c r="O520" i="14"/>
  <c r="Q519" i="14"/>
  <c r="P519" i="14"/>
  <c r="O519" i="14"/>
  <c r="Q518" i="14"/>
  <c r="P518" i="14"/>
  <c r="O518" i="14"/>
  <c r="Q517" i="14"/>
  <c r="P517" i="14"/>
  <c r="O517" i="14"/>
  <c r="Q516" i="14"/>
  <c r="P516" i="14"/>
  <c r="O516" i="14"/>
  <c r="Q510" i="14"/>
  <c r="P510" i="14"/>
  <c r="O510" i="14"/>
  <c r="Q509" i="14"/>
  <c r="P509" i="14"/>
  <c r="O509" i="14"/>
  <c r="Q507" i="14"/>
  <c r="P507" i="14"/>
  <c r="O507" i="14"/>
  <c r="Q506" i="14"/>
  <c r="P506" i="14"/>
  <c r="O506" i="14"/>
  <c r="Q505" i="14"/>
  <c r="P505" i="14"/>
  <c r="O505" i="14"/>
  <c r="Q504" i="14"/>
  <c r="P504" i="14"/>
  <c r="O504" i="14"/>
  <c r="Q502" i="14"/>
  <c r="P502" i="14"/>
  <c r="O502" i="14"/>
  <c r="Q501" i="14"/>
  <c r="P501" i="14"/>
  <c r="O501" i="14"/>
  <c r="Q500" i="14"/>
  <c r="P500" i="14"/>
  <c r="O500" i="14"/>
  <c r="Q499" i="14"/>
  <c r="P499" i="14"/>
  <c r="O499" i="14"/>
  <c r="Q498" i="14"/>
  <c r="P498" i="14"/>
  <c r="O498" i="14"/>
  <c r="Q497" i="14"/>
  <c r="P497" i="14"/>
  <c r="O497" i="14"/>
  <c r="Q496" i="14"/>
  <c r="P496" i="14"/>
  <c r="O496" i="14"/>
  <c r="Q494" i="14"/>
  <c r="P494" i="14"/>
  <c r="O494" i="14"/>
  <c r="Q493" i="14"/>
  <c r="P493" i="14"/>
  <c r="O493" i="14"/>
  <c r="Q492" i="14"/>
  <c r="P492" i="14"/>
  <c r="O492" i="14"/>
  <c r="Q491" i="14"/>
  <c r="P491" i="14"/>
  <c r="O491" i="14"/>
  <c r="Q490" i="14"/>
  <c r="P490" i="14"/>
  <c r="O490" i="14"/>
  <c r="Q489" i="14"/>
  <c r="P489" i="14"/>
  <c r="O489" i="14"/>
  <c r="Q488" i="14"/>
  <c r="P488" i="14"/>
  <c r="O488" i="14"/>
  <c r="Q385" i="14"/>
  <c r="P385" i="14"/>
  <c r="O385" i="14"/>
  <c r="Q384" i="14"/>
  <c r="P384" i="14"/>
  <c r="O384" i="14"/>
  <c r="Q382" i="14"/>
  <c r="P382" i="14"/>
  <c r="O382" i="14"/>
  <c r="Q381" i="14"/>
  <c r="P381" i="14"/>
  <c r="O381" i="14"/>
  <c r="Q380" i="14"/>
  <c r="P380" i="14"/>
  <c r="O380" i="14"/>
  <c r="Q379" i="14"/>
  <c r="P379" i="14"/>
  <c r="O379" i="14"/>
  <c r="Q377" i="14"/>
  <c r="P377" i="14"/>
  <c r="O377" i="14"/>
  <c r="Q376" i="14"/>
  <c r="P376" i="14"/>
  <c r="O376" i="14"/>
  <c r="Q375" i="14"/>
  <c r="P375" i="14"/>
  <c r="O375" i="14"/>
  <c r="Q374" i="14"/>
  <c r="P374" i="14"/>
  <c r="O374" i="14"/>
  <c r="Q373" i="14"/>
  <c r="P373" i="14"/>
  <c r="O373" i="14"/>
  <c r="Q372" i="14"/>
  <c r="P372" i="14"/>
  <c r="O372" i="14"/>
  <c r="Q371" i="14"/>
  <c r="P371" i="14"/>
  <c r="O371" i="14"/>
  <c r="Q369" i="14"/>
  <c r="P369" i="14"/>
  <c r="O369" i="14"/>
  <c r="Q368" i="14"/>
  <c r="P368" i="14"/>
  <c r="O368" i="14"/>
  <c r="Q367" i="14"/>
  <c r="P367" i="14"/>
  <c r="O367" i="14"/>
  <c r="Q366" i="14"/>
  <c r="P366" i="14"/>
  <c r="O366" i="14"/>
  <c r="Q365" i="14"/>
  <c r="P365" i="14"/>
  <c r="O365" i="14"/>
  <c r="Q364" i="14"/>
  <c r="P364" i="14"/>
  <c r="O364" i="14"/>
  <c r="Q363" i="14"/>
  <c r="P363" i="14"/>
  <c r="O363" i="14"/>
  <c r="Q358" i="14"/>
  <c r="P358" i="14"/>
  <c r="O358" i="14"/>
  <c r="Q357" i="14"/>
  <c r="P357" i="14"/>
  <c r="O357" i="14"/>
  <c r="Q355" i="14"/>
  <c r="P355" i="14"/>
  <c r="O355" i="14"/>
  <c r="Q354" i="14"/>
  <c r="P354" i="14"/>
  <c r="O354" i="14"/>
  <c r="Q353" i="14"/>
  <c r="P353" i="14"/>
  <c r="O353" i="14"/>
  <c r="Q352" i="14"/>
  <c r="P352" i="14"/>
  <c r="O352" i="14"/>
  <c r="Q350" i="14"/>
  <c r="P350" i="14"/>
  <c r="O350" i="14"/>
  <c r="Q349" i="14"/>
  <c r="P349" i="14"/>
  <c r="O349" i="14"/>
  <c r="Q348" i="14"/>
  <c r="P348" i="14"/>
  <c r="O348" i="14"/>
  <c r="Q347" i="14"/>
  <c r="P347" i="14"/>
  <c r="O347" i="14"/>
  <c r="Q346" i="14"/>
  <c r="P346" i="14"/>
  <c r="O346" i="14"/>
  <c r="Q345" i="14"/>
  <c r="P345" i="14"/>
  <c r="O345" i="14"/>
  <c r="Q344" i="14"/>
  <c r="P344" i="14"/>
  <c r="O344" i="14"/>
  <c r="Q342" i="14"/>
  <c r="P342" i="14"/>
  <c r="O342" i="14"/>
  <c r="Q341" i="14"/>
  <c r="P341" i="14"/>
  <c r="O341" i="14"/>
  <c r="Q340" i="14"/>
  <c r="P340" i="14"/>
  <c r="O340" i="14"/>
  <c r="Q339" i="14"/>
  <c r="P339" i="14"/>
  <c r="O339" i="14"/>
  <c r="Q338" i="14"/>
  <c r="P338" i="14"/>
  <c r="O338" i="14"/>
  <c r="Q337" i="14"/>
  <c r="P337" i="14"/>
  <c r="O337" i="14"/>
  <c r="Q336" i="14"/>
  <c r="P336" i="14"/>
  <c r="O336" i="14"/>
  <c r="Q198" i="14"/>
  <c r="O187" i="14"/>
  <c r="O186" i="14"/>
  <c r="O184" i="14"/>
  <c r="O183" i="14"/>
  <c r="O182" i="14"/>
  <c r="O181" i="14"/>
  <c r="O179" i="14"/>
  <c r="O178" i="14"/>
  <c r="O177" i="14"/>
  <c r="O176" i="14"/>
  <c r="O175" i="14"/>
  <c r="O174" i="14"/>
  <c r="O173" i="14"/>
  <c r="O171" i="14"/>
  <c r="O170" i="14"/>
  <c r="O169" i="14"/>
  <c r="O168" i="14"/>
  <c r="O167" i="14"/>
  <c r="O166" i="14"/>
  <c r="O165" i="14"/>
  <c r="Q125" i="14"/>
  <c r="P125" i="14"/>
  <c r="O125" i="14"/>
  <c r="Q124" i="14"/>
  <c r="P124" i="14"/>
  <c r="O124" i="14"/>
  <c r="Q122" i="14"/>
  <c r="P122" i="14"/>
  <c r="O122" i="14"/>
  <c r="Q121" i="14"/>
  <c r="P121" i="14"/>
  <c r="O121" i="14"/>
  <c r="Q120" i="14"/>
  <c r="P120" i="14"/>
  <c r="O120" i="14"/>
  <c r="Q119" i="14"/>
  <c r="P119" i="14"/>
  <c r="O119" i="14"/>
  <c r="Q117" i="14"/>
  <c r="P117" i="14"/>
  <c r="O117" i="14"/>
  <c r="Q116" i="14"/>
  <c r="P116" i="14"/>
  <c r="O116" i="14"/>
  <c r="Q115" i="14"/>
  <c r="P115" i="14"/>
  <c r="O115" i="14"/>
  <c r="Q114" i="14"/>
  <c r="P114" i="14"/>
  <c r="O114" i="14"/>
  <c r="Q113" i="14"/>
  <c r="P113" i="14"/>
  <c r="O113" i="14"/>
  <c r="Q112" i="14"/>
  <c r="P112" i="14"/>
  <c r="O112" i="14"/>
  <c r="Q111" i="14"/>
  <c r="P111" i="14"/>
  <c r="O111" i="14"/>
  <c r="Q109" i="14"/>
  <c r="P109" i="14"/>
  <c r="O109" i="14"/>
  <c r="Q108" i="14"/>
  <c r="P108" i="14"/>
  <c r="O108" i="14"/>
  <c r="Q107" i="14"/>
  <c r="P107" i="14"/>
  <c r="O107" i="14"/>
  <c r="Q106" i="14"/>
  <c r="P106" i="14"/>
  <c r="O106" i="14"/>
  <c r="Q105" i="14"/>
  <c r="P105" i="14"/>
  <c r="O105" i="14"/>
  <c r="Q104" i="14"/>
  <c r="P104" i="14"/>
  <c r="O104" i="14"/>
  <c r="Q103" i="14"/>
  <c r="P103" i="14"/>
  <c r="O103" i="14"/>
  <c r="Q97" i="14"/>
  <c r="P97" i="14"/>
  <c r="O97" i="14"/>
  <c r="Q96" i="14"/>
  <c r="P96" i="14"/>
  <c r="O96" i="14"/>
  <c r="Q94" i="14"/>
  <c r="P94" i="14"/>
  <c r="O94" i="14"/>
  <c r="Q93" i="14"/>
  <c r="P93" i="14"/>
  <c r="O93" i="14"/>
  <c r="Q92" i="14"/>
  <c r="P92" i="14"/>
  <c r="O92" i="14"/>
  <c r="Q91" i="14"/>
  <c r="P91" i="14"/>
  <c r="O91" i="14"/>
  <c r="Q89" i="14"/>
  <c r="P89" i="14"/>
  <c r="O89" i="14"/>
  <c r="Q88" i="14"/>
  <c r="P88" i="14"/>
  <c r="O88" i="14"/>
  <c r="Q87" i="14"/>
  <c r="P87" i="14"/>
  <c r="O87" i="14"/>
  <c r="Q86" i="14"/>
  <c r="P86" i="14"/>
  <c r="O86" i="14"/>
  <c r="Q85" i="14"/>
  <c r="P85" i="14"/>
  <c r="O85" i="14"/>
  <c r="Q84" i="14"/>
  <c r="P84" i="14"/>
  <c r="O84" i="14"/>
  <c r="Q83" i="14"/>
  <c r="P83" i="14"/>
  <c r="O83" i="14"/>
  <c r="Q81" i="14"/>
  <c r="P81" i="14"/>
  <c r="O81" i="14"/>
  <c r="Q80" i="14"/>
  <c r="P80" i="14"/>
  <c r="O80" i="14"/>
  <c r="Q79" i="14"/>
  <c r="P79" i="14"/>
  <c r="O79" i="14"/>
  <c r="Q78" i="14"/>
  <c r="P78" i="14"/>
  <c r="O78" i="14"/>
  <c r="Q77" i="14"/>
  <c r="P77" i="14"/>
  <c r="O77" i="14"/>
  <c r="Q76" i="14"/>
  <c r="P76" i="14"/>
  <c r="O76" i="14"/>
  <c r="Q75" i="14"/>
  <c r="P75" i="14"/>
  <c r="O75" i="14"/>
  <c r="Q66" i="14"/>
  <c r="P66" i="14"/>
  <c r="O66" i="14"/>
  <c r="Q65" i="14"/>
  <c r="P65" i="14"/>
  <c r="O65" i="14"/>
  <c r="Q63" i="14"/>
  <c r="P63" i="14"/>
  <c r="O63" i="14"/>
  <c r="Q62" i="14"/>
  <c r="P62" i="14"/>
  <c r="O62" i="14"/>
  <c r="Q61" i="14"/>
  <c r="P61" i="14"/>
  <c r="O61" i="14"/>
  <c r="Q60" i="14"/>
  <c r="P60" i="14"/>
  <c r="O60" i="14"/>
  <c r="Q58" i="14"/>
  <c r="P58" i="14"/>
  <c r="O58" i="14"/>
  <c r="Q57" i="14"/>
  <c r="P57" i="14"/>
  <c r="O57" i="14"/>
  <c r="Q56" i="14"/>
  <c r="P56" i="14"/>
  <c r="O56" i="14"/>
  <c r="Q55" i="14"/>
  <c r="P55" i="14"/>
  <c r="O55" i="14"/>
  <c r="Q54" i="14"/>
  <c r="P54" i="14"/>
  <c r="O54" i="14"/>
  <c r="Q53" i="14"/>
  <c r="P53" i="14"/>
  <c r="O53" i="14"/>
  <c r="Q52" i="14"/>
  <c r="P52" i="14"/>
  <c r="O52" i="14"/>
  <c r="Q50" i="14"/>
  <c r="P50" i="14"/>
  <c r="O50" i="14"/>
  <c r="Q49" i="14"/>
  <c r="P49" i="14"/>
  <c r="O49" i="14"/>
  <c r="Q48" i="14"/>
  <c r="P48" i="14"/>
  <c r="O48" i="14"/>
  <c r="Q47" i="14"/>
  <c r="P47" i="14"/>
  <c r="O47" i="14"/>
  <c r="Q46" i="14"/>
  <c r="P46" i="14"/>
  <c r="O46" i="14"/>
  <c r="Q45" i="14"/>
  <c r="P45" i="14"/>
  <c r="O45" i="14"/>
  <c r="Q44" i="14"/>
  <c r="P44" i="14"/>
  <c r="O44" i="14"/>
  <c r="Q38" i="14"/>
  <c r="P38" i="14"/>
  <c r="O38" i="14"/>
  <c r="Q37" i="14"/>
  <c r="P37" i="14"/>
  <c r="O37" i="14"/>
  <c r="Q35" i="14"/>
  <c r="P35" i="14"/>
  <c r="O35" i="14"/>
  <c r="Q34" i="14"/>
  <c r="P34" i="14"/>
  <c r="O34" i="14"/>
  <c r="Q33" i="14"/>
  <c r="P33" i="14"/>
  <c r="O33" i="14"/>
  <c r="Q32" i="14"/>
  <c r="P32" i="14"/>
  <c r="O32" i="14"/>
  <c r="Q30" i="14"/>
  <c r="P30" i="14"/>
  <c r="O30" i="14"/>
  <c r="Q29" i="14"/>
  <c r="P29" i="14"/>
  <c r="O29" i="14"/>
  <c r="Q28" i="14"/>
  <c r="P28" i="14"/>
  <c r="O28" i="14"/>
  <c r="Q27" i="14"/>
  <c r="P27" i="14"/>
  <c r="O27" i="14"/>
  <c r="Q26" i="14"/>
  <c r="P26" i="14"/>
  <c r="O26" i="14"/>
  <c r="Q25" i="14"/>
  <c r="P25" i="14"/>
  <c r="O25" i="14"/>
  <c r="Q24" i="14"/>
  <c r="P24" i="14"/>
  <c r="O24" i="14"/>
  <c r="Q22" i="14"/>
  <c r="P22" i="14"/>
  <c r="O22" i="14"/>
  <c r="Q21" i="14"/>
  <c r="P21" i="14"/>
  <c r="O21" i="14"/>
  <c r="Q20" i="14"/>
  <c r="P20" i="14"/>
  <c r="O20" i="14"/>
  <c r="Q19" i="14"/>
  <c r="P19" i="14"/>
  <c r="O19" i="14"/>
  <c r="Q18" i="14"/>
  <c r="P18" i="14"/>
  <c r="O18" i="14"/>
  <c r="Q17" i="14"/>
  <c r="P17" i="14"/>
  <c r="O17" i="14"/>
  <c r="Q16" i="14"/>
  <c r="P16" i="14"/>
  <c r="O16" i="14"/>
  <c r="Q123" i="11"/>
  <c r="P123" i="11"/>
  <c r="O123" i="11"/>
  <c r="Q122" i="11"/>
  <c r="P122" i="11"/>
  <c r="O122" i="11"/>
  <c r="Q120" i="11"/>
  <c r="P120" i="11"/>
  <c r="O120" i="11"/>
  <c r="Q119" i="11"/>
  <c r="P119" i="11"/>
  <c r="O119" i="11"/>
  <c r="Q118" i="11"/>
  <c r="P118" i="11"/>
  <c r="O118" i="11"/>
  <c r="Q117" i="11"/>
  <c r="P117" i="11"/>
  <c r="O117" i="11"/>
  <c r="Q115" i="11"/>
  <c r="P115" i="11"/>
  <c r="O115" i="11"/>
  <c r="Q114" i="11"/>
  <c r="P114" i="11"/>
  <c r="O114" i="11"/>
  <c r="Q113" i="11"/>
  <c r="P113" i="11"/>
  <c r="O113" i="11"/>
  <c r="Q112" i="11"/>
  <c r="P112" i="11"/>
  <c r="O112" i="11"/>
  <c r="Q111" i="11"/>
  <c r="P111" i="11"/>
  <c r="O111" i="11"/>
  <c r="Q110" i="11"/>
  <c r="P110" i="11"/>
  <c r="O110" i="11"/>
  <c r="Q109" i="11"/>
  <c r="P109" i="11"/>
  <c r="O109" i="11"/>
  <c r="Q107" i="11"/>
  <c r="P107" i="11"/>
  <c r="O107" i="11"/>
  <c r="Q106" i="11"/>
  <c r="P106" i="11"/>
  <c r="O106" i="11"/>
  <c r="Q105" i="11"/>
  <c r="P105" i="11"/>
  <c r="O105" i="11"/>
  <c r="Q104" i="11"/>
  <c r="P104" i="11"/>
  <c r="O104" i="11"/>
  <c r="Q103" i="11"/>
  <c r="P103" i="11"/>
  <c r="O103" i="11"/>
  <c r="Q102" i="11"/>
  <c r="P102" i="11"/>
  <c r="O102" i="11"/>
  <c r="Q101" i="11"/>
  <c r="P101" i="11"/>
  <c r="O101" i="11"/>
  <c r="Q94" i="11"/>
  <c r="P94" i="11"/>
  <c r="O94" i="11"/>
  <c r="Q93" i="11"/>
  <c r="P93" i="11"/>
  <c r="O93" i="11"/>
  <c r="Q91" i="11"/>
  <c r="P91" i="11"/>
  <c r="O91" i="11"/>
  <c r="Q90" i="11"/>
  <c r="P90" i="11"/>
  <c r="O90" i="11"/>
  <c r="Q89" i="11"/>
  <c r="P89" i="11"/>
  <c r="O89" i="11"/>
  <c r="Q88" i="11"/>
  <c r="P88" i="11"/>
  <c r="O88" i="11"/>
  <c r="Q86" i="11"/>
  <c r="P86" i="11"/>
  <c r="O86" i="11"/>
  <c r="Q85" i="11"/>
  <c r="P85" i="11"/>
  <c r="O85" i="11"/>
  <c r="Q84" i="11"/>
  <c r="P84" i="11"/>
  <c r="O84" i="11"/>
  <c r="Q83" i="11"/>
  <c r="P83" i="11"/>
  <c r="O83" i="11"/>
  <c r="Q82" i="11"/>
  <c r="P82" i="11"/>
  <c r="O82" i="11"/>
  <c r="Q81" i="11"/>
  <c r="P81" i="11"/>
  <c r="O81" i="11"/>
  <c r="Q80" i="11"/>
  <c r="P80" i="11"/>
  <c r="O80" i="11"/>
  <c r="Q78" i="11"/>
  <c r="P78" i="11"/>
  <c r="O78" i="11"/>
  <c r="Q77" i="11"/>
  <c r="P77" i="11"/>
  <c r="O77" i="11"/>
  <c r="Q76" i="11"/>
  <c r="P76" i="11"/>
  <c r="O76" i="11"/>
  <c r="Q75" i="11"/>
  <c r="P75" i="11"/>
  <c r="O75" i="11"/>
  <c r="Q74" i="11"/>
  <c r="P74" i="11"/>
  <c r="O74" i="11"/>
  <c r="Q73" i="11"/>
  <c r="P73" i="11"/>
  <c r="O73" i="11"/>
  <c r="Q72" i="11"/>
  <c r="P72" i="11"/>
  <c r="O72" i="11"/>
  <c r="Q65" i="11"/>
  <c r="P65" i="11"/>
  <c r="O65" i="11"/>
  <c r="Q64" i="11"/>
  <c r="P64" i="11"/>
  <c r="O64" i="11"/>
  <c r="Q62" i="11"/>
  <c r="P62" i="11"/>
  <c r="O62" i="11"/>
  <c r="Q61" i="11"/>
  <c r="P61" i="11"/>
  <c r="O61" i="11"/>
  <c r="Q60" i="11"/>
  <c r="P60" i="11"/>
  <c r="O60" i="11"/>
  <c r="Q59" i="11"/>
  <c r="P59" i="11"/>
  <c r="O59" i="11"/>
  <c r="Q57" i="11"/>
  <c r="P57" i="11"/>
  <c r="O57" i="11"/>
  <c r="Q56" i="11"/>
  <c r="P56" i="11"/>
  <c r="O56" i="11"/>
  <c r="Q55" i="11"/>
  <c r="P55" i="11"/>
  <c r="O55" i="11"/>
  <c r="Q54" i="11"/>
  <c r="P54" i="11"/>
  <c r="O54" i="11"/>
  <c r="Q53" i="11"/>
  <c r="P53" i="11"/>
  <c r="O53" i="11"/>
  <c r="Q52" i="11"/>
  <c r="P52" i="11"/>
  <c r="O52" i="11"/>
  <c r="Q51" i="11"/>
  <c r="P51" i="11"/>
  <c r="O51" i="11"/>
  <c r="Q49" i="11"/>
  <c r="P49" i="11"/>
  <c r="O49" i="11"/>
  <c r="Q48" i="11"/>
  <c r="P48" i="11"/>
  <c r="O48" i="11"/>
  <c r="Q47" i="11"/>
  <c r="P47" i="11"/>
  <c r="O47" i="11"/>
  <c r="Q46" i="11"/>
  <c r="P46" i="11"/>
  <c r="O46" i="11"/>
  <c r="Q45" i="11"/>
  <c r="P45" i="11"/>
  <c r="O45" i="11"/>
  <c r="Q44" i="11"/>
  <c r="P44" i="11"/>
  <c r="O44" i="11"/>
  <c r="Q43" i="11"/>
  <c r="P43" i="11"/>
  <c r="O43" i="11"/>
  <c r="Q35" i="11"/>
  <c r="P35" i="11"/>
  <c r="O35" i="11"/>
  <c r="Q34" i="11"/>
  <c r="P34" i="11"/>
  <c r="O34" i="11"/>
  <c r="Q32" i="11"/>
  <c r="P32" i="11"/>
  <c r="O32" i="11"/>
  <c r="Q31" i="11"/>
  <c r="P31" i="11"/>
  <c r="O31" i="11"/>
  <c r="Q30" i="11"/>
  <c r="P30" i="11"/>
  <c r="O30" i="11"/>
  <c r="Q29" i="11"/>
  <c r="P29" i="11"/>
  <c r="O29" i="11"/>
  <c r="Q27" i="11"/>
  <c r="P27" i="11"/>
  <c r="O27" i="11"/>
  <c r="Q26" i="11"/>
  <c r="P26" i="11"/>
  <c r="O26" i="11"/>
  <c r="Q25" i="11"/>
  <c r="P25" i="11"/>
  <c r="O25" i="11"/>
  <c r="Q24" i="11"/>
  <c r="P24" i="11"/>
  <c r="O24" i="11"/>
  <c r="Q23" i="11"/>
  <c r="P23" i="11"/>
  <c r="O23" i="11"/>
  <c r="Q22" i="11"/>
  <c r="P22" i="11"/>
  <c r="O22" i="11"/>
  <c r="Q21" i="11"/>
  <c r="P21" i="11"/>
  <c r="O21" i="11"/>
  <c r="Q19" i="11"/>
  <c r="P19" i="11"/>
  <c r="O19" i="11"/>
  <c r="Q18" i="11"/>
  <c r="P18" i="11"/>
  <c r="O18" i="11"/>
  <c r="Q17" i="11"/>
  <c r="P17" i="11"/>
  <c r="O17" i="11"/>
  <c r="Q16" i="11"/>
  <c r="P16" i="11"/>
  <c r="O16" i="11"/>
  <c r="Q15" i="11"/>
  <c r="P15" i="11"/>
  <c r="O15" i="11"/>
  <c r="Q14" i="11"/>
  <c r="P14" i="11"/>
  <c r="O14" i="11"/>
  <c r="Q13" i="11"/>
  <c r="P13" i="11"/>
  <c r="O13" i="11"/>
  <c r="J581" i="7"/>
  <c r="C28" i="23"/>
  <c r="C26" i="23"/>
  <c r="C57" i="23" l="1"/>
  <c r="C55" i="23"/>
  <c r="O266" i="7" l="1"/>
  <c r="O263" i="7"/>
  <c r="O261" i="7"/>
  <c r="O258" i="7"/>
  <c r="O256" i="7"/>
  <c r="O254" i="7"/>
  <c r="O251" i="7"/>
  <c r="O249" i="7"/>
  <c r="O247" i="7"/>
  <c r="O245" i="7"/>
  <c r="O238" i="7"/>
  <c r="O235" i="7"/>
  <c r="O233" i="7"/>
  <c r="O230" i="7"/>
  <c r="O226" i="7"/>
  <c r="O223" i="7"/>
  <c r="O221" i="7"/>
  <c r="O219" i="7"/>
  <c r="O217" i="7"/>
  <c r="D266" i="7"/>
  <c r="D261" i="7"/>
  <c r="D256" i="7"/>
  <c r="D251" i="7"/>
  <c r="D247" i="7"/>
  <c r="D235" i="7"/>
  <c r="D230" i="7"/>
  <c r="D226" i="7"/>
  <c r="D221" i="7"/>
  <c r="D217" i="7"/>
  <c r="P267" i="7"/>
  <c r="O267" i="7"/>
  <c r="N267" i="7"/>
  <c r="P266" i="7"/>
  <c r="N266" i="7"/>
  <c r="P264" i="7"/>
  <c r="O264" i="7"/>
  <c r="N264" i="7"/>
  <c r="P263" i="7"/>
  <c r="N263" i="7"/>
  <c r="P262" i="7"/>
  <c r="O262" i="7"/>
  <c r="N262" i="7"/>
  <c r="P261" i="7"/>
  <c r="N261" i="7"/>
  <c r="P259" i="7"/>
  <c r="O259" i="7"/>
  <c r="N259" i="7"/>
  <c r="P258" i="7"/>
  <c r="N258" i="7"/>
  <c r="P257" i="7"/>
  <c r="O257" i="7"/>
  <c r="N257" i="7"/>
  <c r="P256" i="7"/>
  <c r="N256" i="7"/>
  <c r="P255" i="7"/>
  <c r="O255" i="7"/>
  <c r="N255" i="7"/>
  <c r="P254" i="7"/>
  <c r="N254" i="7"/>
  <c r="P253" i="7"/>
  <c r="O253" i="7"/>
  <c r="N253" i="7"/>
  <c r="P251" i="7"/>
  <c r="N251" i="7"/>
  <c r="P250" i="7"/>
  <c r="O250" i="7"/>
  <c r="N250" i="7"/>
  <c r="P249" i="7"/>
  <c r="N249" i="7"/>
  <c r="P248" i="7"/>
  <c r="O248" i="7"/>
  <c r="N248" i="7"/>
  <c r="P247" i="7"/>
  <c r="N247" i="7"/>
  <c r="P246" i="7"/>
  <c r="O246" i="7"/>
  <c r="N246" i="7"/>
  <c r="P245" i="7"/>
  <c r="V245" i="7" s="1"/>
  <c r="N245" i="7"/>
  <c r="N239" i="7"/>
  <c r="E267" i="7"/>
  <c r="D267" i="7"/>
  <c r="C267" i="7"/>
  <c r="E266" i="7"/>
  <c r="C266" i="7"/>
  <c r="E264" i="7"/>
  <c r="D264" i="7"/>
  <c r="C264" i="7"/>
  <c r="E263" i="7"/>
  <c r="D263" i="7"/>
  <c r="C263" i="7"/>
  <c r="E262" i="7"/>
  <c r="D262" i="7"/>
  <c r="C262" i="7"/>
  <c r="E261" i="7"/>
  <c r="C261" i="7"/>
  <c r="E259" i="7"/>
  <c r="D259" i="7"/>
  <c r="C259" i="7"/>
  <c r="E258" i="7"/>
  <c r="D258" i="7"/>
  <c r="C258" i="7"/>
  <c r="E257" i="7"/>
  <c r="D257" i="7"/>
  <c r="C257" i="7"/>
  <c r="E256" i="7"/>
  <c r="C256" i="7"/>
  <c r="E255" i="7"/>
  <c r="D255" i="7"/>
  <c r="C255" i="7"/>
  <c r="E254" i="7"/>
  <c r="D254" i="7"/>
  <c r="C254" i="7"/>
  <c r="E253" i="7"/>
  <c r="D253" i="7"/>
  <c r="C253" i="7"/>
  <c r="E251" i="7"/>
  <c r="C251" i="7"/>
  <c r="E250" i="7"/>
  <c r="D250" i="7"/>
  <c r="C250" i="7"/>
  <c r="E249" i="7"/>
  <c r="D249" i="7"/>
  <c r="C249" i="7"/>
  <c r="E248" i="7"/>
  <c r="D248" i="7"/>
  <c r="C248" i="7"/>
  <c r="E247" i="7"/>
  <c r="C247" i="7"/>
  <c r="E246" i="7"/>
  <c r="D246" i="7"/>
  <c r="C246" i="7"/>
  <c r="E245" i="7"/>
  <c r="D245" i="7"/>
  <c r="C245" i="7"/>
  <c r="C239" i="7"/>
  <c r="P239" i="7"/>
  <c r="O239" i="7"/>
  <c r="P238" i="7"/>
  <c r="N238" i="7"/>
  <c r="P237" i="7"/>
  <c r="O237" i="7"/>
  <c r="N237" i="7"/>
  <c r="P236" i="7"/>
  <c r="O236" i="7"/>
  <c r="N236" i="7"/>
  <c r="P235" i="7"/>
  <c r="N235" i="7"/>
  <c r="P234" i="7"/>
  <c r="O234" i="7"/>
  <c r="N234" i="7"/>
  <c r="P233" i="7"/>
  <c r="N233" i="7"/>
  <c r="P232" i="7"/>
  <c r="O232" i="7"/>
  <c r="N232" i="7"/>
  <c r="P231" i="7"/>
  <c r="O231" i="7"/>
  <c r="N231" i="7"/>
  <c r="P230" i="7"/>
  <c r="N230" i="7"/>
  <c r="P229" i="7"/>
  <c r="O229" i="7"/>
  <c r="N229" i="7"/>
  <c r="P228" i="7"/>
  <c r="O228" i="7"/>
  <c r="N228" i="7"/>
  <c r="P227" i="7"/>
  <c r="O227" i="7"/>
  <c r="N227" i="7"/>
  <c r="P226" i="7"/>
  <c r="N226" i="7"/>
  <c r="P225" i="7"/>
  <c r="O225" i="7"/>
  <c r="N225" i="7"/>
  <c r="P224" i="7"/>
  <c r="O224" i="7"/>
  <c r="N224" i="7"/>
  <c r="P223" i="7"/>
  <c r="N223" i="7"/>
  <c r="P222" i="7"/>
  <c r="O222" i="7"/>
  <c r="N222" i="7"/>
  <c r="P221" i="7"/>
  <c r="N221" i="7"/>
  <c r="P220" i="7"/>
  <c r="O220" i="7"/>
  <c r="N220" i="7"/>
  <c r="P219" i="7"/>
  <c r="N219" i="7"/>
  <c r="P218" i="7"/>
  <c r="O218" i="7"/>
  <c r="N218" i="7"/>
  <c r="P217" i="7"/>
  <c r="V217" i="7" s="1"/>
  <c r="N217" i="7"/>
  <c r="C217" i="7"/>
  <c r="E239" i="7"/>
  <c r="D239" i="7"/>
  <c r="E238" i="7"/>
  <c r="D238" i="7"/>
  <c r="C238" i="7"/>
  <c r="E236" i="7"/>
  <c r="D236" i="7"/>
  <c r="C236" i="7"/>
  <c r="E235" i="7"/>
  <c r="C235" i="7"/>
  <c r="E234" i="7"/>
  <c r="D234" i="7"/>
  <c r="C234" i="7"/>
  <c r="E233" i="7"/>
  <c r="D233" i="7"/>
  <c r="C233" i="7"/>
  <c r="E231" i="7"/>
  <c r="D231" i="7"/>
  <c r="C231" i="7"/>
  <c r="E230" i="7"/>
  <c r="C230" i="7"/>
  <c r="E229" i="7"/>
  <c r="D229" i="7"/>
  <c r="C229" i="7"/>
  <c r="E228" i="7"/>
  <c r="D228" i="7"/>
  <c r="C228" i="7"/>
  <c r="E227" i="7"/>
  <c r="D227" i="7"/>
  <c r="C227" i="7"/>
  <c r="E226" i="7"/>
  <c r="C226" i="7"/>
  <c r="E225" i="7"/>
  <c r="D225" i="7"/>
  <c r="C225" i="7"/>
  <c r="E223" i="7"/>
  <c r="D223" i="7"/>
  <c r="C223" i="7"/>
  <c r="E222" i="7"/>
  <c r="D222" i="7"/>
  <c r="C222" i="7"/>
  <c r="E221" i="7"/>
  <c r="C221" i="7"/>
  <c r="E220" i="7"/>
  <c r="D220" i="7"/>
  <c r="C220" i="7"/>
  <c r="E219" i="7"/>
  <c r="D219" i="7"/>
  <c r="C219" i="7"/>
  <c r="E218" i="7"/>
  <c r="D218" i="7"/>
  <c r="C218" i="7"/>
  <c r="E217" i="7"/>
  <c r="K217" i="7" s="1"/>
  <c r="U265" i="7"/>
  <c r="K245" i="7" l="1"/>
  <c r="J244" i="7"/>
  <c r="N836" i="7"/>
  <c r="N835" i="7"/>
  <c r="N833" i="7"/>
  <c r="N832" i="7"/>
  <c r="N831" i="7"/>
  <c r="N830" i="7"/>
  <c r="N828" i="7"/>
  <c r="N827" i="7"/>
  <c r="N826" i="7"/>
  <c r="N825" i="7"/>
  <c r="N824" i="7"/>
  <c r="N823" i="7"/>
  <c r="N822" i="7"/>
  <c r="N820" i="7"/>
  <c r="N819" i="7"/>
  <c r="N818" i="7"/>
  <c r="N817" i="7"/>
  <c r="N816" i="7"/>
  <c r="N815" i="7"/>
  <c r="N814" i="7"/>
  <c r="C836" i="7"/>
  <c r="C835" i="7"/>
  <c r="C833" i="7"/>
  <c r="C832" i="7"/>
  <c r="C831" i="7"/>
  <c r="C830" i="7"/>
  <c r="C828" i="7"/>
  <c r="C827" i="7"/>
  <c r="C826" i="7"/>
  <c r="C825" i="7"/>
  <c r="C824" i="7"/>
  <c r="C823" i="7"/>
  <c r="C822" i="7"/>
  <c r="C820" i="7"/>
  <c r="C819" i="7"/>
  <c r="C818" i="7"/>
  <c r="C817" i="7"/>
  <c r="C816" i="7"/>
  <c r="C815" i="7"/>
  <c r="C814" i="7"/>
  <c r="N809" i="7"/>
  <c r="N808" i="7"/>
  <c r="N806" i="7"/>
  <c r="N805" i="7"/>
  <c r="N804" i="7"/>
  <c r="N803" i="7"/>
  <c r="N801" i="7"/>
  <c r="N800" i="7"/>
  <c r="N799" i="7"/>
  <c r="N798" i="7"/>
  <c r="N797" i="7"/>
  <c r="N796" i="7"/>
  <c r="N795" i="7"/>
  <c r="N793" i="7"/>
  <c r="N792" i="7"/>
  <c r="N791" i="7"/>
  <c r="N790" i="7"/>
  <c r="N789" i="7"/>
  <c r="N788" i="7"/>
  <c r="N787" i="7"/>
  <c r="C809" i="7"/>
  <c r="C808" i="7"/>
  <c r="C806" i="7"/>
  <c r="C805" i="7"/>
  <c r="C804" i="7"/>
  <c r="C803" i="7"/>
  <c r="C801" i="7"/>
  <c r="C800" i="7"/>
  <c r="C799" i="7"/>
  <c r="C798" i="7"/>
  <c r="C797" i="7"/>
  <c r="C796" i="7"/>
  <c r="C795" i="7"/>
  <c r="C793" i="7"/>
  <c r="C792" i="7"/>
  <c r="C791" i="7"/>
  <c r="C790" i="7"/>
  <c r="C789" i="7"/>
  <c r="C788" i="7"/>
  <c r="C787" i="7"/>
  <c r="E781" i="7"/>
  <c r="D781" i="7"/>
  <c r="C781" i="7"/>
  <c r="E780" i="7"/>
  <c r="D780" i="7"/>
  <c r="C780" i="7"/>
  <c r="E778" i="7"/>
  <c r="D778" i="7"/>
  <c r="C778" i="7"/>
  <c r="E777" i="7"/>
  <c r="D777" i="7"/>
  <c r="C777" i="7"/>
  <c r="E776" i="7"/>
  <c r="D776" i="7"/>
  <c r="C776" i="7"/>
  <c r="E775" i="7"/>
  <c r="D775" i="7"/>
  <c r="C775" i="7"/>
  <c r="E773" i="7"/>
  <c r="D773" i="7"/>
  <c r="C773" i="7"/>
  <c r="E772" i="7"/>
  <c r="D772" i="7"/>
  <c r="C772" i="7"/>
  <c r="E771" i="7"/>
  <c r="D771" i="7"/>
  <c r="C771" i="7"/>
  <c r="E770" i="7"/>
  <c r="D770" i="7"/>
  <c r="C770" i="7"/>
  <c r="E769" i="7"/>
  <c r="D769" i="7"/>
  <c r="C769" i="7"/>
  <c r="E768" i="7"/>
  <c r="D768" i="7"/>
  <c r="C768" i="7"/>
  <c r="E767" i="7"/>
  <c r="D767" i="7"/>
  <c r="C767" i="7"/>
  <c r="E765" i="7"/>
  <c r="D765" i="7"/>
  <c r="C765" i="7"/>
  <c r="E764" i="7"/>
  <c r="D764" i="7"/>
  <c r="C764" i="7"/>
  <c r="E763" i="7"/>
  <c r="D763" i="7"/>
  <c r="C763" i="7"/>
  <c r="E762" i="7"/>
  <c r="D762" i="7"/>
  <c r="C762" i="7"/>
  <c r="E761" i="7"/>
  <c r="D761" i="7"/>
  <c r="C761" i="7"/>
  <c r="E760" i="7"/>
  <c r="D760" i="7"/>
  <c r="C760" i="7"/>
  <c r="E759" i="7"/>
  <c r="D759" i="7"/>
  <c r="C759" i="7"/>
  <c r="N446" i="7"/>
  <c r="P468" i="7"/>
  <c r="O468" i="7"/>
  <c r="N468" i="7"/>
  <c r="P467" i="7"/>
  <c r="O467" i="7"/>
  <c r="N467" i="7"/>
  <c r="P465" i="7"/>
  <c r="O465" i="7"/>
  <c r="N465" i="7"/>
  <c r="P464" i="7"/>
  <c r="O464" i="7"/>
  <c r="N464" i="7"/>
  <c r="P463" i="7"/>
  <c r="O463" i="7"/>
  <c r="N463" i="7"/>
  <c r="P462" i="7"/>
  <c r="O462" i="7"/>
  <c r="N462" i="7"/>
  <c r="P460" i="7"/>
  <c r="O460" i="7"/>
  <c r="N460" i="7"/>
  <c r="P459" i="7"/>
  <c r="O459" i="7"/>
  <c r="N459" i="7"/>
  <c r="P458" i="7"/>
  <c r="O458" i="7"/>
  <c r="N458" i="7"/>
  <c r="P457" i="7"/>
  <c r="O457" i="7"/>
  <c r="N457" i="7"/>
  <c r="P456" i="7"/>
  <c r="O456" i="7"/>
  <c r="N456" i="7"/>
  <c r="P455" i="7"/>
  <c r="O455" i="7"/>
  <c r="N455" i="7"/>
  <c r="P454" i="7"/>
  <c r="O454" i="7"/>
  <c r="N454" i="7"/>
  <c r="P452" i="7"/>
  <c r="O452" i="7"/>
  <c r="N452" i="7"/>
  <c r="P451" i="7"/>
  <c r="O451" i="7"/>
  <c r="N451" i="7"/>
  <c r="P450" i="7"/>
  <c r="O450" i="7"/>
  <c r="N450" i="7"/>
  <c r="P449" i="7"/>
  <c r="O449" i="7"/>
  <c r="N449" i="7"/>
  <c r="P448" i="7"/>
  <c r="O448" i="7"/>
  <c r="N448" i="7"/>
  <c r="P447" i="7"/>
  <c r="O447" i="7"/>
  <c r="N447" i="7"/>
  <c r="P446" i="7"/>
  <c r="O446" i="7"/>
  <c r="P211" i="7"/>
  <c r="O211" i="7"/>
  <c r="N211" i="7"/>
  <c r="P210" i="7"/>
  <c r="O210" i="7"/>
  <c r="N210" i="7"/>
  <c r="P208" i="7"/>
  <c r="O208" i="7"/>
  <c r="N208" i="7"/>
  <c r="P207" i="7"/>
  <c r="O207" i="7"/>
  <c r="N207" i="7"/>
  <c r="P206" i="7"/>
  <c r="O206" i="7"/>
  <c r="N206" i="7"/>
  <c r="P205" i="7"/>
  <c r="O205" i="7"/>
  <c r="N205" i="7"/>
  <c r="P203" i="7"/>
  <c r="O203" i="7"/>
  <c r="N203" i="7"/>
  <c r="P202" i="7"/>
  <c r="O202" i="7"/>
  <c r="N202" i="7"/>
  <c r="P201" i="7"/>
  <c r="O201" i="7"/>
  <c r="N201" i="7"/>
  <c r="P200" i="7"/>
  <c r="O200" i="7"/>
  <c r="N200" i="7"/>
  <c r="P199" i="7"/>
  <c r="O199" i="7"/>
  <c r="N199" i="7"/>
  <c r="P198" i="7"/>
  <c r="O198" i="7"/>
  <c r="N198" i="7"/>
  <c r="P197" i="7"/>
  <c r="O197" i="7"/>
  <c r="N197" i="7"/>
  <c r="P195" i="7"/>
  <c r="O195" i="7"/>
  <c r="N195" i="7"/>
  <c r="P194" i="7"/>
  <c r="O194" i="7"/>
  <c r="N194" i="7"/>
  <c r="P193" i="7"/>
  <c r="O193" i="7"/>
  <c r="N193" i="7"/>
  <c r="P192" i="7"/>
  <c r="O192" i="7"/>
  <c r="N192" i="7"/>
  <c r="P191" i="7"/>
  <c r="O191" i="7"/>
  <c r="N191" i="7"/>
  <c r="P190" i="7"/>
  <c r="O190" i="7"/>
  <c r="N190" i="7"/>
  <c r="P189" i="7"/>
  <c r="O189" i="7"/>
  <c r="N189" i="7"/>
  <c r="E211" i="7"/>
  <c r="D211" i="7"/>
  <c r="C211" i="7"/>
  <c r="E210" i="7"/>
  <c r="D210" i="7"/>
  <c r="C210" i="7"/>
  <c r="E208" i="7"/>
  <c r="D208" i="7"/>
  <c r="C208" i="7"/>
  <c r="E207" i="7"/>
  <c r="D207" i="7"/>
  <c r="C207" i="7"/>
  <c r="E206" i="7"/>
  <c r="D206" i="7"/>
  <c r="C206" i="7"/>
  <c r="E205" i="7"/>
  <c r="D205" i="7"/>
  <c r="C205" i="7"/>
  <c r="E203" i="7"/>
  <c r="D203" i="7"/>
  <c r="C203" i="7"/>
  <c r="E202" i="7"/>
  <c r="D202" i="7"/>
  <c r="C202" i="7"/>
  <c r="E201" i="7"/>
  <c r="D201" i="7"/>
  <c r="C201" i="7"/>
  <c r="E200" i="7"/>
  <c r="D200" i="7"/>
  <c r="C200" i="7"/>
  <c r="E199" i="7"/>
  <c r="D199" i="7"/>
  <c r="C199" i="7"/>
  <c r="E198" i="7"/>
  <c r="D198" i="7"/>
  <c r="C198" i="7"/>
  <c r="E197" i="7"/>
  <c r="D197" i="7"/>
  <c r="C197" i="7"/>
  <c r="E195" i="7"/>
  <c r="D195" i="7"/>
  <c r="C195" i="7"/>
  <c r="E194" i="7"/>
  <c r="D194" i="7"/>
  <c r="C194" i="7"/>
  <c r="E193" i="7"/>
  <c r="D193" i="7"/>
  <c r="C193" i="7"/>
  <c r="E192" i="7"/>
  <c r="D192" i="7"/>
  <c r="C192" i="7"/>
  <c r="E191" i="7"/>
  <c r="D191" i="7"/>
  <c r="C191" i="7"/>
  <c r="E190" i="7"/>
  <c r="D190" i="7"/>
  <c r="C190" i="7"/>
  <c r="E189" i="7"/>
  <c r="K189" i="7" s="1"/>
  <c r="D189" i="7"/>
  <c r="C189" i="7"/>
  <c r="P184" i="7"/>
  <c r="O184" i="7"/>
  <c r="N184" i="7"/>
  <c r="P183" i="7"/>
  <c r="O183" i="7"/>
  <c r="N183" i="7"/>
  <c r="P181" i="7"/>
  <c r="O181" i="7"/>
  <c r="N181" i="7"/>
  <c r="P180" i="7"/>
  <c r="O180" i="7"/>
  <c r="N180" i="7"/>
  <c r="P179" i="7"/>
  <c r="O179" i="7"/>
  <c r="N179" i="7"/>
  <c r="P178" i="7"/>
  <c r="O178" i="7"/>
  <c r="N178" i="7"/>
  <c r="P176" i="7"/>
  <c r="O176" i="7"/>
  <c r="N176" i="7"/>
  <c r="P175" i="7"/>
  <c r="O175" i="7"/>
  <c r="N175" i="7"/>
  <c r="P174" i="7"/>
  <c r="O174" i="7"/>
  <c r="N174" i="7"/>
  <c r="P173" i="7"/>
  <c r="O173" i="7"/>
  <c r="N173" i="7"/>
  <c r="P172" i="7"/>
  <c r="O172" i="7"/>
  <c r="N172" i="7"/>
  <c r="P171" i="7"/>
  <c r="O171" i="7"/>
  <c r="N171" i="7"/>
  <c r="P170" i="7"/>
  <c r="O170" i="7"/>
  <c r="N170" i="7"/>
  <c r="P168" i="7"/>
  <c r="O168" i="7"/>
  <c r="N168" i="7"/>
  <c r="P167" i="7"/>
  <c r="O167" i="7"/>
  <c r="N167" i="7"/>
  <c r="P166" i="7"/>
  <c r="O166" i="7"/>
  <c r="N166" i="7"/>
  <c r="P165" i="7"/>
  <c r="O165" i="7"/>
  <c r="N165" i="7"/>
  <c r="P164" i="7"/>
  <c r="O164" i="7"/>
  <c r="N164" i="7"/>
  <c r="P163" i="7"/>
  <c r="O163" i="7"/>
  <c r="N163" i="7"/>
  <c r="P162" i="7"/>
  <c r="O162" i="7"/>
  <c r="N162" i="7"/>
  <c r="E184" i="7"/>
  <c r="D184" i="7"/>
  <c r="C184" i="7"/>
  <c r="E183" i="7"/>
  <c r="D183" i="7"/>
  <c r="C183" i="7"/>
  <c r="E181" i="7"/>
  <c r="D181" i="7"/>
  <c r="C181" i="7"/>
  <c r="E180" i="7"/>
  <c r="F180" i="7" s="1"/>
  <c r="H180" i="7" s="1"/>
  <c r="I180" i="7" s="1"/>
  <c r="D180" i="7"/>
  <c r="C180" i="7"/>
  <c r="E179" i="7"/>
  <c r="D179" i="7"/>
  <c r="C179" i="7"/>
  <c r="E178" i="7"/>
  <c r="D178" i="7"/>
  <c r="C178" i="7"/>
  <c r="E176" i="7"/>
  <c r="D176" i="7"/>
  <c r="C176" i="7"/>
  <c r="E175" i="7"/>
  <c r="D175" i="7"/>
  <c r="C175" i="7"/>
  <c r="E174" i="7"/>
  <c r="D174" i="7"/>
  <c r="C174" i="7"/>
  <c r="E173" i="7"/>
  <c r="D173" i="7"/>
  <c r="C173" i="7"/>
  <c r="E172" i="7"/>
  <c r="D172" i="7"/>
  <c r="C172" i="7"/>
  <c r="E171" i="7"/>
  <c r="D171" i="7"/>
  <c r="C171" i="7"/>
  <c r="E170" i="7"/>
  <c r="D170" i="7"/>
  <c r="C170" i="7"/>
  <c r="E168" i="7"/>
  <c r="D168" i="7"/>
  <c r="C168" i="7"/>
  <c r="E167" i="7"/>
  <c r="D167" i="7"/>
  <c r="C167" i="7"/>
  <c r="E166" i="7"/>
  <c r="D166" i="7"/>
  <c r="C166" i="7"/>
  <c r="E165" i="7"/>
  <c r="D165" i="7"/>
  <c r="C165" i="7"/>
  <c r="E164" i="7"/>
  <c r="D164" i="7"/>
  <c r="C164" i="7"/>
  <c r="E163" i="7"/>
  <c r="D163" i="7"/>
  <c r="C163" i="7"/>
  <c r="E162" i="7"/>
  <c r="K162" i="7" s="1"/>
  <c r="D162" i="7"/>
  <c r="C162" i="7"/>
  <c r="P156" i="7"/>
  <c r="O156" i="7"/>
  <c r="N156" i="7"/>
  <c r="P155" i="7"/>
  <c r="O155" i="7"/>
  <c r="N155" i="7"/>
  <c r="P153" i="7"/>
  <c r="O153" i="7"/>
  <c r="N153" i="7"/>
  <c r="P152" i="7"/>
  <c r="O152" i="7"/>
  <c r="N152" i="7"/>
  <c r="P151" i="7"/>
  <c r="O151" i="7"/>
  <c r="N151" i="7"/>
  <c r="P150" i="7"/>
  <c r="O150" i="7"/>
  <c r="N150" i="7"/>
  <c r="P148" i="7"/>
  <c r="O148" i="7"/>
  <c r="N148" i="7"/>
  <c r="P147" i="7"/>
  <c r="O147" i="7"/>
  <c r="N147" i="7"/>
  <c r="P146" i="7"/>
  <c r="O146" i="7"/>
  <c r="N146" i="7"/>
  <c r="P145" i="7"/>
  <c r="O145" i="7"/>
  <c r="N145" i="7"/>
  <c r="P144" i="7"/>
  <c r="O144" i="7"/>
  <c r="N144" i="7"/>
  <c r="P143" i="7"/>
  <c r="O143" i="7"/>
  <c r="N143" i="7"/>
  <c r="P142" i="7"/>
  <c r="O142" i="7"/>
  <c r="N142" i="7"/>
  <c r="P140" i="7"/>
  <c r="O140" i="7"/>
  <c r="N140" i="7"/>
  <c r="P139" i="7"/>
  <c r="O139" i="7"/>
  <c r="N139" i="7"/>
  <c r="P138" i="7"/>
  <c r="O138" i="7"/>
  <c r="N138" i="7"/>
  <c r="P137" i="7"/>
  <c r="O137" i="7"/>
  <c r="N137" i="7"/>
  <c r="P136" i="7"/>
  <c r="O136" i="7"/>
  <c r="N136" i="7"/>
  <c r="P135" i="7"/>
  <c r="O135" i="7"/>
  <c r="N135" i="7"/>
  <c r="P134" i="7"/>
  <c r="O134" i="7"/>
  <c r="N134" i="7"/>
  <c r="E156" i="7"/>
  <c r="D156" i="7"/>
  <c r="C156" i="7"/>
  <c r="E155" i="7"/>
  <c r="D155" i="7"/>
  <c r="C155" i="7"/>
  <c r="E153" i="7"/>
  <c r="D153" i="7"/>
  <c r="C153" i="7"/>
  <c r="E152" i="7"/>
  <c r="D152" i="7"/>
  <c r="C152" i="7"/>
  <c r="E151" i="7"/>
  <c r="D151" i="7"/>
  <c r="C151" i="7"/>
  <c r="E150" i="7"/>
  <c r="D150" i="7"/>
  <c r="C150" i="7"/>
  <c r="E148" i="7"/>
  <c r="D148" i="7"/>
  <c r="C148" i="7"/>
  <c r="E147" i="7"/>
  <c r="D147" i="7"/>
  <c r="C147" i="7"/>
  <c r="E146" i="7"/>
  <c r="D146" i="7"/>
  <c r="C146" i="7"/>
  <c r="E145" i="7"/>
  <c r="D145" i="7"/>
  <c r="C145" i="7"/>
  <c r="E144" i="7"/>
  <c r="D144" i="7"/>
  <c r="C144" i="7"/>
  <c r="E143" i="7"/>
  <c r="D143" i="7"/>
  <c r="C143" i="7"/>
  <c r="E142" i="7"/>
  <c r="D142" i="7"/>
  <c r="C142" i="7"/>
  <c r="E140" i="7"/>
  <c r="D140" i="7"/>
  <c r="C140" i="7"/>
  <c r="E139" i="7"/>
  <c r="D139" i="7"/>
  <c r="C139" i="7"/>
  <c r="E138" i="7"/>
  <c r="D138" i="7"/>
  <c r="C138" i="7"/>
  <c r="E137" i="7"/>
  <c r="D137" i="7"/>
  <c r="C137" i="7"/>
  <c r="E136" i="7"/>
  <c r="D136" i="7"/>
  <c r="C136" i="7"/>
  <c r="E135" i="7"/>
  <c r="D135" i="7"/>
  <c r="C135" i="7"/>
  <c r="E134" i="7"/>
  <c r="K134" i="7" s="1"/>
  <c r="D134" i="7"/>
  <c r="C134" i="7"/>
  <c r="E43" i="7"/>
  <c r="D43" i="7"/>
  <c r="C43" i="7"/>
  <c r="E42" i="7"/>
  <c r="D42" i="7"/>
  <c r="C42" i="7"/>
  <c r="E40" i="7"/>
  <c r="D40" i="7"/>
  <c r="C40" i="7"/>
  <c r="E39" i="7"/>
  <c r="D39" i="7"/>
  <c r="C39" i="7"/>
  <c r="E38" i="7"/>
  <c r="D38" i="7"/>
  <c r="C38" i="7"/>
  <c r="E37" i="7"/>
  <c r="D37" i="7"/>
  <c r="C37" i="7"/>
  <c r="E35" i="7"/>
  <c r="D35" i="7"/>
  <c r="C35" i="7"/>
  <c r="E34" i="7"/>
  <c r="D34" i="7"/>
  <c r="C34" i="7"/>
  <c r="E33" i="7"/>
  <c r="D33" i="7"/>
  <c r="C33" i="7"/>
  <c r="E32" i="7"/>
  <c r="D32" i="7"/>
  <c r="C32" i="7"/>
  <c r="E31" i="7"/>
  <c r="D31" i="7"/>
  <c r="C31" i="7"/>
  <c r="E30" i="7"/>
  <c r="D30" i="7"/>
  <c r="C30" i="7"/>
  <c r="E29" i="7"/>
  <c r="D29" i="7"/>
  <c r="C29" i="7"/>
  <c r="E27" i="7"/>
  <c r="D27" i="7"/>
  <c r="C27" i="7"/>
  <c r="E26" i="7"/>
  <c r="D26" i="7"/>
  <c r="C26" i="7"/>
  <c r="E25" i="7"/>
  <c r="D25" i="7"/>
  <c r="C25" i="7"/>
  <c r="E24" i="7"/>
  <c r="D24" i="7"/>
  <c r="C24" i="7"/>
  <c r="E23" i="7"/>
  <c r="D23" i="7"/>
  <c r="C23" i="7"/>
  <c r="E22" i="7"/>
  <c r="D22" i="7"/>
  <c r="C22" i="7"/>
  <c r="E21" i="7"/>
  <c r="L21" i="7" s="1"/>
  <c r="D21" i="7"/>
  <c r="C21" i="7"/>
  <c r="D17" i="27" l="1"/>
  <c r="F17" i="27"/>
  <c r="D16" i="27"/>
  <c r="F16" i="27"/>
  <c r="C17" i="27"/>
  <c r="C16" i="27"/>
  <c r="B17" i="27"/>
  <c r="B16" i="27"/>
  <c r="H790" i="31"/>
  <c r="H375" i="31"/>
  <c r="H260" i="31"/>
  <c r="F812" i="31"/>
  <c r="E812" i="31"/>
  <c r="D812" i="31"/>
  <c r="F807" i="31"/>
  <c r="E807" i="31"/>
  <c r="D807" i="31"/>
  <c r="F799" i="31"/>
  <c r="E799" i="31"/>
  <c r="D799" i="31"/>
  <c r="E16" i="27" l="1"/>
  <c r="E17" i="27"/>
  <c r="M58" i="23" l="1"/>
  <c r="C76" i="23"/>
  <c r="D78" i="24"/>
  <c r="D77" i="24"/>
  <c r="D76" i="24"/>
  <c r="D75" i="24"/>
  <c r="C78" i="24"/>
  <c r="C77" i="24"/>
  <c r="C76" i="24"/>
  <c r="C75" i="24"/>
  <c r="I899" i="7"/>
  <c r="I898" i="7"/>
  <c r="U436" i="7"/>
  <c r="U431" i="7"/>
  <c r="U423" i="7"/>
  <c r="U415" i="7"/>
  <c r="U409" i="7"/>
  <c r="U404" i="7"/>
  <c r="U396" i="7"/>
  <c r="U388" i="7"/>
  <c r="M311" i="17"/>
  <c r="L311" i="17"/>
  <c r="K311" i="17"/>
  <c r="M310" i="17"/>
  <c r="L310" i="17"/>
  <c r="K310" i="17"/>
  <c r="M308" i="17"/>
  <c r="L308" i="17"/>
  <c r="K308" i="17"/>
  <c r="M307" i="17"/>
  <c r="L307" i="17"/>
  <c r="K307" i="17"/>
  <c r="M306" i="17"/>
  <c r="L306" i="17"/>
  <c r="K306" i="17"/>
  <c r="M305" i="17"/>
  <c r="L305" i="17"/>
  <c r="K305" i="17"/>
  <c r="M303" i="17"/>
  <c r="L303" i="17"/>
  <c r="K303" i="17"/>
  <c r="M302" i="17"/>
  <c r="L302" i="17"/>
  <c r="K302" i="17"/>
  <c r="M301" i="17"/>
  <c r="L301" i="17"/>
  <c r="K301" i="17"/>
  <c r="M300" i="17"/>
  <c r="L300" i="17"/>
  <c r="K300" i="17"/>
  <c r="M299" i="17"/>
  <c r="L299" i="17"/>
  <c r="K299" i="17"/>
  <c r="M298" i="17"/>
  <c r="L298" i="17"/>
  <c r="K298" i="17"/>
  <c r="M297" i="17"/>
  <c r="L297" i="17"/>
  <c r="K297" i="17"/>
  <c r="M295" i="17"/>
  <c r="L295" i="17"/>
  <c r="K295" i="17"/>
  <c r="M294" i="17"/>
  <c r="L294" i="17"/>
  <c r="K294" i="17"/>
  <c r="M293" i="17"/>
  <c r="L293" i="17"/>
  <c r="K293" i="17"/>
  <c r="M292" i="17"/>
  <c r="L292" i="17"/>
  <c r="K292" i="17"/>
  <c r="M291" i="17"/>
  <c r="L291" i="17"/>
  <c r="K291" i="17"/>
  <c r="M290" i="17"/>
  <c r="L290" i="17"/>
  <c r="K290" i="17"/>
  <c r="M289" i="17"/>
  <c r="L289" i="17"/>
  <c r="K289" i="17"/>
  <c r="Q267" i="7"/>
  <c r="Q264" i="7"/>
  <c r="U260" i="7"/>
  <c r="U252" i="7"/>
  <c r="U244" i="7"/>
  <c r="U237" i="7"/>
  <c r="U232" i="7"/>
  <c r="U224" i="7"/>
  <c r="U216" i="7"/>
  <c r="I884" i="7"/>
  <c r="I883" i="7"/>
  <c r="M284" i="17"/>
  <c r="L284" i="17"/>
  <c r="K284" i="17"/>
  <c r="M283" i="17"/>
  <c r="L283" i="17"/>
  <c r="K283" i="17"/>
  <c r="M281" i="17"/>
  <c r="L281" i="17"/>
  <c r="K281" i="17"/>
  <c r="M280" i="17"/>
  <c r="L280" i="17"/>
  <c r="K280" i="17"/>
  <c r="M279" i="17"/>
  <c r="L279" i="17"/>
  <c r="K279" i="17"/>
  <c r="M278" i="17"/>
  <c r="L278" i="17"/>
  <c r="K278" i="17"/>
  <c r="M276" i="17"/>
  <c r="L276" i="17"/>
  <c r="K276" i="17"/>
  <c r="M275" i="17"/>
  <c r="L275" i="17"/>
  <c r="K275" i="17"/>
  <c r="M274" i="17"/>
  <c r="L274" i="17"/>
  <c r="K274" i="17"/>
  <c r="M273" i="17"/>
  <c r="L273" i="17"/>
  <c r="K273" i="17"/>
  <c r="M272" i="17"/>
  <c r="L272" i="17"/>
  <c r="K272" i="17"/>
  <c r="M271" i="17"/>
  <c r="L271" i="17"/>
  <c r="K271" i="17"/>
  <c r="M270" i="17"/>
  <c r="L270" i="17"/>
  <c r="K270" i="17"/>
  <c r="M268" i="17"/>
  <c r="L268" i="17"/>
  <c r="K268" i="17"/>
  <c r="M267" i="17"/>
  <c r="L267" i="17"/>
  <c r="K267" i="17"/>
  <c r="M266" i="17"/>
  <c r="L266" i="17"/>
  <c r="K266" i="17"/>
  <c r="M265" i="17"/>
  <c r="L265" i="17"/>
  <c r="K265" i="17"/>
  <c r="M264" i="17"/>
  <c r="L264" i="17"/>
  <c r="K264" i="17"/>
  <c r="M263" i="17"/>
  <c r="L263" i="17"/>
  <c r="K263" i="17"/>
  <c r="M262" i="17"/>
  <c r="L262" i="17"/>
  <c r="K262" i="17"/>
  <c r="K841" i="17"/>
  <c r="K840" i="17"/>
  <c r="K838" i="17"/>
  <c r="K837" i="17"/>
  <c r="K836" i="17"/>
  <c r="K835" i="17"/>
  <c r="K833" i="17"/>
  <c r="K832" i="17"/>
  <c r="K831" i="17"/>
  <c r="K830" i="17"/>
  <c r="K829" i="17"/>
  <c r="K828" i="17"/>
  <c r="K827" i="17"/>
  <c r="K825" i="17"/>
  <c r="K824" i="17"/>
  <c r="K823" i="17"/>
  <c r="K822" i="17"/>
  <c r="K821" i="17"/>
  <c r="K820" i="17"/>
  <c r="K819" i="17"/>
  <c r="U834" i="7"/>
  <c r="U829" i="7"/>
  <c r="U821" i="7"/>
  <c r="K814" i="17"/>
  <c r="K813" i="17"/>
  <c r="K811" i="17"/>
  <c r="K810" i="17"/>
  <c r="K809" i="17"/>
  <c r="K808" i="17"/>
  <c r="K806" i="17"/>
  <c r="K805" i="17"/>
  <c r="K804" i="17"/>
  <c r="K803" i="17"/>
  <c r="K802" i="17"/>
  <c r="K801" i="17"/>
  <c r="K800" i="17"/>
  <c r="K798" i="17"/>
  <c r="K797" i="17"/>
  <c r="K796" i="17"/>
  <c r="K795" i="17"/>
  <c r="K794" i="17"/>
  <c r="K793" i="17"/>
  <c r="K792" i="17"/>
  <c r="D243" i="13"/>
  <c r="P243" i="13" s="1"/>
  <c r="O836" i="7" s="1"/>
  <c r="D242" i="13"/>
  <c r="P242" i="13" s="1"/>
  <c r="O835" i="7" s="1"/>
  <c r="D240" i="13"/>
  <c r="D239" i="13"/>
  <c r="P239" i="13" s="1"/>
  <c r="O832" i="7" s="1"/>
  <c r="D238" i="13"/>
  <c r="P238" i="13" s="1"/>
  <c r="O831" i="7" s="1"/>
  <c r="D237" i="13"/>
  <c r="P237" i="13" s="1"/>
  <c r="O830" i="7" s="1"/>
  <c r="D235" i="13"/>
  <c r="L833" i="17" s="1"/>
  <c r="D234" i="13"/>
  <c r="P234" i="13" s="1"/>
  <c r="O827" i="7" s="1"/>
  <c r="D233" i="13"/>
  <c r="P233" i="13" s="1"/>
  <c r="O826" i="7" s="1"/>
  <c r="D232" i="13"/>
  <c r="L830" i="17" s="1"/>
  <c r="D231" i="13"/>
  <c r="L829" i="17" s="1"/>
  <c r="D230" i="13"/>
  <c r="P230" i="13" s="1"/>
  <c r="O823" i="7" s="1"/>
  <c r="D229" i="13"/>
  <c r="P229" i="13" s="1"/>
  <c r="O822" i="7" s="1"/>
  <c r="D227" i="13"/>
  <c r="L825" i="17" s="1"/>
  <c r="D226" i="13"/>
  <c r="D225" i="13"/>
  <c r="P225" i="13" s="1"/>
  <c r="O818" i="7" s="1"/>
  <c r="D224" i="13"/>
  <c r="P224" i="13" s="1"/>
  <c r="O817" i="7" s="1"/>
  <c r="D223" i="13"/>
  <c r="L821" i="17" s="1"/>
  <c r="D222" i="13"/>
  <c r="L820" i="17" s="1"/>
  <c r="D221" i="13"/>
  <c r="P221" i="13" s="1"/>
  <c r="O814" i="7" s="1"/>
  <c r="D215" i="13"/>
  <c r="P215" i="13" s="1"/>
  <c r="O809" i="7" s="1"/>
  <c r="D214" i="13"/>
  <c r="D212" i="13"/>
  <c r="L811" i="17" s="1"/>
  <c r="D211" i="13"/>
  <c r="P211" i="13" s="1"/>
  <c r="O805" i="7" s="1"/>
  <c r="D210" i="13"/>
  <c r="P210" i="13" s="1"/>
  <c r="O804" i="7" s="1"/>
  <c r="D209" i="13"/>
  <c r="L808" i="17" s="1"/>
  <c r="D207" i="13"/>
  <c r="D206" i="13"/>
  <c r="P206" i="13" s="1"/>
  <c r="O800" i="7" s="1"/>
  <c r="D205" i="13"/>
  <c r="P205" i="13" s="1"/>
  <c r="O799" i="7" s="1"/>
  <c r="D204" i="13"/>
  <c r="P204" i="13" s="1"/>
  <c r="O798" i="7" s="1"/>
  <c r="D203" i="13"/>
  <c r="D202" i="13"/>
  <c r="P202" i="13" s="1"/>
  <c r="O796" i="7" s="1"/>
  <c r="D201" i="13"/>
  <c r="P201" i="13" s="1"/>
  <c r="O795" i="7" s="1"/>
  <c r="D199" i="13"/>
  <c r="L798" i="17" s="1"/>
  <c r="D198" i="13"/>
  <c r="L797" i="17" s="1"/>
  <c r="D197" i="13"/>
  <c r="P197" i="13" s="1"/>
  <c r="O791" i="7" s="1"/>
  <c r="D196" i="13"/>
  <c r="P196" i="13" s="1"/>
  <c r="O790" i="7" s="1"/>
  <c r="D195" i="13"/>
  <c r="L794" i="17" s="1"/>
  <c r="D194" i="13"/>
  <c r="D193" i="13"/>
  <c r="P193" i="13" s="1"/>
  <c r="O787" i="7" s="1"/>
  <c r="I921" i="7"/>
  <c r="I920" i="7"/>
  <c r="U807" i="7"/>
  <c r="U802" i="7"/>
  <c r="U794" i="7"/>
  <c r="I919" i="7"/>
  <c r="I918" i="7"/>
  <c r="J834" i="7"/>
  <c r="J829" i="7"/>
  <c r="J821" i="7"/>
  <c r="J813" i="7"/>
  <c r="J807" i="7"/>
  <c r="J802" i="7"/>
  <c r="J794" i="7"/>
  <c r="J786" i="7"/>
  <c r="D841" i="17"/>
  <c r="D841" i="31" s="1"/>
  <c r="K841" i="31" s="1"/>
  <c r="D840" i="17"/>
  <c r="D840" i="31" s="1"/>
  <c r="K840" i="31" s="1"/>
  <c r="D838" i="17"/>
  <c r="D838" i="31" s="1"/>
  <c r="K838" i="31" s="1"/>
  <c r="D837" i="17"/>
  <c r="D837" i="31" s="1"/>
  <c r="K837" i="31" s="1"/>
  <c r="D836" i="17"/>
  <c r="D836" i="31" s="1"/>
  <c r="K836" i="31" s="1"/>
  <c r="D835" i="17"/>
  <c r="D835" i="31" s="1"/>
  <c r="K835" i="31" s="1"/>
  <c r="D833" i="17"/>
  <c r="D833" i="31" s="1"/>
  <c r="K833" i="31" s="1"/>
  <c r="D832" i="17"/>
  <c r="D832" i="31" s="1"/>
  <c r="K832" i="31" s="1"/>
  <c r="D831" i="17"/>
  <c r="D831" i="31" s="1"/>
  <c r="K831" i="31" s="1"/>
  <c r="D830" i="17"/>
  <c r="D830" i="31" s="1"/>
  <c r="K830" i="31" s="1"/>
  <c r="D829" i="17"/>
  <c r="D829" i="31" s="1"/>
  <c r="K829" i="31" s="1"/>
  <c r="D828" i="17"/>
  <c r="D828" i="31" s="1"/>
  <c r="K828" i="31" s="1"/>
  <c r="D827" i="17"/>
  <c r="D827" i="31" s="1"/>
  <c r="K827" i="31" s="1"/>
  <c r="D825" i="17"/>
  <c r="D825" i="31" s="1"/>
  <c r="K825" i="31" s="1"/>
  <c r="D824" i="17"/>
  <c r="D824" i="31" s="1"/>
  <c r="K824" i="31" s="1"/>
  <c r="D823" i="17"/>
  <c r="D823" i="31" s="1"/>
  <c r="K823" i="31" s="1"/>
  <c r="D822" i="17"/>
  <c r="D822" i="31" s="1"/>
  <c r="K822" i="31" s="1"/>
  <c r="D821" i="17"/>
  <c r="D821" i="31" s="1"/>
  <c r="K821" i="31" s="1"/>
  <c r="D820" i="17"/>
  <c r="D820" i="31" s="1"/>
  <c r="K820" i="31" s="1"/>
  <c r="D819" i="17"/>
  <c r="D819" i="31" s="1"/>
  <c r="K819" i="31" s="1"/>
  <c r="D814" i="17"/>
  <c r="D814" i="31" s="1"/>
  <c r="D813" i="17"/>
  <c r="D813" i="31" s="1"/>
  <c r="D811" i="17"/>
  <c r="D811" i="31" s="1"/>
  <c r="D810" i="17"/>
  <c r="D810" i="31" s="1"/>
  <c r="D809" i="17"/>
  <c r="D809" i="31" s="1"/>
  <c r="D808" i="17"/>
  <c r="D808" i="31" s="1"/>
  <c r="D806" i="17"/>
  <c r="D806" i="31" s="1"/>
  <c r="D805" i="17"/>
  <c r="D805" i="31" s="1"/>
  <c r="D804" i="17"/>
  <c r="D804" i="31" s="1"/>
  <c r="D803" i="17"/>
  <c r="D803" i="31" s="1"/>
  <c r="D802" i="17"/>
  <c r="D802" i="31" s="1"/>
  <c r="D801" i="17"/>
  <c r="D801" i="31" s="1"/>
  <c r="D800" i="17"/>
  <c r="D800" i="31" s="1"/>
  <c r="D798" i="17"/>
  <c r="D798" i="31" s="1"/>
  <c r="D797" i="17"/>
  <c r="D797" i="31" s="1"/>
  <c r="D796" i="17"/>
  <c r="D796" i="31" s="1"/>
  <c r="D795" i="17"/>
  <c r="D795" i="31" s="1"/>
  <c r="D794" i="17"/>
  <c r="D794" i="31" s="1"/>
  <c r="D793" i="17"/>
  <c r="D793" i="31" s="1"/>
  <c r="D792" i="17"/>
  <c r="D792" i="31" s="1"/>
  <c r="D187" i="13"/>
  <c r="P187" i="13" s="1"/>
  <c r="D836" i="7" s="1"/>
  <c r="D186" i="13"/>
  <c r="P186" i="13" s="1"/>
  <c r="D835" i="7" s="1"/>
  <c r="D184" i="13"/>
  <c r="D183" i="13"/>
  <c r="P183" i="13" s="1"/>
  <c r="D832" i="7" s="1"/>
  <c r="D182" i="13"/>
  <c r="P182" i="13" s="1"/>
  <c r="D831" i="7" s="1"/>
  <c r="D181" i="13"/>
  <c r="P181" i="13" s="1"/>
  <c r="D830" i="7" s="1"/>
  <c r="D179" i="13"/>
  <c r="E833" i="17" s="1"/>
  <c r="E833" i="31" s="1"/>
  <c r="L833" i="31" s="1"/>
  <c r="D178" i="13"/>
  <c r="P178" i="13" s="1"/>
  <c r="D827" i="7" s="1"/>
  <c r="D177" i="13"/>
  <c r="P177" i="13" s="1"/>
  <c r="D826" i="7" s="1"/>
  <c r="D176" i="13"/>
  <c r="E830" i="17" s="1"/>
  <c r="E830" i="31" s="1"/>
  <c r="L830" i="31" s="1"/>
  <c r="D175" i="13"/>
  <c r="E829" i="17" s="1"/>
  <c r="E829" i="31" s="1"/>
  <c r="L829" i="31" s="1"/>
  <c r="D174" i="13"/>
  <c r="P174" i="13" s="1"/>
  <c r="D823" i="7" s="1"/>
  <c r="D173" i="13"/>
  <c r="P173" i="13" s="1"/>
  <c r="D822" i="7" s="1"/>
  <c r="D171" i="13"/>
  <c r="E825" i="17" s="1"/>
  <c r="E825" i="31" s="1"/>
  <c r="L825" i="31" s="1"/>
  <c r="D170" i="13"/>
  <c r="D169" i="13"/>
  <c r="P169" i="13" s="1"/>
  <c r="D818" i="7" s="1"/>
  <c r="D168" i="13"/>
  <c r="P168" i="13" s="1"/>
  <c r="D817" i="7" s="1"/>
  <c r="D167" i="13"/>
  <c r="D166" i="13"/>
  <c r="D165" i="13"/>
  <c r="P165" i="13" s="1"/>
  <c r="D814" i="7" s="1"/>
  <c r="E822" i="17" l="1"/>
  <c r="E822" i="31" s="1"/>
  <c r="L822" i="31" s="1"/>
  <c r="E827" i="17"/>
  <c r="E827" i="31" s="1"/>
  <c r="L827" i="31" s="1"/>
  <c r="E205" i="13"/>
  <c r="Q205" i="13" s="1"/>
  <c r="P799" i="7" s="1"/>
  <c r="Q799" i="7" s="1"/>
  <c r="S799" i="7" s="1"/>
  <c r="T799" i="7" s="1"/>
  <c r="L804" i="17"/>
  <c r="E173" i="13"/>
  <c r="Q173" i="13" s="1"/>
  <c r="E822" i="7" s="1"/>
  <c r="E215" i="13"/>
  <c r="Q215" i="13" s="1"/>
  <c r="P809" i="7" s="1"/>
  <c r="Q809" i="7" s="1"/>
  <c r="U809" i="7" s="1"/>
  <c r="N814" i="17" s="1"/>
  <c r="L814" i="17"/>
  <c r="E836" i="17"/>
  <c r="E836" i="31" s="1"/>
  <c r="L836" i="31" s="1"/>
  <c r="E201" i="13"/>
  <c r="Q201" i="13" s="1"/>
  <c r="P795" i="7" s="1"/>
  <c r="Q795" i="7" s="1"/>
  <c r="S795" i="7" s="1"/>
  <c r="T795" i="7" s="1"/>
  <c r="E204" i="13"/>
  <c r="Q204" i="13" s="1"/>
  <c r="P798" i="7" s="1"/>
  <c r="Q798" i="7" s="1"/>
  <c r="S798" i="7" s="1"/>
  <c r="T798" i="7" s="1"/>
  <c r="E229" i="13"/>
  <c r="Q229" i="13" s="1"/>
  <c r="P822" i="7" s="1"/>
  <c r="Q822" i="7" s="1"/>
  <c r="S822" i="7" s="1"/>
  <c r="L800" i="17"/>
  <c r="L840" i="17"/>
  <c r="E214" i="13"/>
  <c r="P214" i="13"/>
  <c r="O808" i="7" s="1"/>
  <c r="L795" i="17"/>
  <c r="E167" i="13"/>
  <c r="P167" i="13"/>
  <c r="D816" i="7" s="1"/>
  <c r="E170" i="13"/>
  <c r="P170" i="13"/>
  <c r="D819" i="7" s="1"/>
  <c r="E177" i="13"/>
  <c r="E181" i="13"/>
  <c r="E184" i="13"/>
  <c r="P184" i="13"/>
  <c r="D833" i="7" s="1"/>
  <c r="E187" i="13"/>
  <c r="E821" i="17"/>
  <c r="E821" i="31" s="1"/>
  <c r="L821" i="31" s="1"/>
  <c r="E835" i="17"/>
  <c r="E835" i="31" s="1"/>
  <c r="L835" i="31" s="1"/>
  <c r="E840" i="17"/>
  <c r="E840" i="31" s="1"/>
  <c r="L840" i="31" s="1"/>
  <c r="E196" i="13"/>
  <c r="E210" i="13"/>
  <c r="E223" i="13"/>
  <c r="P223" i="13"/>
  <c r="O816" i="7" s="1"/>
  <c r="E226" i="13"/>
  <c r="P226" i="13"/>
  <c r="O819" i="7" s="1"/>
  <c r="E233" i="13"/>
  <c r="E237" i="13"/>
  <c r="E240" i="13"/>
  <c r="P240" i="13"/>
  <c r="O833" i="7" s="1"/>
  <c r="E243" i="13"/>
  <c r="L803" i="17"/>
  <c r="M804" i="17"/>
  <c r="L813" i="17"/>
  <c r="L824" i="17"/>
  <c r="L838" i="17"/>
  <c r="E166" i="13"/>
  <c r="P166" i="13"/>
  <c r="D815" i="7" s="1"/>
  <c r="E199" i="13"/>
  <c r="P199" i="13"/>
  <c r="O793" i="7" s="1"/>
  <c r="E203" i="13"/>
  <c r="P203" i="13"/>
  <c r="O797" i="7" s="1"/>
  <c r="L835" i="17"/>
  <c r="E820" i="17"/>
  <c r="E820" i="31" s="1"/>
  <c r="L820" i="31" s="1"/>
  <c r="E824" i="17"/>
  <c r="E824" i="31" s="1"/>
  <c r="L824" i="31" s="1"/>
  <c r="E838" i="17"/>
  <c r="E838" i="31" s="1"/>
  <c r="L838" i="31" s="1"/>
  <c r="E194" i="13"/>
  <c r="P194" i="13"/>
  <c r="O788" i="7" s="1"/>
  <c r="E207" i="13"/>
  <c r="P207" i="13"/>
  <c r="O801" i="7" s="1"/>
  <c r="E227" i="13"/>
  <c r="P227" i="13"/>
  <c r="O820" i="7" s="1"/>
  <c r="E231" i="13"/>
  <c r="P231" i="13"/>
  <c r="O824" i="7" s="1"/>
  <c r="L793" i="17"/>
  <c r="L802" i="17"/>
  <c r="L806" i="17"/>
  <c r="L819" i="17"/>
  <c r="L823" i="17"/>
  <c r="L828" i="17"/>
  <c r="L832" i="17"/>
  <c r="L837" i="17"/>
  <c r="E831" i="17"/>
  <c r="E831" i="31" s="1"/>
  <c r="L831" i="31" s="1"/>
  <c r="E841" i="17"/>
  <c r="E841" i="31" s="1"/>
  <c r="L841" i="31" s="1"/>
  <c r="E222" i="13"/>
  <c r="P222" i="13"/>
  <c r="O815" i="7" s="1"/>
  <c r="L809" i="17"/>
  <c r="E171" i="13"/>
  <c r="P171" i="13"/>
  <c r="D820" i="7" s="1"/>
  <c r="E175" i="13"/>
  <c r="P175" i="13"/>
  <c r="D824" i="7" s="1"/>
  <c r="E168" i="13"/>
  <c r="E176" i="13"/>
  <c r="P176" i="13"/>
  <c r="D825" i="7" s="1"/>
  <c r="E179" i="13"/>
  <c r="P179" i="13"/>
  <c r="D828" i="7" s="1"/>
  <c r="E182" i="13"/>
  <c r="E186" i="13"/>
  <c r="E819" i="17"/>
  <c r="E819" i="31" s="1"/>
  <c r="L819" i="31" s="1"/>
  <c r="E823" i="17"/>
  <c r="E823" i="31" s="1"/>
  <c r="L823" i="31" s="1"/>
  <c r="E828" i="17"/>
  <c r="E828" i="31" s="1"/>
  <c r="L828" i="31" s="1"/>
  <c r="E832" i="17"/>
  <c r="E832" i="31" s="1"/>
  <c r="L832" i="31" s="1"/>
  <c r="E837" i="17"/>
  <c r="E837" i="31" s="1"/>
  <c r="L837" i="31" s="1"/>
  <c r="E195" i="13"/>
  <c r="P195" i="13"/>
  <c r="O789" i="7" s="1"/>
  <c r="E198" i="13"/>
  <c r="P198" i="13"/>
  <c r="O792" i="7" s="1"/>
  <c r="E209" i="13"/>
  <c r="P209" i="13"/>
  <c r="O803" i="7" s="1"/>
  <c r="E212" i="13"/>
  <c r="P212" i="13"/>
  <c r="O806" i="7" s="1"/>
  <c r="E224" i="13"/>
  <c r="E232" i="13"/>
  <c r="P232" i="13"/>
  <c r="O825" i="7" s="1"/>
  <c r="E235" i="13"/>
  <c r="P235" i="13"/>
  <c r="O828" i="7" s="1"/>
  <c r="E238" i="13"/>
  <c r="E242" i="13"/>
  <c r="L792" i="17"/>
  <c r="L796" i="17"/>
  <c r="L801" i="17"/>
  <c r="L805" i="17"/>
  <c r="L810" i="17"/>
  <c r="L822" i="17"/>
  <c r="L827" i="17"/>
  <c r="L831" i="17"/>
  <c r="L836" i="17"/>
  <c r="L841" i="17"/>
  <c r="Q246" i="7"/>
  <c r="S246" i="7" s="1"/>
  <c r="T246" i="7" s="1"/>
  <c r="Q250" i="7"/>
  <c r="Q255" i="7"/>
  <c r="Q259" i="7"/>
  <c r="Q258" i="7"/>
  <c r="S258" i="7" s="1"/>
  <c r="T258" i="7" s="1"/>
  <c r="Q247" i="7"/>
  <c r="S247" i="7" s="1"/>
  <c r="Q251" i="7"/>
  <c r="Q256" i="7"/>
  <c r="S256" i="7" s="1"/>
  <c r="T256" i="7" s="1"/>
  <c r="Q261" i="7"/>
  <c r="S261" i="7" s="1"/>
  <c r="Q266" i="7"/>
  <c r="S266" i="7" s="1"/>
  <c r="K810" i="31"/>
  <c r="C810" i="31"/>
  <c r="J810" i="31" s="1"/>
  <c r="K795" i="31"/>
  <c r="C795" i="31"/>
  <c r="J795" i="31" s="1"/>
  <c r="K800" i="31"/>
  <c r="C800" i="31"/>
  <c r="J800" i="31" s="1"/>
  <c r="K804" i="31"/>
  <c r="C804" i="31"/>
  <c r="J804" i="31" s="1"/>
  <c r="K809" i="31"/>
  <c r="C809" i="31"/>
  <c r="J809" i="31" s="1"/>
  <c r="K814" i="31"/>
  <c r="C814" i="31"/>
  <c r="J814" i="31" s="1"/>
  <c r="K796" i="31"/>
  <c r="C796" i="31"/>
  <c r="J796" i="31" s="1"/>
  <c r="K801" i="31"/>
  <c r="C801" i="31"/>
  <c r="J801" i="31" s="1"/>
  <c r="K805" i="31"/>
  <c r="C805" i="31"/>
  <c r="J805" i="31" s="1"/>
  <c r="K794" i="31"/>
  <c r="C794" i="31"/>
  <c r="J794" i="31" s="1"/>
  <c r="K798" i="31"/>
  <c r="C798" i="31"/>
  <c r="J798" i="31" s="1"/>
  <c r="K803" i="31"/>
  <c r="C803" i="31"/>
  <c r="J803" i="31" s="1"/>
  <c r="K808" i="31"/>
  <c r="C808" i="31"/>
  <c r="J808" i="31" s="1"/>
  <c r="K813" i="31"/>
  <c r="C813" i="31"/>
  <c r="J813" i="31" s="1"/>
  <c r="K792" i="31"/>
  <c r="C792" i="31"/>
  <c r="J792" i="31" s="1"/>
  <c r="K793" i="31"/>
  <c r="C793" i="31"/>
  <c r="J793" i="31" s="1"/>
  <c r="K797" i="31"/>
  <c r="C797" i="31"/>
  <c r="J797" i="31" s="1"/>
  <c r="K802" i="31"/>
  <c r="C802" i="31"/>
  <c r="J802" i="31" s="1"/>
  <c r="K806" i="31"/>
  <c r="C806" i="31"/>
  <c r="J806" i="31" s="1"/>
  <c r="K811" i="31"/>
  <c r="C811" i="31"/>
  <c r="J811" i="31" s="1"/>
  <c r="Q219" i="7"/>
  <c r="Q223" i="7"/>
  <c r="S223" i="7" s="1"/>
  <c r="T223" i="7" s="1"/>
  <c r="Q233" i="7"/>
  <c r="S233" i="7" s="1"/>
  <c r="T233" i="7" s="1"/>
  <c r="Q238" i="7"/>
  <c r="Q235" i="7"/>
  <c r="Q220" i="7"/>
  <c r="S220" i="7" s="1"/>
  <c r="T220" i="7" s="1"/>
  <c r="Q239" i="7"/>
  <c r="S239" i="7" s="1"/>
  <c r="T239" i="7" s="1"/>
  <c r="Q217" i="7"/>
  <c r="S217" i="7" s="1"/>
  <c r="Q230" i="7"/>
  <c r="S230" i="7" s="1"/>
  <c r="Q248" i="7"/>
  <c r="S248" i="7" s="1"/>
  <c r="Q257" i="7"/>
  <c r="S257" i="7" s="1"/>
  <c r="Q262" i="7"/>
  <c r="Q221" i="7"/>
  <c r="Q226" i="7"/>
  <c r="Q227" i="7"/>
  <c r="S227" i="7" s="1"/>
  <c r="Q231" i="7"/>
  <c r="S231" i="7" s="1"/>
  <c r="Q236" i="7"/>
  <c r="Q245" i="7"/>
  <c r="S245" i="7" s="1"/>
  <c r="Q254" i="7"/>
  <c r="S267" i="7"/>
  <c r="T267" i="7" s="1"/>
  <c r="S264" i="7"/>
  <c r="T264" i="7" s="1"/>
  <c r="Q225" i="7"/>
  <c r="S225" i="7" s="1"/>
  <c r="Q234" i="7"/>
  <c r="S234" i="7" s="1"/>
  <c r="Q218" i="7"/>
  <c r="Q222" i="7"/>
  <c r="S222" i="7" s="1"/>
  <c r="Q229" i="7"/>
  <c r="S229" i="7" s="1"/>
  <c r="Q249" i="7"/>
  <c r="S249" i="7" s="1"/>
  <c r="Q263" i="7"/>
  <c r="S263" i="7" s="1"/>
  <c r="Q228" i="7"/>
  <c r="S228" i="7" s="1"/>
  <c r="Q253" i="7"/>
  <c r="S253" i="7" s="1"/>
  <c r="S250" i="7"/>
  <c r="T261" i="7"/>
  <c r="F822" i="7"/>
  <c r="J822" i="7" s="1"/>
  <c r="E193" i="13"/>
  <c r="E197" i="13"/>
  <c r="E202" i="13"/>
  <c r="E206" i="13"/>
  <c r="E211" i="13"/>
  <c r="E221" i="13"/>
  <c r="E225" i="13"/>
  <c r="E230" i="13"/>
  <c r="E234" i="13"/>
  <c r="E239" i="13"/>
  <c r="E165" i="13"/>
  <c r="E169" i="13"/>
  <c r="E174" i="13"/>
  <c r="E178" i="13"/>
  <c r="E183" i="13"/>
  <c r="D142" i="13"/>
  <c r="D140" i="13"/>
  <c r="D138" i="13"/>
  <c r="M827" i="17" l="1"/>
  <c r="T266" i="7"/>
  <c r="U266" i="7" s="1"/>
  <c r="N310" i="17" s="1"/>
  <c r="T228" i="7"/>
  <c r="T249" i="7"/>
  <c r="U249" i="7" s="1"/>
  <c r="N293" i="17" s="1"/>
  <c r="M814" i="17"/>
  <c r="M803" i="17"/>
  <c r="F827" i="17"/>
  <c r="F827" i="31" s="1"/>
  <c r="M827" i="31" s="1"/>
  <c r="M800" i="17"/>
  <c r="P138" i="13"/>
  <c r="D788" i="7" s="1"/>
  <c r="E793" i="17"/>
  <c r="E793" i="31" s="1"/>
  <c r="L793" i="31" s="1"/>
  <c r="Q178" i="13"/>
  <c r="E827" i="7" s="1"/>
  <c r="F827" i="7" s="1"/>
  <c r="J827" i="7" s="1"/>
  <c r="F832" i="17"/>
  <c r="F832" i="31" s="1"/>
  <c r="M832" i="31" s="1"/>
  <c r="Q202" i="13"/>
  <c r="P796" i="7" s="1"/>
  <c r="Q796" i="7" s="1"/>
  <c r="S796" i="7" s="1"/>
  <c r="T796" i="7" s="1"/>
  <c r="M801" i="17"/>
  <c r="Q242" i="13"/>
  <c r="P835" i="7" s="1"/>
  <c r="Q835" i="7" s="1"/>
  <c r="S835" i="7" s="1"/>
  <c r="M840" i="17"/>
  <c r="Q212" i="13"/>
  <c r="P806" i="7" s="1"/>
  <c r="Q806" i="7" s="1"/>
  <c r="S806" i="7" s="1"/>
  <c r="M811" i="17"/>
  <c r="Q198" i="13"/>
  <c r="P792" i="7" s="1"/>
  <c r="Q792" i="7" s="1"/>
  <c r="U792" i="7" s="1"/>
  <c r="M797" i="17"/>
  <c r="Q175" i="13"/>
  <c r="E824" i="7" s="1"/>
  <c r="F824" i="7" s="1"/>
  <c r="H824" i="7" s="1"/>
  <c r="F829" i="17"/>
  <c r="F829" i="31" s="1"/>
  <c r="M829" i="31" s="1"/>
  <c r="Q194" i="13"/>
  <c r="P788" i="7" s="1"/>
  <c r="Q788" i="7" s="1"/>
  <c r="S788" i="7" s="1"/>
  <c r="M793" i="17"/>
  <c r="Q199" i="13"/>
  <c r="P793" i="7" s="1"/>
  <c r="Q793" i="7" s="1"/>
  <c r="U793" i="7" s="1"/>
  <c r="M798" i="17"/>
  <c r="Q240" i="13"/>
  <c r="P833" i="7" s="1"/>
  <c r="Q833" i="7" s="1"/>
  <c r="U833" i="7" s="1"/>
  <c r="N838" i="17" s="1"/>
  <c r="M838" i="17"/>
  <c r="Q196" i="13"/>
  <c r="P790" i="7" s="1"/>
  <c r="Q790" i="7" s="1"/>
  <c r="U790" i="7" s="1"/>
  <c r="M795" i="17"/>
  <c r="P140" i="13"/>
  <c r="D790" i="7" s="1"/>
  <c r="E795" i="17"/>
  <c r="E795" i="31" s="1"/>
  <c r="L795" i="31" s="1"/>
  <c r="Q239" i="13"/>
  <c r="P832" i="7" s="1"/>
  <c r="Q832" i="7" s="1"/>
  <c r="S832" i="7" s="1"/>
  <c r="T832" i="7" s="1"/>
  <c r="M837" i="17"/>
  <c r="P142" i="13"/>
  <c r="D792" i="7" s="1"/>
  <c r="E797" i="17"/>
  <c r="E797" i="31" s="1"/>
  <c r="L797" i="31" s="1"/>
  <c r="Q169" i="13"/>
  <c r="E818" i="7" s="1"/>
  <c r="F818" i="7" s="1"/>
  <c r="H818" i="7" s="1"/>
  <c r="I818" i="7" s="1"/>
  <c r="F823" i="17"/>
  <c r="F823" i="31" s="1"/>
  <c r="M823" i="31" s="1"/>
  <c r="S809" i="7"/>
  <c r="T809" i="7" s="1"/>
  <c r="Q234" i="13"/>
  <c r="P827" i="7" s="1"/>
  <c r="Q827" i="7" s="1"/>
  <c r="U827" i="7" s="1"/>
  <c r="N832" i="17" s="1"/>
  <c r="M832" i="17"/>
  <c r="Q211" i="13"/>
  <c r="P805" i="7" s="1"/>
  <c r="Q805" i="7" s="1"/>
  <c r="U805" i="7" s="1"/>
  <c r="M810" i="17"/>
  <c r="Q193" i="13"/>
  <c r="P787" i="7" s="1"/>
  <c r="Q787" i="7" s="1"/>
  <c r="U787" i="7" s="1"/>
  <c r="N792" i="17" s="1"/>
  <c r="M792" i="17"/>
  <c r="T822" i="7"/>
  <c r="Q224" i="13"/>
  <c r="P817" i="7" s="1"/>
  <c r="Q817" i="7" s="1"/>
  <c r="M822" i="17"/>
  <c r="Q209" i="13"/>
  <c r="P803" i="7" s="1"/>
  <c r="Q803" i="7" s="1"/>
  <c r="S803" i="7" s="1"/>
  <c r="T803" i="7" s="1"/>
  <c r="M808" i="17"/>
  <c r="Q195" i="13"/>
  <c r="P789" i="7" s="1"/>
  <c r="Q789" i="7" s="1"/>
  <c r="M794" i="17"/>
  <c r="Q168" i="13"/>
  <c r="E817" i="7" s="1"/>
  <c r="F817" i="7" s="1"/>
  <c r="F822" i="17"/>
  <c r="F822" i="31" s="1"/>
  <c r="M822" i="31" s="1"/>
  <c r="Q171" i="13"/>
  <c r="E820" i="7" s="1"/>
  <c r="F820" i="7" s="1"/>
  <c r="H820" i="7" s="1"/>
  <c r="I820" i="7" s="1"/>
  <c r="F825" i="17"/>
  <c r="F825" i="31" s="1"/>
  <c r="M825" i="31" s="1"/>
  <c r="Q231" i="13"/>
  <c r="P824" i="7" s="1"/>
  <c r="Q824" i="7" s="1"/>
  <c r="U824" i="7" s="1"/>
  <c r="M829" i="17"/>
  <c r="Q207" i="13"/>
  <c r="P801" i="7" s="1"/>
  <c r="Q801" i="7" s="1"/>
  <c r="U801" i="7" s="1"/>
  <c r="N806" i="17" s="1"/>
  <c r="M806" i="17"/>
  <c r="Q203" i="13"/>
  <c r="P797" i="7" s="1"/>
  <c r="Q797" i="7" s="1"/>
  <c r="U797" i="7" s="1"/>
  <c r="M802" i="17"/>
  <c r="Q166" i="13"/>
  <c r="E815" i="7" s="1"/>
  <c r="F815" i="7" s="1"/>
  <c r="H815" i="7" s="1"/>
  <c r="F820" i="17"/>
  <c r="F820" i="31" s="1"/>
  <c r="M820" i="31" s="1"/>
  <c r="Q243" i="13"/>
  <c r="P836" i="7" s="1"/>
  <c r="Q836" i="7" s="1"/>
  <c r="U836" i="7" s="1"/>
  <c r="N841" i="17" s="1"/>
  <c r="M841" i="17"/>
  <c r="Q233" i="13"/>
  <c r="P826" i="7" s="1"/>
  <c r="Q826" i="7" s="1"/>
  <c r="U826" i="7" s="1"/>
  <c r="N831" i="17" s="1"/>
  <c r="M831" i="17"/>
  <c r="Q223" i="13"/>
  <c r="P816" i="7" s="1"/>
  <c r="Q816" i="7" s="1"/>
  <c r="M821" i="17"/>
  <c r="Q183" i="13"/>
  <c r="E832" i="7" s="1"/>
  <c r="F832" i="7" s="1"/>
  <c r="H832" i="7" s="1"/>
  <c r="I832" i="7" s="1"/>
  <c r="F837" i="17"/>
  <c r="F837" i="31" s="1"/>
  <c r="M837" i="31" s="1"/>
  <c r="Q165" i="13"/>
  <c r="E814" i="7" s="1"/>
  <c r="F814" i="7" s="1"/>
  <c r="J814" i="7" s="1"/>
  <c r="F819" i="17"/>
  <c r="F819" i="31" s="1"/>
  <c r="M819" i="31" s="1"/>
  <c r="Q230" i="13"/>
  <c r="P823" i="7" s="1"/>
  <c r="Q823" i="7" s="1"/>
  <c r="S823" i="7" s="1"/>
  <c r="M828" i="17"/>
  <c r="Q206" i="13"/>
  <c r="P800" i="7" s="1"/>
  <c r="Q800" i="7" s="1"/>
  <c r="S800" i="7" s="1"/>
  <c r="T800" i="7" s="1"/>
  <c r="M805" i="17"/>
  <c r="Q235" i="13"/>
  <c r="P828" i="7" s="1"/>
  <c r="Q828" i="7" s="1"/>
  <c r="M833" i="17"/>
  <c r="Q179" i="13"/>
  <c r="E828" i="7" s="1"/>
  <c r="F828" i="7" s="1"/>
  <c r="H828" i="7" s="1"/>
  <c r="F833" i="17"/>
  <c r="F833" i="31" s="1"/>
  <c r="M833" i="31" s="1"/>
  <c r="Q210" i="13"/>
  <c r="P804" i="7" s="1"/>
  <c r="Q804" i="7" s="1"/>
  <c r="S804" i="7" s="1"/>
  <c r="T804" i="7" s="1"/>
  <c r="M809" i="17"/>
  <c r="Q184" i="13"/>
  <c r="E833" i="7" s="1"/>
  <c r="F833" i="7" s="1"/>
  <c r="H833" i="7" s="1"/>
  <c r="F838" i="17"/>
  <c r="F838" i="31" s="1"/>
  <c r="M838" i="31" s="1"/>
  <c r="Q170" i="13"/>
  <c r="E819" i="7" s="1"/>
  <c r="F819" i="7" s="1"/>
  <c r="H819" i="7" s="1"/>
  <c r="F824" i="17"/>
  <c r="F824" i="31" s="1"/>
  <c r="M824" i="31" s="1"/>
  <c r="Q225" i="13"/>
  <c r="P818" i="7" s="1"/>
  <c r="Q818" i="7" s="1"/>
  <c r="U818" i="7" s="1"/>
  <c r="N823" i="17" s="1"/>
  <c r="M823" i="17"/>
  <c r="Q186" i="13"/>
  <c r="E835" i="7" s="1"/>
  <c r="F835" i="7" s="1"/>
  <c r="H835" i="7" s="1"/>
  <c r="I835" i="7" s="1"/>
  <c r="F840" i="17"/>
  <c r="F840" i="31" s="1"/>
  <c r="M840" i="31" s="1"/>
  <c r="Q227" i="13"/>
  <c r="P820" i="7" s="1"/>
  <c r="Q820" i="7" s="1"/>
  <c r="S820" i="7" s="1"/>
  <c r="T820" i="7" s="1"/>
  <c r="M825" i="17"/>
  <c r="Q226" i="13"/>
  <c r="P819" i="7" s="1"/>
  <c r="Q819" i="7" s="1"/>
  <c r="U819" i="7" s="1"/>
  <c r="N824" i="17" s="1"/>
  <c r="M824" i="17"/>
  <c r="Q181" i="13"/>
  <c r="E830" i="7" s="1"/>
  <c r="F830" i="7" s="1"/>
  <c r="F835" i="17"/>
  <c r="F835" i="31" s="1"/>
  <c r="M835" i="31" s="1"/>
  <c r="Q174" i="13"/>
  <c r="E823" i="7" s="1"/>
  <c r="F823" i="7" s="1"/>
  <c r="H823" i="7" s="1"/>
  <c r="I823" i="7" s="1"/>
  <c r="F828" i="17"/>
  <c r="F828" i="31" s="1"/>
  <c r="M828" i="31" s="1"/>
  <c r="Q221" i="13"/>
  <c r="P814" i="7" s="1"/>
  <c r="Q814" i="7" s="1"/>
  <c r="U814" i="7" s="1"/>
  <c r="M819" i="17"/>
  <c r="Q197" i="13"/>
  <c r="P791" i="7" s="1"/>
  <c r="Q791" i="7" s="1"/>
  <c r="S791" i="7" s="1"/>
  <c r="M796" i="17"/>
  <c r="Q238" i="13"/>
  <c r="P831" i="7" s="1"/>
  <c r="Q831" i="7" s="1"/>
  <c r="U831" i="7" s="1"/>
  <c r="N836" i="17" s="1"/>
  <c r="M836" i="17"/>
  <c r="Q232" i="13"/>
  <c r="P825" i="7" s="1"/>
  <c r="Q825" i="7" s="1"/>
  <c r="U825" i="7" s="1"/>
  <c r="N830" i="17" s="1"/>
  <c r="M830" i="17"/>
  <c r="Q182" i="13"/>
  <c r="E831" i="7" s="1"/>
  <c r="F831" i="7" s="1"/>
  <c r="F836" i="17"/>
  <c r="F836" i="31" s="1"/>
  <c r="M836" i="31" s="1"/>
  <c r="Q176" i="13"/>
  <c r="E825" i="7" s="1"/>
  <c r="F825" i="7" s="1"/>
  <c r="H825" i="7" s="1"/>
  <c r="I825" i="7" s="1"/>
  <c r="F830" i="17"/>
  <c r="F830" i="31" s="1"/>
  <c r="M830" i="31" s="1"/>
  <c r="Q222" i="13"/>
  <c r="P815" i="7" s="1"/>
  <c r="Q815" i="7" s="1"/>
  <c r="M820" i="17"/>
  <c r="Q237" i="13"/>
  <c r="P830" i="7" s="1"/>
  <c r="Q830" i="7" s="1"/>
  <c r="U830" i="7" s="1"/>
  <c r="N835" i="17" s="1"/>
  <c r="M835" i="17"/>
  <c r="Q187" i="13"/>
  <c r="E836" i="7" s="1"/>
  <c r="F836" i="7" s="1"/>
  <c r="H836" i="7" s="1"/>
  <c r="F841" i="17"/>
  <c r="F841" i="31" s="1"/>
  <c r="M841" i="31" s="1"/>
  <c r="Q177" i="13"/>
  <c r="E826" i="7" s="1"/>
  <c r="F826" i="7" s="1"/>
  <c r="J826" i="7" s="1"/>
  <c r="G831" i="17" s="1"/>
  <c r="F831" i="17"/>
  <c r="F831" i="31" s="1"/>
  <c r="M831" i="31" s="1"/>
  <c r="Q167" i="13"/>
  <c r="E816" i="7" s="1"/>
  <c r="F816" i="7" s="1"/>
  <c r="J816" i="7" s="1"/>
  <c r="F821" i="17"/>
  <c r="F821" i="31" s="1"/>
  <c r="M821" i="31" s="1"/>
  <c r="Q214" i="13"/>
  <c r="P808" i="7" s="1"/>
  <c r="Q808" i="7" s="1"/>
  <c r="U808" i="7" s="1"/>
  <c r="N813" i="17" s="1"/>
  <c r="M813" i="17"/>
  <c r="S824" i="7"/>
  <c r="T824" i="7" s="1"/>
  <c r="T263" i="7"/>
  <c r="T247" i="7"/>
  <c r="U247" i="7" s="1"/>
  <c r="N291" i="17" s="1"/>
  <c r="S255" i="7"/>
  <c r="T255" i="7" s="1"/>
  <c r="T257" i="7"/>
  <c r="U257" i="7" s="1"/>
  <c r="N301" i="17" s="1"/>
  <c r="T250" i="7"/>
  <c r="T222" i="7"/>
  <c r="U222" i="7" s="1"/>
  <c r="T230" i="7"/>
  <c r="U230" i="7" s="1"/>
  <c r="S218" i="7"/>
  <c r="T234" i="7"/>
  <c r="U234" i="7" s="1"/>
  <c r="U223" i="7"/>
  <c r="S235" i="7"/>
  <c r="T235" i="7" s="1"/>
  <c r="U235" i="7" s="1"/>
  <c r="U798" i="7"/>
  <c r="N803" i="17" s="1"/>
  <c r="S251" i="7"/>
  <c r="T251" i="7" s="1"/>
  <c r="S262" i="7"/>
  <c r="T262" i="7" s="1"/>
  <c r="U262" i="7" s="1"/>
  <c r="S259" i="7"/>
  <c r="U796" i="7"/>
  <c r="N801" i="17" s="1"/>
  <c r="U822" i="7"/>
  <c r="N827" i="17" s="1"/>
  <c r="S219" i="7"/>
  <c r="T227" i="7"/>
  <c r="U227" i="7" s="1"/>
  <c r="U267" i="7"/>
  <c r="N311" i="17" s="1"/>
  <c r="U233" i="7"/>
  <c r="S238" i="7"/>
  <c r="T229" i="7"/>
  <c r="U229" i="7" s="1"/>
  <c r="U258" i="7"/>
  <c r="N302" i="17" s="1"/>
  <c r="T217" i="7"/>
  <c r="U217" i="7" s="1"/>
  <c r="U239" i="7"/>
  <c r="U261" i="7"/>
  <c r="N305" i="17" s="1"/>
  <c r="S254" i="7"/>
  <c r="U820" i="7"/>
  <c r="N825" i="17" s="1"/>
  <c r="S226" i="7"/>
  <c r="T226" i="7" s="1"/>
  <c r="T225" i="7"/>
  <c r="U225" i="7" s="1"/>
  <c r="S221" i="7"/>
  <c r="T221" i="7" s="1"/>
  <c r="U221" i="7" s="1"/>
  <c r="T253" i="7"/>
  <c r="U253" i="7" s="1"/>
  <c r="S236" i="7"/>
  <c r="T236" i="7" s="1"/>
  <c r="T248" i="7"/>
  <c r="U248" i="7" s="1"/>
  <c r="S814" i="7"/>
  <c r="T814" i="7" s="1"/>
  <c r="U806" i="7"/>
  <c r="N811" i="17" s="1"/>
  <c r="S825" i="7"/>
  <c r="T825" i="7" s="1"/>
  <c r="T231" i="7"/>
  <c r="U231" i="7" s="1"/>
  <c r="U264" i="7"/>
  <c r="N308" i="17" s="1"/>
  <c r="N819" i="17"/>
  <c r="N802" i="17"/>
  <c r="G827" i="17"/>
  <c r="N797" i="17"/>
  <c r="N829" i="17"/>
  <c r="N795" i="17"/>
  <c r="G832" i="17"/>
  <c r="N798" i="17"/>
  <c r="N810" i="17"/>
  <c r="S831" i="7"/>
  <c r="T831" i="7" s="1"/>
  <c r="G821" i="17"/>
  <c r="U220" i="7"/>
  <c r="U228" i="7"/>
  <c r="U803" i="7"/>
  <c r="H830" i="7"/>
  <c r="I830" i="7" s="1"/>
  <c r="S815" i="7"/>
  <c r="T815" i="7" s="1"/>
  <c r="I819" i="7"/>
  <c r="I833" i="7"/>
  <c r="T806" i="7"/>
  <c r="U250" i="7"/>
  <c r="T245" i="7"/>
  <c r="U245" i="7" s="1"/>
  <c r="H831" i="7"/>
  <c r="I831" i="7" s="1"/>
  <c r="H816" i="7"/>
  <c r="I816" i="7" s="1"/>
  <c r="J819" i="7"/>
  <c r="U832" i="7"/>
  <c r="H814" i="7"/>
  <c r="I814" i="7" s="1"/>
  <c r="S818" i="7"/>
  <c r="T818" i="7" s="1"/>
  <c r="U815" i="7"/>
  <c r="U263" i="7"/>
  <c r="U256" i="7"/>
  <c r="U246" i="7"/>
  <c r="U800" i="7"/>
  <c r="J818" i="7"/>
  <c r="G823" i="17" s="1"/>
  <c r="H822" i="7"/>
  <c r="I822" i="7" s="1"/>
  <c r="I824" i="7"/>
  <c r="J824" i="7" s="1"/>
  <c r="G819" i="17"/>
  <c r="U813" i="7"/>
  <c r="H827" i="7"/>
  <c r="I827" i="7" s="1"/>
  <c r="S797" i="7"/>
  <c r="T797" i="7" s="1"/>
  <c r="S805" i="7"/>
  <c r="T805" i="7" s="1"/>
  <c r="I828" i="7"/>
  <c r="J828" i="7"/>
  <c r="S793" i="7"/>
  <c r="T793" i="7" s="1"/>
  <c r="S801" i="7"/>
  <c r="T801" i="7" s="1"/>
  <c r="I836" i="7"/>
  <c r="S792" i="7"/>
  <c r="T792" i="7" s="1"/>
  <c r="U795" i="7"/>
  <c r="S790" i="7"/>
  <c r="T790" i="7" s="1"/>
  <c r="S808" i="7"/>
  <c r="T808" i="7" s="1"/>
  <c r="U799" i="7"/>
  <c r="N804" i="17" s="1"/>
  <c r="E142" i="13"/>
  <c r="E138" i="13"/>
  <c r="E140" i="13"/>
  <c r="D137" i="13"/>
  <c r="D141" i="13"/>
  <c r="D143" i="13"/>
  <c r="D150" i="13"/>
  <c r="D139" i="13"/>
  <c r="D146" i="13"/>
  <c r="D148" i="13"/>
  <c r="T788" i="7" l="1"/>
  <c r="I815" i="7"/>
  <c r="T791" i="7"/>
  <c r="J815" i="7"/>
  <c r="S830" i="7"/>
  <c r="T830" i="7" s="1"/>
  <c r="J823" i="7"/>
  <c r="G828" i="17" s="1"/>
  <c r="U823" i="7"/>
  <c r="N828" i="17" s="1"/>
  <c r="S787" i="7"/>
  <c r="T787" i="7" s="1"/>
  <c r="T823" i="7"/>
  <c r="S836" i="7"/>
  <c r="T836" i="7" s="1"/>
  <c r="U788" i="7"/>
  <c r="N793" i="17" s="1"/>
  <c r="U835" i="7"/>
  <c r="N840" i="17" s="1"/>
  <c r="U804" i="7"/>
  <c r="N809" i="17" s="1"/>
  <c r="J825" i="7"/>
  <c r="G830" i="17" s="1"/>
  <c r="S826" i="7"/>
  <c r="T826" i="7" s="1"/>
  <c r="U791" i="7"/>
  <c r="N796" i="17" s="1"/>
  <c r="H826" i="7"/>
  <c r="I826" i="7" s="1"/>
  <c r="T835" i="7"/>
  <c r="S819" i="7"/>
  <c r="T819" i="7" s="1"/>
  <c r="J820" i="7"/>
  <c r="G825" i="17" s="1"/>
  <c r="U828" i="7"/>
  <c r="N833" i="17" s="1"/>
  <c r="S828" i="7"/>
  <c r="T828" i="7" s="1"/>
  <c r="U789" i="7"/>
  <c r="N794" i="17" s="1"/>
  <c r="S789" i="7"/>
  <c r="T789" i="7" s="1"/>
  <c r="S817" i="7"/>
  <c r="T817" i="7" s="1"/>
  <c r="U817" i="7"/>
  <c r="N822" i="17" s="1"/>
  <c r="S833" i="7"/>
  <c r="T833" i="7" s="1"/>
  <c r="P148" i="13"/>
  <c r="D798" i="7" s="1"/>
  <c r="E803" i="17"/>
  <c r="E803" i="31" s="1"/>
  <c r="L803" i="31" s="1"/>
  <c r="P143" i="13"/>
  <c r="D793" i="7" s="1"/>
  <c r="E798" i="17"/>
  <c r="E798" i="31" s="1"/>
  <c r="L798" i="31" s="1"/>
  <c r="Q138" i="13"/>
  <c r="E788" i="7" s="1"/>
  <c r="F788" i="7" s="1"/>
  <c r="F793" i="17"/>
  <c r="F793" i="31" s="1"/>
  <c r="M793" i="31" s="1"/>
  <c r="P146" i="13"/>
  <c r="D796" i="7" s="1"/>
  <c r="E801" i="17"/>
  <c r="E801" i="31" s="1"/>
  <c r="L801" i="31" s="1"/>
  <c r="P141" i="13"/>
  <c r="D791" i="7" s="1"/>
  <c r="E796" i="17"/>
  <c r="E796" i="31" s="1"/>
  <c r="L796" i="31" s="1"/>
  <c r="Q142" i="13"/>
  <c r="E792" i="7" s="1"/>
  <c r="F792" i="7" s="1"/>
  <c r="F797" i="17"/>
  <c r="F797" i="31" s="1"/>
  <c r="M797" i="31" s="1"/>
  <c r="P150" i="13"/>
  <c r="D800" i="7" s="1"/>
  <c r="E805" i="17"/>
  <c r="E805" i="31" s="1"/>
  <c r="L805" i="31" s="1"/>
  <c r="Q140" i="13"/>
  <c r="E790" i="7" s="1"/>
  <c r="F790" i="7" s="1"/>
  <c r="F795" i="17"/>
  <c r="F795" i="31" s="1"/>
  <c r="M795" i="31" s="1"/>
  <c r="P139" i="13"/>
  <c r="D789" i="7" s="1"/>
  <c r="E794" i="17"/>
  <c r="E794" i="31" s="1"/>
  <c r="L794" i="31" s="1"/>
  <c r="P137" i="13"/>
  <c r="D787" i="7" s="1"/>
  <c r="K787" i="7" s="1"/>
  <c r="E792" i="17"/>
  <c r="E792" i="31" s="1"/>
  <c r="L792" i="31" s="1"/>
  <c r="S827" i="7"/>
  <c r="T827" i="7" s="1"/>
  <c r="U816" i="7"/>
  <c r="N821" i="17" s="1"/>
  <c r="S816" i="7"/>
  <c r="T816" i="7" s="1"/>
  <c r="J817" i="7"/>
  <c r="G822" i="17" s="1"/>
  <c r="H817" i="7"/>
  <c r="I817" i="7" s="1"/>
  <c r="U255" i="7"/>
  <c r="N299" i="17" s="1"/>
  <c r="T259" i="7"/>
  <c r="U259" i="7" s="1"/>
  <c r="N303" i="17" s="1"/>
  <c r="T254" i="7"/>
  <c r="U254" i="7" s="1"/>
  <c r="N298" i="17" s="1"/>
  <c r="U251" i="7"/>
  <c r="N295" i="17" s="1"/>
  <c r="T218" i="7"/>
  <c r="U218" i="7" s="1"/>
  <c r="U236" i="7"/>
  <c r="U226" i="7"/>
  <c r="T219" i="7"/>
  <c r="U219" i="7" s="1"/>
  <c r="T238" i="7"/>
  <c r="U238" i="7" s="1"/>
  <c r="N280" i="17"/>
  <c r="N264" i="17"/>
  <c r="N271" i="17"/>
  <c r="N274" i="17"/>
  <c r="N273" i="17"/>
  <c r="N262" i="17"/>
  <c r="N272" i="17"/>
  <c r="N279" i="17"/>
  <c r="N263" i="17"/>
  <c r="N266" i="17"/>
  <c r="N276" i="17"/>
  <c r="N283" i="17"/>
  <c r="N267" i="17"/>
  <c r="N270" i="17"/>
  <c r="N265" i="17"/>
  <c r="N284" i="17"/>
  <c r="N268" i="17"/>
  <c r="N275" i="17"/>
  <c r="N278" i="17"/>
  <c r="N281" i="17"/>
  <c r="G824" i="17"/>
  <c r="G829" i="17"/>
  <c r="N837" i="17"/>
  <c r="N808" i="17"/>
  <c r="G833" i="17"/>
  <c r="N800" i="17"/>
  <c r="N805" i="17"/>
  <c r="N820" i="17"/>
  <c r="G820" i="17"/>
  <c r="N306" i="17"/>
  <c r="N292" i="17"/>
  <c r="N307" i="17"/>
  <c r="N289" i="17"/>
  <c r="N290" i="17"/>
  <c r="N297" i="17"/>
  <c r="N300" i="17"/>
  <c r="N294" i="17"/>
  <c r="E139" i="13"/>
  <c r="D151" i="13"/>
  <c r="E150" i="13"/>
  <c r="D158" i="13"/>
  <c r="D149" i="13"/>
  <c r="E146" i="13"/>
  <c r="D159" i="13"/>
  <c r="D145" i="13"/>
  <c r="E137" i="13"/>
  <c r="D155" i="13"/>
  <c r="E143" i="13"/>
  <c r="E148" i="13"/>
  <c r="D153" i="13"/>
  <c r="D147" i="13"/>
  <c r="E141" i="13"/>
  <c r="Q213" i="14"/>
  <c r="P213" i="14"/>
  <c r="O209" i="14"/>
  <c r="Q210" i="14"/>
  <c r="Q201" i="14"/>
  <c r="Q202" i="14"/>
  <c r="P203" i="14"/>
  <c r="P204" i="14"/>
  <c r="O206" i="14"/>
  <c r="Q200" i="14"/>
  <c r="Q193" i="14"/>
  <c r="Q194" i="14"/>
  <c r="P198" i="14"/>
  <c r="P195" i="14"/>
  <c r="G17" i="2"/>
  <c r="C681" i="14" l="1"/>
  <c r="C672" i="14"/>
  <c r="C669" i="14"/>
  <c r="C478" i="14"/>
  <c r="D469" i="14"/>
  <c r="E462" i="14"/>
  <c r="C460" i="14"/>
  <c r="D474" i="14"/>
  <c r="P474" i="14" s="1"/>
  <c r="E466" i="14"/>
  <c r="C464" i="14"/>
  <c r="D456" i="14"/>
  <c r="E444" i="14"/>
  <c r="C442" i="14"/>
  <c r="D438" i="14"/>
  <c r="P438" i="14" s="1"/>
  <c r="E435" i="14"/>
  <c r="C433" i="14"/>
  <c r="O433" i="14" s="1"/>
  <c r="D429" i="14"/>
  <c r="E426" i="14"/>
  <c r="C416" i="14"/>
  <c r="D412" i="14"/>
  <c r="E408" i="14"/>
  <c r="C406" i="14"/>
  <c r="D403" i="14"/>
  <c r="P403" i="14" s="1"/>
  <c r="D483" i="7" s="1"/>
  <c r="E399" i="14"/>
  <c r="C397" i="14"/>
  <c r="D394" i="14"/>
  <c r="C459" i="14"/>
  <c r="D447" i="14"/>
  <c r="D437" i="14"/>
  <c r="D428" i="14"/>
  <c r="D411" i="14"/>
  <c r="C402" i="14"/>
  <c r="O402" i="14" s="1"/>
  <c r="C482" i="7" s="1"/>
  <c r="C396" i="14"/>
  <c r="C436" i="14"/>
  <c r="O436" i="14" s="1"/>
  <c r="E394" i="14"/>
  <c r="C680" i="14"/>
  <c r="C691" i="14"/>
  <c r="E477" i="14"/>
  <c r="C469" i="14"/>
  <c r="O469" i="14" s="1"/>
  <c r="D462" i="14"/>
  <c r="E459" i="14"/>
  <c r="C474" i="14"/>
  <c r="D466" i="14"/>
  <c r="E458" i="14"/>
  <c r="C456" i="14"/>
  <c r="O456" i="14" s="1"/>
  <c r="D444" i="14"/>
  <c r="P444" i="14" s="1"/>
  <c r="E441" i="14"/>
  <c r="Q441" i="14" s="1"/>
  <c r="C438" i="14"/>
  <c r="O438" i="14" s="1"/>
  <c r="D435" i="14"/>
  <c r="E431" i="14"/>
  <c r="C429" i="14"/>
  <c r="D426" i="14"/>
  <c r="E415" i="14"/>
  <c r="C412" i="14"/>
  <c r="O412" i="14" s="1"/>
  <c r="C492" i="7" s="1"/>
  <c r="D408" i="14"/>
  <c r="E405" i="14"/>
  <c r="C403" i="14"/>
  <c r="O403" i="14" s="1"/>
  <c r="C483" i="7" s="1"/>
  <c r="D399" i="14"/>
  <c r="E396" i="14"/>
  <c r="C394" i="14"/>
  <c r="O394" i="14" s="1"/>
  <c r="C474" i="7" s="1"/>
  <c r="C687" i="14"/>
  <c r="C671" i="14"/>
  <c r="E461" i="14"/>
  <c r="Q461" i="14" s="1"/>
  <c r="E465" i="14"/>
  <c r="Q465" i="14" s="1"/>
  <c r="C441" i="14"/>
  <c r="C431" i="14"/>
  <c r="C415" i="14"/>
  <c r="C405" i="14"/>
  <c r="C673" i="14"/>
  <c r="E469" i="14"/>
  <c r="Q469" i="14" s="1"/>
  <c r="C446" i="14"/>
  <c r="O446" i="14" s="1"/>
  <c r="D416" i="14"/>
  <c r="C400" i="14"/>
  <c r="C688" i="14"/>
  <c r="C679" i="14"/>
  <c r="C690" i="14"/>
  <c r="D477" i="14"/>
  <c r="E468" i="14"/>
  <c r="Q468" i="14" s="1"/>
  <c r="C462" i="14"/>
  <c r="O462" i="14" s="1"/>
  <c r="D459" i="14"/>
  <c r="P459" i="14" s="1"/>
  <c r="E473" i="14"/>
  <c r="C466" i="14"/>
  <c r="D458" i="14"/>
  <c r="E447" i="14"/>
  <c r="C444" i="14"/>
  <c r="D441" i="14"/>
  <c r="P441" i="14" s="1"/>
  <c r="E437" i="14"/>
  <c r="Q437" i="14" s="1"/>
  <c r="C435" i="14"/>
  <c r="O435" i="14" s="1"/>
  <c r="D431" i="14"/>
  <c r="E428" i="14"/>
  <c r="C426" i="14"/>
  <c r="D415" i="14"/>
  <c r="E411" i="14"/>
  <c r="C408" i="14"/>
  <c r="D405" i="14"/>
  <c r="E402" i="14"/>
  <c r="C399" i="14"/>
  <c r="D396" i="14"/>
  <c r="C678" i="14"/>
  <c r="C477" i="14"/>
  <c r="D468" i="14"/>
  <c r="D473" i="14"/>
  <c r="P473" i="14" s="1"/>
  <c r="C458" i="14"/>
  <c r="O458" i="14" s="1"/>
  <c r="E443" i="14"/>
  <c r="Q443" i="14" s="1"/>
  <c r="E434" i="14"/>
  <c r="Q434" i="14" s="1"/>
  <c r="E425" i="14"/>
  <c r="E407" i="14"/>
  <c r="E398" i="14"/>
  <c r="C682" i="14"/>
  <c r="D464" i="14"/>
  <c r="C427" i="14"/>
  <c r="O427" i="14" s="1"/>
  <c r="D406" i="14"/>
  <c r="C686" i="14"/>
  <c r="C677" i="14"/>
  <c r="E470" i="14"/>
  <c r="C468" i="14"/>
  <c r="D461" i="14"/>
  <c r="P461" i="14" s="1"/>
  <c r="E475" i="14"/>
  <c r="C473" i="14"/>
  <c r="D465" i="14"/>
  <c r="P465" i="14" s="1"/>
  <c r="E457" i="14"/>
  <c r="C447" i="14"/>
  <c r="O447" i="14" s="1"/>
  <c r="D443" i="14"/>
  <c r="E439" i="14"/>
  <c r="C437" i="14"/>
  <c r="D434" i="14"/>
  <c r="E430" i="14"/>
  <c r="C428" i="14"/>
  <c r="O428" i="14" s="1"/>
  <c r="D425" i="14"/>
  <c r="E413" i="14"/>
  <c r="C411" i="14"/>
  <c r="O411" i="14" s="1"/>
  <c r="C491" i="7" s="1"/>
  <c r="D407" i="14"/>
  <c r="E404" i="14"/>
  <c r="D402" i="14"/>
  <c r="D398" i="14"/>
  <c r="E395" i="14"/>
  <c r="C683" i="14"/>
  <c r="D467" i="14"/>
  <c r="C475" i="14"/>
  <c r="E464" i="14"/>
  <c r="D446" i="14"/>
  <c r="C439" i="14"/>
  <c r="O439" i="14" s="1"/>
  <c r="E433" i="14"/>
  <c r="D427" i="14"/>
  <c r="P427" i="14" s="1"/>
  <c r="C413" i="14"/>
  <c r="E406" i="14"/>
  <c r="D400" i="14"/>
  <c r="C395" i="14"/>
  <c r="D478" i="14"/>
  <c r="D460" i="14"/>
  <c r="C472" i="14"/>
  <c r="O472" i="14" s="1"/>
  <c r="D442" i="14"/>
  <c r="D433" i="14"/>
  <c r="E412" i="14"/>
  <c r="E403" i="14"/>
  <c r="C685" i="14"/>
  <c r="C675" i="14"/>
  <c r="C670" i="14"/>
  <c r="D470" i="14"/>
  <c r="P470" i="14" s="1"/>
  <c r="E467" i="14"/>
  <c r="Q467" i="14" s="1"/>
  <c r="C461" i="14"/>
  <c r="D475" i="14"/>
  <c r="E472" i="14"/>
  <c r="C465" i="14"/>
  <c r="D457" i="14"/>
  <c r="P457" i="14" s="1"/>
  <c r="E446" i="14"/>
  <c r="C443" i="14"/>
  <c r="O443" i="14" s="1"/>
  <c r="D439" i="14"/>
  <c r="P439" i="14" s="1"/>
  <c r="E436" i="14"/>
  <c r="C434" i="14"/>
  <c r="D430" i="14"/>
  <c r="E427" i="14"/>
  <c r="C425" i="14"/>
  <c r="D413" i="14"/>
  <c r="E410" i="14"/>
  <c r="C407" i="14"/>
  <c r="O407" i="14" s="1"/>
  <c r="C487" i="7" s="1"/>
  <c r="D404" i="14"/>
  <c r="E400" i="14"/>
  <c r="C398" i="14"/>
  <c r="D395" i="14"/>
  <c r="C674" i="14"/>
  <c r="E478" i="14"/>
  <c r="Q478" i="14" s="1"/>
  <c r="C470" i="14"/>
  <c r="O470" i="14" s="1"/>
  <c r="E460" i="14"/>
  <c r="Q460" i="14" s="1"/>
  <c r="D472" i="14"/>
  <c r="C457" i="14"/>
  <c r="E442" i="14"/>
  <c r="D436" i="14"/>
  <c r="C430" i="14"/>
  <c r="E416" i="14"/>
  <c r="Q416" i="14" s="1"/>
  <c r="E496" i="7" s="1"/>
  <c r="D410" i="14"/>
  <c r="C404" i="14"/>
  <c r="O404" i="14" s="1"/>
  <c r="C484" i="7" s="1"/>
  <c r="E397" i="14"/>
  <c r="C467" i="14"/>
  <c r="E474" i="14"/>
  <c r="E456" i="14"/>
  <c r="E438" i="14"/>
  <c r="E429" i="14"/>
  <c r="C410" i="14"/>
  <c r="O410" i="14" s="1"/>
  <c r="C490" i="7" s="1"/>
  <c r="D397" i="14"/>
  <c r="Q295" i="14"/>
  <c r="Q240" i="14"/>
  <c r="Q152" i="14"/>
  <c r="O294" i="14"/>
  <c r="O239" i="14"/>
  <c r="O151" i="14"/>
  <c r="Q293" i="14"/>
  <c r="Q238" i="14"/>
  <c r="E405" i="7" s="1"/>
  <c r="Q150" i="14"/>
  <c r="Q291" i="14"/>
  <c r="Q236" i="14"/>
  <c r="Q148" i="14"/>
  <c r="P298" i="14"/>
  <c r="P243" i="14"/>
  <c r="P155" i="14"/>
  <c r="P402" i="14"/>
  <c r="D482" i="7" s="1"/>
  <c r="P394" i="14"/>
  <c r="D474" i="7" s="1"/>
  <c r="P277" i="14"/>
  <c r="P222" i="14"/>
  <c r="P134" i="14"/>
  <c r="O288" i="14"/>
  <c r="O233" i="14"/>
  <c r="O145" i="14"/>
  <c r="P405" i="14"/>
  <c r="D485" i="7" s="1"/>
  <c r="Q411" i="14"/>
  <c r="E491" i="7" s="1"/>
  <c r="C712" i="7"/>
  <c r="O680" i="14"/>
  <c r="D693" i="17"/>
  <c r="D639" i="17"/>
  <c r="D639" i="31" s="1"/>
  <c r="D666" i="17"/>
  <c r="D666" i="31" s="1"/>
  <c r="P280" i="14"/>
  <c r="P225" i="14"/>
  <c r="D392" i="7" s="1"/>
  <c r="P137" i="14"/>
  <c r="P279" i="14"/>
  <c r="P224" i="14"/>
  <c r="P136" i="14"/>
  <c r="P291" i="14"/>
  <c r="P236" i="14"/>
  <c r="P148" i="14"/>
  <c r="P294" i="14"/>
  <c r="P239" i="14"/>
  <c r="P151" i="14"/>
  <c r="Q282" i="14"/>
  <c r="Q227" i="14"/>
  <c r="E394" i="7" s="1"/>
  <c r="Q139" i="14"/>
  <c r="O285" i="14"/>
  <c r="O230" i="14"/>
  <c r="O142" i="14"/>
  <c r="O281" i="14"/>
  <c r="O226" i="14"/>
  <c r="O138" i="14"/>
  <c r="P286" i="14"/>
  <c r="P231" i="14"/>
  <c r="D398" i="7" s="1"/>
  <c r="P143" i="14"/>
  <c r="Q299" i="14"/>
  <c r="Q244" i="14"/>
  <c r="E411" i="7" s="1"/>
  <c r="Q156" i="14"/>
  <c r="P407" i="14"/>
  <c r="D487" i="7" s="1"/>
  <c r="P149" i="13"/>
  <c r="D799" i="7" s="1"/>
  <c r="E804" i="17"/>
  <c r="E804" i="31" s="1"/>
  <c r="L804" i="31" s="1"/>
  <c r="J790" i="7"/>
  <c r="G795" i="17" s="1"/>
  <c r="H790" i="7"/>
  <c r="I790" i="7" s="1"/>
  <c r="H792" i="7"/>
  <c r="I792" i="7" s="1"/>
  <c r="J792" i="7" s="1"/>
  <c r="G797" i="17" s="1"/>
  <c r="P147" i="13"/>
  <c r="D797" i="7" s="1"/>
  <c r="E802" i="17"/>
  <c r="E802" i="31" s="1"/>
  <c r="L802" i="31" s="1"/>
  <c r="P155" i="13"/>
  <c r="D805" i="7" s="1"/>
  <c r="E810" i="17"/>
  <c r="E810" i="31" s="1"/>
  <c r="L810" i="31" s="1"/>
  <c r="Q146" i="13"/>
  <c r="E796" i="7" s="1"/>
  <c r="F796" i="7" s="1"/>
  <c r="F801" i="17"/>
  <c r="F801" i="31" s="1"/>
  <c r="M801" i="31" s="1"/>
  <c r="P151" i="13"/>
  <c r="D801" i="7" s="1"/>
  <c r="E806" i="17"/>
  <c r="E806" i="31" s="1"/>
  <c r="L806" i="31" s="1"/>
  <c r="P153" i="13"/>
  <c r="D803" i="7" s="1"/>
  <c r="E808" i="17"/>
  <c r="E808" i="31" s="1"/>
  <c r="L808" i="31" s="1"/>
  <c r="Q137" i="13"/>
  <c r="E787" i="7" s="1"/>
  <c r="F787" i="7" s="1"/>
  <c r="F792" i="17"/>
  <c r="F792" i="31" s="1"/>
  <c r="M792" i="31" s="1"/>
  <c r="Q139" i="13"/>
  <c r="E789" i="7" s="1"/>
  <c r="F789" i="7" s="1"/>
  <c r="F794" i="17"/>
  <c r="F794" i="31" s="1"/>
  <c r="M794" i="31" s="1"/>
  <c r="Q148" i="13"/>
  <c r="E798" i="7" s="1"/>
  <c r="F798" i="7" s="1"/>
  <c r="F803" i="17"/>
  <c r="F803" i="31" s="1"/>
  <c r="M803" i="31" s="1"/>
  <c r="P145" i="13"/>
  <c r="D795" i="7" s="1"/>
  <c r="E800" i="17"/>
  <c r="E800" i="31" s="1"/>
  <c r="L800" i="31" s="1"/>
  <c r="P158" i="13"/>
  <c r="D808" i="7" s="1"/>
  <c r="E813" i="17"/>
  <c r="E813" i="31" s="1"/>
  <c r="L813" i="31" s="1"/>
  <c r="Q141" i="13"/>
  <c r="E791" i="7" s="1"/>
  <c r="F791" i="7" s="1"/>
  <c r="H791" i="7" s="1"/>
  <c r="I791" i="7" s="1"/>
  <c r="J791" i="7" s="1"/>
  <c r="G796" i="17" s="1"/>
  <c r="F796" i="17"/>
  <c r="F796" i="31" s="1"/>
  <c r="M796" i="31" s="1"/>
  <c r="Q143" i="13"/>
  <c r="E793" i="7" s="1"/>
  <c r="F793" i="7" s="1"/>
  <c r="H793" i="7" s="1"/>
  <c r="I793" i="7" s="1"/>
  <c r="J793" i="7" s="1"/>
  <c r="G798" i="17" s="1"/>
  <c r="F798" i="17"/>
  <c r="F798" i="31" s="1"/>
  <c r="M798" i="31" s="1"/>
  <c r="P159" i="13"/>
  <c r="D809" i="7" s="1"/>
  <c r="E814" i="17"/>
  <c r="E814" i="31" s="1"/>
  <c r="L814" i="31" s="1"/>
  <c r="Q150" i="13"/>
  <c r="E800" i="7" s="1"/>
  <c r="F800" i="7" s="1"/>
  <c r="H800" i="7" s="1"/>
  <c r="I800" i="7" s="1"/>
  <c r="J800" i="7" s="1"/>
  <c r="G805" i="17" s="1"/>
  <c r="F805" i="17"/>
  <c r="F805" i="31" s="1"/>
  <c r="M805" i="31" s="1"/>
  <c r="J788" i="7"/>
  <c r="G793" i="17" s="1"/>
  <c r="H788" i="7"/>
  <c r="I788" i="7" s="1"/>
  <c r="Q322" i="14"/>
  <c r="Q267" i="14"/>
  <c r="P307" i="14"/>
  <c r="P252" i="14"/>
  <c r="P306" i="14"/>
  <c r="P251" i="14"/>
  <c r="P318" i="14"/>
  <c r="P263" i="14"/>
  <c r="O403" i="7"/>
  <c r="P321" i="14"/>
  <c r="P266" i="14"/>
  <c r="P304" i="14"/>
  <c r="P249" i="14"/>
  <c r="O266" i="14"/>
  <c r="O321" i="14"/>
  <c r="O257" i="14"/>
  <c r="O312" i="14"/>
  <c r="O308" i="14"/>
  <c r="O253" i="14"/>
  <c r="P258" i="14"/>
  <c r="P313" i="14"/>
  <c r="Q326" i="14"/>
  <c r="Q271" i="14"/>
  <c r="O315" i="14"/>
  <c r="O260" i="14"/>
  <c r="Q320" i="14"/>
  <c r="Q265" i="14"/>
  <c r="Q309" i="14"/>
  <c r="P394" i="7"/>
  <c r="Q254" i="14"/>
  <c r="Q263" i="14"/>
  <c r="Q318" i="14"/>
  <c r="P325" i="14"/>
  <c r="P270" i="14"/>
  <c r="E407" i="7"/>
  <c r="F396" i="17"/>
  <c r="F396" i="31" s="1"/>
  <c r="M396" i="31" s="1"/>
  <c r="C406" i="7"/>
  <c r="D395" i="17"/>
  <c r="D395" i="31" s="1"/>
  <c r="D391" i="7"/>
  <c r="E380" i="17"/>
  <c r="E380" i="31" s="1"/>
  <c r="L380" i="31" s="1"/>
  <c r="D403" i="7"/>
  <c r="E392" i="17"/>
  <c r="E392" i="31" s="1"/>
  <c r="L392" i="31" s="1"/>
  <c r="D406" i="7"/>
  <c r="E395" i="17"/>
  <c r="E395" i="31" s="1"/>
  <c r="L395" i="31" s="1"/>
  <c r="D389" i="7"/>
  <c r="E378" i="17"/>
  <c r="E378" i="31" s="1"/>
  <c r="L378" i="31" s="1"/>
  <c r="C397" i="7"/>
  <c r="D386" i="17"/>
  <c r="D386" i="31" s="1"/>
  <c r="C393" i="7"/>
  <c r="D382" i="17"/>
  <c r="D382" i="31" s="1"/>
  <c r="E387" i="17"/>
  <c r="E387" i="31" s="1"/>
  <c r="L387" i="31" s="1"/>
  <c r="F394" i="17"/>
  <c r="F394" i="31" s="1"/>
  <c r="M394" i="31" s="1"/>
  <c r="E403" i="7"/>
  <c r="F392" i="17"/>
  <c r="F392" i="31" s="1"/>
  <c r="M392" i="31" s="1"/>
  <c r="D410" i="7"/>
  <c r="E399" i="17"/>
  <c r="E399" i="31" s="1"/>
  <c r="L399" i="31" s="1"/>
  <c r="O198" i="14"/>
  <c r="P211" i="14"/>
  <c r="O397" i="14"/>
  <c r="C477" i="7" s="1"/>
  <c r="O429" i="14"/>
  <c r="O441" i="14"/>
  <c r="O473" i="14"/>
  <c r="Q462" i="14"/>
  <c r="Q474" i="14"/>
  <c r="Q464" i="14"/>
  <c r="Q457" i="14"/>
  <c r="Q472" i="14"/>
  <c r="P458" i="14"/>
  <c r="P462" i="14"/>
  <c r="P467" i="14"/>
  <c r="P477" i="14"/>
  <c r="O477" i="14"/>
  <c r="O467" i="14"/>
  <c r="O461" i="14"/>
  <c r="O457" i="14"/>
  <c r="P447" i="14"/>
  <c r="Q444" i="14"/>
  <c r="Q439" i="14"/>
  <c r="O437" i="14"/>
  <c r="Q435" i="14"/>
  <c r="P434" i="14"/>
  <c r="Q426" i="14"/>
  <c r="P431" i="14"/>
  <c r="O430" i="14"/>
  <c r="Q431" i="14"/>
  <c r="P425" i="14"/>
  <c r="Q475" i="14"/>
  <c r="Q458" i="14"/>
  <c r="Q459" i="14"/>
  <c r="P475" i="14"/>
  <c r="P464" i="14"/>
  <c r="P468" i="14"/>
  <c r="P478" i="14"/>
  <c r="O475" i="14"/>
  <c r="O466" i="14"/>
  <c r="Q447" i="14"/>
  <c r="O442" i="14"/>
  <c r="P443" i="14"/>
  <c r="Q436" i="14"/>
  <c r="P435" i="14"/>
  <c r="O434" i="14"/>
  <c r="O425" i="14"/>
  <c r="Q427" i="14"/>
  <c r="P426" i="14"/>
  <c r="O431" i="14"/>
  <c r="Q428" i="14"/>
  <c r="O460" i="14"/>
  <c r="Q470" i="14"/>
  <c r="Q466" i="14"/>
  <c r="Q456" i="14"/>
  <c r="P472" i="14"/>
  <c r="P460" i="14"/>
  <c r="P469" i="14"/>
  <c r="P456" i="14"/>
  <c r="O474" i="14"/>
  <c r="O465" i="14"/>
  <c r="O459" i="14"/>
  <c r="O444" i="14"/>
  <c r="Q446" i="14"/>
  <c r="P442" i="14"/>
  <c r="P436" i="14"/>
  <c r="Q433" i="14"/>
  <c r="Q429" i="14"/>
  <c r="P429" i="14"/>
  <c r="O426" i="14"/>
  <c r="Q425" i="14"/>
  <c r="O398" i="14"/>
  <c r="C478" i="7" s="1"/>
  <c r="Q473" i="14"/>
  <c r="Q477" i="14"/>
  <c r="P466" i="14"/>
  <c r="O468" i="14"/>
  <c r="P446" i="14"/>
  <c r="Q438" i="14"/>
  <c r="P433" i="14"/>
  <c r="O399" i="14"/>
  <c r="C479" i="7" s="1"/>
  <c r="O408" i="14"/>
  <c r="C488" i="7" s="1"/>
  <c r="O413" i="14"/>
  <c r="C493" i="7" s="1"/>
  <c r="P214" i="14"/>
  <c r="O213" i="14"/>
  <c r="P209" i="14"/>
  <c r="P210" i="14"/>
  <c r="O208" i="14"/>
  <c r="P201" i="14"/>
  <c r="P205" i="14"/>
  <c r="O204" i="14"/>
  <c r="P200" i="14"/>
  <c r="P196" i="14"/>
  <c r="P193" i="14"/>
  <c r="O193" i="14"/>
  <c r="Q195" i="14"/>
  <c r="O195" i="14"/>
  <c r="D693" i="31"/>
  <c r="O464" i="14"/>
  <c r="Q442" i="14"/>
  <c r="P437" i="14"/>
  <c r="Q430" i="14"/>
  <c r="P428" i="14"/>
  <c r="O415" i="14"/>
  <c r="C495" i="7" s="1"/>
  <c r="O395" i="14"/>
  <c r="C475" i="7" s="1"/>
  <c r="O400" i="14"/>
  <c r="C480" i="7" s="1"/>
  <c r="O405" i="14"/>
  <c r="C485" i="7" s="1"/>
  <c r="O214" i="14"/>
  <c r="Q211" i="14"/>
  <c r="O211" i="14"/>
  <c r="O210" i="14"/>
  <c r="O203" i="14"/>
  <c r="Q204" i="14"/>
  <c r="P202" i="14"/>
  <c r="P206" i="14"/>
  <c r="O205" i="14"/>
  <c r="P197" i="14"/>
  <c r="P194" i="14"/>
  <c r="O194" i="14"/>
  <c r="Q192" i="14"/>
  <c r="O192" i="14"/>
  <c r="Q197" i="14"/>
  <c r="O202" i="14"/>
  <c r="Q206" i="14"/>
  <c r="P208" i="14"/>
  <c r="Q214" i="14"/>
  <c r="P192" i="14"/>
  <c r="O196" i="14"/>
  <c r="Q196" i="14"/>
  <c r="O201" i="14"/>
  <c r="Q205" i="14"/>
  <c r="Q208" i="14"/>
  <c r="Q209" i="14"/>
  <c r="O406" i="14"/>
  <c r="C486" i="7" s="1"/>
  <c r="O396" i="14"/>
  <c r="C476" i="7" s="1"/>
  <c r="O416" i="14"/>
  <c r="C496" i="7" s="1"/>
  <c r="P430" i="14"/>
  <c r="O478" i="14"/>
  <c r="E153" i="13"/>
  <c r="E155" i="13"/>
  <c r="E158" i="13"/>
  <c r="D154" i="13"/>
  <c r="E145" i="13"/>
  <c r="E151" i="13"/>
  <c r="E147" i="13"/>
  <c r="D156" i="13"/>
  <c r="E159" i="13"/>
  <c r="E149" i="13"/>
  <c r="M510" i="31"/>
  <c r="L510" i="31"/>
  <c r="K510" i="31"/>
  <c r="J510" i="31"/>
  <c r="M505" i="31"/>
  <c r="L505" i="31"/>
  <c r="K505" i="31"/>
  <c r="J505" i="31"/>
  <c r="M497" i="31"/>
  <c r="L497" i="31"/>
  <c r="K497" i="31"/>
  <c r="J497" i="31"/>
  <c r="D674" i="14" l="1"/>
  <c r="E674" i="14"/>
  <c r="E675" i="14"/>
  <c r="D675" i="14"/>
  <c r="E682" i="14"/>
  <c r="D682" i="14"/>
  <c r="E673" i="14"/>
  <c r="D673" i="14"/>
  <c r="D687" i="14"/>
  <c r="E687" i="14"/>
  <c r="E691" i="14"/>
  <c r="D691" i="14"/>
  <c r="E671" i="14"/>
  <c r="D671" i="14"/>
  <c r="E685" i="14"/>
  <c r="D685" i="14"/>
  <c r="D690" i="14"/>
  <c r="E690" i="14"/>
  <c r="E680" i="14"/>
  <c r="D680" i="14"/>
  <c r="E678" i="14"/>
  <c r="D678" i="14"/>
  <c r="E679" i="14"/>
  <c r="D679" i="14"/>
  <c r="E669" i="14"/>
  <c r="D669" i="14"/>
  <c r="D628" i="17"/>
  <c r="D628" i="31" s="1"/>
  <c r="O669" i="14"/>
  <c r="C701" i="7"/>
  <c r="D682" i="17"/>
  <c r="D682" i="31" s="1"/>
  <c r="D655" i="17"/>
  <c r="D655" i="31" s="1"/>
  <c r="D670" i="14"/>
  <c r="E670" i="14"/>
  <c r="E677" i="14"/>
  <c r="D677" i="14"/>
  <c r="E688" i="14"/>
  <c r="D688" i="14"/>
  <c r="E672" i="14"/>
  <c r="D672" i="14"/>
  <c r="E683" i="14"/>
  <c r="D683" i="14"/>
  <c r="E686" i="14"/>
  <c r="D686" i="14"/>
  <c r="D681" i="14"/>
  <c r="E681" i="14"/>
  <c r="C703" i="7"/>
  <c r="O671" i="14"/>
  <c r="D684" i="17"/>
  <c r="D684" i="31" s="1"/>
  <c r="Q277" i="14"/>
  <c r="Q222" i="14"/>
  <c r="Q134" i="14"/>
  <c r="O287" i="14"/>
  <c r="O232" i="14"/>
  <c r="O144" i="14"/>
  <c r="Q278" i="14"/>
  <c r="Q223" i="14"/>
  <c r="Q135" i="14"/>
  <c r="P395" i="14"/>
  <c r="D475" i="7" s="1"/>
  <c r="P411" i="14"/>
  <c r="D491" i="7" s="1"/>
  <c r="Q400" i="14"/>
  <c r="E480" i="7" s="1"/>
  <c r="Q398" i="14"/>
  <c r="E478" i="7" s="1"/>
  <c r="Q397" i="14"/>
  <c r="E477" i="7" s="1"/>
  <c r="O289" i="14"/>
  <c r="O234" i="14"/>
  <c r="C401" i="7" s="1"/>
  <c r="O146" i="14"/>
  <c r="O277" i="14"/>
  <c r="O222" i="14"/>
  <c r="O134" i="14"/>
  <c r="Q289" i="14"/>
  <c r="Q234" i="14"/>
  <c r="Q146" i="14"/>
  <c r="Q287" i="14"/>
  <c r="Q232" i="14"/>
  <c r="Q144" i="14"/>
  <c r="Q399" i="14"/>
  <c r="E479" i="7" s="1"/>
  <c r="C722" i="7"/>
  <c r="O690" i="14"/>
  <c r="D703" i="17"/>
  <c r="D703" i="31" s="1"/>
  <c r="D676" i="17"/>
  <c r="D676" i="31" s="1"/>
  <c r="D649" i="17"/>
  <c r="D649" i="31" s="1"/>
  <c r="Q279" i="14"/>
  <c r="Q224" i="14"/>
  <c r="Q136" i="14"/>
  <c r="Q285" i="14"/>
  <c r="Q230" i="14"/>
  <c r="Q142" i="14"/>
  <c r="P400" i="14"/>
  <c r="D480" i="7" s="1"/>
  <c r="Q404" i="14"/>
  <c r="E484" i="7" s="1"/>
  <c r="O683" i="14"/>
  <c r="C715" i="7"/>
  <c r="D696" i="17"/>
  <c r="D696" i="31" s="1"/>
  <c r="D669" i="17"/>
  <c r="D669" i="31" s="1"/>
  <c r="D642" i="17"/>
  <c r="D642" i="31" s="1"/>
  <c r="Q395" i="14"/>
  <c r="E475" i="7" s="1"/>
  <c r="P290" i="14"/>
  <c r="P235" i="14"/>
  <c r="P147" i="14"/>
  <c r="P415" i="14"/>
  <c r="D495" i="7" s="1"/>
  <c r="P399" i="14"/>
  <c r="D479" i="7" s="1"/>
  <c r="Q296" i="14"/>
  <c r="Q241" i="14"/>
  <c r="Q153" i="14"/>
  <c r="O282" i="14"/>
  <c r="O227" i="14"/>
  <c r="O139" i="14"/>
  <c r="Q281" i="14"/>
  <c r="Q226" i="14"/>
  <c r="Q138" i="14"/>
  <c r="Q294" i="14"/>
  <c r="Q239" i="14"/>
  <c r="E406" i="7" s="1"/>
  <c r="Q151" i="14"/>
  <c r="C718" i="7"/>
  <c r="O686" i="14"/>
  <c r="D672" i="17"/>
  <c r="D672" i="31" s="1"/>
  <c r="D699" i="17"/>
  <c r="D699" i="31" s="1"/>
  <c r="D645" i="17"/>
  <c r="D645" i="31" s="1"/>
  <c r="P285" i="14"/>
  <c r="P230" i="14"/>
  <c r="P142" i="14"/>
  <c r="P282" i="14"/>
  <c r="P227" i="14"/>
  <c r="P139" i="14"/>
  <c r="O278" i="14"/>
  <c r="O223" i="14"/>
  <c r="O135" i="14"/>
  <c r="O295" i="14"/>
  <c r="O240" i="14"/>
  <c r="O152" i="14"/>
  <c r="O290" i="14"/>
  <c r="O235" i="14"/>
  <c r="O147" i="14"/>
  <c r="Q286" i="14"/>
  <c r="Q231" i="14"/>
  <c r="Q143" i="14"/>
  <c r="P403" i="7"/>
  <c r="Q203" i="14"/>
  <c r="P410" i="14"/>
  <c r="D490" i="7" s="1"/>
  <c r="Q407" i="14"/>
  <c r="E487" i="7" s="1"/>
  <c r="O688" i="14"/>
  <c r="C720" i="7"/>
  <c r="D701" i="17"/>
  <c r="D701" i="31" s="1"/>
  <c r="D674" i="17"/>
  <c r="D674" i="31" s="1"/>
  <c r="D647" i="17"/>
  <c r="D647" i="31" s="1"/>
  <c r="O687" i="14"/>
  <c r="C719" i="7"/>
  <c r="Q408" i="14"/>
  <c r="E488" i="7" s="1"/>
  <c r="C713" i="7"/>
  <c r="O681" i="14"/>
  <c r="D667" i="17"/>
  <c r="D667" i="31" s="1"/>
  <c r="D694" i="17"/>
  <c r="D694" i="31" s="1"/>
  <c r="D640" i="17"/>
  <c r="D640" i="31" s="1"/>
  <c r="Q410" i="14"/>
  <c r="E490" i="7" s="1"/>
  <c r="C709" i="7"/>
  <c r="O677" i="14"/>
  <c r="D663" i="17"/>
  <c r="D663" i="31" s="1"/>
  <c r="D690" i="17"/>
  <c r="D690" i="31" s="1"/>
  <c r="D636" i="17"/>
  <c r="D636" i="31" s="1"/>
  <c r="P413" i="14"/>
  <c r="D493" i="7" s="1"/>
  <c r="P397" i="14"/>
  <c r="D477" i="7" s="1"/>
  <c r="P293" i="14"/>
  <c r="P238" i="14"/>
  <c r="P150" i="14"/>
  <c r="P287" i="14"/>
  <c r="P232" i="14"/>
  <c r="P144" i="14"/>
  <c r="Q283" i="14"/>
  <c r="P395" i="7" s="1"/>
  <c r="Q228" i="14"/>
  <c r="Q140" i="14"/>
  <c r="P296" i="14"/>
  <c r="P241" i="14"/>
  <c r="P153" i="14"/>
  <c r="O280" i="14"/>
  <c r="O225" i="14"/>
  <c r="C392" i="7" s="1"/>
  <c r="O137" i="14"/>
  <c r="P398" i="14"/>
  <c r="D478" i="7" s="1"/>
  <c r="P416" i="14"/>
  <c r="D496" i="7" s="1"/>
  <c r="Q298" i="14"/>
  <c r="Q243" i="14"/>
  <c r="Q155" i="14"/>
  <c r="P283" i="14"/>
  <c r="P228" i="14"/>
  <c r="P140" i="14"/>
  <c r="P288" i="14"/>
  <c r="O400" i="7" s="1"/>
  <c r="P233" i="14"/>
  <c r="P145" i="14"/>
  <c r="P299" i="14"/>
  <c r="O411" i="7" s="1"/>
  <c r="P244" i="14"/>
  <c r="P156" i="14"/>
  <c r="C707" i="7"/>
  <c r="O675" i="14"/>
  <c r="D688" i="17"/>
  <c r="D688" i="31" s="1"/>
  <c r="D661" i="17"/>
  <c r="D661" i="31" s="1"/>
  <c r="D634" i="17"/>
  <c r="D634" i="31" s="1"/>
  <c r="N400" i="7"/>
  <c r="O200" i="14"/>
  <c r="P408" i="14"/>
  <c r="D488" i="7" s="1"/>
  <c r="O283" i="14"/>
  <c r="N395" i="7" s="1"/>
  <c r="O228" i="14"/>
  <c r="O140" i="14"/>
  <c r="P289" i="14"/>
  <c r="P234" i="14"/>
  <c r="P146" i="14"/>
  <c r="P281" i="14"/>
  <c r="P226" i="14"/>
  <c r="P138" i="14"/>
  <c r="Q290" i="14"/>
  <c r="Q235" i="14"/>
  <c r="E402" i="7" s="1"/>
  <c r="Q147" i="14"/>
  <c r="Q406" i="14"/>
  <c r="E486" i="7" s="1"/>
  <c r="Q402" i="14"/>
  <c r="E482" i="7" s="1"/>
  <c r="O682" i="14"/>
  <c r="C714" i="7"/>
  <c r="D668" i="17"/>
  <c r="D668" i="31" s="1"/>
  <c r="D641" i="17"/>
  <c r="D641" i="31" s="1"/>
  <c r="D695" i="17"/>
  <c r="D695" i="31" s="1"/>
  <c r="Q403" i="14"/>
  <c r="E483" i="7" s="1"/>
  <c r="O674" i="14"/>
  <c r="C706" i="7"/>
  <c r="D687" i="17"/>
  <c r="D687" i="31" s="1"/>
  <c r="D660" i="17"/>
  <c r="D660" i="31" s="1"/>
  <c r="D633" i="17"/>
  <c r="D633" i="31" s="1"/>
  <c r="Q288" i="14"/>
  <c r="Q233" i="14"/>
  <c r="E400" i="7" s="1"/>
  <c r="Q145" i="14"/>
  <c r="P295" i="14"/>
  <c r="P240" i="14"/>
  <c r="P152" i="14"/>
  <c r="N397" i="7"/>
  <c r="O197" i="14"/>
  <c r="P278" i="14"/>
  <c r="P223" i="14"/>
  <c r="D390" i="7" s="1"/>
  <c r="P135" i="14"/>
  <c r="O299" i="14"/>
  <c r="O244" i="14"/>
  <c r="O156" i="14"/>
  <c r="P396" i="14"/>
  <c r="D476" i="7" s="1"/>
  <c r="P406" i="14"/>
  <c r="D486" i="7" s="1"/>
  <c r="O279" i="14"/>
  <c r="O224" i="14"/>
  <c r="C391" i="7" s="1"/>
  <c r="O136" i="14"/>
  <c r="O293" i="14"/>
  <c r="O238" i="14"/>
  <c r="O150" i="14"/>
  <c r="O291" i="14"/>
  <c r="N403" i="7" s="1"/>
  <c r="O236" i="14"/>
  <c r="O148" i="14"/>
  <c r="Q280" i="14"/>
  <c r="P392" i="7" s="1"/>
  <c r="Q225" i="14"/>
  <c r="E392" i="7" s="1"/>
  <c r="Q137" i="14"/>
  <c r="O298" i="14"/>
  <c r="O243" i="14"/>
  <c r="O155" i="14"/>
  <c r="O286" i="14"/>
  <c r="O231" i="14"/>
  <c r="C398" i="7" s="1"/>
  <c r="O143" i="14"/>
  <c r="O296" i="14"/>
  <c r="N408" i="7" s="1"/>
  <c r="O241" i="14"/>
  <c r="O153" i="14"/>
  <c r="P404" i="14"/>
  <c r="D484" i="7" s="1"/>
  <c r="O673" i="14"/>
  <c r="C705" i="7"/>
  <c r="D659" i="17"/>
  <c r="D659" i="31" s="1"/>
  <c r="D632" i="17"/>
  <c r="D632" i="31" s="1"/>
  <c r="D686" i="17"/>
  <c r="D686" i="31" s="1"/>
  <c r="Q412" i="14"/>
  <c r="E492" i="7" s="1"/>
  <c r="O670" i="14"/>
  <c r="C702" i="7"/>
  <c r="D683" i="17"/>
  <c r="D683" i="31" s="1"/>
  <c r="D656" i="17"/>
  <c r="D656" i="31" s="1"/>
  <c r="D629" i="17"/>
  <c r="D629" i="31" s="1"/>
  <c r="Q396" i="14"/>
  <c r="E476" i="7" s="1"/>
  <c r="Q413" i="14"/>
  <c r="E493" i="7" s="1"/>
  <c r="O679" i="14"/>
  <c r="C711" i="7"/>
  <c r="D692" i="17"/>
  <c r="D692" i="31" s="1"/>
  <c r="Q394" i="14"/>
  <c r="E474" i="7" s="1"/>
  <c r="K474" i="7" s="1"/>
  <c r="Q415" i="14"/>
  <c r="E495" i="7" s="1"/>
  <c r="C723" i="7"/>
  <c r="O691" i="14"/>
  <c r="D677" i="17"/>
  <c r="D677" i="31" s="1"/>
  <c r="D704" i="17"/>
  <c r="D704" i="31" s="1"/>
  <c r="D650" i="17"/>
  <c r="D650" i="31" s="1"/>
  <c r="C717" i="7"/>
  <c r="O685" i="14"/>
  <c r="P412" i="14"/>
  <c r="D492" i="7" s="1"/>
  <c r="F383" i="17"/>
  <c r="F383" i="31" s="1"/>
  <c r="M383" i="31" s="1"/>
  <c r="F400" i="17"/>
  <c r="F400" i="31" s="1"/>
  <c r="M400" i="31" s="1"/>
  <c r="E381" i="17"/>
  <c r="E381" i="31" s="1"/>
  <c r="L381" i="31" s="1"/>
  <c r="C704" i="7"/>
  <c r="O672" i="14"/>
  <c r="D658" i="17"/>
  <c r="D658" i="31" s="1"/>
  <c r="D685" i="17"/>
  <c r="D685" i="31" s="1"/>
  <c r="D631" i="17"/>
  <c r="D631" i="31" s="1"/>
  <c r="Q405" i="14"/>
  <c r="E485" i="7" s="1"/>
  <c r="O678" i="14"/>
  <c r="C710" i="7"/>
  <c r="D664" i="17"/>
  <c r="D664" i="31" s="1"/>
  <c r="D637" i="17"/>
  <c r="D637" i="31" s="1"/>
  <c r="D691" i="17"/>
  <c r="D691" i="31" s="1"/>
  <c r="Q149" i="13"/>
  <c r="E799" i="7" s="1"/>
  <c r="F799" i="7" s="1"/>
  <c r="H799" i="7" s="1"/>
  <c r="I799" i="7" s="1"/>
  <c r="J799" i="7" s="1"/>
  <c r="G804" i="17" s="1"/>
  <c r="F804" i="17"/>
  <c r="F804" i="31" s="1"/>
  <c r="M804" i="31" s="1"/>
  <c r="Q155" i="13"/>
  <c r="E805" i="7" s="1"/>
  <c r="F805" i="7" s="1"/>
  <c r="H805" i="7" s="1"/>
  <c r="I805" i="7" s="1"/>
  <c r="F810" i="17"/>
  <c r="F810" i="31" s="1"/>
  <c r="M810" i="31" s="1"/>
  <c r="Q159" i="13"/>
  <c r="E809" i="7" s="1"/>
  <c r="F809" i="7" s="1"/>
  <c r="H809" i="7" s="1"/>
  <c r="I809" i="7" s="1"/>
  <c r="F814" i="17"/>
  <c r="F814" i="31" s="1"/>
  <c r="M814" i="31" s="1"/>
  <c r="Q145" i="13"/>
  <c r="E795" i="7" s="1"/>
  <c r="F795" i="7" s="1"/>
  <c r="F800" i="17"/>
  <c r="F800" i="31" s="1"/>
  <c r="M800" i="31" s="1"/>
  <c r="Q153" i="13"/>
  <c r="E803" i="7" s="1"/>
  <c r="F803" i="7" s="1"/>
  <c r="F808" i="17"/>
  <c r="F808" i="31" s="1"/>
  <c r="M808" i="31" s="1"/>
  <c r="J789" i="7"/>
  <c r="G794" i="17" s="1"/>
  <c r="H789" i="7"/>
  <c r="I789" i="7" s="1"/>
  <c r="H796" i="7"/>
  <c r="I796" i="7" s="1"/>
  <c r="J796" i="7"/>
  <c r="G801" i="17" s="1"/>
  <c r="P156" i="13"/>
  <c r="D806" i="7" s="1"/>
  <c r="E811" i="17"/>
  <c r="E811" i="31" s="1"/>
  <c r="L811" i="31" s="1"/>
  <c r="P154" i="13"/>
  <c r="D804" i="7" s="1"/>
  <c r="E809" i="17"/>
  <c r="E809" i="31" s="1"/>
  <c r="L809" i="31" s="1"/>
  <c r="Q151" i="13"/>
  <c r="E801" i="7" s="1"/>
  <c r="F801" i="7" s="1"/>
  <c r="F806" i="17"/>
  <c r="F806" i="31" s="1"/>
  <c r="M806" i="31" s="1"/>
  <c r="Q147" i="13"/>
  <c r="E797" i="7" s="1"/>
  <c r="F797" i="7" s="1"/>
  <c r="F802" i="17"/>
  <c r="F802" i="31" s="1"/>
  <c r="M802" i="31" s="1"/>
  <c r="Q158" i="13"/>
  <c r="E808" i="7" s="1"/>
  <c r="F808" i="7" s="1"/>
  <c r="H808" i="7" s="1"/>
  <c r="I808" i="7" s="1"/>
  <c r="F813" i="17"/>
  <c r="F813" i="31" s="1"/>
  <c r="M813" i="31" s="1"/>
  <c r="J798" i="7"/>
  <c r="G803" i="17" s="1"/>
  <c r="H798" i="7"/>
  <c r="I798" i="7" s="1"/>
  <c r="J787" i="7"/>
  <c r="H787" i="7"/>
  <c r="I787" i="7" s="1"/>
  <c r="O392" i="7"/>
  <c r="P411" i="7"/>
  <c r="N393" i="7"/>
  <c r="O406" i="7"/>
  <c r="K382" i="31"/>
  <c r="C382" i="31"/>
  <c r="J382" i="31" s="1"/>
  <c r="K386" i="31"/>
  <c r="C386" i="31"/>
  <c r="J386" i="31" s="1"/>
  <c r="K395" i="31"/>
  <c r="C395" i="31"/>
  <c r="J395" i="31" s="1"/>
  <c r="P408" i="7"/>
  <c r="Q268" i="14"/>
  <c r="Q323" i="14"/>
  <c r="Q308" i="14"/>
  <c r="Q253" i="14"/>
  <c r="O318" i="14"/>
  <c r="O263" i="14"/>
  <c r="O313" i="14"/>
  <c r="O258" i="14"/>
  <c r="L399" i="17"/>
  <c r="M420" i="17"/>
  <c r="M394" i="17"/>
  <c r="K423" i="17"/>
  <c r="M396" i="17"/>
  <c r="P407" i="7"/>
  <c r="Q315" i="14"/>
  <c r="Q260" i="14"/>
  <c r="P322" i="14"/>
  <c r="P267" i="14"/>
  <c r="P305" i="14"/>
  <c r="P250" i="14"/>
  <c r="O271" i="14"/>
  <c r="O326" i="14"/>
  <c r="Q304" i="14"/>
  <c r="Q249" i="14"/>
  <c r="Q325" i="14"/>
  <c r="Q270" i="14"/>
  <c r="O314" i="14"/>
  <c r="O259" i="14"/>
  <c r="P310" i="14"/>
  <c r="P255" i="14"/>
  <c r="Q305" i="14"/>
  <c r="Q250" i="14"/>
  <c r="P315" i="14"/>
  <c r="P260" i="14"/>
  <c r="P326" i="14"/>
  <c r="P271" i="14"/>
  <c r="O410" i="7"/>
  <c r="P320" i="14"/>
  <c r="P265" i="14"/>
  <c r="M383" i="17"/>
  <c r="K389" i="17"/>
  <c r="M428" i="17"/>
  <c r="L387" i="17"/>
  <c r="K410" i="17"/>
  <c r="K386" i="17"/>
  <c r="K395" i="17"/>
  <c r="L378" i="17"/>
  <c r="O389" i="7"/>
  <c r="N406" i="7"/>
  <c r="L423" i="17"/>
  <c r="L420" i="17"/>
  <c r="L408" i="17"/>
  <c r="L409" i="17"/>
  <c r="C394" i="7"/>
  <c r="O309" i="14"/>
  <c r="O254" i="14"/>
  <c r="O306" i="14"/>
  <c r="O251" i="14"/>
  <c r="C410" i="7"/>
  <c r="O325" i="14"/>
  <c r="O270" i="14"/>
  <c r="N410" i="7"/>
  <c r="C408" i="7"/>
  <c r="O323" i="14"/>
  <c r="O268" i="14"/>
  <c r="Q310" i="14"/>
  <c r="Q255" i="14"/>
  <c r="O310" i="14"/>
  <c r="O255" i="14"/>
  <c r="Q306" i="14"/>
  <c r="Q251" i="14"/>
  <c r="P316" i="14"/>
  <c r="P261" i="14"/>
  <c r="O401" i="7"/>
  <c r="Q312" i="14"/>
  <c r="Q257" i="14"/>
  <c r="P253" i="14"/>
  <c r="P308" i="14"/>
  <c r="Q317" i="14"/>
  <c r="Q262" i="14"/>
  <c r="D389" i="17"/>
  <c r="D389" i="31" s="1"/>
  <c r="L427" i="17"/>
  <c r="M392" i="17"/>
  <c r="M411" i="17"/>
  <c r="M422" i="17"/>
  <c r="L406" i="17"/>
  <c r="O398" i="7"/>
  <c r="M424" i="17"/>
  <c r="P397" i="7"/>
  <c r="Q321" i="14"/>
  <c r="Q266" i="14"/>
  <c r="O320" i="14"/>
  <c r="O265" i="14"/>
  <c r="Q307" i="14"/>
  <c r="Q252" i="14"/>
  <c r="P317" i="14"/>
  <c r="P262" i="14"/>
  <c r="P314" i="14"/>
  <c r="P259" i="14"/>
  <c r="P323" i="14"/>
  <c r="P268" i="14"/>
  <c r="O252" i="14"/>
  <c r="O307" i="14"/>
  <c r="N411" i="7"/>
  <c r="P405" i="7"/>
  <c r="O316" i="14"/>
  <c r="O261" i="14"/>
  <c r="O304" i="14"/>
  <c r="O249" i="14"/>
  <c r="D378" i="17"/>
  <c r="D378" i="31" s="1"/>
  <c r="N402" i="7"/>
  <c r="Q316" i="14"/>
  <c r="Q261" i="14"/>
  <c r="Q259" i="14"/>
  <c r="Q314" i="14"/>
  <c r="P312" i="14"/>
  <c r="P257" i="14"/>
  <c r="P309" i="14"/>
  <c r="P254" i="14"/>
  <c r="O305" i="14"/>
  <c r="O250" i="14"/>
  <c r="O322" i="14"/>
  <c r="O267" i="14"/>
  <c r="O317" i="14"/>
  <c r="O262" i="14"/>
  <c r="Q313" i="14"/>
  <c r="Q258" i="14"/>
  <c r="N398" i="7"/>
  <c r="C400" i="7"/>
  <c r="K417" i="17"/>
  <c r="M400" i="17"/>
  <c r="L415" i="17"/>
  <c r="K382" i="17"/>
  <c r="K414" i="17"/>
  <c r="L395" i="17"/>
  <c r="L392" i="17"/>
  <c r="L380" i="17"/>
  <c r="O391" i="7"/>
  <c r="L381" i="17"/>
  <c r="E383" i="17"/>
  <c r="E383" i="31" s="1"/>
  <c r="L383" i="31" s="1"/>
  <c r="F387" i="17"/>
  <c r="F387" i="31" s="1"/>
  <c r="M387" i="31" s="1"/>
  <c r="E408" i="7"/>
  <c r="F397" i="17"/>
  <c r="F397" i="31" s="1"/>
  <c r="M397" i="31" s="1"/>
  <c r="E393" i="7"/>
  <c r="F382" i="17"/>
  <c r="F382" i="31" s="1"/>
  <c r="M382" i="31" s="1"/>
  <c r="F395" i="17"/>
  <c r="F395" i="31" s="1"/>
  <c r="M395" i="31" s="1"/>
  <c r="D380" i="17"/>
  <c r="D380" i="31" s="1"/>
  <c r="C405" i="7"/>
  <c r="D394" i="17"/>
  <c r="D394" i="31" s="1"/>
  <c r="C403" i="7"/>
  <c r="D392" i="17"/>
  <c r="D392" i="31" s="1"/>
  <c r="F381" i="17"/>
  <c r="F381" i="31" s="1"/>
  <c r="M381" i="31" s="1"/>
  <c r="D399" i="17"/>
  <c r="D399" i="31" s="1"/>
  <c r="D387" i="17"/>
  <c r="D387" i="31" s="1"/>
  <c r="D397" i="17"/>
  <c r="D397" i="31" s="1"/>
  <c r="D402" i="7"/>
  <c r="E391" i="17"/>
  <c r="E391" i="31" s="1"/>
  <c r="L391" i="31" s="1"/>
  <c r="D399" i="7"/>
  <c r="E388" i="17"/>
  <c r="E388" i="31" s="1"/>
  <c r="L388" i="31" s="1"/>
  <c r="F384" i="17"/>
  <c r="F384" i="31" s="1"/>
  <c r="M384" i="31" s="1"/>
  <c r="D408" i="7"/>
  <c r="E397" i="17"/>
  <c r="E397" i="31" s="1"/>
  <c r="L397" i="31" s="1"/>
  <c r="D381" i="17"/>
  <c r="D381" i="31" s="1"/>
  <c r="C395" i="7"/>
  <c r="D384" i="17"/>
  <c r="D384" i="31" s="1"/>
  <c r="E391" i="7"/>
  <c r="F380" i="17"/>
  <c r="F380" i="31" s="1"/>
  <c r="M380" i="31" s="1"/>
  <c r="D401" i="7"/>
  <c r="E390" i="17"/>
  <c r="E390" i="31" s="1"/>
  <c r="L390" i="31" s="1"/>
  <c r="E397" i="7"/>
  <c r="F386" i="17"/>
  <c r="F386" i="31" s="1"/>
  <c r="M386" i="31" s="1"/>
  <c r="D393" i="7"/>
  <c r="E382" i="17"/>
  <c r="E382" i="31" s="1"/>
  <c r="L382" i="31" s="1"/>
  <c r="F391" i="17"/>
  <c r="F391" i="31" s="1"/>
  <c r="M391" i="31" s="1"/>
  <c r="D390" i="17"/>
  <c r="D390" i="31" s="1"/>
  <c r="C389" i="7"/>
  <c r="E401" i="7"/>
  <c r="F390" i="17"/>
  <c r="F390" i="31" s="1"/>
  <c r="M390" i="31" s="1"/>
  <c r="E399" i="7"/>
  <c r="F388" i="17"/>
  <c r="F388" i="31" s="1"/>
  <c r="M388" i="31" s="1"/>
  <c r="D379" i="17"/>
  <c r="D379" i="31" s="1"/>
  <c r="F389" i="17"/>
  <c r="F389" i="31" s="1"/>
  <c r="M389" i="31" s="1"/>
  <c r="D407" i="7"/>
  <c r="E396" i="17"/>
  <c r="E396" i="31" s="1"/>
  <c r="L396" i="31" s="1"/>
  <c r="E379" i="17"/>
  <c r="E379" i="31" s="1"/>
  <c r="L379" i="31" s="1"/>
  <c r="C411" i="7"/>
  <c r="D400" i="17"/>
  <c r="D400" i="31" s="1"/>
  <c r="F378" i="17"/>
  <c r="F378" i="31" s="1"/>
  <c r="M378" i="31" s="1"/>
  <c r="D388" i="17"/>
  <c r="D388" i="31" s="1"/>
  <c r="F379" i="17"/>
  <c r="F379" i="31" s="1"/>
  <c r="M379" i="31" s="1"/>
  <c r="E400" i="17"/>
  <c r="E400" i="31" s="1"/>
  <c r="L400" i="31" s="1"/>
  <c r="D405" i="7"/>
  <c r="E394" i="17"/>
  <c r="E394" i="31" s="1"/>
  <c r="L394" i="31" s="1"/>
  <c r="E156" i="13"/>
  <c r="E154" i="13"/>
  <c r="I902" i="7"/>
  <c r="M512" i="17"/>
  <c r="L512" i="17"/>
  <c r="K512" i="17"/>
  <c r="M511" i="17"/>
  <c r="L511" i="17"/>
  <c r="K511" i="17"/>
  <c r="M509" i="17"/>
  <c r="L509" i="17"/>
  <c r="K509" i="17"/>
  <c r="M508" i="17"/>
  <c r="L508" i="17"/>
  <c r="K508" i="17"/>
  <c r="M507" i="17"/>
  <c r="L507" i="17"/>
  <c r="K507" i="17"/>
  <c r="M506" i="17"/>
  <c r="L506" i="17"/>
  <c r="K506" i="17"/>
  <c r="M504" i="17"/>
  <c r="L504" i="17"/>
  <c r="K504" i="17"/>
  <c r="M503" i="17"/>
  <c r="L503" i="17"/>
  <c r="K503" i="17"/>
  <c r="M502" i="17"/>
  <c r="L502" i="17"/>
  <c r="K502" i="17"/>
  <c r="M501" i="17"/>
  <c r="L501" i="17"/>
  <c r="K501" i="17"/>
  <c r="M500" i="17"/>
  <c r="L500" i="17"/>
  <c r="K500" i="17"/>
  <c r="M499" i="17"/>
  <c r="L499" i="17"/>
  <c r="K499" i="17"/>
  <c r="M498" i="17"/>
  <c r="L498" i="17"/>
  <c r="K498" i="17"/>
  <c r="M496" i="17"/>
  <c r="L496" i="17"/>
  <c r="K496" i="17"/>
  <c r="M495" i="17"/>
  <c r="L495" i="17"/>
  <c r="K495" i="17"/>
  <c r="M494" i="17"/>
  <c r="L494" i="17"/>
  <c r="K494" i="17"/>
  <c r="M493" i="17"/>
  <c r="L493" i="17"/>
  <c r="K493" i="17"/>
  <c r="M492" i="17"/>
  <c r="L492" i="17"/>
  <c r="K492" i="17"/>
  <c r="M491" i="17"/>
  <c r="L491" i="17"/>
  <c r="K491" i="17"/>
  <c r="M490" i="17"/>
  <c r="L490" i="17"/>
  <c r="K490" i="17"/>
  <c r="U466" i="7"/>
  <c r="U461" i="7"/>
  <c r="U453" i="7"/>
  <c r="U445" i="7"/>
  <c r="F350" i="17"/>
  <c r="F350" i="31" s="1"/>
  <c r="M350" i="31" s="1"/>
  <c r="U786" i="7" l="1"/>
  <c r="G792" i="17"/>
  <c r="H801" i="7"/>
  <c r="I801" i="7" s="1"/>
  <c r="J801" i="7" s="1"/>
  <c r="G806" i="17" s="1"/>
  <c r="H795" i="7"/>
  <c r="I795" i="7" s="1"/>
  <c r="J795" i="7" s="1"/>
  <c r="G800" i="17" s="1"/>
  <c r="Q154" i="13"/>
  <c r="E804" i="7" s="1"/>
  <c r="F804" i="7" s="1"/>
  <c r="F809" i="17"/>
  <c r="F809" i="31" s="1"/>
  <c r="M809" i="31" s="1"/>
  <c r="Q156" i="13"/>
  <c r="E806" i="7" s="1"/>
  <c r="F806" i="7" s="1"/>
  <c r="F811" i="17"/>
  <c r="F811" i="31" s="1"/>
  <c r="M811" i="31" s="1"/>
  <c r="H797" i="7"/>
  <c r="I797" i="7" s="1"/>
  <c r="J797" i="7" s="1"/>
  <c r="G802" i="17" s="1"/>
  <c r="H803" i="7"/>
  <c r="I803" i="7" s="1"/>
  <c r="D383" i="17"/>
  <c r="D383" i="31" s="1"/>
  <c r="K383" i="31" s="1"/>
  <c r="K392" i="31"/>
  <c r="C392" i="31"/>
  <c r="J392" i="31" s="1"/>
  <c r="K390" i="31"/>
  <c r="C390" i="31"/>
  <c r="J390" i="31" s="1"/>
  <c r="K384" i="31"/>
  <c r="C384" i="31"/>
  <c r="J384" i="31" s="1"/>
  <c r="K388" i="31"/>
  <c r="C388" i="31"/>
  <c r="J388" i="31" s="1"/>
  <c r="K397" i="31"/>
  <c r="C397" i="31"/>
  <c r="J397" i="31" s="1"/>
  <c r="K380" i="31"/>
  <c r="C380" i="31"/>
  <c r="J380" i="31" s="1"/>
  <c r="K400" i="31"/>
  <c r="C400" i="31"/>
  <c r="J400" i="31" s="1"/>
  <c r="K379" i="31"/>
  <c r="C379" i="31"/>
  <c r="J379" i="31" s="1"/>
  <c r="K387" i="31"/>
  <c r="C387" i="31"/>
  <c r="J387" i="31" s="1"/>
  <c r="K394" i="31"/>
  <c r="C394" i="31"/>
  <c r="J394" i="31" s="1"/>
  <c r="C383" i="31"/>
  <c r="J383" i="31" s="1"/>
  <c r="K389" i="31"/>
  <c r="C389" i="31"/>
  <c r="J389" i="31" s="1"/>
  <c r="K399" i="31"/>
  <c r="C399" i="31"/>
  <c r="J399" i="31" s="1"/>
  <c r="K378" i="31"/>
  <c r="C378" i="31"/>
  <c r="J378" i="31" s="1"/>
  <c r="K381" i="31"/>
  <c r="C381" i="31"/>
  <c r="J381" i="31" s="1"/>
  <c r="K378" i="17"/>
  <c r="N389" i="7"/>
  <c r="K390" i="17"/>
  <c r="M395" i="17"/>
  <c r="L382" i="17"/>
  <c r="K383" i="17"/>
  <c r="O393" i="7"/>
  <c r="M389" i="17"/>
  <c r="P400" i="7"/>
  <c r="M425" i="17"/>
  <c r="D411" i="7"/>
  <c r="E390" i="7"/>
  <c r="C399" i="7"/>
  <c r="E389" i="7"/>
  <c r="K389" i="7" s="1"/>
  <c r="C390" i="7"/>
  <c r="E395" i="7"/>
  <c r="E398" i="7"/>
  <c r="D394" i="7"/>
  <c r="P398" i="7"/>
  <c r="Q398" i="7" s="1"/>
  <c r="M387" i="17"/>
  <c r="K391" i="17"/>
  <c r="K396" i="17"/>
  <c r="N407" i="7"/>
  <c r="K379" i="17"/>
  <c r="N390" i="7"/>
  <c r="L383" i="17"/>
  <c r="L386" i="17"/>
  <c r="K418" i="17"/>
  <c r="O397" i="7"/>
  <c r="L416" i="17"/>
  <c r="L391" i="17"/>
  <c r="M409" i="17"/>
  <c r="K422" i="17"/>
  <c r="N401" i="7"/>
  <c r="M419" i="17"/>
  <c r="M414" i="17"/>
  <c r="L418" i="17"/>
  <c r="M408" i="17"/>
  <c r="K412" i="17"/>
  <c r="M384" i="17"/>
  <c r="K425" i="17"/>
  <c r="K427" i="17"/>
  <c r="K408" i="17"/>
  <c r="L400" i="17"/>
  <c r="Q411" i="7"/>
  <c r="L389" i="17"/>
  <c r="L384" i="17"/>
  <c r="O395" i="7"/>
  <c r="K388" i="17"/>
  <c r="N399" i="7"/>
  <c r="M399" i="17"/>
  <c r="P410" i="7"/>
  <c r="Q410" i="7" s="1"/>
  <c r="M378" i="17"/>
  <c r="P389" i="7"/>
  <c r="K400" i="17"/>
  <c r="S411" i="7"/>
  <c r="L407" i="17"/>
  <c r="L396" i="17"/>
  <c r="O407" i="7"/>
  <c r="Q407" i="7" s="1"/>
  <c r="K415" i="17"/>
  <c r="K420" i="17"/>
  <c r="K381" i="17"/>
  <c r="L422" i="17"/>
  <c r="M382" i="17"/>
  <c r="P393" i="7"/>
  <c r="E389" i="17"/>
  <c r="E389" i="31" s="1"/>
  <c r="L389" i="31" s="1"/>
  <c r="E384" i="17"/>
  <c r="E384" i="31" s="1"/>
  <c r="L384" i="31" s="1"/>
  <c r="F399" i="17"/>
  <c r="F399" i="31" s="1"/>
  <c r="M399" i="31" s="1"/>
  <c r="D391" i="17"/>
  <c r="D391" i="31" s="1"/>
  <c r="E386" i="17"/>
  <c r="E386" i="31" s="1"/>
  <c r="L386" i="31" s="1"/>
  <c r="D396" i="17"/>
  <c r="D396" i="31" s="1"/>
  <c r="M416" i="17"/>
  <c r="M390" i="17"/>
  <c r="P401" i="7"/>
  <c r="K406" i="17"/>
  <c r="K409" i="17"/>
  <c r="L397" i="17"/>
  <c r="P406" i="7"/>
  <c r="Q406" i="7" s="1"/>
  <c r="S406" i="7" s="1"/>
  <c r="M423" i="17"/>
  <c r="K411" i="17"/>
  <c r="L394" i="17"/>
  <c r="M407" i="17"/>
  <c r="O394" i="7"/>
  <c r="Q394" i="7" s="1"/>
  <c r="L424" i="17"/>
  <c r="M417" i="17"/>
  <c r="M410" i="17"/>
  <c r="M397" i="17"/>
  <c r="M418" i="17"/>
  <c r="L425" i="17"/>
  <c r="L419" i="17"/>
  <c r="N392" i="7"/>
  <c r="D400" i="7"/>
  <c r="D395" i="7"/>
  <c r="E410" i="7"/>
  <c r="C402" i="7"/>
  <c r="D397" i="7"/>
  <c r="C407" i="7"/>
  <c r="Q403" i="7"/>
  <c r="M415" i="17"/>
  <c r="K419" i="17"/>
  <c r="K424" i="17"/>
  <c r="K407" i="17"/>
  <c r="L411" i="17"/>
  <c r="L414" i="17"/>
  <c r="P399" i="7"/>
  <c r="M388" i="17"/>
  <c r="L388" i="17"/>
  <c r="O399" i="7"/>
  <c r="Q399" i="7" s="1"/>
  <c r="M381" i="17"/>
  <c r="Q392" i="7"/>
  <c r="K394" i="17"/>
  <c r="M391" i="17"/>
  <c r="P402" i="7"/>
  <c r="L410" i="17"/>
  <c r="M386" i="17"/>
  <c r="Q397" i="7"/>
  <c r="L390" i="17"/>
  <c r="M380" i="17"/>
  <c r="P391" i="7"/>
  <c r="Q391" i="7" s="1"/>
  <c r="K384" i="17"/>
  <c r="O402" i="7"/>
  <c r="M412" i="17"/>
  <c r="K397" i="17"/>
  <c r="K399" i="17"/>
  <c r="K380" i="17"/>
  <c r="N391" i="7"/>
  <c r="N394" i="7"/>
  <c r="O405" i="7"/>
  <c r="Q405" i="7" s="1"/>
  <c r="L428" i="17"/>
  <c r="L417" i="17"/>
  <c r="M379" i="17"/>
  <c r="P390" i="7"/>
  <c r="L412" i="17"/>
  <c r="K416" i="17"/>
  <c r="M427" i="17"/>
  <c r="M406" i="17"/>
  <c r="K428" i="17"/>
  <c r="L379" i="17"/>
  <c r="O390" i="7"/>
  <c r="O408" i="7"/>
  <c r="K387" i="17"/>
  <c r="K392" i="17"/>
  <c r="N405" i="7"/>
  <c r="L490" i="31"/>
  <c r="L494" i="31"/>
  <c r="K498" i="31"/>
  <c r="K502" i="31"/>
  <c r="K512" i="31"/>
  <c r="M493" i="31"/>
  <c r="M491" i="31"/>
  <c r="K493" i="31"/>
  <c r="M495" i="31"/>
  <c r="L499" i="31"/>
  <c r="M500" i="31"/>
  <c r="L503" i="31"/>
  <c r="M504" i="31"/>
  <c r="K507" i="31"/>
  <c r="L508" i="31"/>
  <c r="M509" i="31"/>
  <c r="Q446" i="7"/>
  <c r="M490" i="31"/>
  <c r="K492" i="31"/>
  <c r="L493" i="31"/>
  <c r="Q450" i="7"/>
  <c r="M494" i="31"/>
  <c r="K496" i="31"/>
  <c r="L498" i="31"/>
  <c r="M499" i="31"/>
  <c r="K501" i="31"/>
  <c r="L502" i="31"/>
  <c r="Q459" i="7"/>
  <c r="M503" i="31"/>
  <c r="K506" i="31"/>
  <c r="L507" i="31"/>
  <c r="Q464" i="7"/>
  <c r="M508" i="31"/>
  <c r="K511" i="31"/>
  <c r="L512" i="31"/>
  <c r="K491" i="31"/>
  <c r="L492" i="31"/>
  <c r="K495" i="31"/>
  <c r="L496" i="31"/>
  <c r="Q454" i="7"/>
  <c r="M498" i="31"/>
  <c r="K500" i="31"/>
  <c r="L501" i="31"/>
  <c r="M502" i="31"/>
  <c r="K504" i="31"/>
  <c r="L506" i="31"/>
  <c r="Q463" i="7"/>
  <c r="T463" i="7" s="1"/>
  <c r="M507" i="31"/>
  <c r="K509" i="31"/>
  <c r="L511" i="31"/>
  <c r="Q468" i="7"/>
  <c r="M512" i="31"/>
  <c r="K490" i="31"/>
  <c r="Q447" i="7"/>
  <c r="L491" i="31"/>
  <c r="M492" i="31"/>
  <c r="K494" i="31"/>
  <c r="L495" i="31"/>
  <c r="Q452" i="7"/>
  <c r="T452" i="7" s="1"/>
  <c r="M496" i="31"/>
  <c r="K499" i="31"/>
  <c r="Q456" i="7"/>
  <c r="S456" i="7" s="1"/>
  <c r="L500" i="31"/>
  <c r="Q457" i="7"/>
  <c r="S457" i="7" s="1"/>
  <c r="M501" i="31"/>
  <c r="K503" i="31"/>
  <c r="L504" i="31"/>
  <c r="Q462" i="7"/>
  <c r="S462" i="7" s="1"/>
  <c r="M506" i="31"/>
  <c r="K508" i="31"/>
  <c r="L509" i="31"/>
  <c r="M511" i="31"/>
  <c r="Q458" i="7"/>
  <c r="I910" i="7"/>
  <c r="I909" i="7"/>
  <c r="F566" i="17"/>
  <c r="E566" i="17"/>
  <c r="D566" i="17"/>
  <c r="F565" i="17"/>
  <c r="E565" i="17"/>
  <c r="D565" i="17"/>
  <c r="F563" i="17"/>
  <c r="E563" i="17"/>
  <c r="D563" i="17"/>
  <c r="F562" i="17"/>
  <c r="E562" i="17"/>
  <c r="D562" i="17"/>
  <c r="F561" i="17"/>
  <c r="E561" i="17"/>
  <c r="D561" i="17"/>
  <c r="F560" i="17"/>
  <c r="F560" i="31" s="1"/>
  <c r="E560" i="17"/>
  <c r="D560" i="17"/>
  <c r="F558" i="17"/>
  <c r="F558" i="31" s="1"/>
  <c r="E558" i="17"/>
  <c r="D558" i="17"/>
  <c r="F557" i="17"/>
  <c r="E557" i="17"/>
  <c r="D557" i="17"/>
  <c r="F556" i="17"/>
  <c r="E556" i="17"/>
  <c r="D556" i="17"/>
  <c r="F555" i="17"/>
  <c r="E555" i="17"/>
  <c r="D555" i="17"/>
  <c r="F554" i="17"/>
  <c r="F554" i="31" s="1"/>
  <c r="E554" i="17"/>
  <c r="D554" i="17"/>
  <c r="F553" i="17"/>
  <c r="E553" i="17"/>
  <c r="D553" i="17"/>
  <c r="D553" i="31" s="1"/>
  <c r="F552" i="17"/>
  <c r="E552" i="17"/>
  <c r="D552" i="17"/>
  <c r="F550" i="17"/>
  <c r="E550" i="17"/>
  <c r="D550" i="17"/>
  <c r="F549" i="17"/>
  <c r="E549" i="17"/>
  <c r="D549" i="17"/>
  <c r="F548" i="17"/>
  <c r="E548" i="17"/>
  <c r="D548" i="17"/>
  <c r="D548" i="31" s="1"/>
  <c r="F547" i="17"/>
  <c r="E547" i="17"/>
  <c r="D547" i="17"/>
  <c r="F546" i="17"/>
  <c r="F546" i="31" s="1"/>
  <c r="E546" i="17"/>
  <c r="E546" i="31" s="1"/>
  <c r="D546" i="17"/>
  <c r="F545" i="17"/>
  <c r="E545" i="17"/>
  <c r="D545" i="17"/>
  <c r="F544" i="17"/>
  <c r="E544" i="17"/>
  <c r="D544" i="17"/>
  <c r="Q389" i="7" l="1"/>
  <c r="V389" i="7"/>
  <c r="H804" i="7"/>
  <c r="I804" i="7" s="1"/>
  <c r="H806" i="7"/>
  <c r="I806" i="7" s="1"/>
  <c r="J806" i="7"/>
  <c r="G811" i="17" s="1"/>
  <c r="T394" i="7"/>
  <c r="S410" i="7"/>
  <c r="T403" i="7"/>
  <c r="K391" i="31"/>
  <c r="C391" i="31"/>
  <c r="J391" i="31" s="1"/>
  <c r="K396" i="31"/>
  <c r="C396" i="31"/>
  <c r="J396" i="31" s="1"/>
  <c r="Q460" i="7"/>
  <c r="T389" i="7"/>
  <c r="S391" i="7"/>
  <c r="T407" i="7"/>
  <c r="T411" i="7"/>
  <c r="U411" i="7" s="1"/>
  <c r="N400" i="17" s="1"/>
  <c r="S398" i="7"/>
  <c r="Q402" i="7"/>
  <c r="T402" i="7" s="1"/>
  <c r="Q390" i="7"/>
  <c r="T390" i="7" s="1"/>
  <c r="S392" i="7"/>
  <c r="T392" i="7"/>
  <c r="T405" i="7"/>
  <c r="T391" i="7"/>
  <c r="T397" i="7"/>
  <c r="S405" i="7"/>
  <c r="S399" i="7"/>
  <c r="T398" i="7"/>
  <c r="T406" i="7"/>
  <c r="U406" i="7" s="1"/>
  <c r="N395" i="17" s="1"/>
  <c r="S394" i="7"/>
  <c r="U394" i="7" s="1"/>
  <c r="N383" i="17" s="1"/>
  <c r="S389" i="7"/>
  <c r="T399" i="7"/>
  <c r="Q401" i="7"/>
  <c r="T401" i="7" s="1"/>
  <c r="Q393" i="7"/>
  <c r="T410" i="7"/>
  <c r="Q400" i="7"/>
  <c r="S407" i="7"/>
  <c r="T454" i="7"/>
  <c r="S403" i="7"/>
  <c r="S397" i="7"/>
  <c r="Q408" i="7"/>
  <c r="T408" i="7" s="1"/>
  <c r="Q395" i="7"/>
  <c r="T395" i="7" s="1"/>
  <c r="Q448" i="7"/>
  <c r="T448" i="7" s="1"/>
  <c r="T446" i="7"/>
  <c r="S459" i="7"/>
  <c r="Q465" i="7"/>
  <c r="S465" i="7" s="1"/>
  <c r="S464" i="7"/>
  <c r="Q451" i="7"/>
  <c r="S451" i="7" s="1"/>
  <c r="S468" i="7"/>
  <c r="T468" i="7"/>
  <c r="Q467" i="7"/>
  <c r="S467" i="7" s="1"/>
  <c r="S450" i="7"/>
  <c r="Q455" i="7"/>
  <c r="T455" i="7" s="1"/>
  <c r="Q449" i="7"/>
  <c r="S449" i="7" s="1"/>
  <c r="S458" i="7"/>
  <c r="F566" i="31"/>
  <c r="D566" i="31"/>
  <c r="E566" i="31"/>
  <c r="E565" i="31"/>
  <c r="F565" i="31"/>
  <c r="D565" i="31"/>
  <c r="F561" i="31"/>
  <c r="E563" i="31"/>
  <c r="D561" i="31"/>
  <c r="E562" i="31"/>
  <c r="F563" i="31"/>
  <c r="D563" i="31"/>
  <c r="D562" i="31"/>
  <c r="E561" i="31"/>
  <c r="F562" i="31"/>
  <c r="E560" i="31"/>
  <c r="D560" i="31"/>
  <c r="F552" i="31"/>
  <c r="E555" i="31"/>
  <c r="D558" i="31"/>
  <c r="F555" i="31"/>
  <c r="E558" i="31"/>
  <c r="D552" i="31"/>
  <c r="E553" i="31"/>
  <c r="D556" i="31"/>
  <c r="E557" i="31"/>
  <c r="D554" i="31"/>
  <c r="F556" i="31"/>
  <c r="E554" i="31"/>
  <c r="D557" i="31"/>
  <c r="E552" i="31"/>
  <c r="F553" i="31"/>
  <c r="D555" i="31"/>
  <c r="E556" i="31"/>
  <c r="F557" i="31"/>
  <c r="F549" i="31"/>
  <c r="F548" i="31"/>
  <c r="F545" i="31"/>
  <c r="E548" i="31"/>
  <c r="E550" i="31"/>
  <c r="E549" i="31"/>
  <c r="E545" i="31"/>
  <c r="D549" i="31"/>
  <c r="D550" i="31"/>
  <c r="D545" i="31"/>
  <c r="D546" i="31"/>
  <c r="F550" i="31"/>
  <c r="F547" i="31"/>
  <c r="F544" i="31"/>
  <c r="E547" i="31"/>
  <c r="E544" i="31"/>
  <c r="D547" i="31"/>
  <c r="D544" i="31"/>
  <c r="T460" i="7"/>
  <c r="S460" i="7"/>
  <c r="S446" i="7"/>
  <c r="S452" i="7"/>
  <c r="S447" i="7"/>
  <c r="T458" i="7"/>
  <c r="U458" i="7" s="1"/>
  <c r="U452" i="7"/>
  <c r="T464" i="7"/>
  <c r="U460" i="7"/>
  <c r="T457" i="7"/>
  <c r="U457" i="7" s="1"/>
  <c r="S454" i="7"/>
  <c r="U446" i="7"/>
  <c r="U454" i="7"/>
  <c r="S463" i="7"/>
  <c r="T447" i="7"/>
  <c r="U447" i="7" s="1"/>
  <c r="T456" i="7"/>
  <c r="U456" i="7" s="1"/>
  <c r="T459" i="7"/>
  <c r="U459" i="7" s="1"/>
  <c r="T450" i="7"/>
  <c r="T462" i="7"/>
  <c r="U450" i="7"/>
  <c r="J494" i="7"/>
  <c r="J489" i="7"/>
  <c r="J481" i="7"/>
  <c r="J473" i="7"/>
  <c r="J466" i="7"/>
  <c r="J461" i="7"/>
  <c r="J453" i="7"/>
  <c r="J445" i="7"/>
  <c r="F411" i="7"/>
  <c r="F410" i="7"/>
  <c r="F408" i="7"/>
  <c r="F407" i="7"/>
  <c r="F406" i="7"/>
  <c r="F405" i="7"/>
  <c r="F403" i="7"/>
  <c r="F402" i="7"/>
  <c r="F401" i="7"/>
  <c r="F400" i="7"/>
  <c r="F399" i="7"/>
  <c r="F398" i="7"/>
  <c r="F397" i="7"/>
  <c r="F395" i="7"/>
  <c r="F394" i="7"/>
  <c r="F393" i="7"/>
  <c r="F392" i="7"/>
  <c r="F391" i="7"/>
  <c r="F390" i="7"/>
  <c r="F389" i="7"/>
  <c r="U407" i="7" l="1"/>
  <c r="N396" i="17" s="1"/>
  <c r="U410" i="7"/>
  <c r="N399" i="17" s="1"/>
  <c r="U403" i="7"/>
  <c r="N392" i="17" s="1"/>
  <c r="U391" i="7"/>
  <c r="N380" i="17" s="1"/>
  <c r="U392" i="7"/>
  <c r="N381" i="17" s="1"/>
  <c r="U398" i="7"/>
  <c r="N387" i="17" s="1"/>
  <c r="S402" i="7"/>
  <c r="U402" i="7" s="1"/>
  <c r="N391" i="17" s="1"/>
  <c r="U397" i="7"/>
  <c r="N386" i="17" s="1"/>
  <c r="U389" i="7"/>
  <c r="N378" i="17" s="1"/>
  <c r="S408" i="7"/>
  <c r="U408" i="7" s="1"/>
  <c r="N397" i="17" s="1"/>
  <c r="U399" i="7"/>
  <c r="N388" i="17" s="1"/>
  <c r="U405" i="7"/>
  <c r="N394" i="17" s="1"/>
  <c r="S455" i="7"/>
  <c r="U455" i="7" s="1"/>
  <c r="S390" i="7"/>
  <c r="U390" i="7" s="1"/>
  <c r="N379" i="17" s="1"/>
  <c r="S401" i="7"/>
  <c r="U401" i="7" s="1"/>
  <c r="N390" i="17" s="1"/>
  <c r="S395" i="7"/>
  <c r="U395" i="7" s="1"/>
  <c r="N384" i="17" s="1"/>
  <c r="T393" i="7"/>
  <c r="S393" i="7"/>
  <c r="T400" i="7"/>
  <c r="S400" i="7"/>
  <c r="U448" i="7"/>
  <c r="S448" i="7"/>
  <c r="T449" i="7"/>
  <c r="U449" i="7"/>
  <c r="T451" i="7"/>
  <c r="U451" i="7" s="1"/>
  <c r="T465" i="7"/>
  <c r="T467" i="7"/>
  <c r="I905" i="7"/>
  <c r="I904" i="7"/>
  <c r="U400" i="7" l="1"/>
  <c r="N389" i="17" s="1"/>
  <c r="U393" i="7"/>
  <c r="N382" i="17" s="1"/>
  <c r="I897" i="7"/>
  <c r="I896" i="7"/>
  <c r="J436" i="7"/>
  <c r="J431" i="7"/>
  <c r="J423" i="7"/>
  <c r="J415" i="7"/>
  <c r="J409" i="7"/>
  <c r="I408" i="7"/>
  <c r="H408" i="7"/>
  <c r="I407" i="7"/>
  <c r="H407" i="7"/>
  <c r="I406" i="7"/>
  <c r="H406" i="7"/>
  <c r="I405" i="7"/>
  <c r="H405" i="7"/>
  <c r="J404" i="7"/>
  <c r="I403" i="7"/>
  <c r="H403" i="7"/>
  <c r="I402" i="7"/>
  <c r="H402" i="7"/>
  <c r="I401" i="7"/>
  <c r="H401" i="7"/>
  <c r="I400" i="7"/>
  <c r="H400" i="7"/>
  <c r="I399" i="7"/>
  <c r="H399" i="7"/>
  <c r="I398" i="7"/>
  <c r="H398" i="7"/>
  <c r="I397" i="7"/>
  <c r="H397" i="7"/>
  <c r="J396" i="7"/>
  <c r="I395" i="7"/>
  <c r="I394" i="7"/>
  <c r="I393" i="7"/>
  <c r="I392" i="7"/>
  <c r="I391" i="7"/>
  <c r="I390" i="7"/>
  <c r="I389" i="7"/>
  <c r="J388" i="7"/>
  <c r="I882" i="7"/>
  <c r="I881" i="7"/>
  <c r="J398" i="7" l="1"/>
  <c r="J397" i="7"/>
  <c r="J405" i="7"/>
  <c r="J408" i="7"/>
  <c r="G397" i="17" s="1"/>
  <c r="J406" i="7"/>
  <c r="J407" i="7"/>
  <c r="J400" i="7"/>
  <c r="J401" i="7"/>
  <c r="J402" i="7"/>
  <c r="J403" i="7"/>
  <c r="G392" i="17" s="1"/>
  <c r="H410" i="7"/>
  <c r="H411" i="7"/>
  <c r="J399" i="7"/>
  <c r="H389" i="7"/>
  <c r="J389" i="7" s="1"/>
  <c r="H390" i="7"/>
  <c r="J390" i="7" s="1"/>
  <c r="H391" i="7"/>
  <c r="J391" i="7" s="1"/>
  <c r="H392" i="7"/>
  <c r="J392" i="7" s="1"/>
  <c r="H393" i="7"/>
  <c r="J393" i="7" s="1"/>
  <c r="H394" i="7"/>
  <c r="J394" i="7" s="1"/>
  <c r="H395" i="7"/>
  <c r="J395" i="7" s="1"/>
  <c r="G384" i="17" s="1"/>
  <c r="I410" i="7"/>
  <c r="I411" i="7"/>
  <c r="F787" i="17"/>
  <c r="F787" i="31" s="1"/>
  <c r="E787" i="17"/>
  <c r="E787" i="31" s="1"/>
  <c r="D787" i="17"/>
  <c r="D787" i="31" s="1"/>
  <c r="F786" i="17"/>
  <c r="F786" i="31" s="1"/>
  <c r="E786" i="17"/>
  <c r="E786" i="31" s="1"/>
  <c r="D786" i="17"/>
  <c r="D786" i="31" s="1"/>
  <c r="F784" i="17"/>
  <c r="F784" i="31" s="1"/>
  <c r="E784" i="17"/>
  <c r="E784" i="31" s="1"/>
  <c r="D784" i="17"/>
  <c r="D784" i="31" s="1"/>
  <c r="F783" i="17"/>
  <c r="F783" i="31" s="1"/>
  <c r="E783" i="17"/>
  <c r="E783" i="31" s="1"/>
  <c r="D783" i="17"/>
  <c r="D783" i="31" s="1"/>
  <c r="F782" i="17"/>
  <c r="F782" i="31" s="1"/>
  <c r="E782" i="17"/>
  <c r="E782" i="31" s="1"/>
  <c r="D782" i="17"/>
  <c r="D782" i="31" s="1"/>
  <c r="F781" i="17"/>
  <c r="F781" i="31" s="1"/>
  <c r="E781" i="17"/>
  <c r="E781" i="31" s="1"/>
  <c r="D781" i="17"/>
  <c r="D781" i="31" s="1"/>
  <c r="F779" i="17"/>
  <c r="F779" i="31" s="1"/>
  <c r="E779" i="17"/>
  <c r="E779" i="31" s="1"/>
  <c r="D779" i="17"/>
  <c r="D779" i="31" s="1"/>
  <c r="F778" i="17"/>
  <c r="F778" i="31" s="1"/>
  <c r="E778" i="17"/>
  <c r="E778" i="31" s="1"/>
  <c r="D778" i="17"/>
  <c r="D778" i="31" s="1"/>
  <c r="F777" i="17"/>
  <c r="F777" i="31" s="1"/>
  <c r="E777" i="17"/>
  <c r="E777" i="31" s="1"/>
  <c r="D777" i="17"/>
  <c r="D777" i="31" s="1"/>
  <c r="F776" i="17"/>
  <c r="F776" i="31" s="1"/>
  <c r="E776" i="17"/>
  <c r="E776" i="31" s="1"/>
  <c r="D776" i="17"/>
  <c r="D776" i="31" s="1"/>
  <c r="F775" i="17"/>
  <c r="F775" i="31" s="1"/>
  <c r="E775" i="17"/>
  <c r="E775" i="31" s="1"/>
  <c r="D775" i="17"/>
  <c r="D775" i="31" s="1"/>
  <c r="F774" i="17"/>
  <c r="F774" i="31" s="1"/>
  <c r="E774" i="17"/>
  <c r="E774" i="31" s="1"/>
  <c r="D774" i="17"/>
  <c r="D774" i="31" s="1"/>
  <c r="F773" i="17"/>
  <c r="F773" i="31" s="1"/>
  <c r="E773" i="17"/>
  <c r="E773" i="31" s="1"/>
  <c r="D773" i="17"/>
  <c r="D773" i="31" s="1"/>
  <c r="F771" i="17"/>
  <c r="F771" i="31" s="1"/>
  <c r="E771" i="17"/>
  <c r="E771" i="31" s="1"/>
  <c r="D771" i="17"/>
  <c r="D771" i="31" s="1"/>
  <c r="F770" i="17"/>
  <c r="F770" i="31" s="1"/>
  <c r="E770" i="17"/>
  <c r="E770" i="31" s="1"/>
  <c r="D770" i="17"/>
  <c r="D770" i="31" s="1"/>
  <c r="F769" i="17"/>
  <c r="F769" i="31" s="1"/>
  <c r="E769" i="17"/>
  <c r="E769" i="31" s="1"/>
  <c r="D769" i="17"/>
  <c r="D769" i="31" s="1"/>
  <c r="F768" i="17"/>
  <c r="F768" i="31" s="1"/>
  <c r="E768" i="17"/>
  <c r="E768" i="31" s="1"/>
  <c r="D768" i="17"/>
  <c r="D768" i="31" s="1"/>
  <c r="F767" i="17"/>
  <c r="F767" i="31" s="1"/>
  <c r="E767" i="17"/>
  <c r="E767" i="31" s="1"/>
  <c r="D767" i="17"/>
  <c r="D767" i="31" s="1"/>
  <c r="F766" i="17"/>
  <c r="F766" i="31" s="1"/>
  <c r="E766" i="17"/>
  <c r="E766" i="31" s="1"/>
  <c r="D766" i="17"/>
  <c r="D766" i="31" s="1"/>
  <c r="F765" i="17"/>
  <c r="F765" i="31" s="1"/>
  <c r="E765" i="17"/>
  <c r="E765" i="31" s="1"/>
  <c r="D765" i="17"/>
  <c r="D765" i="31" s="1"/>
  <c r="F760" i="17"/>
  <c r="F760" i="31" s="1"/>
  <c r="E760" i="17"/>
  <c r="E760" i="31" s="1"/>
  <c r="D760" i="17"/>
  <c r="D760" i="31" s="1"/>
  <c r="F759" i="17"/>
  <c r="F759" i="31" s="1"/>
  <c r="E759" i="17"/>
  <c r="E759" i="31" s="1"/>
  <c r="D759" i="17"/>
  <c r="D759" i="31" s="1"/>
  <c r="F757" i="17"/>
  <c r="F757" i="31" s="1"/>
  <c r="E757" i="17"/>
  <c r="E757" i="31" s="1"/>
  <c r="D757" i="17"/>
  <c r="D757" i="31" s="1"/>
  <c r="F756" i="17"/>
  <c r="F756" i="31" s="1"/>
  <c r="E756" i="17"/>
  <c r="E756" i="31" s="1"/>
  <c r="D756" i="17"/>
  <c r="D756" i="31" s="1"/>
  <c r="F755" i="17"/>
  <c r="F755" i="31" s="1"/>
  <c r="E755" i="17"/>
  <c r="E755" i="31" s="1"/>
  <c r="D755" i="17"/>
  <c r="D755" i="31" s="1"/>
  <c r="F754" i="17"/>
  <c r="F754" i="31" s="1"/>
  <c r="E754" i="17"/>
  <c r="E754" i="31" s="1"/>
  <c r="D754" i="17"/>
  <c r="D754" i="31" s="1"/>
  <c r="F752" i="17"/>
  <c r="F752" i="31" s="1"/>
  <c r="E752" i="17"/>
  <c r="E752" i="31" s="1"/>
  <c r="D752" i="17"/>
  <c r="D752" i="31" s="1"/>
  <c r="F751" i="17"/>
  <c r="F751" i="31" s="1"/>
  <c r="E751" i="17"/>
  <c r="E751" i="31" s="1"/>
  <c r="D751" i="17"/>
  <c r="D751" i="31" s="1"/>
  <c r="F750" i="17"/>
  <c r="F750" i="31" s="1"/>
  <c r="E750" i="17"/>
  <c r="E750" i="31" s="1"/>
  <c r="D750" i="17"/>
  <c r="D750" i="31" s="1"/>
  <c r="F749" i="17"/>
  <c r="F749" i="31" s="1"/>
  <c r="E749" i="17"/>
  <c r="E749" i="31" s="1"/>
  <c r="D749" i="17"/>
  <c r="D749" i="31" s="1"/>
  <c r="F748" i="17"/>
  <c r="F748" i="31" s="1"/>
  <c r="E748" i="17"/>
  <c r="E748" i="31" s="1"/>
  <c r="D748" i="17"/>
  <c r="D748" i="31" s="1"/>
  <c r="F747" i="17"/>
  <c r="F747" i="31" s="1"/>
  <c r="E747" i="17"/>
  <c r="E747" i="31" s="1"/>
  <c r="D747" i="17"/>
  <c r="D747" i="31" s="1"/>
  <c r="F746" i="17"/>
  <c r="F746" i="31" s="1"/>
  <c r="E746" i="17"/>
  <c r="E746" i="31" s="1"/>
  <c r="D746" i="17"/>
  <c r="D746" i="31" s="1"/>
  <c r="F744" i="17"/>
  <c r="F744" i="31" s="1"/>
  <c r="E744" i="17"/>
  <c r="E744" i="31" s="1"/>
  <c r="D744" i="17"/>
  <c r="D744" i="31" s="1"/>
  <c r="F743" i="17"/>
  <c r="F743" i="31" s="1"/>
  <c r="E743" i="17"/>
  <c r="E743" i="31" s="1"/>
  <c r="D743" i="17"/>
  <c r="D743" i="31" s="1"/>
  <c r="F742" i="17"/>
  <c r="F742" i="31" s="1"/>
  <c r="E742" i="17"/>
  <c r="E742" i="31" s="1"/>
  <c r="D742" i="17"/>
  <c r="D742" i="31" s="1"/>
  <c r="F741" i="17"/>
  <c r="F741" i="31" s="1"/>
  <c r="E741" i="17"/>
  <c r="E741" i="31" s="1"/>
  <c r="D741" i="17"/>
  <c r="D741" i="31" s="1"/>
  <c r="F740" i="17"/>
  <c r="F740" i="31" s="1"/>
  <c r="E740" i="17"/>
  <c r="E740" i="31" s="1"/>
  <c r="D740" i="17"/>
  <c r="D740" i="31" s="1"/>
  <c r="F739" i="17"/>
  <c r="F739" i="31" s="1"/>
  <c r="E739" i="17"/>
  <c r="E739" i="31" s="1"/>
  <c r="D739" i="17"/>
  <c r="D739" i="31" s="1"/>
  <c r="F738" i="17"/>
  <c r="F738" i="31" s="1"/>
  <c r="E738" i="17"/>
  <c r="E738" i="31" s="1"/>
  <c r="D738" i="17"/>
  <c r="D738" i="31" s="1"/>
  <c r="M623" i="17"/>
  <c r="M623" i="31" s="1"/>
  <c r="L623" i="17"/>
  <c r="L623" i="31" s="1"/>
  <c r="M622" i="17"/>
  <c r="M622" i="31" s="1"/>
  <c r="L622" i="17"/>
  <c r="L622" i="31" s="1"/>
  <c r="M620" i="17"/>
  <c r="M620" i="31" s="1"/>
  <c r="L620" i="17"/>
  <c r="L620" i="31" s="1"/>
  <c r="M619" i="17"/>
  <c r="M619" i="31" s="1"/>
  <c r="L619" i="17"/>
  <c r="L619" i="31" s="1"/>
  <c r="M618" i="17"/>
  <c r="M618" i="31" s="1"/>
  <c r="L618" i="17"/>
  <c r="L618" i="31" s="1"/>
  <c r="M617" i="17"/>
  <c r="M617" i="31" s="1"/>
  <c r="L617" i="17"/>
  <c r="L617" i="31" s="1"/>
  <c r="M615" i="17"/>
  <c r="M615" i="31" s="1"/>
  <c r="L615" i="17"/>
  <c r="L615" i="31" s="1"/>
  <c r="M614" i="17"/>
  <c r="M614" i="31" s="1"/>
  <c r="L614" i="17"/>
  <c r="L614" i="31" s="1"/>
  <c r="M613" i="17"/>
  <c r="M613" i="31" s="1"/>
  <c r="L613" i="17"/>
  <c r="L613" i="31" s="1"/>
  <c r="M612" i="17"/>
  <c r="M612" i="31" s="1"/>
  <c r="L612" i="17"/>
  <c r="L612" i="31" s="1"/>
  <c r="M611" i="17"/>
  <c r="M611" i="31" s="1"/>
  <c r="L611" i="17"/>
  <c r="L611" i="31" s="1"/>
  <c r="M610" i="17"/>
  <c r="M610" i="31" s="1"/>
  <c r="L610" i="17"/>
  <c r="L610" i="31" s="1"/>
  <c r="M609" i="17"/>
  <c r="M609" i="31" s="1"/>
  <c r="L609" i="17"/>
  <c r="L609" i="31" s="1"/>
  <c r="M607" i="17"/>
  <c r="M607" i="31" s="1"/>
  <c r="L607" i="17"/>
  <c r="L607" i="31" s="1"/>
  <c r="M606" i="17"/>
  <c r="M606" i="31" s="1"/>
  <c r="L606" i="17"/>
  <c r="L606" i="31" s="1"/>
  <c r="M605" i="17"/>
  <c r="M605" i="31" s="1"/>
  <c r="L605" i="17"/>
  <c r="L605" i="31" s="1"/>
  <c r="M604" i="17"/>
  <c r="M604" i="31" s="1"/>
  <c r="L604" i="17"/>
  <c r="L604" i="31" s="1"/>
  <c r="M603" i="17"/>
  <c r="M603" i="31" s="1"/>
  <c r="L603" i="17"/>
  <c r="L603" i="31" s="1"/>
  <c r="M602" i="17"/>
  <c r="M602" i="31" s="1"/>
  <c r="L602" i="17"/>
  <c r="L602" i="31" s="1"/>
  <c r="M601" i="17"/>
  <c r="M601" i="31" s="1"/>
  <c r="L601" i="17"/>
  <c r="L601" i="31" s="1"/>
  <c r="K623" i="17"/>
  <c r="K623" i="31" s="1"/>
  <c r="K622" i="17"/>
  <c r="K622" i="31" s="1"/>
  <c r="K620" i="17"/>
  <c r="K620" i="31" s="1"/>
  <c r="K619" i="17"/>
  <c r="K619" i="31" s="1"/>
  <c r="K618" i="17"/>
  <c r="K618" i="31" s="1"/>
  <c r="K617" i="17"/>
  <c r="K617" i="31" s="1"/>
  <c r="K615" i="17"/>
  <c r="K614" i="17"/>
  <c r="K614" i="31" s="1"/>
  <c r="K613" i="17"/>
  <c r="K613" i="31" s="1"/>
  <c r="K612" i="17"/>
  <c r="K612" i="31" s="1"/>
  <c r="K611" i="17"/>
  <c r="K611" i="31" s="1"/>
  <c r="K610" i="17"/>
  <c r="K610" i="31" s="1"/>
  <c r="K609" i="17"/>
  <c r="K609" i="31" s="1"/>
  <c r="K607" i="17"/>
  <c r="K607" i="31" s="1"/>
  <c r="K606" i="17"/>
  <c r="K606" i="31" s="1"/>
  <c r="K605" i="17"/>
  <c r="K605" i="31" s="1"/>
  <c r="K604" i="17"/>
  <c r="K604" i="31" s="1"/>
  <c r="K603" i="17"/>
  <c r="K603" i="31" s="1"/>
  <c r="K602" i="17"/>
  <c r="K602" i="31" s="1"/>
  <c r="K601" i="17"/>
  <c r="K601" i="31" s="1"/>
  <c r="F623" i="17"/>
  <c r="F623" i="31" s="1"/>
  <c r="E623" i="17"/>
  <c r="E623" i="31" s="1"/>
  <c r="F622" i="17"/>
  <c r="F622" i="31" s="1"/>
  <c r="E622" i="17"/>
  <c r="E622" i="31" s="1"/>
  <c r="F620" i="17"/>
  <c r="F620" i="31" s="1"/>
  <c r="E620" i="17"/>
  <c r="E620" i="31" s="1"/>
  <c r="F619" i="17"/>
  <c r="F619" i="31" s="1"/>
  <c r="E619" i="17"/>
  <c r="E619" i="31" s="1"/>
  <c r="F618" i="17"/>
  <c r="F618" i="31" s="1"/>
  <c r="E618" i="17"/>
  <c r="E618" i="31" s="1"/>
  <c r="F617" i="17"/>
  <c r="F617" i="31" s="1"/>
  <c r="E617" i="17"/>
  <c r="E617" i="31" s="1"/>
  <c r="F615" i="17"/>
  <c r="F615" i="31" s="1"/>
  <c r="E615" i="17"/>
  <c r="E615" i="31" s="1"/>
  <c r="F614" i="17"/>
  <c r="F614" i="31" s="1"/>
  <c r="E614" i="17"/>
  <c r="E614" i="31" s="1"/>
  <c r="F613" i="17"/>
  <c r="F613" i="31" s="1"/>
  <c r="E613" i="17"/>
  <c r="E613" i="31" s="1"/>
  <c r="F612" i="17"/>
  <c r="F612" i="31" s="1"/>
  <c r="E612" i="17"/>
  <c r="E612" i="31" s="1"/>
  <c r="F611" i="17"/>
  <c r="F611" i="31" s="1"/>
  <c r="E611" i="17"/>
  <c r="E611" i="31" s="1"/>
  <c r="F610" i="17"/>
  <c r="F610" i="31" s="1"/>
  <c r="E610" i="17"/>
  <c r="E610" i="31" s="1"/>
  <c r="F609" i="17"/>
  <c r="F609" i="31" s="1"/>
  <c r="E609" i="17"/>
  <c r="E609" i="31" s="1"/>
  <c r="F607" i="17"/>
  <c r="F607" i="31" s="1"/>
  <c r="E607" i="17"/>
  <c r="E607" i="31" s="1"/>
  <c r="F606" i="17"/>
  <c r="F606" i="31" s="1"/>
  <c r="E606" i="17"/>
  <c r="E606" i="31" s="1"/>
  <c r="F605" i="17"/>
  <c r="F605" i="31" s="1"/>
  <c r="E605" i="17"/>
  <c r="E605" i="31" s="1"/>
  <c r="F604" i="17"/>
  <c r="F604" i="31" s="1"/>
  <c r="E604" i="17"/>
  <c r="E604" i="31" s="1"/>
  <c r="F603" i="17"/>
  <c r="F603" i="31" s="1"/>
  <c r="E603" i="17"/>
  <c r="E603" i="31" s="1"/>
  <c r="F602" i="17"/>
  <c r="F602" i="31" s="1"/>
  <c r="E602" i="17"/>
  <c r="E602" i="31" s="1"/>
  <c r="F601" i="17"/>
  <c r="F601" i="31" s="1"/>
  <c r="E601" i="17"/>
  <c r="E601" i="31" s="1"/>
  <c r="D623" i="17"/>
  <c r="D622" i="17"/>
  <c r="D620" i="17"/>
  <c r="D619" i="17"/>
  <c r="D618" i="17"/>
  <c r="D617" i="17"/>
  <c r="D615" i="17"/>
  <c r="D614" i="17"/>
  <c r="D613" i="17"/>
  <c r="D612" i="17"/>
  <c r="D611" i="17"/>
  <c r="D610" i="17"/>
  <c r="D609" i="17"/>
  <c r="D607" i="17"/>
  <c r="D606" i="17"/>
  <c r="D605" i="17"/>
  <c r="D604" i="17"/>
  <c r="D603" i="17"/>
  <c r="D602" i="17"/>
  <c r="D601" i="17"/>
  <c r="F593" i="17"/>
  <c r="E593" i="17"/>
  <c r="D593" i="17"/>
  <c r="F592" i="17"/>
  <c r="E592" i="17"/>
  <c r="D592" i="17"/>
  <c r="F590" i="17"/>
  <c r="E590" i="17"/>
  <c r="D590" i="17"/>
  <c r="F589" i="17"/>
  <c r="E589" i="17"/>
  <c r="D589" i="17"/>
  <c r="F588" i="17"/>
  <c r="E588" i="17"/>
  <c r="D588" i="17"/>
  <c r="F587" i="17"/>
  <c r="E587" i="17"/>
  <c r="D587" i="17"/>
  <c r="F585" i="17"/>
  <c r="E585" i="17"/>
  <c r="D585" i="17"/>
  <c r="F584" i="17"/>
  <c r="E584" i="17"/>
  <c r="D584" i="17"/>
  <c r="F583" i="17"/>
  <c r="E583" i="17"/>
  <c r="D583" i="17"/>
  <c r="F582" i="17"/>
  <c r="E582" i="17"/>
  <c r="D582" i="17"/>
  <c r="F581" i="17"/>
  <c r="E581" i="17"/>
  <c r="D581" i="17"/>
  <c r="F580" i="17"/>
  <c r="E580" i="17"/>
  <c r="D580" i="17"/>
  <c r="F579" i="17"/>
  <c r="E579" i="17"/>
  <c r="D579" i="17"/>
  <c r="F577" i="17"/>
  <c r="E577" i="17"/>
  <c r="D577" i="17"/>
  <c r="F576" i="17"/>
  <c r="E576" i="17"/>
  <c r="D576" i="17"/>
  <c r="F575" i="17"/>
  <c r="E575" i="17"/>
  <c r="D575" i="17"/>
  <c r="F574" i="17"/>
  <c r="E574" i="17"/>
  <c r="D574" i="17"/>
  <c r="F573" i="17"/>
  <c r="E573" i="17"/>
  <c r="D573" i="17"/>
  <c r="F572" i="17"/>
  <c r="E572" i="17"/>
  <c r="D572" i="17"/>
  <c r="F571" i="17"/>
  <c r="E571" i="17"/>
  <c r="D571" i="17"/>
  <c r="F539" i="17"/>
  <c r="E539" i="17"/>
  <c r="D539" i="17"/>
  <c r="F538" i="17"/>
  <c r="E538" i="17"/>
  <c r="D538" i="17"/>
  <c r="F536" i="17"/>
  <c r="E536" i="17"/>
  <c r="D536" i="17"/>
  <c r="F535" i="17"/>
  <c r="E535" i="17"/>
  <c r="D535" i="17"/>
  <c r="F534" i="17"/>
  <c r="E534" i="17"/>
  <c r="D534" i="17"/>
  <c r="F533" i="17"/>
  <c r="E533" i="17"/>
  <c r="D533" i="17"/>
  <c r="F531" i="17"/>
  <c r="E531" i="17"/>
  <c r="D531" i="17"/>
  <c r="F530" i="17"/>
  <c r="E530" i="17"/>
  <c r="D530" i="17"/>
  <c r="F529" i="17"/>
  <c r="E529" i="17"/>
  <c r="D529" i="17"/>
  <c r="F528" i="17"/>
  <c r="E528" i="17"/>
  <c r="D528" i="17"/>
  <c r="F527" i="17"/>
  <c r="E527" i="17"/>
  <c r="D527" i="17"/>
  <c r="F526" i="17"/>
  <c r="E526" i="17"/>
  <c r="D526" i="17"/>
  <c r="F525" i="17"/>
  <c r="E525" i="17"/>
  <c r="D525" i="17"/>
  <c r="F523" i="17"/>
  <c r="E523" i="17"/>
  <c r="D523" i="17"/>
  <c r="F522" i="17"/>
  <c r="E522" i="17"/>
  <c r="D522" i="17"/>
  <c r="F521" i="17"/>
  <c r="E521" i="17"/>
  <c r="D521" i="17"/>
  <c r="F520" i="17"/>
  <c r="E520" i="17"/>
  <c r="D520" i="17"/>
  <c r="F519" i="17"/>
  <c r="E519" i="17"/>
  <c r="D519" i="17"/>
  <c r="F518" i="17"/>
  <c r="E518" i="17"/>
  <c r="D518" i="17"/>
  <c r="F517" i="17"/>
  <c r="E517" i="17"/>
  <c r="D517" i="17"/>
  <c r="D512" i="17"/>
  <c r="D511" i="17"/>
  <c r="D509" i="17"/>
  <c r="D508" i="17"/>
  <c r="D507" i="17"/>
  <c r="D506" i="17"/>
  <c r="D504" i="17"/>
  <c r="D503" i="17"/>
  <c r="D502" i="17"/>
  <c r="D501" i="17"/>
  <c r="D500" i="17"/>
  <c r="D499" i="17"/>
  <c r="D498" i="17"/>
  <c r="D496" i="17"/>
  <c r="D495" i="17"/>
  <c r="D494" i="17"/>
  <c r="D493" i="17"/>
  <c r="D492" i="17"/>
  <c r="D491" i="17"/>
  <c r="D490" i="17"/>
  <c r="F512" i="17"/>
  <c r="E512" i="17"/>
  <c r="F511" i="17"/>
  <c r="E511" i="17"/>
  <c r="F509" i="17"/>
  <c r="E509" i="17"/>
  <c r="F508" i="17"/>
  <c r="E508" i="17"/>
  <c r="F507" i="17"/>
  <c r="E507" i="17"/>
  <c r="F506" i="17"/>
  <c r="E506" i="17"/>
  <c r="F504" i="17"/>
  <c r="E504" i="17"/>
  <c r="F503" i="17"/>
  <c r="E503" i="17"/>
  <c r="F502" i="17"/>
  <c r="E502" i="17"/>
  <c r="F501" i="17"/>
  <c r="E501" i="17"/>
  <c r="F500" i="17"/>
  <c r="E500" i="17"/>
  <c r="F499" i="17"/>
  <c r="E499" i="17"/>
  <c r="F498" i="17"/>
  <c r="E498" i="17"/>
  <c r="F496" i="17"/>
  <c r="E496" i="17"/>
  <c r="F495" i="17"/>
  <c r="E495" i="17"/>
  <c r="F494" i="17"/>
  <c r="E494" i="17"/>
  <c r="F493" i="17"/>
  <c r="E493" i="17"/>
  <c r="F492" i="17"/>
  <c r="E492" i="17"/>
  <c r="F491" i="17"/>
  <c r="E491" i="17"/>
  <c r="F490" i="17"/>
  <c r="E490" i="17"/>
  <c r="D647" i="7" l="1"/>
  <c r="P611" i="14"/>
  <c r="D651" i="7"/>
  <c r="P615" i="14"/>
  <c r="D656" i="7"/>
  <c r="P620" i="14"/>
  <c r="P626" i="14"/>
  <c r="D662" i="7"/>
  <c r="Q609" i="14"/>
  <c r="E645" i="7"/>
  <c r="Q613" i="14"/>
  <c r="E649" i="7"/>
  <c r="Q618" i="14"/>
  <c r="E654" i="7"/>
  <c r="Q622" i="14"/>
  <c r="E658" i="7"/>
  <c r="E666" i="7"/>
  <c r="Q630" i="14"/>
  <c r="P581" i="14"/>
  <c r="D620" i="7"/>
  <c r="P586" i="14"/>
  <c r="D625" i="7"/>
  <c r="P591" i="14"/>
  <c r="D630" i="7"/>
  <c r="D638" i="7"/>
  <c r="P599" i="14"/>
  <c r="E620" i="7"/>
  <c r="Q581" i="14"/>
  <c r="E625" i="7"/>
  <c r="Q586" i="14"/>
  <c r="Q591" i="14"/>
  <c r="E630" i="7"/>
  <c r="E638" i="7"/>
  <c r="Q599" i="14"/>
  <c r="P612" i="14"/>
  <c r="D648" i="7"/>
  <c r="P617" i="14"/>
  <c r="D653" i="7"/>
  <c r="P621" i="14"/>
  <c r="D657" i="7"/>
  <c r="D664" i="7"/>
  <c r="P628" i="14"/>
  <c r="Q610" i="14"/>
  <c r="E646" i="7"/>
  <c r="Q614" i="14"/>
  <c r="E650" i="7"/>
  <c r="Q619" i="14"/>
  <c r="E655" i="7"/>
  <c r="Q623" i="14"/>
  <c r="E659" i="7"/>
  <c r="E667" i="7"/>
  <c r="Q631" i="14"/>
  <c r="P582" i="14"/>
  <c r="D621" i="7"/>
  <c r="P587" i="14"/>
  <c r="D626" i="7"/>
  <c r="D631" i="7"/>
  <c r="P592" i="14"/>
  <c r="P600" i="14"/>
  <c r="D639" i="7"/>
  <c r="Q582" i="14"/>
  <c r="E621" i="7"/>
  <c r="Q587" i="14"/>
  <c r="E626" i="7"/>
  <c r="Q592" i="14"/>
  <c r="E631" i="7"/>
  <c r="E639" i="7"/>
  <c r="Q600" i="14"/>
  <c r="P609" i="14"/>
  <c r="D645" i="7"/>
  <c r="P613" i="14"/>
  <c r="D649" i="7"/>
  <c r="P618" i="14"/>
  <c r="D654" i="7"/>
  <c r="P622" i="14"/>
  <c r="D658" i="7"/>
  <c r="D666" i="7"/>
  <c r="P630" i="14"/>
  <c r="E647" i="7"/>
  <c r="Q611" i="14"/>
  <c r="E651" i="7"/>
  <c r="Q615" i="14"/>
  <c r="E656" i="7"/>
  <c r="Q620" i="14"/>
  <c r="E662" i="7"/>
  <c r="Q626" i="14"/>
  <c r="P578" i="14"/>
  <c r="D617" i="7"/>
  <c r="K617" i="7" s="1"/>
  <c r="D622" i="7"/>
  <c r="P583" i="14"/>
  <c r="D628" i="7"/>
  <c r="P589" i="14"/>
  <c r="P595" i="14"/>
  <c r="D634" i="7"/>
  <c r="Q578" i="14"/>
  <c r="E617" i="7"/>
  <c r="Q583" i="14"/>
  <c r="E622" i="7"/>
  <c r="E628" i="7"/>
  <c r="Q589" i="14"/>
  <c r="E634" i="7"/>
  <c r="Q595" i="14"/>
  <c r="D646" i="7"/>
  <c r="P610" i="14"/>
  <c r="D650" i="7"/>
  <c r="P614" i="14"/>
  <c r="D655" i="7"/>
  <c r="P619" i="14"/>
  <c r="D659" i="7"/>
  <c r="P623" i="14"/>
  <c r="P631" i="14"/>
  <c r="D667" i="7"/>
  <c r="E648" i="7"/>
  <c r="Q612" i="14"/>
  <c r="E653" i="7"/>
  <c r="Q617" i="14"/>
  <c r="E657" i="7"/>
  <c r="Q621" i="14"/>
  <c r="Q628" i="14"/>
  <c r="E664" i="7"/>
  <c r="D618" i="7"/>
  <c r="P579" i="14"/>
  <c r="D623" i="7"/>
  <c r="P584" i="14"/>
  <c r="P590" i="14"/>
  <c r="D629" i="7"/>
  <c r="D636" i="7"/>
  <c r="P597" i="14"/>
  <c r="Q579" i="14"/>
  <c r="E618" i="7"/>
  <c r="E623" i="7"/>
  <c r="Q584" i="14"/>
  <c r="E629" i="7"/>
  <c r="Q590" i="14"/>
  <c r="Q597" i="14"/>
  <c r="E636" i="7"/>
  <c r="G381" i="17"/>
  <c r="G388" i="17"/>
  <c r="G391" i="17"/>
  <c r="G395" i="17"/>
  <c r="G386" i="17"/>
  <c r="G380" i="17"/>
  <c r="G390" i="17"/>
  <c r="G387" i="17"/>
  <c r="G383" i="17"/>
  <c r="G379" i="17"/>
  <c r="G389" i="17"/>
  <c r="G382" i="17"/>
  <c r="G378" i="17"/>
  <c r="G396" i="17"/>
  <c r="G394" i="17"/>
  <c r="J411" i="7"/>
  <c r="G400" i="17" s="1"/>
  <c r="J410" i="7"/>
  <c r="D605" i="31"/>
  <c r="D610" i="31"/>
  <c r="D614" i="31"/>
  <c r="D619" i="31"/>
  <c r="D606" i="31"/>
  <c r="D615" i="31"/>
  <c r="K615" i="31"/>
  <c r="D603" i="31"/>
  <c r="D607" i="31"/>
  <c r="D612" i="31"/>
  <c r="D617" i="31"/>
  <c r="D622" i="31"/>
  <c r="D602" i="31"/>
  <c r="D611" i="31"/>
  <c r="D620" i="31"/>
  <c r="D604" i="31"/>
  <c r="D609" i="31"/>
  <c r="D613" i="31"/>
  <c r="D618" i="31"/>
  <c r="D623" i="31"/>
  <c r="D601" i="31"/>
  <c r="F575" i="31"/>
  <c r="F580" i="31"/>
  <c r="F584" i="31"/>
  <c r="F589" i="31"/>
  <c r="F574" i="31"/>
  <c r="F579" i="31"/>
  <c r="F583" i="31"/>
  <c r="F588" i="31"/>
  <c r="F593" i="31"/>
  <c r="F573" i="31"/>
  <c r="F577" i="31"/>
  <c r="F582" i="31"/>
  <c r="F587" i="31"/>
  <c r="F592" i="31"/>
  <c r="F572" i="31"/>
  <c r="F576" i="31"/>
  <c r="F581" i="31"/>
  <c r="F585" i="31"/>
  <c r="F590" i="31"/>
  <c r="E572" i="31"/>
  <c r="E576" i="31"/>
  <c r="E581" i="31"/>
  <c r="E585" i="31"/>
  <c r="E590" i="31"/>
  <c r="E575" i="31"/>
  <c r="E580" i="31"/>
  <c r="E584" i="31"/>
  <c r="E589" i="31"/>
  <c r="E574" i="31"/>
  <c r="E579" i="31"/>
  <c r="E583" i="31"/>
  <c r="E588" i="31"/>
  <c r="E593" i="31"/>
  <c r="E573" i="31"/>
  <c r="E577" i="31"/>
  <c r="E582" i="31"/>
  <c r="E587" i="31"/>
  <c r="E592" i="31"/>
  <c r="E571" i="31"/>
  <c r="F571" i="31"/>
  <c r="D571" i="31"/>
  <c r="D574" i="31"/>
  <c r="D579" i="31"/>
  <c r="D583" i="31"/>
  <c r="D588" i="31"/>
  <c r="D593" i="31"/>
  <c r="D575" i="31"/>
  <c r="D589" i="31"/>
  <c r="D573" i="31"/>
  <c r="D577" i="31"/>
  <c r="D582" i="31"/>
  <c r="D587" i="31"/>
  <c r="D592" i="31"/>
  <c r="D580" i="31"/>
  <c r="D584" i="31"/>
  <c r="D572" i="31"/>
  <c r="D576" i="31"/>
  <c r="D581" i="31"/>
  <c r="D585" i="31"/>
  <c r="D590" i="31"/>
  <c r="F519" i="31"/>
  <c r="F533" i="31"/>
  <c r="F518" i="31"/>
  <c r="F522" i="31"/>
  <c r="F527" i="31"/>
  <c r="F531" i="31"/>
  <c r="F536" i="31"/>
  <c r="F538" i="31"/>
  <c r="F517" i="31"/>
  <c r="F521" i="31"/>
  <c r="F526" i="31"/>
  <c r="F530" i="31"/>
  <c r="F535" i="31"/>
  <c r="F523" i="31"/>
  <c r="F528" i="31"/>
  <c r="F520" i="31"/>
  <c r="F525" i="31"/>
  <c r="F529" i="31"/>
  <c r="F534" i="31"/>
  <c r="F539" i="31"/>
  <c r="E518" i="31"/>
  <c r="E527" i="31"/>
  <c r="E536" i="31"/>
  <c r="E517" i="31"/>
  <c r="E521" i="31"/>
  <c r="F487" i="7"/>
  <c r="E530" i="31"/>
  <c r="E520" i="31"/>
  <c r="E525" i="31"/>
  <c r="E529" i="31"/>
  <c r="E534" i="31"/>
  <c r="E539" i="31"/>
  <c r="E522" i="31"/>
  <c r="E531" i="31"/>
  <c r="E526" i="31"/>
  <c r="E535" i="31"/>
  <c r="E519" i="31"/>
  <c r="E523" i="31"/>
  <c r="E528" i="31"/>
  <c r="E533" i="31"/>
  <c r="E538" i="31"/>
  <c r="D519" i="31"/>
  <c r="D523" i="31"/>
  <c r="D528" i="31"/>
  <c r="D533" i="31"/>
  <c r="D538" i="31"/>
  <c r="D517" i="31"/>
  <c r="D521" i="31"/>
  <c r="D526" i="31"/>
  <c r="D530" i="31"/>
  <c r="D535" i="31"/>
  <c r="D520" i="31"/>
  <c r="D525" i="31"/>
  <c r="D529" i="31"/>
  <c r="D534" i="31"/>
  <c r="D539" i="31"/>
  <c r="D518" i="31"/>
  <c r="D522" i="31"/>
  <c r="D527" i="31"/>
  <c r="D531" i="31"/>
  <c r="D536" i="31"/>
  <c r="F492" i="31"/>
  <c r="F494" i="31"/>
  <c r="F496" i="31"/>
  <c r="F499" i="31"/>
  <c r="F501" i="31"/>
  <c r="F503" i="31"/>
  <c r="F506" i="31"/>
  <c r="F508" i="31"/>
  <c r="F511" i="31"/>
  <c r="F491" i="31"/>
  <c r="F493" i="31"/>
  <c r="F495" i="31"/>
  <c r="F498" i="31"/>
  <c r="F500" i="31"/>
  <c r="F502" i="31"/>
  <c r="F504" i="31"/>
  <c r="F507" i="31"/>
  <c r="F509" i="31"/>
  <c r="F512" i="31"/>
  <c r="E492" i="31"/>
  <c r="E499" i="31"/>
  <c r="E503" i="31"/>
  <c r="E508" i="31"/>
  <c r="E493" i="31"/>
  <c r="E500" i="31"/>
  <c r="E507" i="31"/>
  <c r="E512" i="31"/>
  <c r="E494" i="31"/>
  <c r="E496" i="31"/>
  <c r="E501" i="31"/>
  <c r="E506" i="31"/>
  <c r="E511" i="31"/>
  <c r="E491" i="31"/>
  <c r="E495" i="31"/>
  <c r="E498" i="31"/>
  <c r="E502" i="31"/>
  <c r="E504" i="31"/>
  <c r="E509" i="31"/>
  <c r="D499" i="31"/>
  <c r="D508" i="31"/>
  <c r="D491" i="31"/>
  <c r="D500" i="31"/>
  <c r="D509" i="31"/>
  <c r="D492" i="31"/>
  <c r="D496" i="31"/>
  <c r="D501" i="31"/>
  <c r="D506" i="31"/>
  <c r="D511" i="31"/>
  <c r="D494" i="31"/>
  <c r="D503" i="31"/>
  <c r="D495" i="31"/>
  <c r="D504" i="31"/>
  <c r="D493" i="31"/>
  <c r="D498" i="31"/>
  <c r="D502" i="31"/>
  <c r="D507" i="31"/>
  <c r="D512" i="31"/>
  <c r="F490" i="31"/>
  <c r="E490" i="31"/>
  <c r="D490" i="31"/>
  <c r="F475" i="7"/>
  <c r="F455" i="17"/>
  <c r="F455" i="31" s="1"/>
  <c r="E455" i="17"/>
  <c r="E455" i="31" s="1"/>
  <c r="D455" i="17"/>
  <c r="D455" i="31" s="1"/>
  <c r="F454" i="17"/>
  <c r="F454" i="31" s="1"/>
  <c r="E454" i="17"/>
  <c r="E454" i="31" s="1"/>
  <c r="D454" i="17"/>
  <c r="D454" i="31" s="1"/>
  <c r="F452" i="17"/>
  <c r="F452" i="31" s="1"/>
  <c r="E452" i="17"/>
  <c r="E452" i="31" s="1"/>
  <c r="D452" i="17"/>
  <c r="D452" i="31" s="1"/>
  <c r="F451" i="17"/>
  <c r="F451" i="31" s="1"/>
  <c r="E451" i="17"/>
  <c r="E451" i="31" s="1"/>
  <c r="D451" i="17"/>
  <c r="D451" i="31" s="1"/>
  <c r="F450" i="17"/>
  <c r="F450" i="31" s="1"/>
  <c r="E450" i="17"/>
  <c r="E450" i="31" s="1"/>
  <c r="D450" i="17"/>
  <c r="D450" i="31" s="1"/>
  <c r="F449" i="17"/>
  <c r="F449" i="31" s="1"/>
  <c r="E449" i="17"/>
  <c r="E449" i="31" s="1"/>
  <c r="D449" i="17"/>
  <c r="D449" i="31" s="1"/>
  <c r="F447" i="17"/>
  <c r="F447" i="31" s="1"/>
  <c r="E447" i="17"/>
  <c r="E447" i="31" s="1"/>
  <c r="D447" i="17"/>
  <c r="D447" i="31" s="1"/>
  <c r="F446" i="17"/>
  <c r="F446" i="31" s="1"/>
  <c r="E446" i="17"/>
  <c r="E446" i="31" s="1"/>
  <c r="D446" i="17"/>
  <c r="D446" i="31" s="1"/>
  <c r="F445" i="17"/>
  <c r="F445" i="31" s="1"/>
  <c r="E445" i="17"/>
  <c r="E445" i="31" s="1"/>
  <c r="D445" i="17"/>
  <c r="D445" i="31" s="1"/>
  <c r="F444" i="17"/>
  <c r="F444" i="31" s="1"/>
  <c r="E444" i="17"/>
  <c r="E444" i="31" s="1"/>
  <c r="D444" i="17"/>
  <c r="D444" i="31" s="1"/>
  <c r="F443" i="17"/>
  <c r="F443" i="31" s="1"/>
  <c r="E443" i="17"/>
  <c r="E443" i="31" s="1"/>
  <c r="D443" i="17"/>
  <c r="D443" i="31" s="1"/>
  <c r="F442" i="17"/>
  <c r="F442" i="31" s="1"/>
  <c r="E442" i="17"/>
  <c r="E442" i="31" s="1"/>
  <c r="D442" i="17"/>
  <c r="D442" i="31" s="1"/>
  <c r="F441" i="17"/>
  <c r="F441" i="31" s="1"/>
  <c r="E441" i="17"/>
  <c r="E441" i="31" s="1"/>
  <c r="D441" i="17"/>
  <c r="D441" i="31" s="1"/>
  <c r="F439" i="17"/>
  <c r="F439" i="31" s="1"/>
  <c r="E439" i="17"/>
  <c r="E439" i="31" s="1"/>
  <c r="D439" i="17"/>
  <c r="D439" i="31" s="1"/>
  <c r="F438" i="17"/>
  <c r="F438" i="31" s="1"/>
  <c r="E438" i="17"/>
  <c r="E438" i="31" s="1"/>
  <c r="D438" i="17"/>
  <c r="D438" i="31" s="1"/>
  <c r="F437" i="17"/>
  <c r="F437" i="31" s="1"/>
  <c r="E437" i="17"/>
  <c r="E437" i="31" s="1"/>
  <c r="D437" i="17"/>
  <c r="D437" i="31" s="1"/>
  <c r="F436" i="17"/>
  <c r="F436" i="31" s="1"/>
  <c r="E436" i="17"/>
  <c r="E436" i="31" s="1"/>
  <c r="D436" i="17"/>
  <c r="D436" i="31" s="1"/>
  <c r="F435" i="17"/>
  <c r="F435" i="31" s="1"/>
  <c r="E435" i="17"/>
  <c r="E435" i="31" s="1"/>
  <c r="D435" i="17"/>
  <c r="D435" i="31" s="1"/>
  <c r="F434" i="17"/>
  <c r="F434" i="31" s="1"/>
  <c r="E434" i="17"/>
  <c r="E434" i="31" s="1"/>
  <c r="D434" i="17"/>
  <c r="D434" i="31" s="1"/>
  <c r="F433" i="17"/>
  <c r="F433" i="31" s="1"/>
  <c r="E433" i="17"/>
  <c r="E433" i="31" s="1"/>
  <c r="D433" i="17"/>
  <c r="M372" i="17"/>
  <c r="L372" i="17"/>
  <c r="K372" i="17"/>
  <c r="M371" i="17"/>
  <c r="L371" i="17"/>
  <c r="K371" i="17"/>
  <c r="M369" i="17"/>
  <c r="L369" i="17"/>
  <c r="K369" i="17"/>
  <c r="M368" i="17"/>
  <c r="L368" i="17"/>
  <c r="K368" i="17"/>
  <c r="M367" i="17"/>
  <c r="L367" i="17"/>
  <c r="K367" i="17"/>
  <c r="M366" i="17"/>
  <c r="L366" i="17"/>
  <c r="K366" i="17"/>
  <c r="M364" i="17"/>
  <c r="L364" i="17"/>
  <c r="K364" i="17"/>
  <c r="M363" i="17"/>
  <c r="L363" i="17"/>
  <c r="K363" i="17"/>
  <c r="M362" i="17"/>
  <c r="L362" i="17"/>
  <c r="K362" i="17"/>
  <c r="M361" i="17"/>
  <c r="L361" i="17"/>
  <c r="K361" i="17"/>
  <c r="M360" i="17"/>
  <c r="L360" i="17"/>
  <c r="K360" i="17"/>
  <c r="M359" i="17"/>
  <c r="L359" i="17"/>
  <c r="K359" i="17"/>
  <c r="M358" i="17"/>
  <c r="L358" i="17"/>
  <c r="K358" i="17"/>
  <c r="M356" i="17"/>
  <c r="L356" i="17"/>
  <c r="K356" i="17"/>
  <c r="M355" i="17"/>
  <c r="L355" i="17"/>
  <c r="K355" i="17"/>
  <c r="M354" i="17"/>
  <c r="L354" i="17"/>
  <c r="K354" i="17"/>
  <c r="M353" i="17"/>
  <c r="L353" i="17"/>
  <c r="K353" i="17"/>
  <c r="M352" i="17"/>
  <c r="L352" i="17"/>
  <c r="K352" i="17"/>
  <c r="M351" i="17"/>
  <c r="L351" i="17"/>
  <c r="K351" i="17"/>
  <c r="M350" i="17"/>
  <c r="L350" i="17"/>
  <c r="K350" i="17"/>
  <c r="F372" i="17"/>
  <c r="F372" i="31" s="1"/>
  <c r="M372" i="31" s="1"/>
  <c r="E372" i="17"/>
  <c r="E372" i="31" s="1"/>
  <c r="L372" i="31" s="1"/>
  <c r="D372" i="17"/>
  <c r="D372" i="31" s="1"/>
  <c r="K372" i="31" s="1"/>
  <c r="F371" i="17"/>
  <c r="F371" i="31" s="1"/>
  <c r="M371" i="31" s="1"/>
  <c r="E371" i="17"/>
  <c r="E371" i="31" s="1"/>
  <c r="L371" i="31" s="1"/>
  <c r="D371" i="17"/>
  <c r="D371" i="31" s="1"/>
  <c r="K371" i="31" s="1"/>
  <c r="F369" i="17"/>
  <c r="F369" i="31" s="1"/>
  <c r="M369" i="31" s="1"/>
  <c r="E369" i="17"/>
  <c r="E369" i="31" s="1"/>
  <c r="L369" i="31" s="1"/>
  <c r="D369" i="17"/>
  <c r="D369" i="31" s="1"/>
  <c r="K369" i="31" s="1"/>
  <c r="F368" i="17"/>
  <c r="F368" i="31" s="1"/>
  <c r="M368" i="31" s="1"/>
  <c r="E368" i="17"/>
  <c r="E368" i="31" s="1"/>
  <c r="L368" i="31" s="1"/>
  <c r="D368" i="17"/>
  <c r="D368" i="31" s="1"/>
  <c r="K368" i="31" s="1"/>
  <c r="F367" i="17"/>
  <c r="F367" i="31" s="1"/>
  <c r="M367" i="31" s="1"/>
  <c r="E367" i="17"/>
  <c r="E367" i="31" s="1"/>
  <c r="L367" i="31" s="1"/>
  <c r="D367" i="17"/>
  <c r="D367" i="31" s="1"/>
  <c r="K367" i="31" s="1"/>
  <c r="F366" i="17"/>
  <c r="F366" i="31" s="1"/>
  <c r="M366" i="31" s="1"/>
  <c r="E366" i="17"/>
  <c r="E366" i="31" s="1"/>
  <c r="L366" i="31" s="1"/>
  <c r="D366" i="17"/>
  <c r="D366" i="31" s="1"/>
  <c r="K366" i="31" s="1"/>
  <c r="F364" i="17"/>
  <c r="F364" i="31" s="1"/>
  <c r="M364" i="31" s="1"/>
  <c r="E364" i="17"/>
  <c r="E364" i="31" s="1"/>
  <c r="L364" i="31" s="1"/>
  <c r="D364" i="17"/>
  <c r="D364" i="31" s="1"/>
  <c r="K364" i="31" s="1"/>
  <c r="F363" i="17"/>
  <c r="F363" i="31" s="1"/>
  <c r="M363" i="31" s="1"/>
  <c r="E363" i="17"/>
  <c r="E363" i="31" s="1"/>
  <c r="L363" i="31" s="1"/>
  <c r="D363" i="17"/>
  <c r="D363" i="31" s="1"/>
  <c r="K363" i="31" s="1"/>
  <c r="F362" i="17"/>
  <c r="F362" i="31" s="1"/>
  <c r="M362" i="31" s="1"/>
  <c r="E362" i="17"/>
  <c r="E362" i="31" s="1"/>
  <c r="L362" i="31" s="1"/>
  <c r="D362" i="17"/>
  <c r="D362" i="31" s="1"/>
  <c r="K362" i="31" s="1"/>
  <c r="F361" i="17"/>
  <c r="F361" i="31" s="1"/>
  <c r="M361" i="31" s="1"/>
  <c r="E361" i="17"/>
  <c r="E361" i="31" s="1"/>
  <c r="L361" i="31" s="1"/>
  <c r="D361" i="17"/>
  <c r="D361" i="31" s="1"/>
  <c r="K361" i="31" s="1"/>
  <c r="F360" i="17"/>
  <c r="F360" i="31" s="1"/>
  <c r="M360" i="31" s="1"/>
  <c r="E360" i="17"/>
  <c r="E360" i="31" s="1"/>
  <c r="L360" i="31" s="1"/>
  <c r="D360" i="17"/>
  <c r="D360" i="31" s="1"/>
  <c r="K360" i="31" s="1"/>
  <c r="F359" i="17"/>
  <c r="F359" i="31" s="1"/>
  <c r="M359" i="31" s="1"/>
  <c r="E359" i="17"/>
  <c r="E359" i="31" s="1"/>
  <c r="L359" i="31" s="1"/>
  <c r="D359" i="17"/>
  <c r="D359" i="31" s="1"/>
  <c r="K359" i="31" s="1"/>
  <c r="F358" i="17"/>
  <c r="F358" i="31" s="1"/>
  <c r="M358" i="31" s="1"/>
  <c r="E358" i="17"/>
  <c r="E358" i="31" s="1"/>
  <c r="L358" i="31" s="1"/>
  <c r="D358" i="17"/>
  <c r="D358" i="31" s="1"/>
  <c r="K358" i="31" s="1"/>
  <c r="F356" i="17"/>
  <c r="F356" i="31" s="1"/>
  <c r="M356" i="31" s="1"/>
  <c r="E356" i="17"/>
  <c r="E356" i="31" s="1"/>
  <c r="L356" i="31" s="1"/>
  <c r="D356" i="17"/>
  <c r="D356" i="31" s="1"/>
  <c r="K356" i="31" s="1"/>
  <c r="F355" i="17"/>
  <c r="F355" i="31" s="1"/>
  <c r="M355" i="31" s="1"/>
  <c r="E355" i="17"/>
  <c r="E355" i="31" s="1"/>
  <c r="L355" i="31" s="1"/>
  <c r="D355" i="17"/>
  <c r="D355" i="31" s="1"/>
  <c r="K355" i="31" s="1"/>
  <c r="F354" i="17"/>
  <c r="F354" i="31" s="1"/>
  <c r="M354" i="31" s="1"/>
  <c r="E354" i="17"/>
  <c r="E354" i="31" s="1"/>
  <c r="L354" i="31" s="1"/>
  <c r="D354" i="17"/>
  <c r="D354" i="31" s="1"/>
  <c r="K354" i="31" s="1"/>
  <c r="F353" i="17"/>
  <c r="F353" i="31" s="1"/>
  <c r="M353" i="31" s="1"/>
  <c r="E353" i="17"/>
  <c r="E353" i="31" s="1"/>
  <c r="L353" i="31" s="1"/>
  <c r="D353" i="17"/>
  <c r="D353" i="31" s="1"/>
  <c r="K353" i="31" s="1"/>
  <c r="F352" i="17"/>
  <c r="F352" i="31" s="1"/>
  <c r="M352" i="31" s="1"/>
  <c r="E352" i="17"/>
  <c r="E352" i="31" s="1"/>
  <c r="L352" i="31" s="1"/>
  <c r="D352" i="17"/>
  <c r="D352" i="31" s="1"/>
  <c r="K352" i="31" s="1"/>
  <c r="F351" i="17"/>
  <c r="F351" i="31" s="1"/>
  <c r="M351" i="31" s="1"/>
  <c r="E351" i="17"/>
  <c r="E351" i="31" s="1"/>
  <c r="L351" i="31" s="1"/>
  <c r="D351" i="17"/>
  <c r="D351" i="31" s="1"/>
  <c r="K351" i="31" s="1"/>
  <c r="E350" i="17"/>
  <c r="E350" i="31" s="1"/>
  <c r="L350" i="31" s="1"/>
  <c r="D350" i="17"/>
  <c r="D350" i="31" s="1"/>
  <c r="K350" i="31" s="1"/>
  <c r="M344" i="17"/>
  <c r="L344" i="17"/>
  <c r="K344" i="17"/>
  <c r="M343" i="17"/>
  <c r="L343" i="17"/>
  <c r="K343" i="17"/>
  <c r="M341" i="17"/>
  <c r="L341" i="17"/>
  <c r="K341" i="17"/>
  <c r="M340" i="17"/>
  <c r="L340" i="17"/>
  <c r="K340" i="17"/>
  <c r="M339" i="17"/>
  <c r="L339" i="17"/>
  <c r="K339" i="17"/>
  <c r="M338" i="17"/>
  <c r="L338" i="17"/>
  <c r="K338" i="17"/>
  <c r="M336" i="17"/>
  <c r="L336" i="17"/>
  <c r="K336" i="17"/>
  <c r="M335" i="17"/>
  <c r="L335" i="17"/>
  <c r="K335" i="17"/>
  <c r="M334" i="17"/>
  <c r="L334" i="17"/>
  <c r="K334" i="17"/>
  <c r="M333" i="17"/>
  <c r="L333" i="17"/>
  <c r="K333" i="17"/>
  <c r="M332" i="17"/>
  <c r="L332" i="17"/>
  <c r="K332" i="17"/>
  <c r="M331" i="17"/>
  <c r="L331" i="17"/>
  <c r="K331" i="17"/>
  <c r="M330" i="17"/>
  <c r="L330" i="17"/>
  <c r="K330" i="17"/>
  <c r="M328" i="17"/>
  <c r="L328" i="17"/>
  <c r="K328" i="17"/>
  <c r="M327" i="17"/>
  <c r="L327" i="17"/>
  <c r="K327" i="17"/>
  <c r="M326" i="17"/>
  <c r="L326" i="17"/>
  <c r="K326" i="17"/>
  <c r="M325" i="17"/>
  <c r="L325" i="17"/>
  <c r="K325" i="17"/>
  <c r="M324" i="17"/>
  <c r="L324" i="17"/>
  <c r="K324" i="17"/>
  <c r="M323" i="17"/>
  <c r="L323" i="17"/>
  <c r="K323" i="17"/>
  <c r="M322" i="17"/>
  <c r="L322" i="17"/>
  <c r="K322" i="17"/>
  <c r="F344" i="17"/>
  <c r="F344" i="31" s="1"/>
  <c r="M344" i="31" s="1"/>
  <c r="E344" i="17"/>
  <c r="E344" i="31" s="1"/>
  <c r="L344" i="31" s="1"/>
  <c r="D344" i="17"/>
  <c r="D344" i="31" s="1"/>
  <c r="K344" i="31" s="1"/>
  <c r="F343" i="17"/>
  <c r="F343" i="31" s="1"/>
  <c r="M343" i="31" s="1"/>
  <c r="E343" i="17"/>
  <c r="E343" i="31" s="1"/>
  <c r="L343" i="31" s="1"/>
  <c r="D343" i="17"/>
  <c r="D343" i="31" s="1"/>
  <c r="K343" i="31" s="1"/>
  <c r="F341" i="17"/>
  <c r="F341" i="31" s="1"/>
  <c r="M341" i="31" s="1"/>
  <c r="E341" i="17"/>
  <c r="E341" i="31" s="1"/>
  <c r="L341" i="31" s="1"/>
  <c r="D341" i="17"/>
  <c r="D341" i="31" s="1"/>
  <c r="K341" i="31" s="1"/>
  <c r="F340" i="17"/>
  <c r="F340" i="31" s="1"/>
  <c r="M340" i="31" s="1"/>
  <c r="E340" i="17"/>
  <c r="E340" i="31" s="1"/>
  <c r="L340" i="31" s="1"/>
  <c r="D340" i="17"/>
  <c r="D340" i="31" s="1"/>
  <c r="K340" i="31" s="1"/>
  <c r="F339" i="17"/>
  <c r="F339" i="31" s="1"/>
  <c r="M339" i="31" s="1"/>
  <c r="E339" i="17"/>
  <c r="E339" i="31" s="1"/>
  <c r="L339" i="31" s="1"/>
  <c r="D339" i="17"/>
  <c r="D339" i="31" s="1"/>
  <c r="K339" i="31" s="1"/>
  <c r="F338" i="17"/>
  <c r="F338" i="31" s="1"/>
  <c r="M338" i="31" s="1"/>
  <c r="E338" i="17"/>
  <c r="E338" i="31" s="1"/>
  <c r="L338" i="31" s="1"/>
  <c r="D338" i="17"/>
  <c r="D338" i="31" s="1"/>
  <c r="K338" i="31" s="1"/>
  <c r="F336" i="17"/>
  <c r="F336" i="31" s="1"/>
  <c r="M336" i="31" s="1"/>
  <c r="E336" i="17"/>
  <c r="E336" i="31" s="1"/>
  <c r="L336" i="31" s="1"/>
  <c r="D336" i="17"/>
  <c r="D336" i="31" s="1"/>
  <c r="K336" i="31" s="1"/>
  <c r="F335" i="17"/>
  <c r="F335" i="31" s="1"/>
  <c r="M335" i="31" s="1"/>
  <c r="E335" i="17"/>
  <c r="E335" i="31" s="1"/>
  <c r="L335" i="31" s="1"/>
  <c r="D335" i="17"/>
  <c r="D335" i="31" s="1"/>
  <c r="K335" i="31" s="1"/>
  <c r="F334" i="17"/>
  <c r="F334" i="31" s="1"/>
  <c r="M334" i="31" s="1"/>
  <c r="E334" i="17"/>
  <c r="E334" i="31" s="1"/>
  <c r="L334" i="31" s="1"/>
  <c r="D334" i="17"/>
  <c r="D334" i="31" s="1"/>
  <c r="K334" i="31" s="1"/>
  <c r="F333" i="17"/>
  <c r="F333" i="31" s="1"/>
  <c r="M333" i="31" s="1"/>
  <c r="E333" i="17"/>
  <c r="E333" i="31" s="1"/>
  <c r="L333" i="31" s="1"/>
  <c r="D333" i="17"/>
  <c r="D333" i="31" s="1"/>
  <c r="K333" i="31" s="1"/>
  <c r="F332" i="17"/>
  <c r="F332" i="31" s="1"/>
  <c r="M332" i="31" s="1"/>
  <c r="E332" i="17"/>
  <c r="E332" i="31" s="1"/>
  <c r="L332" i="31" s="1"/>
  <c r="D332" i="17"/>
  <c r="D332" i="31" s="1"/>
  <c r="K332" i="31" s="1"/>
  <c r="F331" i="17"/>
  <c r="F331" i="31" s="1"/>
  <c r="M331" i="31" s="1"/>
  <c r="E331" i="17"/>
  <c r="E331" i="31" s="1"/>
  <c r="L331" i="31" s="1"/>
  <c r="D331" i="17"/>
  <c r="D331" i="31" s="1"/>
  <c r="K331" i="31" s="1"/>
  <c r="F330" i="17"/>
  <c r="F330" i="31" s="1"/>
  <c r="M330" i="31" s="1"/>
  <c r="E330" i="17"/>
  <c r="E330" i="31" s="1"/>
  <c r="L330" i="31" s="1"/>
  <c r="D330" i="17"/>
  <c r="D330" i="31" s="1"/>
  <c r="K330" i="31" s="1"/>
  <c r="F328" i="17"/>
  <c r="F328" i="31" s="1"/>
  <c r="M328" i="31" s="1"/>
  <c r="E328" i="17"/>
  <c r="E328" i="31" s="1"/>
  <c r="L328" i="31" s="1"/>
  <c r="D328" i="17"/>
  <c r="D328" i="31" s="1"/>
  <c r="K328" i="31" s="1"/>
  <c r="F327" i="17"/>
  <c r="F327" i="31" s="1"/>
  <c r="M327" i="31" s="1"/>
  <c r="E327" i="17"/>
  <c r="E327" i="31" s="1"/>
  <c r="L327" i="31" s="1"/>
  <c r="D327" i="17"/>
  <c r="D327" i="31" s="1"/>
  <c r="K327" i="31" s="1"/>
  <c r="F326" i="17"/>
  <c r="F326" i="31" s="1"/>
  <c r="M326" i="31" s="1"/>
  <c r="E326" i="17"/>
  <c r="E326" i="31" s="1"/>
  <c r="L326" i="31" s="1"/>
  <c r="D326" i="17"/>
  <c r="D326" i="31" s="1"/>
  <c r="K326" i="31" s="1"/>
  <c r="F325" i="17"/>
  <c r="F325" i="31" s="1"/>
  <c r="M325" i="31" s="1"/>
  <c r="E325" i="17"/>
  <c r="E325" i="31" s="1"/>
  <c r="L325" i="31" s="1"/>
  <c r="D325" i="17"/>
  <c r="D325" i="31" s="1"/>
  <c r="K325" i="31" s="1"/>
  <c r="F324" i="17"/>
  <c r="F324" i="31" s="1"/>
  <c r="M324" i="31" s="1"/>
  <c r="E324" i="17"/>
  <c r="E324" i="31" s="1"/>
  <c r="L324" i="31" s="1"/>
  <c r="D324" i="17"/>
  <c r="D324" i="31" s="1"/>
  <c r="K324" i="31" s="1"/>
  <c r="F323" i="17"/>
  <c r="F323" i="31" s="1"/>
  <c r="M323" i="31" s="1"/>
  <c r="E323" i="17"/>
  <c r="E323" i="31" s="1"/>
  <c r="L323" i="31" s="1"/>
  <c r="D323" i="17"/>
  <c r="D323" i="31" s="1"/>
  <c r="K323" i="31" s="1"/>
  <c r="F322" i="17"/>
  <c r="F322" i="31" s="1"/>
  <c r="M322" i="31" s="1"/>
  <c r="E322" i="17"/>
  <c r="E322" i="31" s="1"/>
  <c r="L322" i="31" s="1"/>
  <c r="D322" i="17"/>
  <c r="D322" i="31" s="1"/>
  <c r="K322" i="31" s="1"/>
  <c r="F308" i="17"/>
  <c r="F308" i="31" s="1"/>
  <c r="M308" i="31" s="1"/>
  <c r="E308" i="17"/>
  <c r="E308" i="31" s="1"/>
  <c r="L308" i="31" s="1"/>
  <c r="D308" i="17"/>
  <c r="D308" i="31" s="1"/>
  <c r="F311" i="17"/>
  <c r="F311" i="31" s="1"/>
  <c r="M311" i="31" s="1"/>
  <c r="E311" i="17"/>
  <c r="E311" i="31" s="1"/>
  <c r="L311" i="31" s="1"/>
  <c r="D311" i="17"/>
  <c r="D311" i="31" s="1"/>
  <c r="F310" i="17"/>
  <c r="F310" i="31" s="1"/>
  <c r="M310" i="31" s="1"/>
  <c r="E310" i="17"/>
  <c r="E310" i="31" s="1"/>
  <c r="L310" i="31" s="1"/>
  <c r="D310" i="17"/>
  <c r="D310" i="31" s="1"/>
  <c r="F307" i="17"/>
  <c r="F307" i="31" s="1"/>
  <c r="M307" i="31" s="1"/>
  <c r="E307" i="17"/>
  <c r="E307" i="31" s="1"/>
  <c r="L307" i="31" s="1"/>
  <c r="D307" i="17"/>
  <c r="D307" i="31" s="1"/>
  <c r="F306" i="17"/>
  <c r="F306" i="31" s="1"/>
  <c r="M306" i="31" s="1"/>
  <c r="E306" i="17"/>
  <c r="E306" i="31" s="1"/>
  <c r="L306" i="31" s="1"/>
  <c r="D306" i="17"/>
  <c r="D306" i="31" s="1"/>
  <c r="F305" i="17"/>
  <c r="F305" i="31" s="1"/>
  <c r="M305" i="31" s="1"/>
  <c r="E305" i="17"/>
  <c r="E305" i="31" s="1"/>
  <c r="L305" i="31" s="1"/>
  <c r="D305" i="17"/>
  <c r="D305" i="31" s="1"/>
  <c r="F303" i="17"/>
  <c r="F303" i="31" s="1"/>
  <c r="M303" i="31" s="1"/>
  <c r="E303" i="17"/>
  <c r="E303" i="31" s="1"/>
  <c r="L303" i="31" s="1"/>
  <c r="D303" i="17"/>
  <c r="D303" i="31" s="1"/>
  <c r="F302" i="17"/>
  <c r="F302" i="31" s="1"/>
  <c r="M302" i="31" s="1"/>
  <c r="E302" i="17"/>
  <c r="E302" i="31" s="1"/>
  <c r="L302" i="31" s="1"/>
  <c r="D302" i="17"/>
  <c r="D302" i="31" s="1"/>
  <c r="F301" i="17"/>
  <c r="F301" i="31" s="1"/>
  <c r="M301" i="31" s="1"/>
  <c r="E301" i="17"/>
  <c r="E301" i="31" s="1"/>
  <c r="L301" i="31" s="1"/>
  <c r="D301" i="17"/>
  <c r="D301" i="31" s="1"/>
  <c r="F300" i="17"/>
  <c r="F300" i="31" s="1"/>
  <c r="M300" i="31" s="1"/>
  <c r="E300" i="17"/>
  <c r="E300" i="31" s="1"/>
  <c r="L300" i="31" s="1"/>
  <c r="D300" i="17"/>
  <c r="D300" i="31" s="1"/>
  <c r="F299" i="17"/>
  <c r="F299" i="31" s="1"/>
  <c r="M299" i="31" s="1"/>
  <c r="E299" i="17"/>
  <c r="E299" i="31" s="1"/>
  <c r="L299" i="31" s="1"/>
  <c r="D299" i="17"/>
  <c r="D299" i="31" s="1"/>
  <c r="F298" i="17"/>
  <c r="F298" i="31" s="1"/>
  <c r="M298" i="31" s="1"/>
  <c r="E298" i="17"/>
  <c r="E298" i="31" s="1"/>
  <c r="L298" i="31" s="1"/>
  <c r="D298" i="17"/>
  <c r="D298" i="31" s="1"/>
  <c r="F297" i="17"/>
  <c r="F297" i="31" s="1"/>
  <c r="M297" i="31" s="1"/>
  <c r="E297" i="17"/>
  <c r="E297" i="31" s="1"/>
  <c r="L297" i="31" s="1"/>
  <c r="D297" i="17"/>
  <c r="D297" i="31" s="1"/>
  <c r="F295" i="17"/>
  <c r="F295" i="31" s="1"/>
  <c r="M295" i="31" s="1"/>
  <c r="E295" i="17"/>
  <c r="E295" i="31" s="1"/>
  <c r="L295" i="31" s="1"/>
  <c r="D295" i="17"/>
  <c r="D295" i="31" s="1"/>
  <c r="F294" i="17"/>
  <c r="F294" i="31" s="1"/>
  <c r="M294" i="31" s="1"/>
  <c r="E294" i="17"/>
  <c r="E294" i="31" s="1"/>
  <c r="L294" i="31" s="1"/>
  <c r="D294" i="17"/>
  <c r="D294" i="31" s="1"/>
  <c r="F293" i="17"/>
  <c r="F293" i="31" s="1"/>
  <c r="M293" i="31" s="1"/>
  <c r="E293" i="17"/>
  <c r="E293" i="31" s="1"/>
  <c r="L293" i="31" s="1"/>
  <c r="D293" i="17"/>
  <c r="D293" i="31" s="1"/>
  <c r="F292" i="17"/>
  <c r="F292" i="31" s="1"/>
  <c r="M292" i="31" s="1"/>
  <c r="E292" i="17"/>
  <c r="E292" i="31" s="1"/>
  <c r="L292" i="31" s="1"/>
  <c r="D292" i="17"/>
  <c r="D292" i="31" s="1"/>
  <c r="F291" i="17"/>
  <c r="F291" i="31" s="1"/>
  <c r="M291" i="31" s="1"/>
  <c r="E291" i="17"/>
  <c r="E291" i="31" s="1"/>
  <c r="L291" i="31" s="1"/>
  <c r="D291" i="17"/>
  <c r="D291" i="31" s="1"/>
  <c r="F290" i="17"/>
  <c r="F290" i="31" s="1"/>
  <c r="M290" i="31" s="1"/>
  <c r="E290" i="17"/>
  <c r="E290" i="31" s="1"/>
  <c r="L290" i="31" s="1"/>
  <c r="D290" i="17"/>
  <c r="D290" i="31" s="1"/>
  <c r="F289" i="17"/>
  <c r="F289" i="31" s="1"/>
  <c r="M289" i="31" s="1"/>
  <c r="E289" i="17"/>
  <c r="E289" i="31" s="1"/>
  <c r="L289" i="31" s="1"/>
  <c r="D289" i="17"/>
  <c r="D289" i="31" s="1"/>
  <c r="F284" i="17"/>
  <c r="F284" i="31" s="1"/>
  <c r="M284" i="31" s="1"/>
  <c r="E284" i="17"/>
  <c r="E284" i="31" s="1"/>
  <c r="L284" i="31" s="1"/>
  <c r="D284" i="17"/>
  <c r="D284" i="31" s="1"/>
  <c r="F283" i="17"/>
  <c r="F283" i="31" s="1"/>
  <c r="M283" i="31" s="1"/>
  <c r="E283" i="17"/>
  <c r="E283" i="31" s="1"/>
  <c r="L283" i="31" s="1"/>
  <c r="D283" i="17"/>
  <c r="D283" i="31" s="1"/>
  <c r="F281" i="17"/>
  <c r="F281" i="31" s="1"/>
  <c r="M281" i="31" s="1"/>
  <c r="E281" i="17"/>
  <c r="E281" i="31" s="1"/>
  <c r="L281" i="31" s="1"/>
  <c r="D281" i="17"/>
  <c r="D281" i="31" s="1"/>
  <c r="F280" i="17"/>
  <c r="F280" i="31" s="1"/>
  <c r="M280" i="31" s="1"/>
  <c r="E280" i="17"/>
  <c r="E280" i="31" s="1"/>
  <c r="L280" i="31" s="1"/>
  <c r="D280" i="17"/>
  <c r="D280" i="31" s="1"/>
  <c r="F279" i="17"/>
  <c r="F279" i="31" s="1"/>
  <c r="M279" i="31" s="1"/>
  <c r="E279" i="17"/>
  <c r="E279" i="31" s="1"/>
  <c r="L279" i="31" s="1"/>
  <c r="D279" i="17"/>
  <c r="D279" i="31" s="1"/>
  <c r="F278" i="17"/>
  <c r="F278" i="31" s="1"/>
  <c r="M278" i="31" s="1"/>
  <c r="E278" i="17"/>
  <c r="E278" i="31" s="1"/>
  <c r="L278" i="31" s="1"/>
  <c r="D278" i="17"/>
  <c r="D278" i="31" s="1"/>
  <c r="F276" i="17"/>
  <c r="F276" i="31" s="1"/>
  <c r="M276" i="31" s="1"/>
  <c r="E276" i="17"/>
  <c r="E276" i="31" s="1"/>
  <c r="L276" i="31" s="1"/>
  <c r="D276" i="17"/>
  <c r="D276" i="31" s="1"/>
  <c r="F275" i="17"/>
  <c r="F275" i="31" s="1"/>
  <c r="M275" i="31" s="1"/>
  <c r="E275" i="17"/>
  <c r="E275" i="31" s="1"/>
  <c r="L275" i="31" s="1"/>
  <c r="D275" i="17"/>
  <c r="D275" i="31" s="1"/>
  <c r="F274" i="17"/>
  <c r="F274" i="31" s="1"/>
  <c r="M274" i="31" s="1"/>
  <c r="E274" i="17"/>
  <c r="E274" i="31" s="1"/>
  <c r="L274" i="31" s="1"/>
  <c r="D274" i="17"/>
  <c r="D274" i="31" s="1"/>
  <c r="F273" i="17"/>
  <c r="F273" i="31" s="1"/>
  <c r="M273" i="31" s="1"/>
  <c r="E273" i="17"/>
  <c r="E273" i="31" s="1"/>
  <c r="L273" i="31" s="1"/>
  <c r="D273" i="17"/>
  <c r="D273" i="31" s="1"/>
  <c r="F272" i="17"/>
  <c r="F272" i="31" s="1"/>
  <c r="M272" i="31" s="1"/>
  <c r="E272" i="17"/>
  <c r="E272" i="31" s="1"/>
  <c r="L272" i="31" s="1"/>
  <c r="D272" i="17"/>
  <c r="D272" i="31" s="1"/>
  <c r="F271" i="17"/>
  <c r="F271" i="31" s="1"/>
  <c r="M271" i="31" s="1"/>
  <c r="E271" i="17"/>
  <c r="E271" i="31" s="1"/>
  <c r="L271" i="31" s="1"/>
  <c r="D271" i="17"/>
  <c r="D271" i="31" s="1"/>
  <c r="F270" i="17"/>
  <c r="F270" i="31" s="1"/>
  <c r="M270" i="31" s="1"/>
  <c r="E270" i="17"/>
  <c r="E270" i="31" s="1"/>
  <c r="L270" i="31" s="1"/>
  <c r="D270" i="17"/>
  <c r="D270" i="31" s="1"/>
  <c r="F268" i="17"/>
  <c r="F268" i="31" s="1"/>
  <c r="M268" i="31" s="1"/>
  <c r="E268" i="17"/>
  <c r="E268" i="31" s="1"/>
  <c r="L268" i="31" s="1"/>
  <c r="D268" i="17"/>
  <c r="D268" i="31" s="1"/>
  <c r="F267" i="17"/>
  <c r="F267" i="31" s="1"/>
  <c r="M267" i="31" s="1"/>
  <c r="E267" i="17"/>
  <c r="E267" i="31" s="1"/>
  <c r="L267" i="31" s="1"/>
  <c r="D267" i="17"/>
  <c r="D267" i="31" s="1"/>
  <c r="F266" i="17"/>
  <c r="F266" i="31" s="1"/>
  <c r="M266" i="31" s="1"/>
  <c r="E266" i="17"/>
  <c r="E266" i="31" s="1"/>
  <c r="L266" i="31" s="1"/>
  <c r="D266" i="17"/>
  <c r="D266" i="31" s="1"/>
  <c r="F265" i="17"/>
  <c r="F265" i="31" s="1"/>
  <c r="M265" i="31" s="1"/>
  <c r="E265" i="17"/>
  <c r="E265" i="31" s="1"/>
  <c r="L265" i="31" s="1"/>
  <c r="D265" i="17"/>
  <c r="D265" i="31" s="1"/>
  <c r="F264" i="17"/>
  <c r="F264" i="31" s="1"/>
  <c r="M264" i="31" s="1"/>
  <c r="E264" i="17"/>
  <c r="E264" i="31" s="1"/>
  <c r="L264" i="31" s="1"/>
  <c r="D264" i="17"/>
  <c r="D264" i="31" s="1"/>
  <c r="F263" i="17"/>
  <c r="F263" i="31" s="1"/>
  <c r="M263" i="31" s="1"/>
  <c r="E263" i="17"/>
  <c r="E263" i="31" s="1"/>
  <c r="L263" i="31" s="1"/>
  <c r="D263" i="17"/>
  <c r="D263" i="31" s="1"/>
  <c r="F262" i="17"/>
  <c r="F262" i="31" s="1"/>
  <c r="M262" i="31" s="1"/>
  <c r="E262" i="17"/>
  <c r="E262" i="31" s="1"/>
  <c r="L262" i="31" s="1"/>
  <c r="D262" i="17"/>
  <c r="D262" i="31" s="1"/>
  <c r="M256" i="17"/>
  <c r="L256" i="17"/>
  <c r="M255" i="17"/>
  <c r="L255" i="17"/>
  <c r="M253" i="17"/>
  <c r="L253" i="17"/>
  <c r="M252" i="17"/>
  <c r="L252" i="17"/>
  <c r="M251" i="17"/>
  <c r="L251" i="17"/>
  <c r="M250" i="17"/>
  <c r="L250" i="17"/>
  <c r="M248" i="17"/>
  <c r="L248" i="17"/>
  <c r="M247" i="17"/>
  <c r="L247" i="17"/>
  <c r="M246" i="17"/>
  <c r="L246" i="17"/>
  <c r="M245" i="17"/>
  <c r="L245" i="17"/>
  <c r="M244" i="17"/>
  <c r="L244" i="17"/>
  <c r="M243" i="17"/>
  <c r="L243" i="17"/>
  <c r="M242" i="17"/>
  <c r="L242" i="17"/>
  <c r="M240" i="17"/>
  <c r="L240" i="17"/>
  <c r="M239" i="17"/>
  <c r="L239" i="17"/>
  <c r="M238" i="17"/>
  <c r="L238" i="17"/>
  <c r="M237" i="17"/>
  <c r="L237" i="17"/>
  <c r="M236" i="17"/>
  <c r="L236" i="17"/>
  <c r="M235" i="17"/>
  <c r="L235" i="17"/>
  <c r="M234" i="17"/>
  <c r="L234" i="17"/>
  <c r="F256" i="17"/>
  <c r="F256" i="31" s="1"/>
  <c r="M256" i="31" s="1"/>
  <c r="E256" i="17"/>
  <c r="E256" i="31" s="1"/>
  <c r="L256" i="31" s="1"/>
  <c r="D256" i="17"/>
  <c r="F255" i="17"/>
  <c r="F255" i="31" s="1"/>
  <c r="M255" i="31" s="1"/>
  <c r="E255" i="17"/>
  <c r="E255" i="31" s="1"/>
  <c r="L255" i="31" s="1"/>
  <c r="D255" i="17"/>
  <c r="F253" i="17"/>
  <c r="F253" i="31" s="1"/>
  <c r="M253" i="31" s="1"/>
  <c r="E253" i="17"/>
  <c r="E253" i="31" s="1"/>
  <c r="L253" i="31" s="1"/>
  <c r="D253" i="17"/>
  <c r="F252" i="17"/>
  <c r="F252" i="31" s="1"/>
  <c r="M252" i="31" s="1"/>
  <c r="E252" i="17"/>
  <c r="E252" i="31" s="1"/>
  <c r="L252" i="31" s="1"/>
  <c r="D252" i="17"/>
  <c r="F251" i="17"/>
  <c r="F251" i="31" s="1"/>
  <c r="M251" i="31" s="1"/>
  <c r="E251" i="17"/>
  <c r="E251" i="31" s="1"/>
  <c r="L251" i="31" s="1"/>
  <c r="D251" i="17"/>
  <c r="F250" i="17"/>
  <c r="F250" i="31" s="1"/>
  <c r="M250" i="31" s="1"/>
  <c r="E250" i="17"/>
  <c r="E250" i="31" s="1"/>
  <c r="L250" i="31" s="1"/>
  <c r="D250" i="17"/>
  <c r="F248" i="17"/>
  <c r="F248" i="31" s="1"/>
  <c r="M248" i="31" s="1"/>
  <c r="E248" i="17"/>
  <c r="E248" i="31" s="1"/>
  <c r="L248" i="31" s="1"/>
  <c r="D248" i="17"/>
  <c r="F247" i="17"/>
  <c r="F247" i="31" s="1"/>
  <c r="M247" i="31" s="1"/>
  <c r="E247" i="17"/>
  <c r="E247" i="31" s="1"/>
  <c r="L247" i="31" s="1"/>
  <c r="D247" i="17"/>
  <c r="F246" i="17"/>
  <c r="F246" i="31" s="1"/>
  <c r="M246" i="31" s="1"/>
  <c r="E246" i="17"/>
  <c r="E246" i="31" s="1"/>
  <c r="L246" i="31" s="1"/>
  <c r="D246" i="17"/>
  <c r="F245" i="17"/>
  <c r="F245" i="31" s="1"/>
  <c r="M245" i="31" s="1"/>
  <c r="E245" i="17"/>
  <c r="E245" i="31" s="1"/>
  <c r="L245" i="31" s="1"/>
  <c r="D245" i="17"/>
  <c r="F244" i="17"/>
  <c r="F244" i="31" s="1"/>
  <c r="M244" i="31" s="1"/>
  <c r="E244" i="17"/>
  <c r="E244" i="31" s="1"/>
  <c r="L244" i="31" s="1"/>
  <c r="D244" i="17"/>
  <c r="F243" i="17"/>
  <c r="F243" i="31" s="1"/>
  <c r="M243" i="31" s="1"/>
  <c r="E243" i="17"/>
  <c r="E243" i="31" s="1"/>
  <c r="L243" i="31" s="1"/>
  <c r="D243" i="17"/>
  <c r="F242" i="17"/>
  <c r="F242" i="31" s="1"/>
  <c r="M242" i="31" s="1"/>
  <c r="E242" i="17"/>
  <c r="E242" i="31" s="1"/>
  <c r="L242" i="31" s="1"/>
  <c r="D242" i="17"/>
  <c r="F240" i="17"/>
  <c r="F240" i="31" s="1"/>
  <c r="M240" i="31" s="1"/>
  <c r="E240" i="17"/>
  <c r="E240" i="31" s="1"/>
  <c r="L240" i="31" s="1"/>
  <c r="D240" i="17"/>
  <c r="F239" i="17"/>
  <c r="F239" i="31" s="1"/>
  <c r="M239" i="31" s="1"/>
  <c r="E239" i="17"/>
  <c r="E239" i="31" s="1"/>
  <c r="L239" i="31" s="1"/>
  <c r="D239" i="17"/>
  <c r="F238" i="17"/>
  <c r="F238" i="31" s="1"/>
  <c r="M238" i="31" s="1"/>
  <c r="E238" i="17"/>
  <c r="E238" i="31" s="1"/>
  <c r="L238" i="31" s="1"/>
  <c r="D238" i="17"/>
  <c r="F237" i="17"/>
  <c r="F237" i="31" s="1"/>
  <c r="M237" i="31" s="1"/>
  <c r="E237" i="17"/>
  <c r="E237" i="31" s="1"/>
  <c r="L237" i="31" s="1"/>
  <c r="D237" i="17"/>
  <c r="F236" i="17"/>
  <c r="F236" i="31" s="1"/>
  <c r="M236" i="31" s="1"/>
  <c r="E236" i="17"/>
  <c r="E236" i="31" s="1"/>
  <c r="L236" i="31" s="1"/>
  <c r="D236" i="17"/>
  <c r="F235" i="17"/>
  <c r="F235" i="31" s="1"/>
  <c r="M235" i="31" s="1"/>
  <c r="E235" i="17"/>
  <c r="E235" i="31" s="1"/>
  <c r="L235" i="31" s="1"/>
  <c r="D235" i="17"/>
  <c r="F234" i="17"/>
  <c r="F234" i="31" s="1"/>
  <c r="M234" i="31" s="1"/>
  <c r="E234" i="17"/>
  <c r="E234" i="31" s="1"/>
  <c r="L234" i="31" s="1"/>
  <c r="D234" i="17"/>
  <c r="M228" i="17"/>
  <c r="L228" i="17"/>
  <c r="M227" i="17"/>
  <c r="L227" i="17"/>
  <c r="M225" i="17"/>
  <c r="L225" i="17"/>
  <c r="M224" i="17"/>
  <c r="L224" i="17"/>
  <c r="M223" i="17"/>
  <c r="L223" i="17"/>
  <c r="M222" i="17"/>
  <c r="L222" i="17"/>
  <c r="M220" i="17"/>
  <c r="L220" i="17"/>
  <c r="M219" i="17"/>
  <c r="L219" i="17"/>
  <c r="M218" i="17"/>
  <c r="L218" i="17"/>
  <c r="M217" i="17"/>
  <c r="L217" i="17"/>
  <c r="M216" i="17"/>
  <c r="L216" i="17"/>
  <c r="M215" i="17"/>
  <c r="L215" i="17"/>
  <c r="M214" i="17"/>
  <c r="L214" i="17"/>
  <c r="M212" i="17"/>
  <c r="L212" i="17"/>
  <c r="M211" i="17"/>
  <c r="L211" i="17"/>
  <c r="M210" i="17"/>
  <c r="L210" i="17"/>
  <c r="M209" i="17"/>
  <c r="L209" i="17"/>
  <c r="M208" i="17"/>
  <c r="L208" i="17"/>
  <c r="M207" i="17"/>
  <c r="L207" i="17"/>
  <c r="M206" i="17"/>
  <c r="L206" i="17"/>
  <c r="F228" i="17"/>
  <c r="F228" i="31" s="1"/>
  <c r="M228" i="31" s="1"/>
  <c r="E228" i="17"/>
  <c r="E228" i="31" s="1"/>
  <c r="L228" i="31" s="1"/>
  <c r="D228" i="17"/>
  <c r="F227" i="17"/>
  <c r="F227" i="31" s="1"/>
  <c r="M227" i="31" s="1"/>
  <c r="E227" i="17"/>
  <c r="E227" i="31" s="1"/>
  <c r="L227" i="31" s="1"/>
  <c r="D227" i="17"/>
  <c r="F225" i="17"/>
  <c r="F225" i="31" s="1"/>
  <c r="M225" i="31" s="1"/>
  <c r="E225" i="17"/>
  <c r="E225" i="31" s="1"/>
  <c r="L225" i="31" s="1"/>
  <c r="D225" i="17"/>
  <c r="F224" i="17"/>
  <c r="F224" i="31" s="1"/>
  <c r="M224" i="31" s="1"/>
  <c r="E224" i="17"/>
  <c r="E224" i="31" s="1"/>
  <c r="L224" i="31" s="1"/>
  <c r="D224" i="17"/>
  <c r="F223" i="17"/>
  <c r="F223" i="31" s="1"/>
  <c r="M223" i="31" s="1"/>
  <c r="E223" i="17"/>
  <c r="E223" i="31" s="1"/>
  <c r="L223" i="31" s="1"/>
  <c r="D223" i="17"/>
  <c r="F222" i="17"/>
  <c r="F222" i="31" s="1"/>
  <c r="M222" i="31" s="1"/>
  <c r="E222" i="17"/>
  <c r="E222" i="31" s="1"/>
  <c r="L222" i="31" s="1"/>
  <c r="D222" i="17"/>
  <c r="F220" i="17"/>
  <c r="F220" i="31" s="1"/>
  <c r="M220" i="31" s="1"/>
  <c r="E220" i="17"/>
  <c r="E220" i="31" s="1"/>
  <c r="L220" i="31" s="1"/>
  <c r="D220" i="17"/>
  <c r="F219" i="17"/>
  <c r="F219" i="31" s="1"/>
  <c r="M219" i="31" s="1"/>
  <c r="E219" i="17"/>
  <c r="E219" i="31" s="1"/>
  <c r="L219" i="31" s="1"/>
  <c r="D219" i="17"/>
  <c r="F218" i="17"/>
  <c r="F218" i="31" s="1"/>
  <c r="M218" i="31" s="1"/>
  <c r="E218" i="17"/>
  <c r="E218" i="31" s="1"/>
  <c r="L218" i="31" s="1"/>
  <c r="D218" i="17"/>
  <c r="F217" i="17"/>
  <c r="F217" i="31" s="1"/>
  <c r="M217" i="31" s="1"/>
  <c r="E217" i="17"/>
  <c r="E217" i="31" s="1"/>
  <c r="L217" i="31" s="1"/>
  <c r="D217" i="17"/>
  <c r="F216" i="17"/>
  <c r="F216" i="31" s="1"/>
  <c r="M216" i="31" s="1"/>
  <c r="E216" i="17"/>
  <c r="E216" i="31" s="1"/>
  <c r="L216" i="31" s="1"/>
  <c r="D216" i="17"/>
  <c r="F215" i="17"/>
  <c r="F215" i="31" s="1"/>
  <c r="M215" i="31" s="1"/>
  <c r="E215" i="17"/>
  <c r="E215" i="31" s="1"/>
  <c r="L215" i="31" s="1"/>
  <c r="D215" i="17"/>
  <c r="F214" i="17"/>
  <c r="F214" i="31" s="1"/>
  <c r="M214" i="31" s="1"/>
  <c r="E214" i="17"/>
  <c r="E214" i="31" s="1"/>
  <c r="L214" i="31" s="1"/>
  <c r="D214" i="17"/>
  <c r="F212" i="17"/>
  <c r="F212" i="31" s="1"/>
  <c r="M212" i="31" s="1"/>
  <c r="E212" i="17"/>
  <c r="E212" i="31" s="1"/>
  <c r="L212" i="31" s="1"/>
  <c r="D212" i="17"/>
  <c r="F211" i="17"/>
  <c r="F211" i="31" s="1"/>
  <c r="M211" i="31" s="1"/>
  <c r="E211" i="17"/>
  <c r="E211" i="31" s="1"/>
  <c r="L211" i="31" s="1"/>
  <c r="D211" i="17"/>
  <c r="F210" i="17"/>
  <c r="F210" i="31" s="1"/>
  <c r="M210" i="31" s="1"/>
  <c r="E210" i="17"/>
  <c r="E210" i="31" s="1"/>
  <c r="L210" i="31" s="1"/>
  <c r="D210" i="17"/>
  <c r="F209" i="17"/>
  <c r="F209" i="31" s="1"/>
  <c r="M209" i="31" s="1"/>
  <c r="E209" i="17"/>
  <c r="E209" i="31" s="1"/>
  <c r="L209" i="31" s="1"/>
  <c r="D209" i="17"/>
  <c r="F208" i="17"/>
  <c r="F208" i="31" s="1"/>
  <c r="M208" i="31" s="1"/>
  <c r="E208" i="17"/>
  <c r="E208" i="31" s="1"/>
  <c r="L208" i="31" s="1"/>
  <c r="D208" i="17"/>
  <c r="F207" i="17"/>
  <c r="F207" i="31" s="1"/>
  <c r="M207" i="31" s="1"/>
  <c r="E207" i="17"/>
  <c r="E207" i="31" s="1"/>
  <c r="L207" i="31" s="1"/>
  <c r="D207" i="17"/>
  <c r="F206" i="17"/>
  <c r="F206" i="31" s="1"/>
  <c r="M206" i="31" s="1"/>
  <c r="E206" i="17"/>
  <c r="E206" i="31" s="1"/>
  <c r="L206" i="31" s="1"/>
  <c r="D206" i="17"/>
  <c r="M200" i="17"/>
  <c r="L200" i="17"/>
  <c r="M199" i="17"/>
  <c r="L199" i="17"/>
  <c r="M197" i="17"/>
  <c r="L197" i="17"/>
  <c r="M196" i="17"/>
  <c r="L196" i="17"/>
  <c r="M195" i="17"/>
  <c r="L195" i="17"/>
  <c r="M194" i="17"/>
  <c r="L194" i="17"/>
  <c r="M192" i="17"/>
  <c r="L192" i="17"/>
  <c r="M191" i="17"/>
  <c r="L191" i="17"/>
  <c r="M190" i="17"/>
  <c r="L190" i="17"/>
  <c r="M189" i="17"/>
  <c r="L189" i="17"/>
  <c r="M188" i="17"/>
  <c r="L188" i="17"/>
  <c r="M187" i="17"/>
  <c r="L187" i="17"/>
  <c r="M186" i="17"/>
  <c r="L186" i="17"/>
  <c r="M184" i="17"/>
  <c r="L184" i="17"/>
  <c r="M183" i="17"/>
  <c r="L183" i="17"/>
  <c r="M182" i="17"/>
  <c r="L182" i="17"/>
  <c r="M181" i="17"/>
  <c r="L181" i="17"/>
  <c r="M180" i="17"/>
  <c r="L180" i="17"/>
  <c r="M179" i="17"/>
  <c r="L179" i="17"/>
  <c r="M178" i="17"/>
  <c r="L178" i="17"/>
  <c r="F200" i="17"/>
  <c r="F200" i="31" s="1"/>
  <c r="M200" i="31" s="1"/>
  <c r="E200" i="17"/>
  <c r="E200" i="31" s="1"/>
  <c r="L200" i="31" s="1"/>
  <c r="D200" i="17"/>
  <c r="F199" i="17"/>
  <c r="F199" i="31" s="1"/>
  <c r="M199" i="31" s="1"/>
  <c r="E199" i="17"/>
  <c r="E199" i="31" s="1"/>
  <c r="L199" i="31" s="1"/>
  <c r="D199" i="17"/>
  <c r="F197" i="17"/>
  <c r="F197" i="31" s="1"/>
  <c r="M197" i="31" s="1"/>
  <c r="E197" i="17"/>
  <c r="E197" i="31" s="1"/>
  <c r="L197" i="31" s="1"/>
  <c r="D197" i="17"/>
  <c r="F196" i="17"/>
  <c r="F196" i="31" s="1"/>
  <c r="M196" i="31" s="1"/>
  <c r="E196" i="17"/>
  <c r="E196" i="31" s="1"/>
  <c r="L196" i="31" s="1"/>
  <c r="D196" i="17"/>
  <c r="F195" i="17"/>
  <c r="F195" i="31" s="1"/>
  <c r="M195" i="31" s="1"/>
  <c r="E195" i="17"/>
  <c r="E195" i="31" s="1"/>
  <c r="L195" i="31" s="1"/>
  <c r="D195" i="17"/>
  <c r="F194" i="17"/>
  <c r="F194" i="31" s="1"/>
  <c r="M194" i="31" s="1"/>
  <c r="E194" i="17"/>
  <c r="E194" i="31" s="1"/>
  <c r="L194" i="31" s="1"/>
  <c r="D194" i="17"/>
  <c r="F192" i="17"/>
  <c r="F192" i="31" s="1"/>
  <c r="M192" i="31" s="1"/>
  <c r="E192" i="17"/>
  <c r="E192" i="31" s="1"/>
  <c r="L192" i="31" s="1"/>
  <c r="D192" i="17"/>
  <c r="F191" i="17"/>
  <c r="F191" i="31" s="1"/>
  <c r="M191" i="31" s="1"/>
  <c r="E191" i="17"/>
  <c r="E191" i="31" s="1"/>
  <c r="L191" i="31" s="1"/>
  <c r="D191" i="17"/>
  <c r="F190" i="17"/>
  <c r="F190" i="31" s="1"/>
  <c r="M190" i="31" s="1"/>
  <c r="E190" i="17"/>
  <c r="E190" i="31" s="1"/>
  <c r="L190" i="31" s="1"/>
  <c r="D190" i="17"/>
  <c r="F189" i="17"/>
  <c r="F189" i="31" s="1"/>
  <c r="M189" i="31" s="1"/>
  <c r="E189" i="17"/>
  <c r="E189" i="31" s="1"/>
  <c r="L189" i="31" s="1"/>
  <c r="D189" i="17"/>
  <c r="F188" i="17"/>
  <c r="F188" i="31" s="1"/>
  <c r="M188" i="31" s="1"/>
  <c r="E188" i="17"/>
  <c r="E188" i="31" s="1"/>
  <c r="L188" i="31" s="1"/>
  <c r="D188" i="17"/>
  <c r="F187" i="17"/>
  <c r="F187" i="31" s="1"/>
  <c r="M187" i="31" s="1"/>
  <c r="E187" i="17"/>
  <c r="E187" i="31" s="1"/>
  <c r="L187" i="31" s="1"/>
  <c r="D187" i="17"/>
  <c r="F186" i="17"/>
  <c r="F186" i="31" s="1"/>
  <c r="M186" i="31" s="1"/>
  <c r="E186" i="17"/>
  <c r="E186" i="31" s="1"/>
  <c r="L186" i="31" s="1"/>
  <c r="D186" i="17"/>
  <c r="F184" i="17"/>
  <c r="F184" i="31" s="1"/>
  <c r="M184" i="31" s="1"/>
  <c r="E184" i="17"/>
  <c r="E184" i="31" s="1"/>
  <c r="L184" i="31" s="1"/>
  <c r="D184" i="17"/>
  <c r="F183" i="17"/>
  <c r="F183" i="31" s="1"/>
  <c r="M183" i="31" s="1"/>
  <c r="E183" i="17"/>
  <c r="E183" i="31" s="1"/>
  <c r="L183" i="31" s="1"/>
  <c r="D183" i="17"/>
  <c r="F182" i="17"/>
  <c r="F182" i="31" s="1"/>
  <c r="M182" i="31" s="1"/>
  <c r="E182" i="17"/>
  <c r="E182" i="31" s="1"/>
  <c r="L182" i="31" s="1"/>
  <c r="D182" i="17"/>
  <c r="F181" i="17"/>
  <c r="F181" i="31" s="1"/>
  <c r="M181" i="31" s="1"/>
  <c r="E181" i="17"/>
  <c r="E181" i="31" s="1"/>
  <c r="L181" i="31" s="1"/>
  <c r="D181" i="17"/>
  <c r="F180" i="17"/>
  <c r="F180" i="31" s="1"/>
  <c r="M180" i="31" s="1"/>
  <c r="E180" i="17"/>
  <c r="E180" i="31" s="1"/>
  <c r="L180" i="31" s="1"/>
  <c r="D180" i="17"/>
  <c r="F179" i="17"/>
  <c r="F179" i="31" s="1"/>
  <c r="M179" i="31" s="1"/>
  <c r="E179" i="17"/>
  <c r="E179" i="31" s="1"/>
  <c r="L179" i="31" s="1"/>
  <c r="D179" i="17"/>
  <c r="F178" i="17"/>
  <c r="F178" i="31" s="1"/>
  <c r="M178" i="31" s="1"/>
  <c r="E178" i="17"/>
  <c r="E178" i="31" s="1"/>
  <c r="L178" i="31" s="1"/>
  <c r="D178" i="17"/>
  <c r="F110" i="17"/>
  <c r="F110" i="31" s="1"/>
  <c r="E110" i="17"/>
  <c r="E110" i="31" s="1"/>
  <c r="D110" i="17"/>
  <c r="D110" i="31" s="1"/>
  <c r="F109" i="17"/>
  <c r="F109" i="31" s="1"/>
  <c r="E109" i="17"/>
  <c r="E109" i="31" s="1"/>
  <c r="D109" i="17"/>
  <c r="D109" i="31" s="1"/>
  <c r="F107" i="17"/>
  <c r="F107" i="31" s="1"/>
  <c r="E107" i="17"/>
  <c r="E107" i="31" s="1"/>
  <c r="D107" i="17"/>
  <c r="D107" i="31" s="1"/>
  <c r="F106" i="17"/>
  <c r="F106" i="31" s="1"/>
  <c r="E106" i="17"/>
  <c r="E106" i="31" s="1"/>
  <c r="D106" i="17"/>
  <c r="D106" i="31" s="1"/>
  <c r="F105" i="17"/>
  <c r="F105" i="31" s="1"/>
  <c r="E105" i="17"/>
  <c r="E105" i="31" s="1"/>
  <c r="D105" i="17"/>
  <c r="D105" i="31" s="1"/>
  <c r="F104" i="17"/>
  <c r="F104" i="31" s="1"/>
  <c r="E104" i="17"/>
  <c r="E104" i="31" s="1"/>
  <c r="D104" i="17"/>
  <c r="D104" i="31" s="1"/>
  <c r="F102" i="17"/>
  <c r="F102" i="31" s="1"/>
  <c r="E102" i="17"/>
  <c r="E102" i="31" s="1"/>
  <c r="D102" i="17"/>
  <c r="D102" i="31" s="1"/>
  <c r="F101" i="17"/>
  <c r="F101" i="31" s="1"/>
  <c r="E101" i="17"/>
  <c r="E101" i="31" s="1"/>
  <c r="D101" i="17"/>
  <c r="D101" i="31" s="1"/>
  <c r="F100" i="17"/>
  <c r="F100" i="31" s="1"/>
  <c r="E100" i="17"/>
  <c r="E100" i="31" s="1"/>
  <c r="D100" i="17"/>
  <c r="D100" i="31" s="1"/>
  <c r="F99" i="17"/>
  <c r="F99" i="31" s="1"/>
  <c r="E99" i="17"/>
  <c r="E99" i="31" s="1"/>
  <c r="D99" i="17"/>
  <c r="D99" i="31" s="1"/>
  <c r="F98" i="17"/>
  <c r="F98" i="31" s="1"/>
  <c r="E98" i="17"/>
  <c r="E98" i="31" s="1"/>
  <c r="D98" i="17"/>
  <c r="D98" i="31" s="1"/>
  <c r="F97" i="17"/>
  <c r="F97" i="31" s="1"/>
  <c r="E97" i="17"/>
  <c r="E97" i="31" s="1"/>
  <c r="D97" i="17"/>
  <c r="D97" i="31" s="1"/>
  <c r="F96" i="17"/>
  <c r="F96" i="31" s="1"/>
  <c r="E96" i="17"/>
  <c r="E96" i="31" s="1"/>
  <c r="D96" i="17"/>
  <c r="D96" i="31" s="1"/>
  <c r="F94" i="17"/>
  <c r="F94" i="31" s="1"/>
  <c r="E94" i="17"/>
  <c r="E94" i="31" s="1"/>
  <c r="D94" i="17"/>
  <c r="D94" i="31" s="1"/>
  <c r="F93" i="17"/>
  <c r="F93" i="31" s="1"/>
  <c r="E93" i="17"/>
  <c r="E93" i="31" s="1"/>
  <c r="D93" i="17"/>
  <c r="D93" i="31" s="1"/>
  <c r="F92" i="17"/>
  <c r="F92" i="31" s="1"/>
  <c r="E92" i="17"/>
  <c r="E92" i="31" s="1"/>
  <c r="D92" i="17"/>
  <c r="D92" i="31" s="1"/>
  <c r="F91" i="17"/>
  <c r="F91" i="31" s="1"/>
  <c r="E91" i="17"/>
  <c r="E91" i="31" s="1"/>
  <c r="D91" i="17"/>
  <c r="D91" i="31" s="1"/>
  <c r="F90" i="17"/>
  <c r="F90" i="31" s="1"/>
  <c r="E90" i="17"/>
  <c r="E90" i="31" s="1"/>
  <c r="D90" i="17"/>
  <c r="D90" i="31" s="1"/>
  <c r="F89" i="17"/>
  <c r="F89" i="31" s="1"/>
  <c r="E89" i="17"/>
  <c r="E89" i="31" s="1"/>
  <c r="D89" i="17"/>
  <c r="D89" i="31" s="1"/>
  <c r="F88" i="17"/>
  <c r="F88" i="31" s="1"/>
  <c r="E88" i="17"/>
  <c r="E88" i="31" s="1"/>
  <c r="D88" i="17"/>
  <c r="D88" i="31" s="1"/>
  <c r="F83" i="17"/>
  <c r="F83" i="31" s="1"/>
  <c r="E83" i="17"/>
  <c r="E83" i="31" s="1"/>
  <c r="D83" i="17"/>
  <c r="D83" i="31" s="1"/>
  <c r="F82" i="17"/>
  <c r="F82" i="31" s="1"/>
  <c r="E82" i="17"/>
  <c r="E82" i="31" s="1"/>
  <c r="D82" i="17"/>
  <c r="D82" i="31" s="1"/>
  <c r="F80" i="17"/>
  <c r="F80" i="31" s="1"/>
  <c r="E80" i="17"/>
  <c r="E80" i="31" s="1"/>
  <c r="D80" i="17"/>
  <c r="D80" i="31" s="1"/>
  <c r="F79" i="17"/>
  <c r="F79" i="31" s="1"/>
  <c r="E79" i="17"/>
  <c r="E79" i="31" s="1"/>
  <c r="D79" i="17"/>
  <c r="D79" i="31" s="1"/>
  <c r="F78" i="17"/>
  <c r="F78" i="31" s="1"/>
  <c r="E78" i="17"/>
  <c r="E78" i="31" s="1"/>
  <c r="D78" i="17"/>
  <c r="D78" i="31" s="1"/>
  <c r="F77" i="17"/>
  <c r="F77" i="31" s="1"/>
  <c r="E77" i="17"/>
  <c r="E77" i="31" s="1"/>
  <c r="D77" i="17"/>
  <c r="D77" i="31" s="1"/>
  <c r="F75" i="17"/>
  <c r="F75" i="31" s="1"/>
  <c r="E75" i="17"/>
  <c r="E75" i="31" s="1"/>
  <c r="D75" i="17"/>
  <c r="D75" i="31" s="1"/>
  <c r="F74" i="17"/>
  <c r="F74" i="31" s="1"/>
  <c r="E74" i="17"/>
  <c r="E74" i="31" s="1"/>
  <c r="D74" i="17"/>
  <c r="D74" i="31" s="1"/>
  <c r="F73" i="17"/>
  <c r="F73" i="31" s="1"/>
  <c r="E73" i="17"/>
  <c r="E73" i="31" s="1"/>
  <c r="D73" i="17"/>
  <c r="D73" i="31" s="1"/>
  <c r="F72" i="17"/>
  <c r="F72" i="31" s="1"/>
  <c r="E72" i="17"/>
  <c r="E72" i="31" s="1"/>
  <c r="D72" i="17"/>
  <c r="D72" i="31" s="1"/>
  <c r="F71" i="17"/>
  <c r="F71" i="31" s="1"/>
  <c r="E71" i="17"/>
  <c r="E71" i="31" s="1"/>
  <c r="D71" i="17"/>
  <c r="D71" i="31" s="1"/>
  <c r="F70" i="17"/>
  <c r="F70" i="31" s="1"/>
  <c r="E70" i="17"/>
  <c r="E70" i="31" s="1"/>
  <c r="D70" i="17"/>
  <c r="D70" i="31" s="1"/>
  <c r="F69" i="17"/>
  <c r="F69" i="31" s="1"/>
  <c r="E69" i="17"/>
  <c r="E69" i="31" s="1"/>
  <c r="D69" i="17"/>
  <c r="D69" i="31" s="1"/>
  <c r="F67" i="17"/>
  <c r="F67" i="31" s="1"/>
  <c r="E67" i="17"/>
  <c r="E67" i="31" s="1"/>
  <c r="D67" i="17"/>
  <c r="D67" i="31" s="1"/>
  <c r="F66" i="17"/>
  <c r="F66" i="31" s="1"/>
  <c r="E66" i="17"/>
  <c r="E66" i="31" s="1"/>
  <c r="D66" i="17"/>
  <c r="D66" i="31" s="1"/>
  <c r="F65" i="17"/>
  <c r="F65" i="31" s="1"/>
  <c r="E65" i="17"/>
  <c r="E65" i="31" s="1"/>
  <c r="D65" i="17"/>
  <c r="D65" i="31" s="1"/>
  <c r="F64" i="17"/>
  <c r="F64" i="31" s="1"/>
  <c r="E64" i="17"/>
  <c r="E64" i="31" s="1"/>
  <c r="D64" i="17"/>
  <c r="D64" i="31" s="1"/>
  <c r="F63" i="17"/>
  <c r="F63" i="31" s="1"/>
  <c r="E63" i="17"/>
  <c r="E63" i="31" s="1"/>
  <c r="D63" i="17"/>
  <c r="D63" i="31" s="1"/>
  <c r="F62" i="17"/>
  <c r="F62" i="31" s="1"/>
  <c r="E62" i="17"/>
  <c r="E62" i="31" s="1"/>
  <c r="D62" i="17"/>
  <c r="D62" i="31" s="1"/>
  <c r="F61" i="17"/>
  <c r="F61" i="31" s="1"/>
  <c r="E61" i="17"/>
  <c r="E61" i="31" s="1"/>
  <c r="D61" i="17"/>
  <c r="D61" i="31" s="1"/>
  <c r="F56" i="17"/>
  <c r="F56" i="31" s="1"/>
  <c r="E56" i="17"/>
  <c r="E56" i="31" s="1"/>
  <c r="D56" i="17"/>
  <c r="D56" i="31" s="1"/>
  <c r="F55" i="17"/>
  <c r="F55" i="31" s="1"/>
  <c r="E55" i="17"/>
  <c r="E55" i="31" s="1"/>
  <c r="D55" i="17"/>
  <c r="D55" i="31" s="1"/>
  <c r="F53" i="17"/>
  <c r="F53" i="31" s="1"/>
  <c r="E53" i="17"/>
  <c r="E53" i="31" s="1"/>
  <c r="D53" i="17"/>
  <c r="D53" i="31" s="1"/>
  <c r="F52" i="17"/>
  <c r="F52" i="31" s="1"/>
  <c r="E52" i="17"/>
  <c r="E52" i="31" s="1"/>
  <c r="D52" i="17"/>
  <c r="D52" i="31" s="1"/>
  <c r="F51" i="17"/>
  <c r="F51" i="31" s="1"/>
  <c r="E51" i="17"/>
  <c r="E51" i="31" s="1"/>
  <c r="D51" i="17"/>
  <c r="D51" i="31" s="1"/>
  <c r="F50" i="17"/>
  <c r="F50" i="31" s="1"/>
  <c r="E50" i="17"/>
  <c r="E50" i="31" s="1"/>
  <c r="D50" i="17"/>
  <c r="D50" i="31" s="1"/>
  <c r="F48" i="17"/>
  <c r="F48" i="31" s="1"/>
  <c r="E48" i="17"/>
  <c r="E48" i="31" s="1"/>
  <c r="D48" i="17"/>
  <c r="D48" i="31" s="1"/>
  <c r="F47" i="17"/>
  <c r="F47" i="31" s="1"/>
  <c r="E47" i="17"/>
  <c r="E47" i="31" s="1"/>
  <c r="D47" i="17"/>
  <c r="D47" i="31" s="1"/>
  <c r="F46" i="17"/>
  <c r="F46" i="31" s="1"/>
  <c r="E46" i="17"/>
  <c r="E46" i="31" s="1"/>
  <c r="D46" i="17"/>
  <c r="D46" i="31" s="1"/>
  <c r="F45" i="17"/>
  <c r="F45" i="31" s="1"/>
  <c r="E45" i="17"/>
  <c r="E45" i="31" s="1"/>
  <c r="D45" i="17"/>
  <c r="D45" i="31" s="1"/>
  <c r="F44" i="17"/>
  <c r="F44" i="31" s="1"/>
  <c r="E44" i="17"/>
  <c r="E44" i="31" s="1"/>
  <c r="D44" i="17"/>
  <c r="D44" i="31" s="1"/>
  <c r="F43" i="17"/>
  <c r="F43" i="31" s="1"/>
  <c r="E43" i="17"/>
  <c r="E43" i="31" s="1"/>
  <c r="D43" i="17"/>
  <c r="D43" i="31" s="1"/>
  <c r="F42" i="17"/>
  <c r="F42" i="31" s="1"/>
  <c r="E42" i="17"/>
  <c r="E42" i="31" s="1"/>
  <c r="D42" i="17"/>
  <c r="D42" i="31" s="1"/>
  <c r="F40" i="17"/>
  <c r="F40" i="31" s="1"/>
  <c r="E40" i="17"/>
  <c r="E40" i="31" s="1"/>
  <c r="D40" i="17"/>
  <c r="D40" i="31" s="1"/>
  <c r="F39" i="17"/>
  <c r="F39" i="31" s="1"/>
  <c r="E39" i="17"/>
  <c r="E39" i="31" s="1"/>
  <c r="D39" i="17"/>
  <c r="D39" i="31" s="1"/>
  <c r="F38" i="17"/>
  <c r="F38" i="31" s="1"/>
  <c r="E38" i="17"/>
  <c r="E38" i="31" s="1"/>
  <c r="D38" i="17"/>
  <c r="D38" i="31" s="1"/>
  <c r="F37" i="17"/>
  <c r="F37" i="31" s="1"/>
  <c r="E37" i="17"/>
  <c r="E37" i="31" s="1"/>
  <c r="D37" i="17"/>
  <c r="D37" i="31" s="1"/>
  <c r="F36" i="17"/>
  <c r="F36" i="31" s="1"/>
  <c r="E36" i="17"/>
  <c r="E36" i="31" s="1"/>
  <c r="D36" i="17"/>
  <c r="D36" i="31" s="1"/>
  <c r="F35" i="17"/>
  <c r="F35" i="31" s="1"/>
  <c r="E35" i="17"/>
  <c r="E35" i="31" s="1"/>
  <c r="D35" i="17"/>
  <c r="D35" i="31" s="1"/>
  <c r="F34" i="17"/>
  <c r="F34" i="31" s="1"/>
  <c r="E34" i="17"/>
  <c r="E34" i="31" s="1"/>
  <c r="D34" i="17"/>
  <c r="D34" i="31" s="1"/>
  <c r="F29" i="17"/>
  <c r="F29" i="31" s="1"/>
  <c r="E29" i="17"/>
  <c r="E29" i="31" s="1"/>
  <c r="D29" i="17"/>
  <c r="D29" i="31" s="1"/>
  <c r="F28" i="17"/>
  <c r="F28" i="31" s="1"/>
  <c r="E28" i="17"/>
  <c r="E28" i="31" s="1"/>
  <c r="D28" i="17"/>
  <c r="D28" i="31" s="1"/>
  <c r="F26" i="17"/>
  <c r="F26" i="31" s="1"/>
  <c r="E26" i="17"/>
  <c r="E26" i="31" s="1"/>
  <c r="D26" i="17"/>
  <c r="D26" i="31" s="1"/>
  <c r="F25" i="17"/>
  <c r="F25" i="31" s="1"/>
  <c r="E25" i="17"/>
  <c r="E25" i="31" s="1"/>
  <c r="D25" i="17"/>
  <c r="D25" i="31" s="1"/>
  <c r="F24" i="17"/>
  <c r="F24" i="31" s="1"/>
  <c r="E24" i="17"/>
  <c r="E24" i="31" s="1"/>
  <c r="D24" i="17"/>
  <c r="D24" i="31" s="1"/>
  <c r="F23" i="17"/>
  <c r="F23" i="31" s="1"/>
  <c r="E23" i="17"/>
  <c r="E23" i="31" s="1"/>
  <c r="D23" i="17"/>
  <c r="D23" i="31" s="1"/>
  <c r="F21" i="17"/>
  <c r="F21" i="31" s="1"/>
  <c r="E21" i="17"/>
  <c r="E21" i="31" s="1"/>
  <c r="D21" i="17"/>
  <c r="D21" i="31" s="1"/>
  <c r="F20" i="17"/>
  <c r="F20" i="31" s="1"/>
  <c r="E20" i="17"/>
  <c r="E20" i="31" s="1"/>
  <c r="D20" i="17"/>
  <c r="D20" i="31" s="1"/>
  <c r="F19" i="17"/>
  <c r="F19" i="31" s="1"/>
  <c r="E19" i="17"/>
  <c r="E19" i="31" s="1"/>
  <c r="D19" i="17"/>
  <c r="D19" i="31" s="1"/>
  <c r="F18" i="17"/>
  <c r="F18" i="31" s="1"/>
  <c r="E18" i="17"/>
  <c r="E18" i="31" s="1"/>
  <c r="D18" i="17"/>
  <c r="D18" i="31" s="1"/>
  <c r="F17" i="17"/>
  <c r="F17" i="31" s="1"/>
  <c r="E17" i="17"/>
  <c r="E17" i="31" s="1"/>
  <c r="D17" i="17"/>
  <c r="D17" i="31" s="1"/>
  <c r="F16" i="17"/>
  <c r="F16" i="31" s="1"/>
  <c r="E16" i="17"/>
  <c r="E16" i="31" s="1"/>
  <c r="D16" i="17"/>
  <c r="D16" i="31" s="1"/>
  <c r="F15" i="17"/>
  <c r="F15" i="31" s="1"/>
  <c r="E15" i="17"/>
  <c r="E15" i="31" s="1"/>
  <c r="D15" i="17"/>
  <c r="D15" i="31" s="1"/>
  <c r="F13" i="17"/>
  <c r="F13" i="31" s="1"/>
  <c r="E13" i="17"/>
  <c r="E13" i="31" s="1"/>
  <c r="D13" i="17"/>
  <c r="D13" i="31" s="1"/>
  <c r="F12" i="17"/>
  <c r="F12" i="31" s="1"/>
  <c r="E12" i="17"/>
  <c r="E12" i="31" s="1"/>
  <c r="D12" i="17"/>
  <c r="D12" i="31" s="1"/>
  <c r="F11" i="17"/>
  <c r="F11" i="31" s="1"/>
  <c r="E11" i="17"/>
  <c r="E11" i="31" s="1"/>
  <c r="D11" i="17"/>
  <c r="D11" i="31" s="1"/>
  <c r="F10" i="17"/>
  <c r="F10" i="31" s="1"/>
  <c r="E10" i="17"/>
  <c r="E10" i="31" s="1"/>
  <c r="D10" i="17"/>
  <c r="D10" i="31" s="1"/>
  <c r="F9" i="17"/>
  <c r="F9" i="31" s="1"/>
  <c r="E9" i="17"/>
  <c r="E9" i="31" s="1"/>
  <c r="D9" i="17"/>
  <c r="D9" i="31" s="1"/>
  <c r="F8" i="17"/>
  <c r="F8" i="31" s="1"/>
  <c r="E8" i="17"/>
  <c r="E8" i="31" s="1"/>
  <c r="D8" i="17"/>
  <c r="D8" i="31" s="1"/>
  <c r="F7" i="17"/>
  <c r="F7" i="31" s="1"/>
  <c r="E7" i="17"/>
  <c r="E7" i="31" s="1"/>
  <c r="D7" i="17"/>
  <c r="D7" i="31" s="1"/>
  <c r="K645" i="7" l="1"/>
  <c r="D179" i="31"/>
  <c r="C179" i="17"/>
  <c r="D183" i="31"/>
  <c r="C183" i="17"/>
  <c r="D197" i="31"/>
  <c r="K197" i="31" s="1"/>
  <c r="C197" i="17"/>
  <c r="D211" i="31"/>
  <c r="K211" i="31" s="1"/>
  <c r="C211" i="17"/>
  <c r="D216" i="31"/>
  <c r="K216" i="31" s="1"/>
  <c r="C216" i="17"/>
  <c r="D225" i="31"/>
  <c r="K225" i="31" s="1"/>
  <c r="C225" i="17"/>
  <c r="D235" i="31"/>
  <c r="K235" i="31" s="1"/>
  <c r="C235" i="17"/>
  <c r="D239" i="31"/>
  <c r="K239" i="31" s="1"/>
  <c r="C239" i="17"/>
  <c r="D248" i="31"/>
  <c r="K248" i="31" s="1"/>
  <c r="C248" i="17"/>
  <c r="D253" i="31"/>
  <c r="K253" i="31" s="1"/>
  <c r="C253" i="17"/>
  <c r="D178" i="31"/>
  <c r="K178" i="31" s="1"/>
  <c r="C178" i="17"/>
  <c r="D182" i="31"/>
  <c r="K182" i="31" s="1"/>
  <c r="C182" i="17"/>
  <c r="D187" i="31"/>
  <c r="C187" i="17"/>
  <c r="D191" i="31"/>
  <c r="C191" i="17"/>
  <c r="D196" i="31"/>
  <c r="K196" i="31" s="1"/>
  <c r="C196" i="17"/>
  <c r="D206" i="31"/>
  <c r="K206" i="31" s="1"/>
  <c r="C206" i="17"/>
  <c r="D210" i="31"/>
  <c r="K210" i="31" s="1"/>
  <c r="C210" i="17"/>
  <c r="D215" i="31"/>
  <c r="K215" i="31" s="1"/>
  <c r="C215" i="17"/>
  <c r="D219" i="31"/>
  <c r="K219" i="31" s="1"/>
  <c r="C219" i="17"/>
  <c r="D224" i="31"/>
  <c r="K224" i="31" s="1"/>
  <c r="C224" i="17"/>
  <c r="D234" i="31"/>
  <c r="K234" i="31" s="1"/>
  <c r="C234" i="17"/>
  <c r="D238" i="31"/>
  <c r="K238" i="31" s="1"/>
  <c r="C238" i="17"/>
  <c r="D243" i="31"/>
  <c r="K243" i="31" s="1"/>
  <c r="C243" i="17"/>
  <c r="D247" i="31"/>
  <c r="K247" i="31" s="1"/>
  <c r="C247" i="17"/>
  <c r="D252" i="31"/>
  <c r="K252" i="31" s="1"/>
  <c r="C252" i="17"/>
  <c r="D192" i="31"/>
  <c r="C192" i="17"/>
  <c r="D207" i="31"/>
  <c r="K207" i="31" s="1"/>
  <c r="C207" i="17"/>
  <c r="D244" i="31"/>
  <c r="K244" i="31" s="1"/>
  <c r="C244" i="17"/>
  <c r="D181" i="31"/>
  <c r="C181" i="17"/>
  <c r="D186" i="31"/>
  <c r="C186" i="17"/>
  <c r="D190" i="31"/>
  <c r="K190" i="31" s="1"/>
  <c r="C190" i="17"/>
  <c r="D195" i="31"/>
  <c r="J195" i="31" s="1"/>
  <c r="C195" i="17"/>
  <c r="D200" i="31"/>
  <c r="C200" i="17"/>
  <c r="D209" i="31"/>
  <c r="K209" i="31" s="1"/>
  <c r="C209" i="17"/>
  <c r="D214" i="31"/>
  <c r="K214" i="31" s="1"/>
  <c r="C214" i="17"/>
  <c r="D218" i="31"/>
  <c r="K218" i="31" s="1"/>
  <c r="C218" i="17"/>
  <c r="D223" i="31"/>
  <c r="K223" i="31" s="1"/>
  <c r="C223" i="17"/>
  <c r="D228" i="31"/>
  <c r="K228" i="31" s="1"/>
  <c r="C228" i="17"/>
  <c r="D237" i="31"/>
  <c r="K237" i="31" s="1"/>
  <c r="C237" i="17"/>
  <c r="D242" i="31"/>
  <c r="K242" i="31" s="1"/>
  <c r="C242" i="17"/>
  <c r="D246" i="31"/>
  <c r="K246" i="31" s="1"/>
  <c r="C246" i="17"/>
  <c r="D251" i="31"/>
  <c r="K251" i="31" s="1"/>
  <c r="C251" i="17"/>
  <c r="D256" i="31"/>
  <c r="K256" i="31" s="1"/>
  <c r="C256" i="17"/>
  <c r="D188" i="31"/>
  <c r="J188" i="31" s="1"/>
  <c r="C188" i="17"/>
  <c r="D220" i="31"/>
  <c r="K220" i="31" s="1"/>
  <c r="C220" i="17"/>
  <c r="D180" i="31"/>
  <c r="C180" i="17"/>
  <c r="D184" i="31"/>
  <c r="K184" i="31" s="1"/>
  <c r="C184" i="17"/>
  <c r="D189" i="31"/>
  <c r="J189" i="31" s="1"/>
  <c r="C189" i="17"/>
  <c r="D194" i="31"/>
  <c r="J194" i="31" s="1"/>
  <c r="C194" i="17"/>
  <c r="D199" i="31"/>
  <c r="C199" i="17"/>
  <c r="D208" i="31"/>
  <c r="K208" i="31" s="1"/>
  <c r="C208" i="17"/>
  <c r="D212" i="31"/>
  <c r="K212" i="31" s="1"/>
  <c r="C212" i="17"/>
  <c r="D217" i="31"/>
  <c r="K217" i="31" s="1"/>
  <c r="C217" i="17"/>
  <c r="D222" i="31"/>
  <c r="K222" i="31" s="1"/>
  <c r="C222" i="17"/>
  <c r="D227" i="31"/>
  <c r="K227" i="31" s="1"/>
  <c r="C227" i="17"/>
  <c r="D236" i="31"/>
  <c r="K236" i="31" s="1"/>
  <c r="C236" i="17"/>
  <c r="D240" i="31"/>
  <c r="K240" i="31" s="1"/>
  <c r="C240" i="17"/>
  <c r="D245" i="31"/>
  <c r="K245" i="31" s="1"/>
  <c r="C245" i="17"/>
  <c r="D250" i="31"/>
  <c r="K250" i="31" s="1"/>
  <c r="C250" i="17"/>
  <c r="D255" i="31"/>
  <c r="K255" i="31" s="1"/>
  <c r="C255" i="17"/>
  <c r="K192" i="31"/>
  <c r="J192" i="31"/>
  <c r="K194" i="31"/>
  <c r="K179" i="31"/>
  <c r="J179" i="31"/>
  <c r="K188" i="31"/>
  <c r="C178" i="31"/>
  <c r="J182" i="31"/>
  <c r="K187" i="31"/>
  <c r="J187" i="31"/>
  <c r="K191" i="31"/>
  <c r="J191" i="31"/>
  <c r="J196" i="31"/>
  <c r="K180" i="31"/>
  <c r="J180" i="31"/>
  <c r="K199" i="31"/>
  <c r="J199" i="31"/>
  <c r="K183" i="31"/>
  <c r="J183" i="31"/>
  <c r="K181" i="31"/>
  <c r="J181" i="31"/>
  <c r="K186" i="31"/>
  <c r="J186" i="31"/>
  <c r="K200" i="31"/>
  <c r="J200" i="31"/>
  <c r="K263" i="31"/>
  <c r="C263" i="31"/>
  <c r="K272" i="31"/>
  <c r="C272" i="31"/>
  <c r="K281" i="31"/>
  <c r="C281" i="31"/>
  <c r="K290" i="31"/>
  <c r="C290" i="31"/>
  <c r="J290" i="31" s="1"/>
  <c r="K299" i="31"/>
  <c r="C299" i="31"/>
  <c r="J299" i="31" s="1"/>
  <c r="K310" i="31"/>
  <c r="C310" i="31"/>
  <c r="J310" i="31" s="1"/>
  <c r="K262" i="31"/>
  <c r="C262" i="31"/>
  <c r="J262" i="31" s="1"/>
  <c r="K266" i="31"/>
  <c r="C266" i="31"/>
  <c r="K271" i="31"/>
  <c r="C271" i="31"/>
  <c r="K275" i="31"/>
  <c r="C275" i="31"/>
  <c r="K280" i="31"/>
  <c r="C280" i="31"/>
  <c r="K289" i="31"/>
  <c r="C289" i="31"/>
  <c r="J289" i="31" s="1"/>
  <c r="K293" i="31"/>
  <c r="C293" i="31"/>
  <c r="J293" i="31" s="1"/>
  <c r="K298" i="31"/>
  <c r="C298" i="31"/>
  <c r="J298" i="31" s="1"/>
  <c r="K302" i="31"/>
  <c r="C302" i="31"/>
  <c r="J302" i="31" s="1"/>
  <c r="K307" i="31"/>
  <c r="C307" i="31"/>
  <c r="J307" i="31" s="1"/>
  <c r="K267" i="31"/>
  <c r="C267" i="31"/>
  <c r="K276" i="31"/>
  <c r="C276" i="31"/>
  <c r="K294" i="31"/>
  <c r="C294" i="31"/>
  <c r="J294" i="31" s="1"/>
  <c r="K303" i="31"/>
  <c r="C303" i="31"/>
  <c r="J303" i="31" s="1"/>
  <c r="K265" i="31"/>
  <c r="C265" i="31"/>
  <c r="K270" i="31"/>
  <c r="C270" i="31"/>
  <c r="K274" i="31"/>
  <c r="C274" i="31"/>
  <c r="K279" i="31"/>
  <c r="C279" i="31"/>
  <c r="K284" i="31"/>
  <c r="C284" i="31"/>
  <c r="K292" i="31"/>
  <c r="C292" i="31"/>
  <c r="J292" i="31" s="1"/>
  <c r="K297" i="31"/>
  <c r="C297" i="31"/>
  <c r="J297" i="31" s="1"/>
  <c r="K301" i="31"/>
  <c r="C301" i="31"/>
  <c r="J301" i="31" s="1"/>
  <c r="K306" i="31"/>
  <c r="C306" i="31"/>
  <c r="J306" i="31" s="1"/>
  <c r="K308" i="31"/>
  <c r="C308" i="31"/>
  <c r="J308" i="31" s="1"/>
  <c r="K264" i="31"/>
  <c r="C264" i="31"/>
  <c r="K268" i="31"/>
  <c r="C268" i="31"/>
  <c r="K273" i="31"/>
  <c r="C273" i="31"/>
  <c r="K278" i="31"/>
  <c r="C278" i="31"/>
  <c r="K283" i="31"/>
  <c r="C283" i="31"/>
  <c r="K291" i="31"/>
  <c r="C291" i="31"/>
  <c r="J291" i="31" s="1"/>
  <c r="K295" i="31"/>
  <c r="C295" i="31"/>
  <c r="J295" i="31" s="1"/>
  <c r="K300" i="31"/>
  <c r="C300" i="31"/>
  <c r="J300" i="31" s="1"/>
  <c r="K305" i="31"/>
  <c r="C305" i="31"/>
  <c r="J305" i="31" s="1"/>
  <c r="K311" i="31"/>
  <c r="C311" i="31"/>
  <c r="J311" i="31" s="1"/>
  <c r="G399" i="17"/>
  <c r="F488" i="7"/>
  <c r="H488" i="7" s="1"/>
  <c r="F486" i="7"/>
  <c r="H486" i="7" s="1"/>
  <c r="I475" i="7"/>
  <c r="F484" i="7"/>
  <c r="I484" i="7" s="1"/>
  <c r="F483" i="7"/>
  <c r="H483" i="7" s="1"/>
  <c r="F496" i="7"/>
  <c r="I496" i="7" s="1"/>
  <c r="F492" i="7"/>
  <c r="I492" i="7" s="1"/>
  <c r="F493" i="7"/>
  <c r="H493" i="7" s="1"/>
  <c r="F485" i="7"/>
  <c r="I485" i="7" s="1"/>
  <c r="F476" i="7"/>
  <c r="H476" i="7" s="1"/>
  <c r="F491" i="7"/>
  <c r="H491" i="7" s="1"/>
  <c r="F482" i="7"/>
  <c r="H482" i="7" s="1"/>
  <c r="F474" i="7"/>
  <c r="I474" i="7" s="1"/>
  <c r="H475" i="7"/>
  <c r="K475" i="7" s="1"/>
  <c r="F477" i="7"/>
  <c r="I477" i="7" s="1"/>
  <c r="F478" i="7"/>
  <c r="H478" i="7" s="1"/>
  <c r="F490" i="7"/>
  <c r="H490" i="7" s="1"/>
  <c r="F479" i="7"/>
  <c r="I479" i="7" s="1"/>
  <c r="F495" i="7"/>
  <c r="H495" i="7" s="1"/>
  <c r="F480" i="7"/>
  <c r="I480" i="7" s="1"/>
  <c r="I487" i="7"/>
  <c r="D433" i="31"/>
  <c r="I488" i="7"/>
  <c r="H487" i="7"/>
  <c r="J265" i="7"/>
  <c r="J260" i="7"/>
  <c r="J252" i="7"/>
  <c r="F267" i="7"/>
  <c r="H267" i="7" s="1"/>
  <c r="F266" i="7"/>
  <c r="H266" i="7" s="1"/>
  <c r="F264" i="7"/>
  <c r="F263" i="7"/>
  <c r="H263" i="7" s="1"/>
  <c r="F262" i="7"/>
  <c r="F261" i="7"/>
  <c r="F259" i="7"/>
  <c r="F258" i="7"/>
  <c r="F257" i="7"/>
  <c r="F256" i="7"/>
  <c r="F255" i="7"/>
  <c r="F254" i="7"/>
  <c r="F253" i="7"/>
  <c r="F251" i="7"/>
  <c r="F250" i="7"/>
  <c r="F249" i="7"/>
  <c r="F248" i="7"/>
  <c r="F247" i="7"/>
  <c r="F246" i="7"/>
  <c r="F245" i="7"/>
  <c r="F239" i="7"/>
  <c r="F238" i="7"/>
  <c r="H238" i="7" s="1"/>
  <c r="J237" i="7"/>
  <c r="F236" i="7"/>
  <c r="F235" i="7"/>
  <c r="F234" i="7"/>
  <c r="H234" i="7" s="1"/>
  <c r="F233" i="7"/>
  <c r="J232" i="7"/>
  <c r="F231" i="7"/>
  <c r="F230" i="7"/>
  <c r="F229" i="7"/>
  <c r="F228" i="7"/>
  <c r="F227" i="7"/>
  <c r="F226" i="7"/>
  <c r="F225" i="7"/>
  <c r="J224" i="7"/>
  <c r="F223" i="7"/>
  <c r="F222" i="7"/>
  <c r="F221" i="7"/>
  <c r="H221" i="7" s="1"/>
  <c r="F220" i="7"/>
  <c r="F219" i="7"/>
  <c r="F218" i="7"/>
  <c r="F217" i="7"/>
  <c r="H217" i="7" s="1"/>
  <c r="J216" i="7"/>
  <c r="H239" i="7"/>
  <c r="Q187" i="14"/>
  <c r="Q186" i="14"/>
  <c r="Q184" i="14"/>
  <c r="Q183" i="14"/>
  <c r="Q182" i="14"/>
  <c r="Q181" i="14"/>
  <c r="Q179" i="14"/>
  <c r="Q178" i="14"/>
  <c r="Q177" i="14"/>
  <c r="Q176" i="14"/>
  <c r="Q175" i="14"/>
  <c r="Q174" i="14"/>
  <c r="Q173" i="14"/>
  <c r="Q171" i="14"/>
  <c r="Q170" i="14"/>
  <c r="Q169" i="14"/>
  <c r="Q168" i="14"/>
  <c r="Q167" i="14"/>
  <c r="Q166" i="14"/>
  <c r="Q165" i="14"/>
  <c r="P187" i="14"/>
  <c r="P186" i="14"/>
  <c r="P184" i="14"/>
  <c r="P183" i="14"/>
  <c r="P182" i="14"/>
  <c r="P181" i="14"/>
  <c r="P179" i="14"/>
  <c r="P178" i="14"/>
  <c r="P177" i="14"/>
  <c r="P176" i="14"/>
  <c r="P175" i="14"/>
  <c r="P174" i="14"/>
  <c r="P173" i="14"/>
  <c r="P171" i="14"/>
  <c r="P170" i="14"/>
  <c r="P169" i="14"/>
  <c r="P168" i="14"/>
  <c r="P167" i="14"/>
  <c r="P166" i="14"/>
  <c r="P165" i="14"/>
  <c r="U581" i="7"/>
  <c r="U576" i="7"/>
  <c r="U568" i="7"/>
  <c r="U382" i="7"/>
  <c r="U377" i="7"/>
  <c r="U369" i="7"/>
  <c r="U326" i="7"/>
  <c r="U321" i="7"/>
  <c r="U313" i="7"/>
  <c r="U298" i="7"/>
  <c r="U293" i="7"/>
  <c r="U285" i="7"/>
  <c r="U209" i="7"/>
  <c r="U204" i="7"/>
  <c r="U196" i="7"/>
  <c r="U182" i="7"/>
  <c r="U177" i="7"/>
  <c r="U169" i="7"/>
  <c r="J779" i="7"/>
  <c r="J774" i="7"/>
  <c r="J766" i="7"/>
  <c r="J758" i="7"/>
  <c r="J751" i="7"/>
  <c r="J746" i="7"/>
  <c r="J738" i="7"/>
  <c r="J730" i="7"/>
  <c r="J721" i="7"/>
  <c r="J716" i="7"/>
  <c r="J708" i="7"/>
  <c r="J700" i="7"/>
  <c r="J693" i="7"/>
  <c r="J688" i="7"/>
  <c r="J680" i="7"/>
  <c r="J672" i="7"/>
  <c r="J665" i="7"/>
  <c r="J660" i="7"/>
  <c r="J652" i="7"/>
  <c r="J644" i="7"/>
  <c r="J637" i="7"/>
  <c r="J632" i="7"/>
  <c r="J624" i="7"/>
  <c r="J616" i="7"/>
  <c r="J609" i="7"/>
  <c r="J604" i="7"/>
  <c r="J596" i="7"/>
  <c r="J588" i="7"/>
  <c r="J576" i="7"/>
  <c r="J568" i="7"/>
  <c r="J560" i="7"/>
  <c r="J550" i="7"/>
  <c r="J545" i="7"/>
  <c r="J537" i="7"/>
  <c r="J529" i="7"/>
  <c r="J522" i="7"/>
  <c r="J517" i="7"/>
  <c r="J509" i="7"/>
  <c r="J501" i="7"/>
  <c r="J382" i="7"/>
  <c r="J377" i="7"/>
  <c r="J369" i="7"/>
  <c r="J361" i="7"/>
  <c r="U361" i="7" s="1"/>
  <c r="J354" i="7"/>
  <c r="J349" i="7"/>
  <c r="J341" i="7"/>
  <c r="J333" i="7"/>
  <c r="J326" i="7"/>
  <c r="J321" i="7"/>
  <c r="J313" i="7"/>
  <c r="J305" i="7"/>
  <c r="U305" i="7" s="1"/>
  <c r="J298" i="7"/>
  <c r="J293" i="7"/>
  <c r="J209" i="7"/>
  <c r="J204" i="7"/>
  <c r="J196" i="7"/>
  <c r="J188" i="7"/>
  <c r="J182" i="7"/>
  <c r="J177" i="7"/>
  <c r="J169" i="7"/>
  <c r="J161" i="7"/>
  <c r="J154" i="7"/>
  <c r="J149" i="7"/>
  <c r="J141" i="7"/>
  <c r="J133" i="7"/>
  <c r="J122" i="7"/>
  <c r="J117" i="7"/>
  <c r="J109" i="7"/>
  <c r="J101" i="7"/>
  <c r="J95" i="7"/>
  <c r="J90" i="7"/>
  <c r="J82" i="7"/>
  <c r="J74" i="7"/>
  <c r="J68" i="7"/>
  <c r="J63" i="7"/>
  <c r="J55" i="7"/>
  <c r="J47" i="7"/>
  <c r="J41" i="7"/>
  <c r="J36" i="7"/>
  <c r="U154" i="7"/>
  <c r="U149" i="7"/>
  <c r="U141" i="7"/>
  <c r="K48" i="2"/>
  <c r="K47" i="2"/>
  <c r="H75" i="2" s="1"/>
  <c r="K46" i="2"/>
  <c r="K45" i="2"/>
  <c r="H73" i="2" s="1"/>
  <c r="K42" i="2"/>
  <c r="H70" i="2" s="1"/>
  <c r="K41" i="2"/>
  <c r="H69" i="2" s="1"/>
  <c r="K40" i="2"/>
  <c r="H68" i="2" s="1"/>
  <c r="K35" i="2"/>
  <c r="H63" i="2" s="1"/>
  <c r="K195" i="31" l="1"/>
  <c r="J178" i="31"/>
  <c r="J190" i="31"/>
  <c r="K189" i="31"/>
  <c r="J197" i="31"/>
  <c r="J184" i="31"/>
  <c r="J475" i="7"/>
  <c r="G518" i="17" s="1"/>
  <c r="C27" i="23"/>
  <c r="C56" i="23"/>
  <c r="C25" i="23"/>
  <c r="C54" i="23"/>
  <c r="H484" i="7"/>
  <c r="J278" i="31"/>
  <c r="J268" i="31"/>
  <c r="J279" i="31"/>
  <c r="J270" i="31"/>
  <c r="J276" i="31"/>
  <c r="J275" i="31"/>
  <c r="J266" i="31"/>
  <c r="J272" i="31"/>
  <c r="J283" i="31"/>
  <c r="J273" i="31"/>
  <c r="J264" i="31"/>
  <c r="J284" i="31"/>
  <c r="J274" i="31"/>
  <c r="J265" i="31"/>
  <c r="J267" i="31"/>
  <c r="J280" i="31"/>
  <c r="J271" i="31"/>
  <c r="J281" i="31"/>
  <c r="J263" i="31"/>
  <c r="I486" i="7"/>
  <c r="J486" i="7" s="1"/>
  <c r="N502" i="17" s="1"/>
  <c r="I263" i="7"/>
  <c r="I483" i="7"/>
  <c r="J483" i="7" s="1"/>
  <c r="N499" i="17" s="1"/>
  <c r="I493" i="7"/>
  <c r="J493" i="7" s="1"/>
  <c r="J831" i="7"/>
  <c r="G836" i="17" s="1"/>
  <c r="J830" i="7"/>
  <c r="J836" i="7"/>
  <c r="G841" i="17" s="1"/>
  <c r="J832" i="7"/>
  <c r="J833" i="7"/>
  <c r="J835" i="7"/>
  <c r="G840" i="17" s="1"/>
  <c r="J804" i="7"/>
  <c r="G809" i="17" s="1"/>
  <c r="J809" i="7"/>
  <c r="G814" i="17" s="1"/>
  <c r="J808" i="7"/>
  <c r="G813" i="17" s="1"/>
  <c r="J805" i="7"/>
  <c r="J803" i="7"/>
  <c r="H496" i="7"/>
  <c r="J496" i="7" s="1"/>
  <c r="H485" i="7"/>
  <c r="J485" i="7" s="1"/>
  <c r="N501" i="17" s="1"/>
  <c r="H474" i="7"/>
  <c r="J474" i="7" s="1"/>
  <c r="N490" i="17" s="1"/>
  <c r="H492" i="7"/>
  <c r="J492" i="7" s="1"/>
  <c r="I482" i="7"/>
  <c r="J482" i="7" s="1"/>
  <c r="N498" i="17" s="1"/>
  <c r="J487" i="7"/>
  <c r="N503" i="17" s="1"/>
  <c r="J488" i="7"/>
  <c r="G531" i="17" s="1"/>
  <c r="I495" i="7"/>
  <c r="J495" i="7" s="1"/>
  <c r="I491" i="7"/>
  <c r="J491" i="7" s="1"/>
  <c r="I490" i="7"/>
  <c r="J490" i="7" s="1"/>
  <c r="H479" i="7"/>
  <c r="J479" i="7" s="1"/>
  <c r="N495" i="17" s="1"/>
  <c r="I476" i="7"/>
  <c r="J476" i="7" s="1"/>
  <c r="N492" i="17" s="1"/>
  <c r="H480" i="7"/>
  <c r="J480" i="7" s="1"/>
  <c r="G523" i="17" s="1"/>
  <c r="J484" i="7"/>
  <c r="G527" i="17" s="1"/>
  <c r="H477" i="7"/>
  <c r="J477" i="7" s="1"/>
  <c r="N493" i="17" s="1"/>
  <c r="I478" i="7"/>
  <c r="J478" i="7" s="1"/>
  <c r="G521" i="17" s="1"/>
  <c r="U462" i="7"/>
  <c r="U468" i="7"/>
  <c r="U464" i="7"/>
  <c r="U465" i="7"/>
  <c r="U463" i="7"/>
  <c r="U467" i="7"/>
  <c r="I234" i="7"/>
  <c r="J234" i="7" s="1"/>
  <c r="H218" i="7"/>
  <c r="H225" i="7"/>
  <c r="I225" i="7" s="1"/>
  <c r="J225" i="7" s="1"/>
  <c r="H235" i="7"/>
  <c r="I221" i="7"/>
  <c r="J221" i="7" s="1"/>
  <c r="H236" i="7"/>
  <c r="H228" i="7"/>
  <c r="H226" i="7"/>
  <c r="I226" i="7" s="1"/>
  <c r="H256" i="7"/>
  <c r="H262" i="7"/>
  <c r="I262" i="7" s="1"/>
  <c r="H220" i="7"/>
  <c r="I220" i="7" s="1"/>
  <c r="J220" i="7" s="1"/>
  <c r="H229" i="7"/>
  <c r="I229" i="7" s="1"/>
  <c r="H230" i="7"/>
  <c r="I230" i="7" s="1"/>
  <c r="J230" i="7" s="1"/>
  <c r="H259" i="7"/>
  <c r="I259" i="7" s="1"/>
  <c r="H222" i="7"/>
  <c r="H223" i="7"/>
  <c r="I223" i="7" s="1"/>
  <c r="H233" i="7"/>
  <c r="I233" i="7" s="1"/>
  <c r="I217" i="7"/>
  <c r="J217" i="7" s="1"/>
  <c r="H227" i="7"/>
  <c r="H231" i="7"/>
  <c r="I231" i="7" s="1"/>
  <c r="H255" i="7"/>
  <c r="I255" i="7" s="1"/>
  <c r="J255" i="7" s="1"/>
  <c r="H219" i="7"/>
  <c r="H253" i="7"/>
  <c r="I253" i="7" s="1"/>
  <c r="J253" i="7" s="1"/>
  <c r="H261" i="7"/>
  <c r="I261" i="7" s="1"/>
  <c r="J263" i="7"/>
  <c r="H246" i="7"/>
  <c r="H248" i="7"/>
  <c r="H250" i="7"/>
  <c r="I250" i="7" s="1"/>
  <c r="H254" i="7"/>
  <c r="I254" i="7" s="1"/>
  <c r="H258" i="7"/>
  <c r="H264" i="7"/>
  <c r="H257" i="7"/>
  <c r="H245" i="7"/>
  <c r="H247" i="7"/>
  <c r="H249" i="7"/>
  <c r="H251" i="7"/>
  <c r="I251" i="7" s="1"/>
  <c r="I266" i="7"/>
  <c r="J266" i="7" s="1"/>
  <c r="I267" i="7"/>
  <c r="J267" i="7" s="1"/>
  <c r="I238" i="7"/>
  <c r="J238" i="7" s="1"/>
  <c r="I239" i="7"/>
  <c r="J239" i="7" s="1"/>
  <c r="U560" i="7"/>
  <c r="U188" i="7"/>
  <c r="U161" i="7"/>
  <c r="D15" i="27"/>
  <c r="D14" i="27"/>
  <c r="D13" i="27"/>
  <c r="D12" i="27"/>
  <c r="D11" i="27"/>
  <c r="D10" i="27"/>
  <c r="D9" i="27"/>
  <c r="D8" i="27"/>
  <c r="D7" i="27"/>
  <c r="D6" i="27"/>
  <c r="D5" i="27"/>
  <c r="D4" i="27"/>
  <c r="C15" i="27"/>
  <c r="C14" i="27"/>
  <c r="C13" i="27"/>
  <c r="C12" i="27"/>
  <c r="C11" i="27"/>
  <c r="C10" i="27"/>
  <c r="C9" i="27"/>
  <c r="C8" i="27"/>
  <c r="C7" i="27"/>
  <c r="C6" i="27"/>
  <c r="C5" i="27"/>
  <c r="C4" i="27"/>
  <c r="F15" i="27"/>
  <c r="F14" i="27"/>
  <c r="F13" i="27"/>
  <c r="F12" i="27"/>
  <c r="F11" i="27"/>
  <c r="F10" i="27"/>
  <c r="F9" i="27"/>
  <c r="F8" i="27"/>
  <c r="F7" i="27"/>
  <c r="F6" i="27"/>
  <c r="F5" i="27"/>
  <c r="F4" i="27"/>
  <c r="H763" i="31"/>
  <c r="H736" i="31"/>
  <c r="C756" i="31" s="1"/>
  <c r="H458" i="31"/>
  <c r="H431" i="31"/>
  <c r="C455" i="31" s="1"/>
  <c r="H348" i="31"/>
  <c r="H320" i="31"/>
  <c r="C340" i="31" s="1"/>
  <c r="J340" i="31" s="1"/>
  <c r="H232" i="31"/>
  <c r="H204" i="31"/>
  <c r="C199" i="31"/>
  <c r="H86" i="31"/>
  <c r="H59" i="31"/>
  <c r="H5" i="31"/>
  <c r="C7" i="31" s="1"/>
  <c r="C206" i="31" l="1"/>
  <c r="J206" i="31" s="1"/>
  <c r="N491" i="17"/>
  <c r="C350" i="31"/>
  <c r="J350" i="31" s="1"/>
  <c r="C372" i="31"/>
  <c r="J372" i="31" s="1"/>
  <c r="C368" i="31"/>
  <c r="J368" i="31" s="1"/>
  <c r="C364" i="31"/>
  <c r="J364" i="31" s="1"/>
  <c r="C360" i="31"/>
  <c r="J360" i="31" s="1"/>
  <c r="C356" i="31"/>
  <c r="J356" i="31" s="1"/>
  <c r="C352" i="31"/>
  <c r="J352" i="31" s="1"/>
  <c r="C371" i="31"/>
  <c r="J371" i="31" s="1"/>
  <c r="C367" i="31"/>
  <c r="J367" i="31" s="1"/>
  <c r="C363" i="31"/>
  <c r="J363" i="31" s="1"/>
  <c r="C359" i="31"/>
  <c r="J359" i="31" s="1"/>
  <c r="C355" i="31"/>
  <c r="J355" i="31" s="1"/>
  <c r="C351" i="31"/>
  <c r="J351" i="31" s="1"/>
  <c r="C361" i="31"/>
  <c r="J361" i="31" s="1"/>
  <c r="C366" i="31"/>
  <c r="J366" i="31" s="1"/>
  <c r="C362" i="31"/>
  <c r="J362" i="31" s="1"/>
  <c r="C358" i="31"/>
  <c r="C354" i="31"/>
  <c r="J354" i="31" s="1"/>
  <c r="C353" i="31"/>
  <c r="J353" i="31" s="1"/>
  <c r="C369" i="31"/>
  <c r="J369" i="31" s="1"/>
  <c r="J261" i="7"/>
  <c r="G305" i="17" s="1"/>
  <c r="I249" i="7"/>
  <c r="J249" i="7" s="1"/>
  <c r="G293" i="17" s="1"/>
  <c r="I246" i="7"/>
  <c r="J246" i="7" s="1"/>
  <c r="G290" i="17" s="1"/>
  <c r="I248" i="7"/>
  <c r="J248" i="7" s="1"/>
  <c r="G292" i="17" s="1"/>
  <c r="I256" i="7"/>
  <c r="J256" i="7" s="1"/>
  <c r="G300" i="17" s="1"/>
  <c r="J254" i="7"/>
  <c r="G298" i="17" s="1"/>
  <c r="I245" i="7"/>
  <c r="J245" i="7" s="1"/>
  <c r="G289" i="17" s="1"/>
  <c r="J251" i="7"/>
  <c r="G295" i="17" s="1"/>
  <c r="J250" i="7"/>
  <c r="G294" i="17" s="1"/>
  <c r="J259" i="7"/>
  <c r="G303" i="17" s="1"/>
  <c r="J262" i="7"/>
  <c r="G306" i="17" s="1"/>
  <c r="I258" i="7"/>
  <c r="J258" i="7" s="1"/>
  <c r="G302" i="17" s="1"/>
  <c r="I264" i="7"/>
  <c r="J264" i="7" s="1"/>
  <c r="G308" i="17" s="1"/>
  <c r="I257" i="7"/>
  <c r="J257" i="7" s="1"/>
  <c r="G301" i="17" s="1"/>
  <c r="I247" i="7"/>
  <c r="J247" i="7" s="1"/>
  <c r="G291" i="17" s="1"/>
  <c r="I236" i="7"/>
  <c r="J236" i="7" s="1"/>
  <c r="G281" i="17" s="1"/>
  <c r="I227" i="7"/>
  <c r="J227" i="7" s="1"/>
  <c r="G272" i="17" s="1"/>
  <c r="I222" i="7"/>
  <c r="J222" i="7" s="1"/>
  <c r="G267" i="17" s="1"/>
  <c r="J233" i="7"/>
  <c r="G278" i="17" s="1"/>
  <c r="J231" i="7"/>
  <c r="G276" i="17" s="1"/>
  <c r="J223" i="7"/>
  <c r="G268" i="17" s="1"/>
  <c r="J229" i="7"/>
  <c r="G274" i="17" s="1"/>
  <c r="J226" i="7"/>
  <c r="G271" i="17" s="1"/>
  <c r="I235" i="7"/>
  <c r="J235" i="7" s="1"/>
  <c r="G280" i="17" s="1"/>
  <c r="I219" i="7"/>
  <c r="J219" i="7" s="1"/>
  <c r="G264" i="17" s="1"/>
  <c r="I218" i="7"/>
  <c r="J218" i="7" s="1"/>
  <c r="G263" i="17" s="1"/>
  <c r="I228" i="7"/>
  <c r="J228" i="7" s="1"/>
  <c r="G273" i="17" s="1"/>
  <c r="C787" i="31"/>
  <c r="C255" i="31"/>
  <c r="J255" i="31" s="1"/>
  <c r="G838" i="17"/>
  <c r="G837" i="17"/>
  <c r="G808" i="17"/>
  <c r="G810" i="17"/>
  <c r="G835" i="17"/>
  <c r="G283" i="17"/>
  <c r="G275" i="17"/>
  <c r="G310" i="17"/>
  <c r="G297" i="17"/>
  <c r="G265" i="17"/>
  <c r="G266" i="17"/>
  <c r="G270" i="17"/>
  <c r="G307" i="17"/>
  <c r="G262" i="17"/>
  <c r="G299" i="17"/>
  <c r="G279" i="17"/>
  <c r="G284" i="17"/>
  <c r="G311" i="17"/>
  <c r="G528" i="17"/>
  <c r="G529" i="17"/>
  <c r="G530" i="17"/>
  <c r="N504" i="17"/>
  <c r="N500" i="17"/>
  <c r="G519" i="17"/>
  <c r="N494" i="17"/>
  <c r="G525" i="17"/>
  <c r="G520" i="17"/>
  <c r="G522" i="17"/>
  <c r="N496" i="17"/>
  <c r="G517" i="17"/>
  <c r="G526" i="17"/>
  <c r="N506" i="17"/>
  <c r="G533" i="17"/>
  <c r="N507" i="17"/>
  <c r="G534" i="17"/>
  <c r="N512" i="17"/>
  <c r="G539" i="17"/>
  <c r="N509" i="17"/>
  <c r="G536" i="17"/>
  <c r="N508" i="17"/>
  <c r="G535" i="17"/>
  <c r="N511" i="17"/>
  <c r="G538" i="17"/>
  <c r="C775" i="31"/>
  <c r="C752" i="31"/>
  <c r="C779" i="31"/>
  <c r="C766" i="31"/>
  <c r="C770" i="31"/>
  <c r="C783" i="31"/>
  <c r="C739" i="31"/>
  <c r="C757" i="31"/>
  <c r="C743" i="31"/>
  <c r="C748" i="31"/>
  <c r="C767" i="31"/>
  <c r="C771" i="31"/>
  <c r="C776" i="31"/>
  <c r="C784" i="31"/>
  <c r="C768" i="31"/>
  <c r="C773" i="31"/>
  <c r="C777" i="31"/>
  <c r="C781" i="31"/>
  <c r="C786" i="31"/>
  <c r="C765" i="31"/>
  <c r="C769" i="31"/>
  <c r="C774" i="31"/>
  <c r="C778" i="31"/>
  <c r="C782" i="31"/>
  <c r="C740" i="31"/>
  <c r="C744" i="31"/>
  <c r="C749" i="31"/>
  <c r="C754" i="31"/>
  <c r="C759" i="31"/>
  <c r="C741" i="31"/>
  <c r="C746" i="31"/>
  <c r="C750" i="31"/>
  <c r="C755" i="31"/>
  <c r="C760" i="31"/>
  <c r="C738" i="31"/>
  <c r="C742" i="31"/>
  <c r="C747" i="31"/>
  <c r="C751" i="31"/>
  <c r="C437" i="31"/>
  <c r="C442" i="31"/>
  <c r="C446" i="31"/>
  <c r="C433" i="31"/>
  <c r="C451" i="31"/>
  <c r="C434" i="31"/>
  <c r="C438" i="31"/>
  <c r="C443" i="31"/>
  <c r="C447" i="31"/>
  <c r="C452" i="31"/>
  <c r="C435" i="31"/>
  <c r="C439" i="31"/>
  <c r="C444" i="31"/>
  <c r="C449" i="31"/>
  <c r="C454" i="31"/>
  <c r="C436" i="31"/>
  <c r="C441" i="31"/>
  <c r="C445" i="31"/>
  <c r="C450" i="31"/>
  <c r="C323" i="31"/>
  <c r="J323" i="31" s="1"/>
  <c r="C332" i="31"/>
  <c r="J332" i="31" s="1"/>
  <c r="C341" i="31"/>
  <c r="J341" i="31" s="1"/>
  <c r="C324" i="31"/>
  <c r="J324" i="31" s="1"/>
  <c r="C328" i="31"/>
  <c r="J328" i="31" s="1"/>
  <c r="C333" i="31"/>
  <c r="J333" i="31" s="1"/>
  <c r="C338" i="31"/>
  <c r="J338" i="31" s="1"/>
  <c r="C343" i="31"/>
  <c r="J343" i="31" s="1"/>
  <c r="C325" i="31"/>
  <c r="J325" i="31" s="1"/>
  <c r="C330" i="31"/>
  <c r="J330" i="31" s="1"/>
  <c r="C334" i="31"/>
  <c r="J334" i="31" s="1"/>
  <c r="C339" i="31"/>
  <c r="J339" i="31" s="1"/>
  <c r="C344" i="31"/>
  <c r="J344" i="31" s="1"/>
  <c r="C327" i="31"/>
  <c r="J327" i="31" s="1"/>
  <c r="C336" i="31"/>
  <c r="J336" i="31" s="1"/>
  <c r="C322" i="31"/>
  <c r="C326" i="31"/>
  <c r="J326" i="31" s="1"/>
  <c r="C331" i="31"/>
  <c r="J331" i="31" s="1"/>
  <c r="C335" i="31"/>
  <c r="J335" i="31" s="1"/>
  <c r="J358" i="31"/>
  <c r="C238" i="31"/>
  <c r="J238" i="31" s="1"/>
  <c r="C246" i="31"/>
  <c r="J246" i="31" s="1"/>
  <c r="C256" i="31"/>
  <c r="J256" i="31" s="1"/>
  <c r="C240" i="31"/>
  <c r="J240" i="31" s="1"/>
  <c r="C248" i="31"/>
  <c r="J248" i="31" s="1"/>
  <c r="C234" i="31"/>
  <c r="J234" i="31" s="1"/>
  <c r="C242" i="31"/>
  <c r="J242" i="31" s="1"/>
  <c r="C250" i="31"/>
  <c r="J250" i="31" s="1"/>
  <c r="C236" i="31"/>
  <c r="J236" i="31" s="1"/>
  <c r="C244" i="31"/>
  <c r="J244" i="31" s="1"/>
  <c r="C252" i="31"/>
  <c r="J252" i="31" s="1"/>
  <c r="C237" i="31"/>
  <c r="J237" i="31" s="1"/>
  <c r="C245" i="31"/>
  <c r="J245" i="31" s="1"/>
  <c r="C253" i="31"/>
  <c r="J253" i="31" s="1"/>
  <c r="C235" i="31"/>
  <c r="J235" i="31" s="1"/>
  <c r="C239" i="31"/>
  <c r="J239" i="31" s="1"/>
  <c r="C243" i="31"/>
  <c r="J243" i="31" s="1"/>
  <c r="C247" i="31"/>
  <c r="J247" i="31" s="1"/>
  <c r="C251" i="31"/>
  <c r="J251" i="31" s="1"/>
  <c r="C208" i="31"/>
  <c r="J208" i="31" s="1"/>
  <c r="C212" i="31"/>
  <c r="J212" i="31" s="1"/>
  <c r="C216" i="31"/>
  <c r="J216" i="31" s="1"/>
  <c r="C220" i="31"/>
  <c r="J220" i="31" s="1"/>
  <c r="C224" i="31"/>
  <c r="J224" i="31" s="1"/>
  <c r="C228" i="31"/>
  <c r="J228" i="31" s="1"/>
  <c r="C209" i="31"/>
  <c r="J209" i="31" s="1"/>
  <c r="C217" i="31"/>
  <c r="J217" i="31" s="1"/>
  <c r="C225" i="31"/>
  <c r="J225" i="31" s="1"/>
  <c r="C210" i="31"/>
  <c r="J210" i="31" s="1"/>
  <c r="C214" i="31"/>
  <c r="J214" i="31" s="1"/>
  <c r="C218" i="31"/>
  <c r="J218" i="31" s="1"/>
  <c r="C222" i="31"/>
  <c r="J222" i="31" s="1"/>
  <c r="C207" i="31"/>
  <c r="J207" i="31" s="1"/>
  <c r="C211" i="31"/>
  <c r="J211" i="31" s="1"/>
  <c r="C215" i="31"/>
  <c r="J215" i="31" s="1"/>
  <c r="C219" i="31"/>
  <c r="J219" i="31" s="1"/>
  <c r="C223" i="31"/>
  <c r="J223" i="31" s="1"/>
  <c r="C227" i="31"/>
  <c r="J227" i="31" s="1"/>
  <c r="C180" i="31"/>
  <c r="C184" i="31"/>
  <c r="C188" i="31"/>
  <c r="C192" i="31"/>
  <c r="C196" i="31"/>
  <c r="C200" i="31"/>
  <c r="C181" i="31"/>
  <c r="C189" i="31"/>
  <c r="C197" i="31"/>
  <c r="C182" i="31"/>
  <c r="C186" i="31"/>
  <c r="C190" i="31"/>
  <c r="C194" i="31"/>
  <c r="C179" i="31"/>
  <c r="C183" i="31"/>
  <c r="C187" i="31"/>
  <c r="C191" i="31"/>
  <c r="C195" i="31"/>
  <c r="C110" i="31"/>
  <c r="J110" i="31" s="1"/>
  <c r="C109" i="31"/>
  <c r="J109" i="31" s="1"/>
  <c r="C107" i="31"/>
  <c r="J107" i="31" s="1"/>
  <c r="C106" i="31"/>
  <c r="J106" i="31" s="1"/>
  <c r="C105" i="31"/>
  <c r="J105" i="31" s="1"/>
  <c r="C104" i="31"/>
  <c r="J104" i="31" s="1"/>
  <c r="C102" i="31"/>
  <c r="J102" i="31" s="1"/>
  <c r="C101" i="31"/>
  <c r="J101" i="31" s="1"/>
  <c r="C100" i="31"/>
  <c r="J100" i="31" s="1"/>
  <c r="C99" i="31"/>
  <c r="J99" i="31" s="1"/>
  <c r="C98" i="31"/>
  <c r="J98" i="31" s="1"/>
  <c r="C97" i="31"/>
  <c r="J97" i="31" s="1"/>
  <c r="C96" i="31"/>
  <c r="J96" i="31" s="1"/>
  <c r="C94" i="31"/>
  <c r="J94" i="31" s="1"/>
  <c r="C93" i="31"/>
  <c r="J93" i="31" s="1"/>
  <c r="C92" i="31"/>
  <c r="J92" i="31" s="1"/>
  <c r="C91" i="31"/>
  <c r="J91" i="31" s="1"/>
  <c r="C90" i="31"/>
  <c r="J90" i="31" s="1"/>
  <c r="C89" i="31"/>
  <c r="J89" i="31" s="1"/>
  <c r="C88" i="31"/>
  <c r="J88" i="31" s="1"/>
  <c r="K110" i="31"/>
  <c r="K109" i="31"/>
  <c r="K107" i="31"/>
  <c r="K106" i="31"/>
  <c r="K105" i="31"/>
  <c r="K104" i="31"/>
  <c r="K102" i="31"/>
  <c r="K101" i="31"/>
  <c r="K100" i="31"/>
  <c r="K99" i="31"/>
  <c r="K98" i="31"/>
  <c r="K97" i="31"/>
  <c r="K96" i="31"/>
  <c r="K94" i="31"/>
  <c r="K93" i="31"/>
  <c r="K92" i="31"/>
  <c r="K91" i="31"/>
  <c r="K90" i="31"/>
  <c r="K89" i="31"/>
  <c r="K88" i="31"/>
  <c r="K83" i="31"/>
  <c r="K82" i="31"/>
  <c r="K80" i="31"/>
  <c r="K79" i="31"/>
  <c r="K78" i="31"/>
  <c r="K77" i="31"/>
  <c r="K75" i="31"/>
  <c r="K74" i="31"/>
  <c r="K73" i="31"/>
  <c r="K72" i="31"/>
  <c r="K71" i="31"/>
  <c r="K70" i="31"/>
  <c r="K69" i="31"/>
  <c r="K67" i="31"/>
  <c r="K66" i="31"/>
  <c r="K65" i="31"/>
  <c r="K64" i="31"/>
  <c r="K63" i="31"/>
  <c r="K62" i="31"/>
  <c r="K61" i="31"/>
  <c r="K56" i="31"/>
  <c r="K55" i="31"/>
  <c r="K53" i="31"/>
  <c r="K52" i="31"/>
  <c r="K51" i="31"/>
  <c r="K50" i="31"/>
  <c r="K48" i="31"/>
  <c r="K47" i="31"/>
  <c r="K46" i="31"/>
  <c r="K45" i="31"/>
  <c r="K44" i="31"/>
  <c r="K43" i="31"/>
  <c r="K42" i="31"/>
  <c r="K40" i="31"/>
  <c r="K39" i="31"/>
  <c r="K38" i="31"/>
  <c r="K37" i="31"/>
  <c r="K36" i="31"/>
  <c r="K35" i="31"/>
  <c r="K34" i="31"/>
  <c r="K29" i="31"/>
  <c r="K28" i="31"/>
  <c r="K26" i="31"/>
  <c r="K25" i="31"/>
  <c r="K24" i="31"/>
  <c r="K23" i="31"/>
  <c r="K21" i="31"/>
  <c r="K20" i="31"/>
  <c r="K19" i="31"/>
  <c r="K18" i="31"/>
  <c r="K17" i="31"/>
  <c r="K16" i="31"/>
  <c r="K15" i="31"/>
  <c r="K13" i="31"/>
  <c r="K12" i="31"/>
  <c r="K11" i="31"/>
  <c r="K10" i="31"/>
  <c r="K9" i="31"/>
  <c r="K8" i="31"/>
  <c r="K7" i="31"/>
  <c r="C83" i="31"/>
  <c r="J83" i="31" s="1"/>
  <c r="C82" i="31"/>
  <c r="J82" i="31" s="1"/>
  <c r="C81" i="31"/>
  <c r="C80" i="31"/>
  <c r="J80" i="31" s="1"/>
  <c r="C79" i="31"/>
  <c r="J79" i="31" s="1"/>
  <c r="C78" i="31"/>
  <c r="J78" i="31" s="1"/>
  <c r="C77" i="31"/>
  <c r="J77" i="31" s="1"/>
  <c r="C76" i="31"/>
  <c r="C75" i="31"/>
  <c r="J75" i="31" s="1"/>
  <c r="C74" i="31"/>
  <c r="J74" i="31" s="1"/>
  <c r="C73" i="31"/>
  <c r="J73" i="31" s="1"/>
  <c r="C72" i="31"/>
  <c r="J72" i="31" s="1"/>
  <c r="C71" i="31"/>
  <c r="J71" i="31" s="1"/>
  <c r="C70" i="31"/>
  <c r="J70" i="31" s="1"/>
  <c r="C69" i="31"/>
  <c r="J69" i="31" s="1"/>
  <c r="C68" i="31"/>
  <c r="C67" i="31"/>
  <c r="J67" i="31" s="1"/>
  <c r="C66" i="31"/>
  <c r="J66" i="31" s="1"/>
  <c r="C65" i="31"/>
  <c r="J65" i="31" s="1"/>
  <c r="C64" i="31"/>
  <c r="J64" i="31" s="1"/>
  <c r="C63" i="31"/>
  <c r="J63" i="31" s="1"/>
  <c r="C62" i="31"/>
  <c r="J62" i="31" s="1"/>
  <c r="C61" i="31"/>
  <c r="J61" i="31" s="1"/>
  <c r="C56" i="31"/>
  <c r="J56" i="31" s="1"/>
  <c r="C55" i="31"/>
  <c r="J55" i="31" s="1"/>
  <c r="C53" i="31"/>
  <c r="J53" i="31" s="1"/>
  <c r="C52" i="31"/>
  <c r="J52" i="31" s="1"/>
  <c r="C51" i="31"/>
  <c r="J51" i="31" s="1"/>
  <c r="C50" i="31"/>
  <c r="J50" i="31" s="1"/>
  <c r="C48" i="31"/>
  <c r="J48" i="31" s="1"/>
  <c r="C47" i="31"/>
  <c r="J47" i="31" s="1"/>
  <c r="C46" i="31"/>
  <c r="J46" i="31" s="1"/>
  <c r="C45" i="31"/>
  <c r="J45" i="31" s="1"/>
  <c r="C44" i="31"/>
  <c r="J44" i="31" s="1"/>
  <c r="C43" i="31"/>
  <c r="J43" i="31" s="1"/>
  <c r="C42" i="31"/>
  <c r="J42" i="31" s="1"/>
  <c r="C40" i="31"/>
  <c r="J40" i="31" s="1"/>
  <c r="C39" i="31"/>
  <c r="J39" i="31" s="1"/>
  <c r="C38" i="31"/>
  <c r="J38" i="31" s="1"/>
  <c r="C37" i="31"/>
  <c r="J37" i="31" s="1"/>
  <c r="C36" i="31"/>
  <c r="J36" i="31" s="1"/>
  <c r="C35" i="31"/>
  <c r="J35" i="31" s="1"/>
  <c r="C34" i="31"/>
  <c r="J34" i="31" s="1"/>
  <c r="C29" i="31"/>
  <c r="J29" i="31" s="1"/>
  <c r="C28" i="31"/>
  <c r="J28" i="31" s="1"/>
  <c r="C26" i="31"/>
  <c r="J26" i="31" s="1"/>
  <c r="C25" i="31"/>
  <c r="J25" i="31" s="1"/>
  <c r="C24" i="31"/>
  <c r="J24" i="31" s="1"/>
  <c r="C23" i="31"/>
  <c r="J23" i="31" s="1"/>
  <c r="C21" i="31"/>
  <c r="J21" i="31" s="1"/>
  <c r="C20" i="31"/>
  <c r="J20" i="31" s="1"/>
  <c r="C19" i="31"/>
  <c r="J19" i="31" s="1"/>
  <c r="C18" i="31"/>
  <c r="J18" i="31" s="1"/>
  <c r="C17" i="31"/>
  <c r="J17" i="31" s="1"/>
  <c r="C16" i="31"/>
  <c r="J16" i="31" s="1"/>
  <c r="C15" i="31"/>
  <c r="J15" i="31" s="1"/>
  <c r="C13" i="31"/>
  <c r="J13" i="31" s="1"/>
  <c r="C12" i="31"/>
  <c r="J12" i="31" s="1"/>
  <c r="C11" i="31"/>
  <c r="J11" i="31" s="1"/>
  <c r="C10" i="31"/>
  <c r="J10" i="31" s="1"/>
  <c r="C9" i="31"/>
  <c r="J9" i="31" s="1"/>
  <c r="C8" i="31"/>
  <c r="J8" i="31" s="1"/>
  <c r="Q461" i="31"/>
  <c r="M110" i="31"/>
  <c r="L110" i="31"/>
  <c r="M109" i="31"/>
  <c r="L109" i="31"/>
  <c r="M107" i="31"/>
  <c r="L107" i="31"/>
  <c r="M106" i="31"/>
  <c r="L106" i="31"/>
  <c r="M105" i="31"/>
  <c r="L105" i="31"/>
  <c r="M104" i="31"/>
  <c r="L104" i="31"/>
  <c r="M102" i="31"/>
  <c r="L102" i="31"/>
  <c r="M101" i="31"/>
  <c r="L101" i="31"/>
  <c r="M100" i="31"/>
  <c r="L100" i="31"/>
  <c r="M99" i="31"/>
  <c r="L99" i="31"/>
  <c r="M98" i="31"/>
  <c r="L98" i="31"/>
  <c r="M97" i="31"/>
  <c r="L97" i="31"/>
  <c r="M96" i="31"/>
  <c r="L96" i="31"/>
  <c r="M94" i="31"/>
  <c r="L94" i="31"/>
  <c r="M93" i="31"/>
  <c r="L93" i="31"/>
  <c r="M92" i="31"/>
  <c r="L92" i="31"/>
  <c r="M91" i="31"/>
  <c r="L91" i="31"/>
  <c r="M90" i="31"/>
  <c r="L90" i="31"/>
  <c r="M89" i="31"/>
  <c r="L89" i="31"/>
  <c r="M88" i="31"/>
  <c r="L88" i="31"/>
  <c r="M83" i="31"/>
  <c r="L83" i="31"/>
  <c r="M82" i="31"/>
  <c r="L82" i="31"/>
  <c r="M80" i="31"/>
  <c r="L80" i="31"/>
  <c r="M79" i="31"/>
  <c r="L79" i="31"/>
  <c r="M78" i="31"/>
  <c r="L78" i="31"/>
  <c r="M77" i="31"/>
  <c r="L77" i="31"/>
  <c r="M75" i="31"/>
  <c r="L75" i="31"/>
  <c r="M74" i="31"/>
  <c r="L74" i="31"/>
  <c r="M73" i="31"/>
  <c r="L73" i="31"/>
  <c r="M72" i="31"/>
  <c r="L72" i="31"/>
  <c r="M71" i="31"/>
  <c r="L71" i="31"/>
  <c r="M70" i="31"/>
  <c r="L70" i="31"/>
  <c r="M69" i="31"/>
  <c r="L69" i="31"/>
  <c r="M67" i="31"/>
  <c r="L67" i="31"/>
  <c r="M66" i="31"/>
  <c r="L66" i="31"/>
  <c r="M65" i="31"/>
  <c r="L65" i="31"/>
  <c r="M64" i="31"/>
  <c r="L64" i="31"/>
  <c r="M63" i="31"/>
  <c r="L63" i="31"/>
  <c r="M62" i="31"/>
  <c r="L62" i="31"/>
  <c r="M61" i="31"/>
  <c r="L61" i="31"/>
  <c r="M56" i="31"/>
  <c r="L56" i="31"/>
  <c r="M55" i="31"/>
  <c r="L55" i="31"/>
  <c r="M53" i="31"/>
  <c r="L53" i="31"/>
  <c r="M52" i="31"/>
  <c r="L52" i="31"/>
  <c r="M51" i="31"/>
  <c r="L51" i="31"/>
  <c r="M50" i="31"/>
  <c r="L50" i="31"/>
  <c r="M48" i="31"/>
  <c r="L48" i="31"/>
  <c r="M47" i="31"/>
  <c r="L47" i="31"/>
  <c r="M46" i="31"/>
  <c r="L46" i="31"/>
  <c r="M45" i="31"/>
  <c r="L45" i="31"/>
  <c r="M44" i="31"/>
  <c r="L44" i="31"/>
  <c r="M43" i="31"/>
  <c r="L43" i="31"/>
  <c r="M42" i="31"/>
  <c r="L42" i="31"/>
  <c r="M40" i="31"/>
  <c r="L40" i="31"/>
  <c r="M39" i="31"/>
  <c r="L39" i="31"/>
  <c r="M38" i="31"/>
  <c r="L38" i="31"/>
  <c r="M37" i="31"/>
  <c r="L37" i="31"/>
  <c r="M36" i="31"/>
  <c r="L36" i="31"/>
  <c r="M35" i="31"/>
  <c r="L35" i="31"/>
  <c r="M34" i="31"/>
  <c r="L34" i="31"/>
  <c r="M29" i="31"/>
  <c r="L29" i="31"/>
  <c r="M28" i="31"/>
  <c r="L28" i="31"/>
  <c r="M26" i="31"/>
  <c r="L26" i="31"/>
  <c r="M25" i="31"/>
  <c r="L25" i="31"/>
  <c r="M24" i="31"/>
  <c r="L24" i="31"/>
  <c r="M23" i="31"/>
  <c r="L23" i="31"/>
  <c r="M21" i="31"/>
  <c r="L21" i="31"/>
  <c r="M20" i="31"/>
  <c r="L20" i="31"/>
  <c r="M19" i="31"/>
  <c r="L19" i="31"/>
  <c r="M18" i="31"/>
  <c r="L18" i="31"/>
  <c r="M17" i="31"/>
  <c r="L17" i="31"/>
  <c r="M16" i="31"/>
  <c r="L16" i="31"/>
  <c r="M15" i="31"/>
  <c r="L15" i="31"/>
  <c r="M13" i="31"/>
  <c r="L13" i="31"/>
  <c r="M12" i="31"/>
  <c r="L12" i="31"/>
  <c r="M11" i="31"/>
  <c r="L11" i="31"/>
  <c r="M10" i="31"/>
  <c r="L10" i="31"/>
  <c r="M9" i="31"/>
  <c r="L9" i="31"/>
  <c r="M8" i="31"/>
  <c r="L8" i="31"/>
  <c r="M7" i="31"/>
  <c r="L7" i="31"/>
  <c r="E15" i="27"/>
  <c r="E14" i="27"/>
  <c r="E13" i="27"/>
  <c r="E12" i="27"/>
  <c r="E11" i="27"/>
  <c r="E10" i="27"/>
  <c r="E9" i="27"/>
  <c r="E8" i="27"/>
  <c r="E7" i="27"/>
  <c r="E6" i="27"/>
  <c r="E5" i="27"/>
  <c r="E4" i="27"/>
  <c r="J322" i="31" l="1"/>
  <c r="M110" i="17" l="1"/>
  <c r="L110" i="17"/>
  <c r="M109" i="17"/>
  <c r="L109" i="17"/>
  <c r="M107" i="17"/>
  <c r="L107" i="17"/>
  <c r="M106" i="17"/>
  <c r="L106" i="17"/>
  <c r="M105" i="17"/>
  <c r="L105" i="17"/>
  <c r="M104" i="17"/>
  <c r="L104" i="17"/>
  <c r="M102" i="17"/>
  <c r="L102" i="17"/>
  <c r="M101" i="17"/>
  <c r="L101" i="17"/>
  <c r="M100" i="17"/>
  <c r="L100" i="17"/>
  <c r="M99" i="17"/>
  <c r="L99" i="17"/>
  <c r="M98" i="17"/>
  <c r="L98" i="17"/>
  <c r="M97" i="17"/>
  <c r="L97" i="17"/>
  <c r="M96" i="17"/>
  <c r="L96" i="17"/>
  <c r="M94" i="17"/>
  <c r="L94" i="17"/>
  <c r="M93" i="17"/>
  <c r="L93" i="17"/>
  <c r="M92" i="17"/>
  <c r="L92" i="17"/>
  <c r="M91" i="17"/>
  <c r="L91" i="17"/>
  <c r="M90" i="17"/>
  <c r="L90" i="17"/>
  <c r="M89" i="17"/>
  <c r="L89" i="17"/>
  <c r="M88" i="17"/>
  <c r="L88" i="17"/>
  <c r="M83" i="17"/>
  <c r="L83" i="17"/>
  <c r="M82" i="17"/>
  <c r="L82" i="17"/>
  <c r="M80" i="17"/>
  <c r="L80" i="17"/>
  <c r="M79" i="17"/>
  <c r="L79" i="17"/>
  <c r="M78" i="17"/>
  <c r="L78" i="17"/>
  <c r="M77" i="17"/>
  <c r="L77" i="17"/>
  <c r="M74" i="17"/>
  <c r="L74" i="17"/>
  <c r="M73" i="17"/>
  <c r="L73" i="17"/>
  <c r="M72" i="17"/>
  <c r="L72" i="17"/>
  <c r="M71" i="17"/>
  <c r="L71" i="17"/>
  <c r="M70" i="17"/>
  <c r="L70" i="17"/>
  <c r="M69" i="17"/>
  <c r="L69" i="17"/>
  <c r="M67" i="17"/>
  <c r="L67" i="17"/>
  <c r="M66" i="17"/>
  <c r="L66" i="17"/>
  <c r="M65" i="17"/>
  <c r="L65" i="17"/>
  <c r="M64" i="17"/>
  <c r="L64" i="17"/>
  <c r="M63" i="17"/>
  <c r="L63" i="17"/>
  <c r="M62" i="17"/>
  <c r="L62" i="17"/>
  <c r="M61" i="17"/>
  <c r="L61" i="17"/>
  <c r="M56" i="17"/>
  <c r="L56" i="17"/>
  <c r="M55" i="17"/>
  <c r="L55" i="17"/>
  <c r="M53" i="17"/>
  <c r="L53" i="17"/>
  <c r="M52" i="17"/>
  <c r="L52" i="17"/>
  <c r="M51" i="17"/>
  <c r="L51" i="17"/>
  <c r="M50" i="17"/>
  <c r="L50" i="17"/>
  <c r="M48" i="17"/>
  <c r="L48" i="17"/>
  <c r="M47" i="17"/>
  <c r="L47" i="17"/>
  <c r="M46" i="17"/>
  <c r="L46" i="17"/>
  <c r="M45" i="17"/>
  <c r="L45" i="17"/>
  <c r="M44" i="17"/>
  <c r="L44" i="17"/>
  <c r="M43" i="17"/>
  <c r="L43" i="17"/>
  <c r="M42" i="17"/>
  <c r="L42" i="17"/>
  <c r="M40" i="17"/>
  <c r="L40" i="17"/>
  <c r="M39" i="17"/>
  <c r="L39" i="17"/>
  <c r="M38" i="17"/>
  <c r="L38" i="17"/>
  <c r="M37" i="17"/>
  <c r="L37" i="17"/>
  <c r="M36" i="17"/>
  <c r="L36" i="17"/>
  <c r="M35" i="17"/>
  <c r="L35" i="17"/>
  <c r="M34" i="17"/>
  <c r="L34" i="17"/>
  <c r="C28" i="29" l="1"/>
  <c r="D57" i="29"/>
  <c r="C57" i="29"/>
  <c r="D28" i="29"/>
  <c r="C55" i="29"/>
  <c r="D26" i="29"/>
  <c r="C26" i="29"/>
  <c r="D55" i="29"/>
  <c r="C56" i="29"/>
  <c r="C27" i="29"/>
  <c r="D56" i="29"/>
  <c r="D27" i="29"/>
  <c r="D25" i="29"/>
  <c r="C25" i="29"/>
  <c r="D54" i="29"/>
  <c r="C54" i="29"/>
  <c r="C50" i="29"/>
  <c r="C21" i="29"/>
  <c r="D50" i="29"/>
  <c r="D21" i="29"/>
  <c r="C20" i="29"/>
  <c r="D49" i="29"/>
  <c r="C49" i="29"/>
  <c r="D20" i="29"/>
  <c r="D51" i="29"/>
  <c r="D22" i="29"/>
  <c r="C51" i="29"/>
  <c r="C22" i="29"/>
  <c r="D84" i="29" l="1"/>
  <c r="K55" i="29"/>
  <c r="J55" i="29"/>
  <c r="J28" i="29"/>
  <c r="K28" i="29"/>
  <c r="E26" i="29"/>
  <c r="Y26" i="29" s="1"/>
  <c r="H26" i="29"/>
  <c r="G26" i="29"/>
  <c r="F26" i="29"/>
  <c r="C86" i="29"/>
  <c r="G57" i="29"/>
  <c r="F57" i="29"/>
  <c r="L57" i="29" s="1"/>
  <c r="E57" i="29"/>
  <c r="Y57" i="29" s="1"/>
  <c r="K26" i="29"/>
  <c r="J26" i="29"/>
  <c r="D86" i="29"/>
  <c r="J57" i="29"/>
  <c r="K57" i="29"/>
  <c r="C84" i="29"/>
  <c r="G55" i="29"/>
  <c r="E55" i="29"/>
  <c r="Y55" i="29" s="1"/>
  <c r="F55" i="29"/>
  <c r="L55" i="29" s="1"/>
  <c r="E28" i="29"/>
  <c r="Y28" i="29" s="1"/>
  <c r="H28" i="29"/>
  <c r="G28" i="29"/>
  <c r="F28" i="29"/>
  <c r="K27" i="29"/>
  <c r="J27" i="29"/>
  <c r="D85" i="29"/>
  <c r="J56" i="29"/>
  <c r="K56" i="29"/>
  <c r="G27" i="29"/>
  <c r="E27" i="29"/>
  <c r="Y27" i="29" s="1"/>
  <c r="H27" i="29"/>
  <c r="F27" i="29"/>
  <c r="C85" i="29"/>
  <c r="F56" i="29"/>
  <c r="L56" i="29" s="1"/>
  <c r="G56" i="29"/>
  <c r="E56" i="29"/>
  <c r="Y56" i="29" s="1"/>
  <c r="C83" i="29"/>
  <c r="G54" i="29"/>
  <c r="F54" i="29"/>
  <c r="L54" i="29" s="1"/>
  <c r="E54" i="29"/>
  <c r="Y54" i="29" s="1"/>
  <c r="H25" i="29"/>
  <c r="F25" i="29"/>
  <c r="E25" i="29"/>
  <c r="Y25" i="29" s="1"/>
  <c r="G25" i="29"/>
  <c r="D83" i="29"/>
  <c r="J54" i="29"/>
  <c r="K54" i="29"/>
  <c r="J25" i="29"/>
  <c r="K25" i="29"/>
  <c r="K21" i="29"/>
  <c r="J21" i="29"/>
  <c r="D79" i="29"/>
  <c r="K50" i="29"/>
  <c r="J50" i="29"/>
  <c r="H21" i="29"/>
  <c r="G21" i="29"/>
  <c r="F21" i="29"/>
  <c r="E21" i="29"/>
  <c r="Y21" i="29" s="1"/>
  <c r="C79" i="29"/>
  <c r="F50" i="29"/>
  <c r="L50" i="29" s="1"/>
  <c r="E50" i="29"/>
  <c r="Y50" i="29" s="1"/>
  <c r="G50" i="29"/>
  <c r="K20" i="29"/>
  <c r="J20" i="29"/>
  <c r="D78" i="29"/>
  <c r="J49" i="29"/>
  <c r="K49" i="29"/>
  <c r="C78" i="29"/>
  <c r="G49" i="29"/>
  <c r="F49" i="29"/>
  <c r="L49" i="29" s="1"/>
  <c r="E49" i="29"/>
  <c r="Y49" i="29" s="1"/>
  <c r="H20" i="29"/>
  <c r="G20" i="29"/>
  <c r="F20" i="29"/>
  <c r="E20" i="29"/>
  <c r="Y20" i="29" s="1"/>
  <c r="G22" i="29"/>
  <c r="H22" i="29"/>
  <c r="F22" i="29"/>
  <c r="E22" i="29"/>
  <c r="Y22" i="29" s="1"/>
  <c r="C80" i="29"/>
  <c r="F51" i="29"/>
  <c r="L51" i="29" s="1"/>
  <c r="E51" i="29"/>
  <c r="Y51" i="29" s="1"/>
  <c r="G51" i="29"/>
  <c r="J22" i="29"/>
  <c r="K22" i="29"/>
  <c r="D80" i="29"/>
  <c r="J51" i="29"/>
  <c r="K51" i="29"/>
  <c r="Z55" i="29" l="1"/>
  <c r="Z56" i="29"/>
  <c r="Z49" i="29"/>
  <c r="Z57" i="29"/>
  <c r="Z51" i="29"/>
  <c r="Z50" i="29"/>
  <c r="Z54" i="29"/>
  <c r="L27" i="29"/>
  <c r="Z27" i="29"/>
  <c r="L21" i="29"/>
  <c r="Z21" i="29"/>
  <c r="L28" i="29"/>
  <c r="Z28" i="29"/>
  <c r="L22" i="29"/>
  <c r="Z22" i="29"/>
  <c r="L20" i="29"/>
  <c r="Z20" i="29"/>
  <c r="L25" i="29"/>
  <c r="Z25" i="29"/>
  <c r="L26" i="29"/>
  <c r="Z26" i="29"/>
  <c r="J78" i="29"/>
  <c r="K86" i="29"/>
  <c r="F84" i="29"/>
  <c r="F86" i="29"/>
  <c r="AA26" i="29"/>
  <c r="J86" i="29"/>
  <c r="K84" i="29"/>
  <c r="AA28" i="29"/>
  <c r="E84" i="29"/>
  <c r="G86" i="29"/>
  <c r="AA57" i="29"/>
  <c r="G84" i="29"/>
  <c r="AA55" i="29"/>
  <c r="E86" i="29"/>
  <c r="J84" i="29"/>
  <c r="J85" i="29"/>
  <c r="F85" i="29"/>
  <c r="E85" i="29"/>
  <c r="AA27" i="29"/>
  <c r="G85" i="29"/>
  <c r="AA56" i="29"/>
  <c r="K85" i="29"/>
  <c r="F83" i="29"/>
  <c r="K83" i="29"/>
  <c r="AA54" i="29"/>
  <c r="G83" i="29"/>
  <c r="J83" i="29"/>
  <c r="AA25" i="29"/>
  <c r="E83" i="29"/>
  <c r="J79" i="29"/>
  <c r="K78" i="29"/>
  <c r="E79" i="29"/>
  <c r="K79" i="29"/>
  <c r="F79" i="29"/>
  <c r="AA21" i="29"/>
  <c r="G79" i="29"/>
  <c r="AA50" i="29"/>
  <c r="AA20" i="29"/>
  <c r="AA49" i="29"/>
  <c r="G78" i="29"/>
  <c r="E78" i="29"/>
  <c r="F78" i="29"/>
  <c r="J80" i="29"/>
  <c r="G80" i="29"/>
  <c r="AA51" i="29"/>
  <c r="K80" i="29"/>
  <c r="E80" i="29"/>
  <c r="AA22" i="29"/>
  <c r="F80" i="29"/>
  <c r="K31" i="2"/>
  <c r="H59" i="2" s="1"/>
  <c r="Z84" i="29" l="1"/>
  <c r="Z86" i="29"/>
  <c r="Z79" i="29"/>
  <c r="Z85" i="29"/>
  <c r="Z83" i="29"/>
  <c r="Z78" i="29"/>
  <c r="Z80" i="29"/>
  <c r="L85" i="29"/>
  <c r="AA84" i="29"/>
  <c r="Y86" i="29"/>
  <c r="L84" i="29"/>
  <c r="Y84" i="29"/>
  <c r="L86" i="29"/>
  <c r="AA86" i="29"/>
  <c r="D44" i="29"/>
  <c r="D15" i="29"/>
  <c r="C44" i="29"/>
  <c r="C15" i="29"/>
  <c r="C11" i="29"/>
  <c r="D40" i="29"/>
  <c r="C40" i="29"/>
  <c r="D11" i="29"/>
  <c r="Y83" i="29"/>
  <c r="AA85" i="29"/>
  <c r="L83" i="29"/>
  <c r="AA79" i="29"/>
  <c r="Y85" i="29"/>
  <c r="AA83" i="29"/>
  <c r="L78" i="29"/>
  <c r="L79" i="29"/>
  <c r="Y79" i="29"/>
  <c r="AA78" i="29"/>
  <c r="Y78" i="29"/>
  <c r="Y80" i="29"/>
  <c r="AA80" i="29"/>
  <c r="L80" i="29"/>
  <c r="K30" i="2"/>
  <c r="H58" i="2" s="1"/>
  <c r="D10" i="29" s="1"/>
  <c r="K33" i="2"/>
  <c r="K34" i="2"/>
  <c r="K32" i="2"/>
  <c r="H62" i="2" l="1"/>
  <c r="D43" i="29" s="1"/>
  <c r="H61" i="2"/>
  <c r="C13" i="29" s="1"/>
  <c r="H60" i="2"/>
  <c r="C12" i="29" s="1"/>
  <c r="D39" i="29"/>
  <c r="C10" i="29"/>
  <c r="F10" i="29" s="1"/>
  <c r="C39" i="29"/>
  <c r="D73" i="29"/>
  <c r="K44" i="29"/>
  <c r="J44" i="29"/>
  <c r="H15" i="29"/>
  <c r="G15" i="29"/>
  <c r="E15" i="29"/>
  <c r="Y15" i="29" s="1"/>
  <c r="F15" i="29"/>
  <c r="C73" i="29"/>
  <c r="G44" i="29"/>
  <c r="E44" i="29"/>
  <c r="Y44" i="29" s="1"/>
  <c r="F44" i="29"/>
  <c r="L44" i="29" s="1"/>
  <c r="J15" i="29"/>
  <c r="K15" i="29"/>
  <c r="D69" i="29"/>
  <c r="J40" i="29"/>
  <c r="K40" i="29"/>
  <c r="K11" i="29"/>
  <c r="J11" i="29"/>
  <c r="C69" i="29"/>
  <c r="F40" i="29"/>
  <c r="L40" i="29" s="1"/>
  <c r="G40" i="29"/>
  <c r="E40" i="29"/>
  <c r="Y40" i="29" s="1"/>
  <c r="G11" i="29"/>
  <c r="E11" i="29"/>
  <c r="Y11" i="29" s="1"/>
  <c r="H11" i="29"/>
  <c r="F11" i="29"/>
  <c r="J10" i="29"/>
  <c r="K10" i="29"/>
  <c r="D56" i="24"/>
  <c r="D56" i="23"/>
  <c r="C55" i="24"/>
  <c r="D55" i="23"/>
  <c r="D28" i="4"/>
  <c r="D57" i="23"/>
  <c r="C56" i="4"/>
  <c r="D57" i="4"/>
  <c r="D57" i="24"/>
  <c r="C27" i="24"/>
  <c r="D28" i="24"/>
  <c r="C27" i="4"/>
  <c r="D27" i="24"/>
  <c r="D27" i="4"/>
  <c r="C56" i="24"/>
  <c r="D55" i="4"/>
  <c r="D26" i="24"/>
  <c r="D55" i="24"/>
  <c r="C57" i="4"/>
  <c r="D56" i="4"/>
  <c r="C28" i="4"/>
  <c r="D26" i="4"/>
  <c r="C28" i="24"/>
  <c r="C57" i="24"/>
  <c r="C55" i="4"/>
  <c r="C26" i="4"/>
  <c r="C26" i="24"/>
  <c r="C41" i="29" l="1"/>
  <c r="Z44" i="29"/>
  <c r="Z40" i="29"/>
  <c r="L15" i="29"/>
  <c r="Z15" i="29"/>
  <c r="L11" i="29"/>
  <c r="Z11" i="29"/>
  <c r="L10" i="29"/>
  <c r="D13" i="29"/>
  <c r="G13" i="29" s="1"/>
  <c r="D42" i="29"/>
  <c r="J42" i="29" s="1"/>
  <c r="D41" i="29"/>
  <c r="C14" i="29"/>
  <c r="G39" i="29"/>
  <c r="D12" i="29"/>
  <c r="G12" i="29" s="1"/>
  <c r="C43" i="29"/>
  <c r="F43" i="29" s="1"/>
  <c r="L43" i="29" s="1"/>
  <c r="D14" i="29"/>
  <c r="D72" i="29" s="1"/>
  <c r="C42" i="29"/>
  <c r="C71" i="29" s="1"/>
  <c r="K26" i="24"/>
  <c r="K28" i="24"/>
  <c r="H56" i="29"/>
  <c r="H85" i="29" s="1"/>
  <c r="K43" i="29"/>
  <c r="J43" i="29"/>
  <c r="J39" i="29"/>
  <c r="J68" i="29" s="1"/>
  <c r="E39" i="29"/>
  <c r="Y39" i="29" s="1"/>
  <c r="D68" i="29"/>
  <c r="C68" i="29"/>
  <c r="G10" i="29"/>
  <c r="Z10" i="29" s="1"/>
  <c r="H10" i="29"/>
  <c r="K39" i="29"/>
  <c r="K68" i="29" s="1"/>
  <c r="F39" i="29"/>
  <c r="L39" i="29" s="1"/>
  <c r="J13" i="29"/>
  <c r="C70" i="29"/>
  <c r="E10" i="29"/>
  <c r="Y10" i="29" s="1"/>
  <c r="H55" i="29"/>
  <c r="H57" i="29"/>
  <c r="J69" i="29"/>
  <c r="G73" i="29"/>
  <c r="AA44" i="29"/>
  <c r="K73" i="29"/>
  <c r="AA15" i="29"/>
  <c r="F73" i="29"/>
  <c r="E73" i="29"/>
  <c r="J73" i="29"/>
  <c r="AA11" i="29"/>
  <c r="F69" i="29"/>
  <c r="E69" i="29"/>
  <c r="G69" i="29"/>
  <c r="AA40" i="29"/>
  <c r="K69" i="29"/>
  <c r="J55" i="24"/>
  <c r="K55" i="24"/>
  <c r="H56" i="24"/>
  <c r="G56" i="24"/>
  <c r="F56" i="24"/>
  <c r="H55" i="24"/>
  <c r="F55" i="24"/>
  <c r="G55" i="24"/>
  <c r="H27" i="24"/>
  <c r="G27" i="24"/>
  <c r="F27" i="24"/>
  <c r="K57" i="23"/>
  <c r="K56" i="23"/>
  <c r="H28" i="24"/>
  <c r="F28" i="24"/>
  <c r="G28" i="24"/>
  <c r="K55" i="23"/>
  <c r="H26" i="24"/>
  <c r="F26" i="24"/>
  <c r="G26" i="24"/>
  <c r="H57" i="24"/>
  <c r="F57" i="24"/>
  <c r="G57" i="24"/>
  <c r="D86" i="4"/>
  <c r="K27" i="24"/>
  <c r="K57" i="24"/>
  <c r="J57" i="24"/>
  <c r="K56" i="24"/>
  <c r="J56" i="24"/>
  <c r="C84" i="4"/>
  <c r="J28" i="24"/>
  <c r="D85" i="4"/>
  <c r="J27" i="24"/>
  <c r="C85" i="4"/>
  <c r="J26" i="24"/>
  <c r="C86" i="4"/>
  <c r="D84" i="4"/>
  <c r="D71" i="29" l="1"/>
  <c r="Z57" i="24"/>
  <c r="Z26" i="24"/>
  <c r="Z28" i="24"/>
  <c r="Z55" i="24"/>
  <c r="Z56" i="24"/>
  <c r="E41" i="29"/>
  <c r="Y41" i="29" s="1"/>
  <c r="Z27" i="24"/>
  <c r="E13" i="29"/>
  <c r="Y13" i="29" s="1"/>
  <c r="K13" i="29"/>
  <c r="Z73" i="29"/>
  <c r="Z69" i="29"/>
  <c r="AA39" i="29"/>
  <c r="Z39" i="29"/>
  <c r="Z68" i="29" s="1"/>
  <c r="K42" i="29"/>
  <c r="F13" i="29"/>
  <c r="H13" i="29"/>
  <c r="C72" i="29"/>
  <c r="G41" i="29"/>
  <c r="G14" i="29"/>
  <c r="AA14" i="29" s="1"/>
  <c r="F41" i="29"/>
  <c r="L41" i="29" s="1"/>
  <c r="J41" i="29"/>
  <c r="K41" i="29"/>
  <c r="H12" i="29"/>
  <c r="F12" i="29"/>
  <c r="E43" i="29"/>
  <c r="Y43" i="29" s="1"/>
  <c r="K12" i="29"/>
  <c r="E12" i="29"/>
  <c r="Y12" i="29" s="1"/>
  <c r="J12" i="29"/>
  <c r="D70" i="29"/>
  <c r="E14" i="29"/>
  <c r="Y14" i="29" s="1"/>
  <c r="G42" i="29"/>
  <c r="E42" i="29"/>
  <c r="Y42" i="29" s="1"/>
  <c r="F42" i="29"/>
  <c r="L42" i="29" s="1"/>
  <c r="F14" i="29"/>
  <c r="K14" i="29"/>
  <c r="K72" i="29" s="1"/>
  <c r="J14" i="29"/>
  <c r="J72" i="29" s="1"/>
  <c r="H14" i="29"/>
  <c r="G43" i="29"/>
  <c r="Z43" i="29" s="1"/>
  <c r="F68" i="29"/>
  <c r="AA12" i="29"/>
  <c r="L56" i="24"/>
  <c r="Q56" i="24"/>
  <c r="R26" i="24"/>
  <c r="R28" i="24"/>
  <c r="R55" i="24"/>
  <c r="R56" i="24"/>
  <c r="Q26" i="24"/>
  <c r="L26" i="24"/>
  <c r="Q28" i="24"/>
  <c r="L28" i="24"/>
  <c r="L27" i="24"/>
  <c r="Q27" i="24"/>
  <c r="Q55" i="24"/>
  <c r="L55" i="24"/>
  <c r="R57" i="24"/>
  <c r="L57" i="24"/>
  <c r="Q57" i="24"/>
  <c r="R27" i="24"/>
  <c r="AA10" i="29"/>
  <c r="G68" i="29"/>
  <c r="J71" i="29"/>
  <c r="AA13" i="29"/>
  <c r="E68" i="29"/>
  <c r="AA69" i="29"/>
  <c r="H84" i="29"/>
  <c r="H86" i="29"/>
  <c r="Y73" i="29"/>
  <c r="AA73" i="29"/>
  <c r="L73" i="29"/>
  <c r="Y69" i="29"/>
  <c r="L69" i="29"/>
  <c r="K71" i="29" l="1"/>
  <c r="AA68" i="29"/>
  <c r="G71" i="29"/>
  <c r="Z42" i="29"/>
  <c r="AA41" i="29"/>
  <c r="AA70" i="29" s="1"/>
  <c r="Z41" i="29"/>
  <c r="L12" i="29"/>
  <c r="L70" i="29" s="1"/>
  <c r="Z12" i="29"/>
  <c r="L13" i="29"/>
  <c r="L71" i="29" s="1"/>
  <c r="Z13" i="29"/>
  <c r="L14" i="29"/>
  <c r="L72" i="29" s="1"/>
  <c r="Z14" i="29"/>
  <c r="Z72" i="29" s="1"/>
  <c r="G70" i="29"/>
  <c r="K70" i="29"/>
  <c r="J70" i="29"/>
  <c r="F70" i="29"/>
  <c r="Y72" i="29"/>
  <c r="E70" i="29"/>
  <c r="AA42" i="29"/>
  <c r="AA71" i="29" s="1"/>
  <c r="E72" i="29"/>
  <c r="F72" i="29"/>
  <c r="Y71" i="29"/>
  <c r="G72" i="29"/>
  <c r="F71" i="29"/>
  <c r="E71" i="29"/>
  <c r="AA43" i="29"/>
  <c r="AA72" i="29" s="1"/>
  <c r="L68" i="29"/>
  <c r="Y70" i="29"/>
  <c r="Y68" i="29"/>
  <c r="Z71" i="29" l="1"/>
  <c r="Z70" i="29"/>
  <c r="D97" i="7"/>
  <c r="E103" i="7"/>
  <c r="E104" i="7"/>
  <c r="E105" i="7"/>
  <c r="E106" i="7"/>
  <c r="E107" i="7"/>
  <c r="E108" i="7"/>
  <c r="E110" i="7"/>
  <c r="E111" i="7"/>
  <c r="E112" i="7"/>
  <c r="E113" i="7"/>
  <c r="E114" i="7"/>
  <c r="E115" i="7"/>
  <c r="E116" i="7"/>
  <c r="E118" i="7"/>
  <c r="E119" i="7"/>
  <c r="E120" i="7"/>
  <c r="E121" i="7"/>
  <c r="E123" i="7"/>
  <c r="E124" i="7"/>
  <c r="D103" i="7"/>
  <c r="D104" i="7"/>
  <c r="D105" i="7"/>
  <c r="D106" i="7"/>
  <c r="D107" i="7"/>
  <c r="D108" i="7"/>
  <c r="D110" i="7"/>
  <c r="D111" i="7"/>
  <c r="D112" i="7"/>
  <c r="D113" i="7"/>
  <c r="D114" i="7"/>
  <c r="D115" i="7"/>
  <c r="D116" i="7"/>
  <c r="D118" i="7"/>
  <c r="D119" i="7"/>
  <c r="D120" i="7"/>
  <c r="D121" i="7"/>
  <c r="D123" i="7"/>
  <c r="D124" i="7"/>
  <c r="C103" i="7"/>
  <c r="C104" i="7"/>
  <c r="C105" i="7"/>
  <c r="C106" i="7"/>
  <c r="C107" i="7"/>
  <c r="C108" i="7"/>
  <c r="C110" i="7"/>
  <c r="C111" i="7"/>
  <c r="C112" i="7"/>
  <c r="C113" i="7"/>
  <c r="C114" i="7"/>
  <c r="C115" i="7"/>
  <c r="C116" i="7"/>
  <c r="C118" i="7"/>
  <c r="C119" i="7"/>
  <c r="C120" i="7"/>
  <c r="C121" i="7"/>
  <c r="C123" i="7"/>
  <c r="C124" i="7"/>
  <c r="E102" i="7"/>
  <c r="D102" i="7"/>
  <c r="E76" i="7"/>
  <c r="E77" i="7"/>
  <c r="E78" i="7"/>
  <c r="E79" i="7"/>
  <c r="E80" i="7"/>
  <c r="E81" i="7"/>
  <c r="E83" i="7"/>
  <c r="E84" i="7"/>
  <c r="E85" i="7"/>
  <c r="E86" i="7"/>
  <c r="E87" i="7"/>
  <c r="E88" i="7"/>
  <c r="E91" i="7"/>
  <c r="E92" i="7"/>
  <c r="E93" i="7"/>
  <c r="E94" i="7"/>
  <c r="E96" i="7"/>
  <c r="E97" i="7"/>
  <c r="D76" i="7"/>
  <c r="D77" i="7"/>
  <c r="D78" i="7"/>
  <c r="D79" i="7"/>
  <c r="D80" i="7"/>
  <c r="D81" i="7"/>
  <c r="D83" i="7"/>
  <c r="D84" i="7"/>
  <c r="D85" i="7"/>
  <c r="D86" i="7"/>
  <c r="D87" i="7"/>
  <c r="D88" i="7"/>
  <c r="D91" i="7"/>
  <c r="D92" i="7"/>
  <c r="D93" i="7"/>
  <c r="D94" i="7"/>
  <c r="D96" i="7"/>
  <c r="C76" i="7"/>
  <c r="C77" i="7"/>
  <c r="C78" i="7"/>
  <c r="C79" i="7"/>
  <c r="C80" i="7"/>
  <c r="C81" i="7"/>
  <c r="C83" i="7"/>
  <c r="C84" i="7"/>
  <c r="C85" i="7"/>
  <c r="C86" i="7"/>
  <c r="C87" i="7"/>
  <c r="C88" i="7"/>
  <c r="C89" i="7"/>
  <c r="C91" i="7"/>
  <c r="C92" i="7"/>
  <c r="C93" i="7"/>
  <c r="C94" i="7"/>
  <c r="C96" i="7"/>
  <c r="C97" i="7"/>
  <c r="E75" i="7"/>
  <c r="D75" i="7"/>
  <c r="C75" i="7"/>
  <c r="E49" i="7"/>
  <c r="E50" i="7"/>
  <c r="E51" i="7"/>
  <c r="E52" i="7"/>
  <c r="E53" i="7"/>
  <c r="E54" i="7"/>
  <c r="E56" i="7"/>
  <c r="E57" i="7"/>
  <c r="E58" i="7"/>
  <c r="E59" i="7"/>
  <c r="E60" i="7"/>
  <c r="E61" i="7"/>
  <c r="E62" i="7"/>
  <c r="E64" i="7"/>
  <c r="E65" i="7"/>
  <c r="E66" i="7"/>
  <c r="E67" i="7"/>
  <c r="E69" i="7"/>
  <c r="E70" i="7"/>
  <c r="D70" i="7"/>
  <c r="D49" i="7"/>
  <c r="D50" i="7"/>
  <c r="D51" i="7"/>
  <c r="D52" i="7"/>
  <c r="D53" i="7"/>
  <c r="D54" i="7"/>
  <c r="D56" i="7"/>
  <c r="D57" i="7"/>
  <c r="D58" i="7"/>
  <c r="D59" i="7"/>
  <c r="D60" i="7"/>
  <c r="D61" i="7"/>
  <c r="D62" i="7"/>
  <c r="D64" i="7"/>
  <c r="D65" i="7"/>
  <c r="D66" i="7"/>
  <c r="D67" i="7"/>
  <c r="D69" i="7"/>
  <c r="C49" i="7"/>
  <c r="C50" i="7"/>
  <c r="C51" i="7"/>
  <c r="C52" i="7"/>
  <c r="C53" i="7"/>
  <c r="C54" i="7"/>
  <c r="C56" i="7"/>
  <c r="C57" i="7"/>
  <c r="C58" i="7"/>
  <c r="C59" i="7"/>
  <c r="C60" i="7"/>
  <c r="C61" i="7"/>
  <c r="C62" i="7"/>
  <c r="C64" i="7"/>
  <c r="C65" i="7"/>
  <c r="C66" i="7"/>
  <c r="C67" i="7"/>
  <c r="C69" i="7"/>
  <c r="E48" i="7"/>
  <c r="L48" i="7" s="1"/>
  <c r="D48" i="7"/>
  <c r="C48" i="7"/>
  <c r="C70" i="7"/>
  <c r="C855" i="17"/>
  <c r="C856" i="17"/>
  <c r="C857" i="17"/>
  <c r="C856" i="31" l="1"/>
  <c r="L75" i="7"/>
  <c r="L102" i="7"/>
  <c r="C857" i="31"/>
  <c r="C855" i="31"/>
  <c r="F184" i="7"/>
  <c r="O28" i="24"/>
  <c r="O27" i="24"/>
  <c r="F183" i="7"/>
  <c r="F102" i="7"/>
  <c r="AA55" i="24"/>
  <c r="AA56" i="24"/>
  <c r="AA57" i="24"/>
  <c r="C10" i="2"/>
  <c r="X23" i="25" l="1"/>
  <c r="F23" i="25"/>
  <c r="R23" i="25"/>
  <c r="L23" i="25"/>
  <c r="P65" i="25"/>
  <c r="P61" i="25"/>
  <c r="X54" i="25"/>
  <c r="X34" i="25"/>
  <c r="X30" i="25"/>
  <c r="X24" i="25"/>
  <c r="V64" i="25"/>
  <c r="V60" i="25"/>
  <c r="X48" i="25"/>
  <c r="X33" i="25"/>
  <c r="X28" i="25"/>
  <c r="X22" i="25"/>
  <c r="V65" i="25"/>
  <c r="V61" i="25"/>
  <c r="X55" i="25"/>
  <c r="X46" i="25"/>
  <c r="X31" i="25"/>
  <c r="X26" i="25"/>
  <c r="X20" i="25"/>
  <c r="X47" i="25"/>
  <c r="X32" i="25"/>
  <c r="P64" i="25"/>
  <c r="X27" i="25"/>
  <c r="P60" i="25"/>
  <c r="X21" i="25"/>
  <c r="F48" i="25"/>
  <c r="F33" i="25"/>
  <c r="F28" i="25"/>
  <c r="F22" i="25"/>
  <c r="R54" i="25"/>
  <c r="R34" i="25"/>
  <c r="R30" i="25"/>
  <c r="R24" i="25"/>
  <c r="L55" i="25"/>
  <c r="F47" i="25"/>
  <c r="F32" i="25"/>
  <c r="F27" i="25"/>
  <c r="F21" i="25"/>
  <c r="R48" i="25"/>
  <c r="R33" i="25"/>
  <c r="R28" i="25"/>
  <c r="R22" i="25"/>
  <c r="L48" i="25"/>
  <c r="F55" i="25"/>
  <c r="F46" i="25"/>
  <c r="F31" i="25"/>
  <c r="F26" i="25"/>
  <c r="F20" i="25"/>
  <c r="R47" i="25"/>
  <c r="R32" i="25"/>
  <c r="R27" i="25"/>
  <c r="R21" i="25"/>
  <c r="L47" i="25"/>
  <c r="F54" i="25"/>
  <c r="F30" i="25"/>
  <c r="F24" i="25"/>
  <c r="R55" i="25"/>
  <c r="R46" i="25"/>
  <c r="R31" i="25"/>
  <c r="R26" i="25"/>
  <c r="R20" i="25"/>
  <c r="O26" i="24"/>
  <c r="O55" i="23"/>
  <c r="O57" i="24"/>
  <c r="O56" i="24"/>
  <c r="O56" i="23"/>
  <c r="O57" i="23"/>
  <c r="AA27" i="24"/>
  <c r="AA28" i="24"/>
  <c r="AA26" i="24"/>
  <c r="O55" i="24" l="1"/>
  <c r="K841" i="7"/>
  <c r="C842" i="7"/>
  <c r="C843" i="7"/>
  <c r="C844" i="7"/>
  <c r="C845" i="7"/>
  <c r="C846" i="7"/>
  <c r="C847" i="7"/>
  <c r="C848" i="7"/>
  <c r="C849" i="7"/>
  <c r="C850" i="7"/>
  <c r="C851" i="7"/>
  <c r="C852" i="7"/>
  <c r="C853" i="7"/>
  <c r="C854" i="7"/>
  <c r="C855" i="7"/>
  <c r="C856" i="7"/>
  <c r="C857" i="7"/>
  <c r="C858" i="7"/>
  <c r="C859" i="7"/>
  <c r="C860" i="7"/>
  <c r="C861" i="7"/>
  <c r="C862" i="7"/>
  <c r="C841" i="7"/>
  <c r="H341" i="7" l="1"/>
  <c r="E739" i="7" l="1"/>
  <c r="E740" i="7"/>
  <c r="E741" i="7"/>
  <c r="E742" i="7"/>
  <c r="E743" i="7"/>
  <c r="E744" i="7"/>
  <c r="E745" i="7"/>
  <c r="E747" i="7"/>
  <c r="E748" i="7"/>
  <c r="E749" i="7"/>
  <c r="E750" i="7"/>
  <c r="E752" i="7"/>
  <c r="E753" i="7"/>
  <c r="D739" i="7"/>
  <c r="D740" i="7"/>
  <c r="D741" i="7"/>
  <c r="D742" i="7"/>
  <c r="D743" i="7"/>
  <c r="D744" i="7"/>
  <c r="D745" i="7"/>
  <c r="D747" i="7"/>
  <c r="D748" i="7"/>
  <c r="D749" i="7"/>
  <c r="D750" i="7"/>
  <c r="D752" i="7"/>
  <c r="D753" i="7"/>
  <c r="C739" i="7"/>
  <c r="C740" i="7"/>
  <c r="C741" i="7"/>
  <c r="C742" i="7"/>
  <c r="C743" i="7"/>
  <c r="C744" i="7"/>
  <c r="C745" i="7"/>
  <c r="C747" i="7"/>
  <c r="C748" i="7"/>
  <c r="C749" i="7"/>
  <c r="C750" i="7"/>
  <c r="C752" i="7"/>
  <c r="C753" i="7"/>
  <c r="C16" i="2" l="1"/>
  <c r="I7" i="8" s="1"/>
  <c r="F773" i="7" l="1"/>
  <c r="F772" i="7"/>
  <c r="F771" i="7"/>
  <c r="F770" i="7"/>
  <c r="F769" i="7"/>
  <c r="F768" i="7"/>
  <c r="F767" i="7"/>
  <c r="F743" i="7"/>
  <c r="F739" i="7"/>
  <c r="J285" i="7"/>
  <c r="J28" i="7"/>
  <c r="C81" i="23"/>
  <c r="C80" i="23"/>
  <c r="C79" i="23"/>
  <c r="D81" i="24"/>
  <c r="C81" i="24"/>
  <c r="D80" i="24"/>
  <c r="C80" i="24"/>
  <c r="D79" i="24"/>
  <c r="C79" i="24"/>
  <c r="G860" i="17"/>
  <c r="G860" i="31" s="1"/>
  <c r="G79" i="24" l="1"/>
  <c r="AA79" i="24" s="1"/>
  <c r="S55" i="24"/>
  <c r="S26" i="24"/>
  <c r="S57" i="24"/>
  <c r="S28" i="24"/>
  <c r="S57" i="23"/>
  <c r="S55" i="23"/>
  <c r="S56" i="24"/>
  <c r="S27" i="24"/>
  <c r="S56" i="23"/>
  <c r="H767" i="7"/>
  <c r="H772" i="7"/>
  <c r="H770" i="7"/>
  <c r="I770" i="7" s="1"/>
  <c r="H768" i="7"/>
  <c r="I768" i="7" s="1"/>
  <c r="H769" i="7"/>
  <c r="I769" i="7" s="1"/>
  <c r="H771" i="7"/>
  <c r="I771" i="7" s="1"/>
  <c r="H773" i="7"/>
  <c r="I773" i="7" s="1"/>
  <c r="F742" i="7"/>
  <c r="H742" i="7" s="1"/>
  <c r="I742" i="7" s="1"/>
  <c r="I767" i="7"/>
  <c r="F741" i="7"/>
  <c r="H741" i="7" s="1"/>
  <c r="F745" i="7"/>
  <c r="F740" i="7"/>
  <c r="F744" i="7"/>
  <c r="H739" i="7"/>
  <c r="I739" i="7" s="1"/>
  <c r="H743" i="7"/>
  <c r="I743" i="7" s="1"/>
  <c r="F142" i="7"/>
  <c r="F146" i="7"/>
  <c r="F172" i="7"/>
  <c r="F197" i="7"/>
  <c r="F201" i="7"/>
  <c r="F200" i="7"/>
  <c r="F170" i="7"/>
  <c r="F174" i="7"/>
  <c r="F199" i="7"/>
  <c r="F203" i="7"/>
  <c r="F198" i="7"/>
  <c r="F202" i="7"/>
  <c r="F173" i="7"/>
  <c r="F176" i="7"/>
  <c r="F171" i="7"/>
  <c r="F175" i="7"/>
  <c r="F145" i="7"/>
  <c r="F87" i="7"/>
  <c r="F144" i="7"/>
  <c r="F148" i="7"/>
  <c r="F143" i="7"/>
  <c r="F147" i="7"/>
  <c r="F116" i="7"/>
  <c r="F92" i="7"/>
  <c r="F58" i="7"/>
  <c r="O78" i="24"/>
  <c r="S78" i="24"/>
  <c r="J767" i="7" l="1"/>
  <c r="G773" i="17" s="1"/>
  <c r="J770" i="7"/>
  <c r="G776" i="17" s="1"/>
  <c r="I741" i="7"/>
  <c r="J741" i="7" s="1"/>
  <c r="G748" i="17" s="1"/>
  <c r="J739" i="7"/>
  <c r="G746" i="17" s="1"/>
  <c r="J771" i="7"/>
  <c r="G777" i="17" s="1"/>
  <c r="J768" i="7"/>
  <c r="G774" i="17" s="1"/>
  <c r="H744" i="7"/>
  <c r="I744" i="7" s="1"/>
  <c r="J744" i="7" s="1"/>
  <c r="G751" i="17" s="1"/>
  <c r="J773" i="7"/>
  <c r="G779" i="17" s="1"/>
  <c r="H740" i="7"/>
  <c r="I740" i="7" s="1"/>
  <c r="J742" i="7"/>
  <c r="G749" i="17" s="1"/>
  <c r="J769" i="7"/>
  <c r="G775" i="17" s="1"/>
  <c r="J743" i="7"/>
  <c r="G750" i="17" s="1"/>
  <c r="H92" i="7"/>
  <c r="I92" i="7" s="1"/>
  <c r="I772" i="7"/>
  <c r="J772" i="7" s="1"/>
  <c r="G778" i="17" s="1"/>
  <c r="H745" i="7"/>
  <c r="I745" i="7" s="1"/>
  <c r="H87" i="7"/>
  <c r="I87" i="7" s="1"/>
  <c r="H58" i="7"/>
  <c r="I58" i="7" s="1"/>
  <c r="AA161" i="3"/>
  <c r="Z161" i="3"/>
  <c r="J740" i="7" l="1"/>
  <c r="J87" i="7"/>
  <c r="J745" i="7"/>
  <c r="G752" i="17" s="1"/>
  <c r="J92" i="7"/>
  <c r="J58" i="7"/>
  <c r="K37" i="2"/>
  <c r="H65" i="2" s="1"/>
  <c r="F112" i="7"/>
  <c r="C84" i="24"/>
  <c r="G747" i="17" l="1"/>
  <c r="K87" i="7"/>
  <c r="G73" i="17"/>
  <c r="K58" i="7"/>
  <c r="G44" i="17"/>
  <c r="C46" i="29"/>
  <c r="D17" i="29"/>
  <c r="C17" i="29"/>
  <c r="D46" i="29"/>
  <c r="F113" i="7"/>
  <c r="F110" i="7"/>
  <c r="F114" i="7"/>
  <c r="F111" i="7"/>
  <c r="F115" i="7"/>
  <c r="F84" i="7"/>
  <c r="H84" i="7" s="1"/>
  <c r="I84" i="7" s="1"/>
  <c r="F86" i="7"/>
  <c r="F85" i="7"/>
  <c r="F83" i="7"/>
  <c r="F776" i="7"/>
  <c r="F775" i="7"/>
  <c r="H775" i="7" s="1"/>
  <c r="F748" i="7"/>
  <c r="D84" i="24"/>
  <c r="F747" i="7"/>
  <c r="H747" i="7" s="1"/>
  <c r="F205" i="7"/>
  <c r="F151" i="7"/>
  <c r="F206" i="7"/>
  <c r="F119" i="7"/>
  <c r="F65" i="7"/>
  <c r="H776" i="7" l="1"/>
  <c r="I776" i="7" s="1"/>
  <c r="J776" i="7" s="1"/>
  <c r="G782" i="17" s="1"/>
  <c r="H748" i="7"/>
  <c r="I747" i="7"/>
  <c r="J747" i="7" s="1"/>
  <c r="G754" i="17" s="1"/>
  <c r="H86" i="7"/>
  <c r="I86" i="7" s="1"/>
  <c r="H65" i="7"/>
  <c r="I65" i="7" s="1"/>
  <c r="I775" i="7"/>
  <c r="J775" i="7" s="1"/>
  <c r="G781" i="17" s="1"/>
  <c r="H83" i="7"/>
  <c r="I83" i="7" s="1"/>
  <c r="J84" i="7"/>
  <c r="K17" i="29"/>
  <c r="G17" i="29"/>
  <c r="J17" i="29"/>
  <c r="H17" i="29"/>
  <c r="F46" i="29"/>
  <c r="L46" i="29" s="1"/>
  <c r="E17" i="29"/>
  <c r="Y17" i="29" s="1"/>
  <c r="F17" i="29"/>
  <c r="C75" i="29"/>
  <c r="J46" i="29"/>
  <c r="E46" i="29"/>
  <c r="Y46" i="29" s="1"/>
  <c r="D75" i="29"/>
  <c r="G46" i="29"/>
  <c r="K46" i="29"/>
  <c r="H85" i="7"/>
  <c r="I85" i="7" s="1"/>
  <c r="H114" i="7"/>
  <c r="I114" i="7" s="1"/>
  <c r="H111" i="7"/>
  <c r="I111" i="7" s="1"/>
  <c r="F59" i="7"/>
  <c r="S84" i="24"/>
  <c r="O84" i="24"/>
  <c r="H119" i="7"/>
  <c r="I119" i="7" s="1"/>
  <c r="D28" i="18"/>
  <c r="D27" i="18"/>
  <c r="Z46" i="29" l="1"/>
  <c r="L17" i="29"/>
  <c r="Z17" i="29"/>
  <c r="I748" i="7"/>
  <c r="J748" i="7" s="1"/>
  <c r="G755" i="17" s="1"/>
  <c r="J75" i="29"/>
  <c r="J86" i="7"/>
  <c r="K86" i="7" s="1"/>
  <c r="J83" i="7"/>
  <c r="K83" i="7" s="1"/>
  <c r="J65" i="7"/>
  <c r="H59" i="7"/>
  <c r="I59" i="7" s="1"/>
  <c r="J114" i="7"/>
  <c r="J119" i="7"/>
  <c r="J111" i="7"/>
  <c r="J85" i="7"/>
  <c r="K84" i="7"/>
  <c r="G70" i="17"/>
  <c r="K75" i="29"/>
  <c r="AA17" i="29"/>
  <c r="F75" i="29"/>
  <c r="E75" i="29"/>
  <c r="AA46" i="29"/>
  <c r="G75" i="29"/>
  <c r="F60" i="7"/>
  <c r="C5" i="25"/>
  <c r="C124" i="13"/>
  <c r="E547" i="7"/>
  <c r="D547" i="7"/>
  <c r="C547" i="7"/>
  <c r="E546" i="7"/>
  <c r="D546" i="7"/>
  <c r="C546" i="7"/>
  <c r="E544" i="7"/>
  <c r="D544" i="7"/>
  <c r="C544" i="7"/>
  <c r="E543" i="7"/>
  <c r="D543" i="7"/>
  <c r="C543" i="7"/>
  <c r="E542" i="7"/>
  <c r="D542" i="7"/>
  <c r="C542" i="7"/>
  <c r="E541" i="7"/>
  <c r="D541" i="7"/>
  <c r="C541" i="7"/>
  <c r="E540" i="7"/>
  <c r="D540" i="7"/>
  <c r="C540" i="7"/>
  <c r="E539" i="7"/>
  <c r="D539" i="7"/>
  <c r="C539" i="7"/>
  <c r="E538" i="7"/>
  <c r="D538" i="7"/>
  <c r="C538" i="7"/>
  <c r="E519" i="7"/>
  <c r="D519" i="7"/>
  <c r="C519" i="7"/>
  <c r="E518" i="7"/>
  <c r="D518" i="7"/>
  <c r="C518" i="7"/>
  <c r="E516" i="7"/>
  <c r="D516" i="7"/>
  <c r="C516" i="7"/>
  <c r="E515" i="7"/>
  <c r="D515" i="7"/>
  <c r="C515" i="7"/>
  <c r="E514" i="7"/>
  <c r="D514" i="7"/>
  <c r="C514" i="7"/>
  <c r="E513" i="7"/>
  <c r="D513" i="7"/>
  <c r="C513" i="7"/>
  <c r="E512" i="7"/>
  <c r="D512" i="7"/>
  <c r="C512" i="7"/>
  <c r="E511" i="7"/>
  <c r="D511" i="7"/>
  <c r="C511" i="7"/>
  <c r="E510" i="7"/>
  <c r="D510" i="7"/>
  <c r="C510" i="7"/>
  <c r="E465" i="7"/>
  <c r="D465" i="7"/>
  <c r="C465" i="7"/>
  <c r="E464" i="7"/>
  <c r="D464" i="7"/>
  <c r="C464" i="7"/>
  <c r="E460" i="7"/>
  <c r="D460" i="7"/>
  <c r="C460" i="7"/>
  <c r="E459" i="7"/>
  <c r="D459" i="7"/>
  <c r="C459" i="7"/>
  <c r="E458" i="7"/>
  <c r="D458" i="7"/>
  <c r="C458" i="7"/>
  <c r="E457" i="7"/>
  <c r="D457" i="7"/>
  <c r="C457" i="7"/>
  <c r="E456" i="7"/>
  <c r="D456" i="7"/>
  <c r="C456" i="7"/>
  <c r="E455" i="7"/>
  <c r="D455" i="7"/>
  <c r="C455" i="7"/>
  <c r="E454" i="7"/>
  <c r="D454" i="7"/>
  <c r="C454" i="7"/>
  <c r="P325" i="7"/>
  <c r="O325" i="7"/>
  <c r="N325" i="7"/>
  <c r="C325" i="7"/>
  <c r="N297" i="7"/>
  <c r="C297" i="7"/>
  <c r="D54" i="23"/>
  <c r="U38" i="2"/>
  <c r="U30" i="2"/>
  <c r="U31" i="2" s="1"/>
  <c r="U32" i="2" s="1"/>
  <c r="Y3" i="3"/>
  <c r="Z3" i="3" s="1"/>
  <c r="AA3" i="3" s="1"/>
  <c r="AB3" i="3" s="1"/>
  <c r="AC3" i="3" s="1"/>
  <c r="AD3" i="3" s="1"/>
  <c r="AE3" i="3" s="1"/>
  <c r="AF3" i="3" s="1"/>
  <c r="AG3" i="3" s="1"/>
  <c r="AH3" i="3" s="1"/>
  <c r="AI3" i="3" s="1"/>
  <c r="AJ3" i="3" s="1"/>
  <c r="AK3" i="3" s="1"/>
  <c r="D605" i="7" l="1"/>
  <c r="P563" i="14"/>
  <c r="E605" i="7"/>
  <c r="Q563" i="14"/>
  <c r="C627" i="7"/>
  <c r="O588" i="14"/>
  <c r="D665" i="17"/>
  <c r="D665" i="31" s="1"/>
  <c r="C599" i="7"/>
  <c r="O557" i="14"/>
  <c r="D638" i="17"/>
  <c r="D638" i="31" s="1"/>
  <c r="O625" i="14"/>
  <c r="C661" i="7"/>
  <c r="D698" i="17"/>
  <c r="D698" i="31" s="1"/>
  <c r="F546" i="7"/>
  <c r="Z75" i="29"/>
  <c r="D124" i="13"/>
  <c r="O124" i="13"/>
  <c r="F538" i="7"/>
  <c r="F542" i="7"/>
  <c r="F547" i="7"/>
  <c r="I547" i="7" s="1"/>
  <c r="I546" i="7"/>
  <c r="F512" i="7"/>
  <c r="F516" i="7"/>
  <c r="F511" i="7"/>
  <c r="H511" i="7" s="1"/>
  <c r="I511" i="7" s="1"/>
  <c r="F515" i="7"/>
  <c r="H512" i="7"/>
  <c r="I512" i="7" s="1"/>
  <c r="F457" i="7"/>
  <c r="F464" i="7"/>
  <c r="F578" i="7"/>
  <c r="H578" i="7" s="1"/>
  <c r="F577" i="7"/>
  <c r="Q572" i="7"/>
  <c r="S572" i="7" s="1"/>
  <c r="F571" i="7"/>
  <c r="Q575" i="7"/>
  <c r="F575" i="7"/>
  <c r="F570" i="7"/>
  <c r="F574" i="7"/>
  <c r="Q574" i="7"/>
  <c r="F510" i="7"/>
  <c r="H510" i="7" s="1"/>
  <c r="I510" i="7" s="1"/>
  <c r="F514" i="7"/>
  <c r="H514" i="7" s="1"/>
  <c r="I514" i="7" s="1"/>
  <c r="F519" i="7"/>
  <c r="H519" i="7" s="1"/>
  <c r="F541" i="7"/>
  <c r="H541" i="7" s="1"/>
  <c r="I541" i="7" s="1"/>
  <c r="F513" i="7"/>
  <c r="H513" i="7" s="1"/>
  <c r="I513" i="7" s="1"/>
  <c r="H515" i="7"/>
  <c r="I515" i="7" s="1"/>
  <c r="F518" i="7"/>
  <c r="H538" i="7"/>
  <c r="I538" i="7" s="1"/>
  <c r="F540" i="7"/>
  <c r="H540" i="7" s="1"/>
  <c r="I540" i="7" s="1"/>
  <c r="H542" i="7"/>
  <c r="I542" i="7" s="1"/>
  <c r="F544" i="7"/>
  <c r="H544" i="7" s="1"/>
  <c r="I544" i="7" s="1"/>
  <c r="H516" i="7"/>
  <c r="I516" i="7" s="1"/>
  <c r="F539" i="7"/>
  <c r="H539" i="7" s="1"/>
  <c r="I539" i="7" s="1"/>
  <c r="F543" i="7"/>
  <c r="H546" i="7"/>
  <c r="J546" i="7" s="1"/>
  <c r="G587" i="17" s="1"/>
  <c r="H518" i="7"/>
  <c r="J538" i="7"/>
  <c r="G579" i="17" s="1"/>
  <c r="I464" i="7"/>
  <c r="J464" i="7"/>
  <c r="G508" i="17" s="1"/>
  <c r="F460" i="7"/>
  <c r="I460" i="7" s="1"/>
  <c r="F455" i="7"/>
  <c r="F459" i="7"/>
  <c r="I459" i="7" s="1"/>
  <c r="H464" i="7"/>
  <c r="H457" i="7"/>
  <c r="I457" i="7"/>
  <c r="J457" i="7" s="1"/>
  <c r="G501" i="17" s="1"/>
  <c r="H459" i="7"/>
  <c r="J459" i="7" s="1"/>
  <c r="G503" i="17" s="1"/>
  <c r="F456" i="7"/>
  <c r="F454" i="7"/>
  <c r="F458" i="7"/>
  <c r="I458" i="7" s="1"/>
  <c r="F465" i="7"/>
  <c r="H465" i="7" s="1"/>
  <c r="U39" i="2"/>
  <c r="F654" i="7"/>
  <c r="H654" i="7" s="1"/>
  <c r="F658" i="7"/>
  <c r="H658" i="7" s="1"/>
  <c r="I658" i="7" s="1"/>
  <c r="Q145" i="7"/>
  <c r="Q171" i="7"/>
  <c r="Q175" i="7"/>
  <c r="S175" i="7" s="1"/>
  <c r="Q200" i="7"/>
  <c r="S200" i="7" s="1"/>
  <c r="T200" i="7" s="1"/>
  <c r="U200" i="7" s="1"/>
  <c r="N245" i="17" s="1"/>
  <c r="F655" i="7"/>
  <c r="H655" i="7" s="1"/>
  <c r="F659" i="7"/>
  <c r="H659" i="7" s="1"/>
  <c r="I659" i="7" s="1"/>
  <c r="F656" i="7"/>
  <c r="H656" i="7" s="1"/>
  <c r="F653" i="7"/>
  <c r="H653" i="7" s="1"/>
  <c r="F662" i="7"/>
  <c r="H662" i="7" s="1"/>
  <c r="Q577" i="7"/>
  <c r="T577" i="7" s="1"/>
  <c r="Q578" i="7"/>
  <c r="S578" i="7" s="1"/>
  <c r="Q325" i="7"/>
  <c r="Q152" i="7"/>
  <c r="Q172" i="7"/>
  <c r="S172" i="7" s="1"/>
  <c r="T172" i="7" s="1"/>
  <c r="Q176" i="7"/>
  <c r="S176" i="7" s="1"/>
  <c r="Q146" i="7"/>
  <c r="Q153" i="7"/>
  <c r="Q197" i="7"/>
  <c r="S197" i="7" s="1"/>
  <c r="T197" i="7" s="1"/>
  <c r="U197" i="7" s="1"/>
  <c r="N242" i="17" s="1"/>
  <c r="Q144" i="7"/>
  <c r="Q148" i="7"/>
  <c r="Q170" i="7"/>
  <c r="Q174" i="7"/>
  <c r="S174" i="7" s="1"/>
  <c r="Q179" i="7"/>
  <c r="Q199" i="7"/>
  <c r="Q142" i="7"/>
  <c r="Q143" i="7"/>
  <c r="Q147" i="7"/>
  <c r="Q173" i="7"/>
  <c r="S173" i="7" s="1"/>
  <c r="T173" i="7" s="1"/>
  <c r="Q178" i="7"/>
  <c r="Q198" i="7"/>
  <c r="S198" i="7" s="1"/>
  <c r="Q201" i="7"/>
  <c r="Q202" i="7"/>
  <c r="S202" i="7" s="1"/>
  <c r="T202" i="7" s="1"/>
  <c r="G72" i="17"/>
  <c r="G69" i="17"/>
  <c r="J59" i="7"/>
  <c r="H60" i="7"/>
  <c r="I60" i="7" s="1"/>
  <c r="Q203" i="7"/>
  <c r="F657" i="7"/>
  <c r="C380" i="7"/>
  <c r="C372" i="7"/>
  <c r="C373" i="7"/>
  <c r="C371" i="7"/>
  <c r="C375" i="7"/>
  <c r="C376" i="7"/>
  <c r="C370" i="7"/>
  <c r="C374" i="7"/>
  <c r="C381" i="7"/>
  <c r="E375" i="7"/>
  <c r="E370" i="7"/>
  <c r="E381" i="7"/>
  <c r="E373" i="7"/>
  <c r="E380" i="7"/>
  <c r="E371" i="7"/>
  <c r="E374" i="7"/>
  <c r="E372" i="7"/>
  <c r="E376" i="7"/>
  <c r="D381" i="7"/>
  <c r="D373" i="7"/>
  <c r="D374" i="7"/>
  <c r="D372" i="7"/>
  <c r="D376" i="7"/>
  <c r="D370" i="7"/>
  <c r="D380" i="7"/>
  <c r="D371" i="7"/>
  <c r="D375" i="7"/>
  <c r="Y75" i="29"/>
  <c r="K114" i="7"/>
  <c r="G100" i="17"/>
  <c r="K111" i="7"/>
  <c r="G97" i="17"/>
  <c r="K85" i="7"/>
  <c r="G71" i="17"/>
  <c r="AA75" i="29"/>
  <c r="L75" i="29"/>
  <c r="D49" i="23"/>
  <c r="C49" i="23"/>
  <c r="S54" i="23"/>
  <c r="K54" i="23"/>
  <c r="O54" i="23"/>
  <c r="C51" i="23"/>
  <c r="D51" i="23"/>
  <c r="C50" i="23"/>
  <c r="D50" i="23"/>
  <c r="C46" i="23"/>
  <c r="D46" i="24"/>
  <c r="D46" i="23"/>
  <c r="D54" i="4"/>
  <c r="D25" i="4"/>
  <c r="D54" i="24"/>
  <c r="D25" i="24"/>
  <c r="C54" i="24"/>
  <c r="C25" i="24"/>
  <c r="C25" i="4"/>
  <c r="C54" i="4"/>
  <c r="D51" i="24"/>
  <c r="D22" i="24"/>
  <c r="C51" i="24"/>
  <c r="C51" i="4"/>
  <c r="D51" i="4"/>
  <c r="C22" i="24"/>
  <c r="D49" i="4"/>
  <c r="D49" i="24"/>
  <c r="D20" i="24"/>
  <c r="C49" i="24"/>
  <c r="C20" i="24"/>
  <c r="C49" i="4"/>
  <c r="C50" i="24"/>
  <c r="C21" i="24"/>
  <c r="C50" i="4"/>
  <c r="D50" i="24"/>
  <c r="D21" i="24"/>
  <c r="D50" i="4"/>
  <c r="C46" i="24"/>
  <c r="C17" i="24"/>
  <c r="C46" i="4"/>
  <c r="D46" i="4"/>
  <c r="D17" i="24"/>
  <c r="C17" i="4"/>
  <c r="D17" i="23"/>
  <c r="C17" i="23"/>
  <c r="D17" i="4"/>
  <c r="D22" i="23"/>
  <c r="D22" i="4"/>
  <c r="C22" i="23"/>
  <c r="C22" i="4"/>
  <c r="D21" i="23"/>
  <c r="D21" i="4"/>
  <c r="C21" i="4"/>
  <c r="C21" i="23"/>
  <c r="D20" i="4"/>
  <c r="D20" i="23"/>
  <c r="C20" i="23"/>
  <c r="C20" i="4"/>
  <c r="Q206" i="7"/>
  <c r="Q205" i="7"/>
  <c r="D26" i="23"/>
  <c r="U40" i="2"/>
  <c r="U33" i="2"/>
  <c r="C4" i="25"/>
  <c r="E661" i="7" l="1"/>
  <c r="Q625" i="14"/>
  <c r="J512" i="7"/>
  <c r="G554" i="17" s="1"/>
  <c r="D661" i="7"/>
  <c r="P625" i="14"/>
  <c r="J515" i="7"/>
  <c r="G557" i="17" s="1"/>
  <c r="D627" i="7"/>
  <c r="P588" i="14"/>
  <c r="Q588" i="14"/>
  <c r="E627" i="7"/>
  <c r="J542" i="7"/>
  <c r="G583" i="17" s="1"/>
  <c r="E124" i="13"/>
  <c r="Q124" i="13" s="1"/>
  <c r="P124" i="13"/>
  <c r="H547" i="7"/>
  <c r="J547" i="7" s="1"/>
  <c r="G588" i="17" s="1"/>
  <c r="J511" i="7"/>
  <c r="G553" i="17" s="1"/>
  <c r="J516" i="7"/>
  <c r="G558" i="17" s="1"/>
  <c r="H460" i="7"/>
  <c r="J460" i="7" s="1"/>
  <c r="G504" i="17" s="1"/>
  <c r="F573" i="7"/>
  <c r="J573" i="7" s="1"/>
  <c r="F569" i="7"/>
  <c r="I569" i="7" s="1"/>
  <c r="J569" i="7" s="1"/>
  <c r="I578" i="7"/>
  <c r="J578" i="7"/>
  <c r="I577" i="7"/>
  <c r="J577" i="7"/>
  <c r="H577" i="7"/>
  <c r="Q570" i="7"/>
  <c r="H575" i="7"/>
  <c r="I575" i="7" s="1"/>
  <c r="J575" i="7"/>
  <c r="F572" i="7"/>
  <c r="Q573" i="7"/>
  <c r="S573" i="7" s="1"/>
  <c r="H570" i="7"/>
  <c r="I570" i="7" s="1"/>
  <c r="J570" i="7"/>
  <c r="T575" i="7"/>
  <c r="U575" i="7"/>
  <c r="T572" i="7"/>
  <c r="U572" i="7" s="1"/>
  <c r="H571" i="7"/>
  <c r="I571" i="7" s="1"/>
  <c r="S574" i="7"/>
  <c r="T574" i="7"/>
  <c r="Q571" i="7"/>
  <c r="T571" i="7" s="1"/>
  <c r="H574" i="7"/>
  <c r="I574" i="7" s="1"/>
  <c r="S575" i="7"/>
  <c r="Q569" i="7"/>
  <c r="S569" i="7" s="1"/>
  <c r="J571" i="7"/>
  <c r="J540" i="7"/>
  <c r="G581" i="17" s="1"/>
  <c r="J513" i="7"/>
  <c r="G555" i="17" s="1"/>
  <c r="I519" i="7"/>
  <c r="J519" i="7" s="1"/>
  <c r="G561" i="17" s="1"/>
  <c r="J539" i="7"/>
  <c r="G580" i="17" s="1"/>
  <c r="J544" i="7"/>
  <c r="G585" i="17" s="1"/>
  <c r="I518" i="7"/>
  <c r="J518" i="7" s="1"/>
  <c r="G560" i="17" s="1"/>
  <c r="H543" i="7"/>
  <c r="I543" i="7" s="1"/>
  <c r="J514" i="7"/>
  <c r="G556" i="17" s="1"/>
  <c r="J541" i="7"/>
  <c r="G582" i="17" s="1"/>
  <c r="J510" i="7"/>
  <c r="G552" i="17" s="1"/>
  <c r="H455" i="7"/>
  <c r="I455" i="7"/>
  <c r="J455" i="7" s="1"/>
  <c r="G499" i="17" s="1"/>
  <c r="I454" i="7"/>
  <c r="J454" i="7"/>
  <c r="G498" i="17" s="1"/>
  <c r="H458" i="7"/>
  <c r="J458" i="7" s="1"/>
  <c r="G502" i="17" s="1"/>
  <c r="I465" i="7"/>
  <c r="J465" i="7"/>
  <c r="G509" i="17" s="1"/>
  <c r="H456" i="7"/>
  <c r="I456" i="7"/>
  <c r="J456" i="7" s="1"/>
  <c r="G500" i="17" s="1"/>
  <c r="H454" i="7"/>
  <c r="C77" i="23"/>
  <c r="K21" i="24"/>
  <c r="K20" i="24"/>
  <c r="K17" i="24"/>
  <c r="K22" i="24"/>
  <c r="K25" i="24"/>
  <c r="H49" i="29"/>
  <c r="H78" i="29" s="1"/>
  <c r="H46" i="29"/>
  <c r="H75" i="29" s="1"/>
  <c r="H51" i="29"/>
  <c r="H80" i="29" s="1"/>
  <c r="H54" i="29"/>
  <c r="H83" i="29" s="1"/>
  <c r="H50" i="29"/>
  <c r="H79" i="29" s="1"/>
  <c r="J659" i="7"/>
  <c r="K659" i="7" s="1"/>
  <c r="F631" i="7"/>
  <c r="H631" i="7" s="1"/>
  <c r="I631" i="7" s="1"/>
  <c r="F600" i="7"/>
  <c r="H600" i="7" s="1"/>
  <c r="I600" i="7" s="1"/>
  <c r="F628" i="7"/>
  <c r="H628" i="7" s="1"/>
  <c r="I628" i="7" s="1"/>
  <c r="J658" i="7"/>
  <c r="F626" i="7"/>
  <c r="H626" i="7" s="1"/>
  <c r="I626" i="7" s="1"/>
  <c r="F629" i="7"/>
  <c r="H629" i="7" s="1"/>
  <c r="I629" i="7" s="1"/>
  <c r="I662" i="7"/>
  <c r="J662" i="7" s="1"/>
  <c r="F603" i="7"/>
  <c r="H603" i="7" s="1"/>
  <c r="I603" i="7" s="1"/>
  <c r="F630" i="7"/>
  <c r="H630" i="7" s="1"/>
  <c r="I630" i="7" s="1"/>
  <c r="F606" i="7"/>
  <c r="I606" i="7" s="1"/>
  <c r="F625" i="7"/>
  <c r="H625" i="7" s="1"/>
  <c r="I625" i="7" s="1"/>
  <c r="I654" i="7"/>
  <c r="J654" i="7" s="1"/>
  <c r="S577" i="7"/>
  <c r="U577" i="7" s="1"/>
  <c r="F602" i="7"/>
  <c r="I602" i="7" s="1"/>
  <c r="F634" i="7"/>
  <c r="I634" i="7" s="1"/>
  <c r="F597" i="7"/>
  <c r="H597" i="7" s="1"/>
  <c r="F598" i="7"/>
  <c r="H598" i="7" s="1"/>
  <c r="I598" i="7" s="1"/>
  <c r="F601" i="7"/>
  <c r="H601" i="7" s="1"/>
  <c r="I601" i="7" s="1"/>
  <c r="I655" i="7"/>
  <c r="J655" i="7" s="1"/>
  <c r="I656" i="7"/>
  <c r="J656" i="7" s="1"/>
  <c r="I653" i="7"/>
  <c r="J653" i="7" s="1"/>
  <c r="T578" i="7"/>
  <c r="U578" i="7" s="1"/>
  <c r="F380" i="7"/>
  <c r="F374" i="7"/>
  <c r="H374" i="7" s="1"/>
  <c r="I374" i="7" s="1"/>
  <c r="F372" i="7"/>
  <c r="H372" i="7" s="1"/>
  <c r="I372" i="7" s="1"/>
  <c r="F375" i="7"/>
  <c r="H375" i="7" s="1"/>
  <c r="I375" i="7" s="1"/>
  <c r="F376" i="7"/>
  <c r="H376" i="7" s="1"/>
  <c r="I376" i="7" s="1"/>
  <c r="H657" i="7"/>
  <c r="I657" i="7" s="1"/>
  <c r="T176" i="7"/>
  <c r="U176" i="7" s="1"/>
  <c r="N220" i="17" s="1"/>
  <c r="T198" i="7"/>
  <c r="U198" i="7" s="1"/>
  <c r="N243" i="17" s="1"/>
  <c r="S199" i="7"/>
  <c r="T199" i="7" s="1"/>
  <c r="U199" i="7" s="1"/>
  <c r="N244" i="17" s="1"/>
  <c r="S201" i="7"/>
  <c r="T201" i="7" s="1"/>
  <c r="U201" i="7" s="1"/>
  <c r="N246" i="17" s="1"/>
  <c r="T175" i="7"/>
  <c r="U175" i="7" s="1"/>
  <c r="N219" i="17" s="1"/>
  <c r="T174" i="7"/>
  <c r="U174" i="7" s="1"/>
  <c r="N218" i="17" s="1"/>
  <c r="U202" i="7"/>
  <c r="N247" i="17" s="1"/>
  <c r="U173" i="7"/>
  <c r="N217" i="17" s="1"/>
  <c r="U172" i="7"/>
  <c r="N216" i="17" s="1"/>
  <c r="F381" i="7"/>
  <c r="J60" i="7"/>
  <c r="G45" i="17"/>
  <c r="K59" i="7"/>
  <c r="S206" i="7"/>
  <c r="T206" i="7" s="1"/>
  <c r="S205" i="7"/>
  <c r="S203" i="7"/>
  <c r="T203" i="7" s="1"/>
  <c r="F370" i="7"/>
  <c r="H370" i="7" s="1"/>
  <c r="I370" i="7" s="1"/>
  <c r="F373" i="7"/>
  <c r="H373" i="7" s="1"/>
  <c r="I373" i="7" s="1"/>
  <c r="F371" i="7"/>
  <c r="H371" i="7" s="1"/>
  <c r="I371" i="7" s="1"/>
  <c r="H54" i="24"/>
  <c r="G54" i="24"/>
  <c r="F54" i="24"/>
  <c r="F55" i="23"/>
  <c r="H55" i="23"/>
  <c r="G55" i="23"/>
  <c r="H20" i="23"/>
  <c r="G20" i="23"/>
  <c r="F20" i="23"/>
  <c r="F22" i="23"/>
  <c r="G22" i="23"/>
  <c r="H22" i="23"/>
  <c r="H21" i="24"/>
  <c r="F21" i="24"/>
  <c r="G21" i="24"/>
  <c r="O49" i="24"/>
  <c r="S49" i="24"/>
  <c r="K49" i="24"/>
  <c r="J49" i="24"/>
  <c r="F51" i="23"/>
  <c r="H51" i="23"/>
  <c r="G51" i="23"/>
  <c r="H21" i="23"/>
  <c r="G21" i="23"/>
  <c r="F21" i="23"/>
  <c r="K51" i="24"/>
  <c r="J51" i="24"/>
  <c r="S51" i="24"/>
  <c r="O51" i="24"/>
  <c r="D80" i="23"/>
  <c r="K51" i="23"/>
  <c r="O51" i="23"/>
  <c r="S51" i="23"/>
  <c r="H50" i="24"/>
  <c r="G50" i="24"/>
  <c r="F50" i="24"/>
  <c r="H20" i="24"/>
  <c r="G20" i="24"/>
  <c r="F20" i="24"/>
  <c r="H51" i="24"/>
  <c r="F51" i="24"/>
  <c r="G51" i="24"/>
  <c r="O54" i="24"/>
  <c r="S54" i="24"/>
  <c r="K54" i="24"/>
  <c r="J54" i="24"/>
  <c r="S50" i="23"/>
  <c r="K50" i="23"/>
  <c r="O50" i="23"/>
  <c r="D79" i="23"/>
  <c r="F49" i="23"/>
  <c r="H49" i="23"/>
  <c r="G49" i="23"/>
  <c r="G26" i="23"/>
  <c r="F26" i="23"/>
  <c r="H26" i="23"/>
  <c r="S50" i="24"/>
  <c r="K50" i="24"/>
  <c r="J50" i="24"/>
  <c r="O50" i="24"/>
  <c r="H49" i="24"/>
  <c r="F49" i="24"/>
  <c r="G49" i="24"/>
  <c r="H22" i="24"/>
  <c r="G22" i="24"/>
  <c r="F22" i="24"/>
  <c r="H25" i="24"/>
  <c r="F25" i="24"/>
  <c r="G25" i="24"/>
  <c r="F50" i="23"/>
  <c r="H50" i="23"/>
  <c r="G50" i="23"/>
  <c r="K49" i="23"/>
  <c r="O49" i="23"/>
  <c r="S49" i="23"/>
  <c r="D78" i="23"/>
  <c r="H17" i="24"/>
  <c r="G17" i="24"/>
  <c r="F17" i="24"/>
  <c r="S46" i="23"/>
  <c r="D75" i="23"/>
  <c r="O46" i="23"/>
  <c r="K46" i="23"/>
  <c r="H46" i="24"/>
  <c r="G46" i="24"/>
  <c r="F46" i="24"/>
  <c r="K46" i="24"/>
  <c r="J46" i="24"/>
  <c r="O46" i="24"/>
  <c r="S46" i="24"/>
  <c r="G17" i="23"/>
  <c r="F17" i="23"/>
  <c r="H17" i="23"/>
  <c r="F46" i="23"/>
  <c r="G46" i="23"/>
  <c r="H46" i="23"/>
  <c r="D75" i="4"/>
  <c r="C78" i="4"/>
  <c r="C80" i="4"/>
  <c r="C83" i="4"/>
  <c r="S25" i="24"/>
  <c r="O25" i="24"/>
  <c r="J25" i="24"/>
  <c r="C75" i="4"/>
  <c r="J21" i="24"/>
  <c r="O21" i="24"/>
  <c r="S21" i="24"/>
  <c r="J17" i="24"/>
  <c r="O17" i="24"/>
  <c r="S17" i="24"/>
  <c r="O22" i="24"/>
  <c r="J22" i="24"/>
  <c r="S22" i="24"/>
  <c r="C79" i="4"/>
  <c r="S20" i="24"/>
  <c r="O20" i="24"/>
  <c r="J20" i="24"/>
  <c r="D83" i="4"/>
  <c r="D79" i="4"/>
  <c r="D80" i="4"/>
  <c r="D78" i="4"/>
  <c r="F150" i="7"/>
  <c r="S26" i="23"/>
  <c r="O26" i="23"/>
  <c r="K26" i="23"/>
  <c r="D83" i="24"/>
  <c r="D84" i="23"/>
  <c r="C83" i="24"/>
  <c r="C84" i="23"/>
  <c r="U41" i="2"/>
  <c r="U34" i="2"/>
  <c r="Z55" i="23" l="1"/>
  <c r="H573" i="7"/>
  <c r="I573" i="7" s="1"/>
  <c r="H569" i="7"/>
  <c r="Z51" i="23"/>
  <c r="Z51" i="24"/>
  <c r="K78" i="24"/>
  <c r="Z17" i="24"/>
  <c r="Z26" i="23"/>
  <c r="Z84" i="23" s="1"/>
  <c r="Z49" i="23"/>
  <c r="Z20" i="24"/>
  <c r="Z54" i="24"/>
  <c r="Z17" i="23"/>
  <c r="Z25" i="24"/>
  <c r="Z50" i="24"/>
  <c r="Z21" i="23"/>
  <c r="Z20" i="23"/>
  <c r="Z46" i="23"/>
  <c r="Z46" i="24"/>
  <c r="Z50" i="23"/>
  <c r="Z22" i="24"/>
  <c r="Z49" i="24"/>
  <c r="Z21" i="24"/>
  <c r="Z22" i="23"/>
  <c r="D92" i="4"/>
  <c r="K80" i="24"/>
  <c r="K79" i="24"/>
  <c r="R46" i="23"/>
  <c r="L17" i="23"/>
  <c r="Q17" i="23"/>
  <c r="L55" i="23"/>
  <c r="Q55" i="23"/>
  <c r="R17" i="23"/>
  <c r="L49" i="23"/>
  <c r="Q49" i="23"/>
  <c r="R22" i="23"/>
  <c r="L46" i="23"/>
  <c r="Q46" i="23"/>
  <c r="L50" i="23"/>
  <c r="Q50" i="23"/>
  <c r="R51" i="23"/>
  <c r="L22" i="23"/>
  <c r="Q22" i="23"/>
  <c r="R55" i="23"/>
  <c r="R49" i="23"/>
  <c r="L21" i="23"/>
  <c r="Q21" i="23"/>
  <c r="L20" i="23"/>
  <c r="Q20" i="23"/>
  <c r="R21" i="23"/>
  <c r="R50" i="23"/>
  <c r="L51" i="23"/>
  <c r="Q51" i="23"/>
  <c r="R20" i="23"/>
  <c r="R26" i="23"/>
  <c r="L26" i="23"/>
  <c r="Q26" i="23"/>
  <c r="Q46" i="24"/>
  <c r="L46" i="24"/>
  <c r="R17" i="24"/>
  <c r="L22" i="24"/>
  <c r="Q22" i="24"/>
  <c r="Q49" i="24"/>
  <c r="L49" i="24"/>
  <c r="R51" i="24"/>
  <c r="R20" i="24"/>
  <c r="Q21" i="24"/>
  <c r="L21" i="24"/>
  <c r="R54" i="24"/>
  <c r="R46" i="24"/>
  <c r="R25" i="24"/>
  <c r="R22" i="24"/>
  <c r="L51" i="24"/>
  <c r="Q51" i="24"/>
  <c r="L25" i="24"/>
  <c r="Q25" i="24"/>
  <c r="Q50" i="24"/>
  <c r="L50" i="24"/>
  <c r="Q17" i="24"/>
  <c r="L17" i="24"/>
  <c r="R49" i="24"/>
  <c r="L20" i="24"/>
  <c r="Q20" i="24"/>
  <c r="R50" i="24"/>
  <c r="R21" i="24"/>
  <c r="Q54" i="24"/>
  <c r="L54" i="24"/>
  <c r="J574" i="7"/>
  <c r="T569" i="7"/>
  <c r="U569" i="7"/>
  <c r="S571" i="7"/>
  <c r="U571" i="7" s="1"/>
  <c r="U574" i="7"/>
  <c r="T573" i="7"/>
  <c r="U573" i="7"/>
  <c r="H572" i="7"/>
  <c r="I572" i="7" s="1"/>
  <c r="J572" i="7"/>
  <c r="S570" i="7"/>
  <c r="T570" i="7"/>
  <c r="U570" i="7" s="1"/>
  <c r="J543" i="7"/>
  <c r="G584" i="17" s="1"/>
  <c r="K75" i="24"/>
  <c r="J75" i="24"/>
  <c r="J79" i="24"/>
  <c r="J80" i="24"/>
  <c r="J78" i="24"/>
  <c r="J631" i="7"/>
  <c r="K631" i="7" s="1"/>
  <c r="H606" i="7"/>
  <c r="J606" i="7" s="1"/>
  <c r="J603" i="7"/>
  <c r="K603" i="7" s="1"/>
  <c r="H634" i="7"/>
  <c r="J634" i="7" s="1"/>
  <c r="F661" i="7"/>
  <c r="I597" i="7"/>
  <c r="J597" i="7" s="1"/>
  <c r="H602" i="7"/>
  <c r="J602" i="7" s="1"/>
  <c r="J625" i="7"/>
  <c r="J600" i="7"/>
  <c r="J626" i="7"/>
  <c r="J601" i="7"/>
  <c r="J598" i="7"/>
  <c r="J628" i="7"/>
  <c r="J630" i="7"/>
  <c r="J629" i="7"/>
  <c r="J657" i="7"/>
  <c r="J370" i="7"/>
  <c r="T205" i="7"/>
  <c r="U205" i="7" s="1"/>
  <c r="N250" i="17" s="1"/>
  <c r="U206" i="7"/>
  <c r="N251" i="17" s="1"/>
  <c r="K60" i="7"/>
  <c r="G46" i="17"/>
  <c r="U203" i="7"/>
  <c r="N248" i="17" s="1"/>
  <c r="J376" i="7"/>
  <c r="J373" i="7"/>
  <c r="J372" i="7"/>
  <c r="J374" i="7"/>
  <c r="J375" i="7"/>
  <c r="J371" i="7"/>
  <c r="O83" i="24"/>
  <c r="O78" i="23"/>
  <c r="S78" i="23"/>
  <c r="F79" i="23"/>
  <c r="AA26" i="23"/>
  <c r="F78" i="23"/>
  <c r="AA50" i="24"/>
  <c r="AA21" i="23"/>
  <c r="AA22" i="23"/>
  <c r="H78" i="23"/>
  <c r="G79" i="23"/>
  <c r="AA50" i="23"/>
  <c r="AA49" i="23"/>
  <c r="G78" i="23"/>
  <c r="H80" i="23"/>
  <c r="AA20" i="23"/>
  <c r="AA54" i="24"/>
  <c r="AA51" i="24"/>
  <c r="AA51" i="23"/>
  <c r="G80" i="23"/>
  <c r="AA55" i="23"/>
  <c r="H79" i="23"/>
  <c r="AA49" i="24"/>
  <c r="F80" i="23"/>
  <c r="AA46" i="24"/>
  <c r="AA46" i="23"/>
  <c r="G75" i="23"/>
  <c r="F75" i="23"/>
  <c r="AA17" i="23"/>
  <c r="H75" i="23"/>
  <c r="H79" i="24"/>
  <c r="H80" i="24"/>
  <c r="H78" i="24"/>
  <c r="AA25" i="24"/>
  <c r="AA20" i="24"/>
  <c r="AA22" i="24"/>
  <c r="AA17" i="24"/>
  <c r="AA21" i="24"/>
  <c r="K84" i="23"/>
  <c r="S83" i="24"/>
  <c r="S84" i="23"/>
  <c r="O84" i="23"/>
  <c r="U42" i="2"/>
  <c r="U35" i="2"/>
  <c r="L75" i="23" l="1"/>
  <c r="L80" i="23"/>
  <c r="L79" i="23"/>
  <c r="L78" i="23"/>
  <c r="Z78" i="23"/>
  <c r="F599" i="7"/>
  <c r="H599" i="7" s="1"/>
  <c r="I599" i="7" s="1"/>
  <c r="F627" i="7"/>
  <c r="H627" i="7" s="1"/>
  <c r="I627" i="7" s="1"/>
  <c r="J627" i="7" s="1"/>
  <c r="H661" i="7"/>
  <c r="I661" i="7"/>
  <c r="V80" i="23"/>
  <c r="AA80" i="23"/>
  <c r="AA79" i="23"/>
  <c r="U78" i="23"/>
  <c r="AB79" i="23"/>
  <c r="AD79" i="23"/>
  <c r="AD80" i="23"/>
  <c r="W80" i="23"/>
  <c r="AB80" i="23"/>
  <c r="AA78" i="23"/>
  <c r="AD78" i="23"/>
  <c r="AB78" i="23"/>
  <c r="AA75" i="23"/>
  <c r="AD75" i="23"/>
  <c r="AB75" i="23"/>
  <c r="W80" i="24"/>
  <c r="AB80" i="24"/>
  <c r="AD80" i="24"/>
  <c r="AB78" i="24"/>
  <c r="AD78" i="24"/>
  <c r="AD79" i="24"/>
  <c r="AB79" i="24"/>
  <c r="U43" i="2"/>
  <c r="C2" i="22"/>
  <c r="J599" i="7" l="1"/>
  <c r="J661" i="7"/>
  <c r="AD10" i="22" l="1"/>
  <c r="AE10" i="22"/>
  <c r="AF10" i="22"/>
  <c r="AG10" i="22"/>
  <c r="AH10" i="22"/>
  <c r="AJ10" i="22"/>
  <c r="AK10" i="22"/>
  <c r="AL10" i="22"/>
  <c r="AM10" i="22"/>
  <c r="AN10" i="22"/>
  <c r="AD11" i="22"/>
  <c r="AE11" i="22"/>
  <c r="AF11" i="22"/>
  <c r="AG11" i="22"/>
  <c r="AH11" i="22"/>
  <c r="AJ11" i="22"/>
  <c r="AK11" i="22"/>
  <c r="AL11" i="22"/>
  <c r="AM11" i="22"/>
  <c r="AN11" i="22"/>
  <c r="AD12" i="22"/>
  <c r="AE12" i="22"/>
  <c r="AF12" i="22"/>
  <c r="AG12" i="22"/>
  <c r="AH12" i="22"/>
  <c r="AJ12" i="22"/>
  <c r="AK12" i="22"/>
  <c r="AL12" i="22"/>
  <c r="AM12" i="22"/>
  <c r="AN12" i="22"/>
  <c r="AD13" i="22"/>
  <c r="AE13" i="22"/>
  <c r="AF13" i="22"/>
  <c r="AG13" i="22"/>
  <c r="AH13" i="22"/>
  <c r="AJ13" i="22"/>
  <c r="AK13" i="22"/>
  <c r="AL13" i="22"/>
  <c r="AM13" i="22"/>
  <c r="AN13" i="22"/>
  <c r="AD14" i="22"/>
  <c r="AE14" i="22"/>
  <c r="AF14" i="22"/>
  <c r="AG14" i="22"/>
  <c r="AH14" i="22"/>
  <c r="AJ14" i="22"/>
  <c r="AK14" i="22"/>
  <c r="AL14" i="22"/>
  <c r="AM14" i="22"/>
  <c r="AN14" i="22"/>
  <c r="AD15" i="22"/>
  <c r="AE15" i="22"/>
  <c r="AF15" i="22"/>
  <c r="AG15" i="22"/>
  <c r="AH15" i="22"/>
  <c r="AJ15" i="22"/>
  <c r="AK15" i="22"/>
  <c r="AL15" i="22"/>
  <c r="AM15" i="22"/>
  <c r="AN15" i="22"/>
  <c r="AD16" i="22"/>
  <c r="AE16" i="22"/>
  <c r="AF16" i="22"/>
  <c r="AG16" i="22"/>
  <c r="AH16" i="22"/>
  <c r="AJ16" i="22"/>
  <c r="AK16" i="22"/>
  <c r="AL16" i="22"/>
  <c r="AM16" i="22"/>
  <c r="AN16" i="22"/>
  <c r="AD17" i="22"/>
  <c r="AE17" i="22"/>
  <c r="AF17" i="22"/>
  <c r="AG17" i="22"/>
  <c r="AH17" i="22"/>
  <c r="AJ17" i="22"/>
  <c r="AK17" i="22"/>
  <c r="AL17" i="22"/>
  <c r="AM17" i="22"/>
  <c r="AN17" i="22"/>
  <c r="AD23" i="22"/>
  <c r="AE23" i="22"/>
  <c r="AF23" i="22"/>
  <c r="AD24" i="22"/>
  <c r="AE24" i="22"/>
  <c r="AF24" i="22"/>
  <c r="AD25" i="22"/>
  <c r="AE25" i="22"/>
  <c r="AF25" i="22"/>
  <c r="AD26" i="22"/>
  <c r="AE26" i="22"/>
  <c r="AF26" i="22"/>
  <c r="AD27" i="22"/>
  <c r="AE27" i="22"/>
  <c r="AF27" i="22"/>
  <c r="AD28" i="22"/>
  <c r="AE28" i="22"/>
  <c r="AF28" i="22"/>
  <c r="AD29" i="22"/>
  <c r="AE29" i="22"/>
  <c r="AF29" i="22"/>
  <c r="AD30" i="22"/>
  <c r="AE30" i="22"/>
  <c r="AF30" i="22"/>
  <c r="E552" i="7"/>
  <c r="D552" i="7"/>
  <c r="C552" i="7"/>
  <c r="E551" i="7"/>
  <c r="D551" i="7"/>
  <c r="C551" i="7"/>
  <c r="E549" i="7"/>
  <c r="D549" i="7"/>
  <c r="C549" i="7"/>
  <c r="E548" i="7"/>
  <c r="D548" i="7"/>
  <c r="C548" i="7"/>
  <c r="E536" i="7"/>
  <c r="D536" i="7"/>
  <c r="C536" i="7"/>
  <c r="E535" i="7"/>
  <c r="D535" i="7"/>
  <c r="C535" i="7"/>
  <c r="E534" i="7"/>
  <c r="D534" i="7"/>
  <c r="C534" i="7"/>
  <c r="E533" i="7"/>
  <c r="D533" i="7"/>
  <c r="C533" i="7"/>
  <c r="E532" i="7"/>
  <c r="D532" i="7"/>
  <c r="C532" i="7"/>
  <c r="E531" i="7"/>
  <c r="D531" i="7"/>
  <c r="C531" i="7"/>
  <c r="E530" i="7"/>
  <c r="K530" i="7" s="1"/>
  <c r="D530" i="7"/>
  <c r="C530" i="7"/>
  <c r="E524" i="7"/>
  <c r="D524" i="7"/>
  <c r="C524" i="7"/>
  <c r="E523" i="7"/>
  <c r="D523" i="7"/>
  <c r="C523" i="7"/>
  <c r="E521" i="7"/>
  <c r="D521" i="7"/>
  <c r="C521" i="7"/>
  <c r="E520" i="7"/>
  <c r="D520" i="7"/>
  <c r="C520" i="7"/>
  <c r="E508" i="7"/>
  <c r="D508" i="7"/>
  <c r="C508" i="7"/>
  <c r="E507" i="7"/>
  <c r="D507" i="7"/>
  <c r="C507" i="7"/>
  <c r="E506" i="7"/>
  <c r="D506" i="7"/>
  <c r="C506" i="7"/>
  <c r="E505" i="7"/>
  <c r="D505" i="7"/>
  <c r="C505" i="7"/>
  <c r="E504" i="7"/>
  <c r="D504" i="7"/>
  <c r="C504" i="7"/>
  <c r="E503" i="7"/>
  <c r="D503" i="7"/>
  <c r="C503" i="7"/>
  <c r="E502" i="7"/>
  <c r="K502" i="7" s="1"/>
  <c r="D502" i="7"/>
  <c r="C502" i="7"/>
  <c r="E468" i="7"/>
  <c r="D468" i="7"/>
  <c r="C468" i="7"/>
  <c r="E467" i="7"/>
  <c r="D467" i="7"/>
  <c r="C467" i="7"/>
  <c r="E463" i="7"/>
  <c r="D463" i="7"/>
  <c r="C463" i="7"/>
  <c r="E462" i="7"/>
  <c r="D462" i="7"/>
  <c r="C462" i="7"/>
  <c r="E452" i="7"/>
  <c r="D452" i="7"/>
  <c r="C452" i="7"/>
  <c r="E451" i="7"/>
  <c r="D451" i="7"/>
  <c r="C451" i="7"/>
  <c r="E450" i="7"/>
  <c r="D450" i="7"/>
  <c r="C450" i="7"/>
  <c r="E449" i="7"/>
  <c r="D449" i="7"/>
  <c r="C449" i="7"/>
  <c r="E448" i="7"/>
  <c r="D448" i="7"/>
  <c r="C448" i="7"/>
  <c r="E447" i="7"/>
  <c r="D447" i="7"/>
  <c r="C447" i="7"/>
  <c r="E446" i="7"/>
  <c r="D446" i="7"/>
  <c r="C446" i="7"/>
  <c r="C384" i="7"/>
  <c r="C383" i="7"/>
  <c r="C364" i="7"/>
  <c r="C363" i="7"/>
  <c r="C362" i="7"/>
  <c r="P328" i="7"/>
  <c r="O328" i="7"/>
  <c r="N328" i="7"/>
  <c r="P323" i="7"/>
  <c r="O323" i="7"/>
  <c r="N323" i="7"/>
  <c r="E328" i="7"/>
  <c r="C328" i="7"/>
  <c r="C323" i="7"/>
  <c r="N300" i="7"/>
  <c r="N295" i="7"/>
  <c r="C300" i="7"/>
  <c r="C295" i="7"/>
  <c r="F96" i="7"/>
  <c r="F448" i="7" l="1"/>
  <c r="I448" i="7" s="1"/>
  <c r="F452" i="7"/>
  <c r="I452" i="7" s="1"/>
  <c r="F468" i="7"/>
  <c r="F523" i="7"/>
  <c r="H523" i="7" s="1"/>
  <c r="F521" i="7"/>
  <c r="H521" i="7" s="1"/>
  <c r="F463" i="7"/>
  <c r="H463" i="7" s="1"/>
  <c r="F446" i="7"/>
  <c r="I446" i="7" s="1"/>
  <c r="F450" i="7"/>
  <c r="H450" i="7" s="1"/>
  <c r="J450" i="7" s="1"/>
  <c r="G494" i="17" s="1"/>
  <c r="F524" i="7"/>
  <c r="F520" i="7"/>
  <c r="H520" i="7" s="1"/>
  <c r="H448" i="7"/>
  <c r="J448" i="7" s="1"/>
  <c r="G492" i="17" s="1"/>
  <c r="H452" i="7"/>
  <c r="J452" i="7" s="1"/>
  <c r="G496" i="17" s="1"/>
  <c r="H468" i="7"/>
  <c r="F449" i="7"/>
  <c r="F462" i="7"/>
  <c r="H462" i="7" s="1"/>
  <c r="I468" i="7"/>
  <c r="J468" i="7"/>
  <c r="G512" i="17" s="1"/>
  <c r="F447" i="7"/>
  <c r="F451" i="7"/>
  <c r="I451" i="7" s="1"/>
  <c r="F467" i="7"/>
  <c r="Q166" i="7"/>
  <c r="Q155" i="7"/>
  <c r="Q180" i="7"/>
  <c r="S180" i="7" s="1"/>
  <c r="T180" i="7" s="1"/>
  <c r="U180" i="7" s="1"/>
  <c r="N224" i="17" s="1"/>
  <c r="Q323" i="7"/>
  <c r="T323" i="7" s="1"/>
  <c r="Q150" i="7"/>
  <c r="S150" i="7" s="1"/>
  <c r="T150" i="7" s="1"/>
  <c r="U150" i="7" s="1"/>
  <c r="Q183" i="7"/>
  <c r="Q156" i="7"/>
  <c r="Q165" i="7"/>
  <c r="Q181" i="7"/>
  <c r="S181" i="7" s="1"/>
  <c r="T181" i="7" s="1"/>
  <c r="U181" i="7" s="1"/>
  <c r="N225" i="17" s="1"/>
  <c r="Q328" i="7"/>
  <c r="Q151" i="7"/>
  <c r="S151" i="7" s="1"/>
  <c r="Q163" i="7"/>
  <c r="Q167" i="7"/>
  <c r="Q184" i="7"/>
  <c r="H96" i="7"/>
  <c r="I96" i="7" s="1"/>
  <c r="J96" i="7" s="1"/>
  <c r="C367" i="7"/>
  <c r="C368" i="7"/>
  <c r="C366" i="7"/>
  <c r="C379" i="7"/>
  <c r="C365" i="7"/>
  <c r="C378" i="7"/>
  <c r="E365" i="7"/>
  <c r="E378" i="7"/>
  <c r="E366" i="7"/>
  <c r="E364" i="7"/>
  <c r="E368" i="7"/>
  <c r="E384" i="7"/>
  <c r="E379" i="7"/>
  <c r="E363" i="7"/>
  <c r="E367" i="7"/>
  <c r="E383" i="7"/>
  <c r="E362" i="7"/>
  <c r="D378" i="7"/>
  <c r="D364" i="7"/>
  <c r="D368" i="7"/>
  <c r="D384" i="7"/>
  <c r="D363" i="7"/>
  <c r="D367" i="7"/>
  <c r="D383" i="7"/>
  <c r="D365" i="7"/>
  <c r="D366" i="7"/>
  <c r="D379" i="7"/>
  <c r="D362" i="7"/>
  <c r="Q162" i="7"/>
  <c r="Q164" i="7"/>
  <c r="Q168" i="7"/>
  <c r="D328" i="7"/>
  <c r="D325" i="7"/>
  <c r="D323" i="7"/>
  <c r="E323" i="7"/>
  <c r="E325" i="7"/>
  <c r="F88" i="7"/>
  <c r="F94" i="7"/>
  <c r="L75" i="17"/>
  <c r="M75" i="17"/>
  <c r="F622" i="7"/>
  <c r="F621" i="7"/>
  <c r="F620" i="7"/>
  <c r="F618" i="7"/>
  <c r="F617" i="7"/>
  <c r="F508" i="7"/>
  <c r="F507" i="7"/>
  <c r="F506" i="7"/>
  <c r="F505" i="7"/>
  <c r="F504" i="7"/>
  <c r="F503" i="7"/>
  <c r="F502" i="7"/>
  <c r="T113" i="6"/>
  <c r="T112" i="6"/>
  <c r="T111" i="6"/>
  <c r="T110" i="6"/>
  <c r="T109" i="6"/>
  <c r="T108" i="6"/>
  <c r="T107" i="6"/>
  <c r="T106" i="6"/>
  <c r="T105" i="6"/>
  <c r="T104" i="6"/>
  <c r="T103" i="6"/>
  <c r="T102" i="6"/>
  <c r="T101" i="6"/>
  <c r="T100" i="6"/>
  <c r="T99" i="6"/>
  <c r="T98" i="6"/>
  <c r="T97" i="6"/>
  <c r="T96" i="6"/>
  <c r="T95" i="6"/>
  <c r="T94" i="6"/>
  <c r="T93" i="6"/>
  <c r="T92" i="6"/>
  <c r="T91" i="6"/>
  <c r="T90" i="6"/>
  <c r="T89" i="6"/>
  <c r="T88" i="6"/>
  <c r="T87" i="6"/>
  <c r="T86" i="6"/>
  <c r="T85" i="6"/>
  <c r="T84" i="6"/>
  <c r="T83" i="6"/>
  <c r="T82" i="6"/>
  <c r="T81" i="6"/>
  <c r="T80" i="6"/>
  <c r="T79" i="6"/>
  <c r="T78" i="6"/>
  <c r="T77" i="6"/>
  <c r="T76" i="6"/>
  <c r="T75" i="6"/>
  <c r="T74" i="6"/>
  <c r="T73" i="6"/>
  <c r="T72" i="6"/>
  <c r="T71" i="6"/>
  <c r="T70" i="6"/>
  <c r="T69" i="6"/>
  <c r="T68" i="6"/>
  <c r="T67" i="6"/>
  <c r="T66" i="6"/>
  <c r="T65" i="6"/>
  <c r="T64" i="6"/>
  <c r="T63" i="6"/>
  <c r="T62" i="6"/>
  <c r="T61" i="6"/>
  <c r="T60" i="6"/>
  <c r="T59" i="6"/>
  <c r="T58" i="6"/>
  <c r="T57" i="6"/>
  <c r="T56" i="6"/>
  <c r="T55" i="6"/>
  <c r="T54" i="6"/>
  <c r="T53" i="6"/>
  <c r="T52" i="6"/>
  <c r="T51" i="6"/>
  <c r="T50" i="6"/>
  <c r="T49" i="6"/>
  <c r="T48" i="6"/>
  <c r="T47" i="6"/>
  <c r="T46" i="6"/>
  <c r="T45" i="6"/>
  <c r="T44" i="6"/>
  <c r="T43" i="6"/>
  <c r="T42" i="6"/>
  <c r="T41" i="6"/>
  <c r="T40" i="6"/>
  <c r="T39" i="6"/>
  <c r="T38" i="6"/>
  <c r="T37" i="6"/>
  <c r="T36" i="6"/>
  <c r="T35" i="6"/>
  <c r="T34" i="6"/>
  <c r="T33" i="6"/>
  <c r="T32" i="6"/>
  <c r="T31" i="6"/>
  <c r="T30" i="6"/>
  <c r="T29" i="6"/>
  <c r="T28" i="6"/>
  <c r="T27" i="6"/>
  <c r="T26" i="6"/>
  <c r="T25" i="6"/>
  <c r="T24" i="6"/>
  <c r="T23" i="6"/>
  <c r="T22" i="6"/>
  <c r="T21" i="6"/>
  <c r="T20" i="6"/>
  <c r="T19" i="6"/>
  <c r="T18" i="6"/>
  <c r="T17" i="6"/>
  <c r="T16" i="6"/>
  <c r="T15" i="6"/>
  <c r="T14" i="6"/>
  <c r="T13" i="6"/>
  <c r="T12" i="6"/>
  <c r="T11" i="6"/>
  <c r="T10" i="6"/>
  <c r="T9" i="6"/>
  <c r="T8" i="6"/>
  <c r="T7" i="6"/>
  <c r="T6" i="6"/>
  <c r="T5" i="6"/>
  <c r="T4" i="6"/>
  <c r="K362" i="7" l="1"/>
  <c r="I463" i="7"/>
  <c r="I521" i="7"/>
  <c r="J521" i="7" s="1"/>
  <c r="G563" i="17" s="1"/>
  <c r="J463" i="7"/>
  <c r="G507" i="17" s="1"/>
  <c r="H446" i="7"/>
  <c r="J446" i="7"/>
  <c r="G490" i="17" s="1"/>
  <c r="I523" i="7"/>
  <c r="J523" i="7" s="1"/>
  <c r="G565" i="17" s="1"/>
  <c r="I450" i="7"/>
  <c r="I520" i="7"/>
  <c r="J520" i="7" s="1"/>
  <c r="G562" i="17" s="1"/>
  <c r="I524" i="7"/>
  <c r="H524" i="7"/>
  <c r="J524" i="7" s="1"/>
  <c r="G566" i="17" s="1"/>
  <c r="I462" i="7"/>
  <c r="J462" i="7"/>
  <c r="G506" i="17" s="1"/>
  <c r="I447" i="7"/>
  <c r="J447" i="7"/>
  <c r="G491" i="17" s="1"/>
  <c r="H451" i="7"/>
  <c r="J451" i="7" s="1"/>
  <c r="G495" i="17" s="1"/>
  <c r="H467" i="7"/>
  <c r="I467" i="7"/>
  <c r="J467" i="7"/>
  <c r="G511" i="17" s="1"/>
  <c r="H449" i="7"/>
  <c r="I449" i="7"/>
  <c r="J449" i="7"/>
  <c r="G493" i="17" s="1"/>
  <c r="H447" i="7"/>
  <c r="S323" i="7"/>
  <c r="U323" i="7" s="1"/>
  <c r="N367" i="17" s="1"/>
  <c r="F364" i="7"/>
  <c r="F362" i="7"/>
  <c r="F639" i="7"/>
  <c r="J639" i="7" s="1"/>
  <c r="F638" i="7"/>
  <c r="I638" i="7" s="1"/>
  <c r="F384" i="7"/>
  <c r="F366" i="7"/>
  <c r="F636" i="7"/>
  <c r="I636" i="7" s="1"/>
  <c r="F623" i="7"/>
  <c r="H623" i="7" s="1"/>
  <c r="F365" i="7"/>
  <c r="F367" i="7"/>
  <c r="F379" i="7"/>
  <c r="F383" i="7"/>
  <c r="F363" i="7"/>
  <c r="T151" i="7"/>
  <c r="U151" i="7" s="1"/>
  <c r="H94" i="7"/>
  <c r="I94" i="7" s="1"/>
  <c r="F368" i="7"/>
  <c r="F378" i="7"/>
  <c r="I617" i="7"/>
  <c r="I621" i="7"/>
  <c r="F323" i="7"/>
  <c r="H323" i="7" s="1"/>
  <c r="F93" i="7"/>
  <c r="F97" i="7"/>
  <c r="H88" i="7"/>
  <c r="I88" i="7" s="1"/>
  <c r="H622" i="7"/>
  <c r="I622" i="7"/>
  <c r="H621" i="7"/>
  <c r="H620" i="7"/>
  <c r="I620" i="7"/>
  <c r="I618" i="7"/>
  <c r="H618" i="7"/>
  <c r="K618" i="7" s="1"/>
  <c r="H617" i="7"/>
  <c r="H508" i="7"/>
  <c r="I508" i="7"/>
  <c r="I507" i="7"/>
  <c r="H507" i="7"/>
  <c r="H506" i="7"/>
  <c r="I506" i="7"/>
  <c r="I505" i="7"/>
  <c r="H505" i="7"/>
  <c r="H504" i="7"/>
  <c r="I504" i="7"/>
  <c r="I503" i="7"/>
  <c r="H503" i="7"/>
  <c r="K503" i="7" s="1"/>
  <c r="H502" i="7"/>
  <c r="I502" i="7"/>
  <c r="H639" i="7" l="1"/>
  <c r="I639" i="7"/>
  <c r="J617" i="7"/>
  <c r="H638" i="7"/>
  <c r="J638" i="7" s="1"/>
  <c r="H636" i="7"/>
  <c r="J636" i="7" s="1"/>
  <c r="I623" i="7"/>
  <c r="J623" i="7" s="1"/>
  <c r="J620" i="7"/>
  <c r="J618" i="7"/>
  <c r="J621" i="7"/>
  <c r="J502" i="7"/>
  <c r="G544" i="17" s="1"/>
  <c r="J504" i="7"/>
  <c r="J506" i="7"/>
  <c r="G548" i="17" s="1"/>
  <c r="J508" i="7"/>
  <c r="J94" i="7"/>
  <c r="J503" i="7"/>
  <c r="G545" i="17" s="1"/>
  <c r="J505" i="7"/>
  <c r="G547" i="17" s="1"/>
  <c r="J507" i="7"/>
  <c r="G549" i="17" s="1"/>
  <c r="J622" i="7"/>
  <c r="J88" i="7"/>
  <c r="H97" i="7"/>
  <c r="I97" i="7" s="1"/>
  <c r="J97" i="7" s="1"/>
  <c r="H93" i="7"/>
  <c r="I93" i="7" s="1"/>
  <c r="I323" i="7"/>
  <c r="J323" i="7" s="1"/>
  <c r="G367" i="17" s="1"/>
  <c r="F91" i="7"/>
  <c r="E89" i="7"/>
  <c r="D89" i="7"/>
  <c r="P565" i="14" l="1"/>
  <c r="D607" i="7"/>
  <c r="Q565" i="14"/>
  <c r="E607" i="7"/>
  <c r="O549" i="14"/>
  <c r="C591" i="7"/>
  <c r="D630" i="17"/>
  <c r="D630" i="31" s="1"/>
  <c r="C607" i="7"/>
  <c r="O565" i="14"/>
  <c r="D646" i="17"/>
  <c r="D646" i="31" s="1"/>
  <c r="G550" i="17"/>
  <c r="G546" i="17"/>
  <c r="H91" i="7"/>
  <c r="I91" i="7" s="1"/>
  <c r="J93" i="7"/>
  <c r="K88" i="7"/>
  <c r="G74" i="17"/>
  <c r="F89" i="7"/>
  <c r="DE21" i="3"/>
  <c r="DE164" i="3"/>
  <c r="DH164" i="3" s="1"/>
  <c r="DI164" i="3" s="1"/>
  <c r="DJ164" i="3" s="1"/>
  <c r="DE9" i="3"/>
  <c r="DH9" i="3" s="1"/>
  <c r="DI9" i="3" s="1"/>
  <c r="DJ9" i="3" s="1"/>
  <c r="DE8" i="3"/>
  <c r="O563" i="14" l="1"/>
  <c r="C605" i="7"/>
  <c r="D644" i="17"/>
  <c r="D644" i="31" s="1"/>
  <c r="H89" i="7"/>
  <c r="I89" i="7" s="1"/>
  <c r="J91" i="7"/>
  <c r="DH8" i="3"/>
  <c r="DI8" i="3" s="1"/>
  <c r="DJ8" i="3" s="1"/>
  <c r="DE15" i="3"/>
  <c r="DE13" i="3"/>
  <c r="J89" i="7" l="1"/>
  <c r="E731" i="7"/>
  <c r="D731" i="7"/>
  <c r="C731" i="7"/>
  <c r="K89" i="7" l="1"/>
  <c r="G75" i="17"/>
  <c r="J277" i="7"/>
  <c r="U277" i="7" s="1"/>
  <c r="J20" i="7"/>
  <c r="G83" i="17" l="1"/>
  <c r="G51" i="17"/>
  <c r="G79" i="17"/>
  <c r="F56" i="7"/>
  <c r="K97" i="7"/>
  <c r="U133" i="7"/>
  <c r="G105" i="17" l="1"/>
  <c r="K94" i="7"/>
  <c r="G80" i="17"/>
  <c r="G77" i="17"/>
  <c r="K96" i="7"/>
  <c r="G82" i="17"/>
  <c r="G78" i="17"/>
  <c r="K93" i="7"/>
  <c r="H56" i="7"/>
  <c r="I56" i="7" s="1"/>
  <c r="K119" i="7"/>
  <c r="K92" i="7"/>
  <c r="K91" i="7"/>
  <c r="K65" i="7"/>
  <c r="F64" i="7"/>
  <c r="F61" i="7"/>
  <c r="F57" i="7"/>
  <c r="F66" i="7"/>
  <c r="F51" i="7"/>
  <c r="F53" i="7"/>
  <c r="F48" i="7"/>
  <c r="F52" i="7"/>
  <c r="F50" i="7"/>
  <c r="F54" i="7"/>
  <c r="F69" i="7"/>
  <c r="F70" i="7"/>
  <c r="F49" i="7"/>
  <c r="CK51" i="3"/>
  <c r="CL51" i="3"/>
  <c r="CM51" i="3"/>
  <c r="CN51" i="3"/>
  <c r="CO51" i="3"/>
  <c r="CP51" i="3"/>
  <c r="CQ51" i="3"/>
  <c r="CR51" i="3"/>
  <c r="CK52" i="3"/>
  <c r="CL52" i="3"/>
  <c r="CM52" i="3"/>
  <c r="CN52" i="3"/>
  <c r="CP52" i="3"/>
  <c r="CQ52" i="3"/>
  <c r="CR52" i="3"/>
  <c r="CK53" i="3"/>
  <c r="CL53" i="3"/>
  <c r="CM53" i="3"/>
  <c r="CN53" i="3"/>
  <c r="CP53" i="3"/>
  <c r="CQ53" i="3"/>
  <c r="CR53" i="3"/>
  <c r="CK54" i="3"/>
  <c r="CL54" i="3"/>
  <c r="CM54" i="3"/>
  <c r="CN54" i="3"/>
  <c r="CP54" i="3"/>
  <c r="CQ54" i="3"/>
  <c r="CR54" i="3"/>
  <c r="CK55" i="3"/>
  <c r="CL55" i="3"/>
  <c r="CM55" i="3"/>
  <c r="CN55" i="3"/>
  <c r="CP55" i="3"/>
  <c r="CQ55" i="3"/>
  <c r="CR55" i="3"/>
  <c r="CK56" i="3"/>
  <c r="CL56" i="3"/>
  <c r="CM56" i="3"/>
  <c r="CN56" i="3"/>
  <c r="CP56" i="3"/>
  <c r="CQ56" i="3"/>
  <c r="CR56" i="3"/>
  <c r="CK57" i="3"/>
  <c r="CL57" i="3"/>
  <c r="CM57" i="3"/>
  <c r="CN57" i="3"/>
  <c r="CP57" i="3"/>
  <c r="CQ57" i="3"/>
  <c r="CR57" i="3"/>
  <c r="CK58" i="3"/>
  <c r="CL58" i="3"/>
  <c r="CM58" i="3"/>
  <c r="CN58" i="3"/>
  <c r="CP58" i="3"/>
  <c r="CQ58" i="3"/>
  <c r="CR58" i="3"/>
  <c r="CK59" i="3"/>
  <c r="CL59" i="3"/>
  <c r="CM59" i="3"/>
  <c r="CN59" i="3"/>
  <c r="CP59" i="3"/>
  <c r="CQ59" i="3"/>
  <c r="CR59" i="3"/>
  <c r="CK60" i="3"/>
  <c r="CL60" i="3"/>
  <c r="CM60" i="3"/>
  <c r="CN60" i="3"/>
  <c r="CP60" i="3"/>
  <c r="CQ60" i="3"/>
  <c r="CR60" i="3"/>
  <c r="CK61" i="3"/>
  <c r="CL61" i="3"/>
  <c r="CM61" i="3"/>
  <c r="CN61" i="3"/>
  <c r="CP61" i="3"/>
  <c r="CQ61" i="3"/>
  <c r="CR61" i="3"/>
  <c r="CK62" i="3"/>
  <c r="CL62" i="3"/>
  <c r="CM62" i="3"/>
  <c r="CN62" i="3"/>
  <c r="CP62" i="3"/>
  <c r="CQ62" i="3"/>
  <c r="CR62" i="3"/>
  <c r="CK63" i="3"/>
  <c r="CL63" i="3"/>
  <c r="CM63" i="3"/>
  <c r="CN63" i="3"/>
  <c r="CP63" i="3"/>
  <c r="CQ63" i="3"/>
  <c r="CR63" i="3"/>
  <c r="CK64" i="3"/>
  <c r="CL64" i="3"/>
  <c r="CM64" i="3"/>
  <c r="CN64" i="3"/>
  <c r="CP64" i="3"/>
  <c r="CQ64" i="3"/>
  <c r="CR64" i="3"/>
  <c r="CK65" i="3"/>
  <c r="CL65" i="3"/>
  <c r="CM65" i="3"/>
  <c r="CN65" i="3"/>
  <c r="CP65" i="3"/>
  <c r="CQ65" i="3"/>
  <c r="CR65" i="3"/>
  <c r="CK66" i="3"/>
  <c r="CL66" i="3"/>
  <c r="CM66" i="3"/>
  <c r="CN66" i="3"/>
  <c r="CP66" i="3"/>
  <c r="CQ66" i="3"/>
  <c r="CR66" i="3"/>
  <c r="CK67" i="3"/>
  <c r="CL67" i="3"/>
  <c r="CM67" i="3"/>
  <c r="CN67" i="3"/>
  <c r="CP67" i="3"/>
  <c r="CQ67" i="3"/>
  <c r="CR67" i="3"/>
  <c r="CK68" i="3"/>
  <c r="CL68" i="3"/>
  <c r="CM68" i="3"/>
  <c r="CN68" i="3"/>
  <c r="CP68" i="3"/>
  <c r="CQ68" i="3"/>
  <c r="CR68" i="3"/>
  <c r="CK69" i="3"/>
  <c r="CL69" i="3"/>
  <c r="CM69" i="3"/>
  <c r="CN69" i="3"/>
  <c r="CP69" i="3"/>
  <c r="CQ69" i="3"/>
  <c r="CR69" i="3"/>
  <c r="CK70" i="3"/>
  <c r="CL70" i="3"/>
  <c r="CM70" i="3"/>
  <c r="CN70" i="3"/>
  <c r="CP70" i="3"/>
  <c r="CQ70" i="3"/>
  <c r="CR70" i="3"/>
  <c r="CK71" i="3"/>
  <c r="CL71" i="3"/>
  <c r="CM71" i="3"/>
  <c r="CN71" i="3"/>
  <c r="CP71" i="3"/>
  <c r="CQ71" i="3"/>
  <c r="CR71" i="3"/>
  <c r="CK72" i="3"/>
  <c r="CL72" i="3"/>
  <c r="CM72" i="3"/>
  <c r="CN72" i="3"/>
  <c r="CP72" i="3"/>
  <c r="CQ72" i="3"/>
  <c r="CR72" i="3"/>
  <c r="CK73" i="3"/>
  <c r="CL73" i="3"/>
  <c r="CM73" i="3"/>
  <c r="CN73" i="3"/>
  <c r="CP73" i="3"/>
  <c r="CQ73" i="3"/>
  <c r="CR73" i="3"/>
  <c r="CK74" i="3"/>
  <c r="CL74" i="3"/>
  <c r="CM74" i="3"/>
  <c r="CN74" i="3"/>
  <c r="CP74" i="3"/>
  <c r="CQ74" i="3"/>
  <c r="CR74" i="3"/>
  <c r="CK75" i="3"/>
  <c r="CL75" i="3"/>
  <c r="CM75" i="3"/>
  <c r="CN75" i="3"/>
  <c r="CP75" i="3"/>
  <c r="CQ75" i="3"/>
  <c r="CR75" i="3"/>
  <c r="CK76" i="3"/>
  <c r="CL76" i="3"/>
  <c r="CM76" i="3"/>
  <c r="CN76" i="3"/>
  <c r="CP76" i="3"/>
  <c r="CQ76" i="3"/>
  <c r="CR76" i="3"/>
  <c r="CK77" i="3"/>
  <c r="CL77" i="3"/>
  <c r="CM77" i="3"/>
  <c r="CN77" i="3"/>
  <c r="CP77" i="3"/>
  <c r="CQ77" i="3"/>
  <c r="CR77" i="3"/>
  <c r="CK78" i="3"/>
  <c r="CL78" i="3"/>
  <c r="CM78" i="3"/>
  <c r="CN78" i="3"/>
  <c r="CP78" i="3"/>
  <c r="CQ78" i="3"/>
  <c r="CR78" i="3"/>
  <c r="CK79" i="3"/>
  <c r="CL79" i="3"/>
  <c r="CM79" i="3"/>
  <c r="CN79" i="3"/>
  <c r="CP79" i="3"/>
  <c r="CQ79" i="3"/>
  <c r="CR79" i="3"/>
  <c r="CK80" i="3"/>
  <c r="CL80" i="3"/>
  <c r="CM80" i="3"/>
  <c r="CN80" i="3"/>
  <c r="CP80" i="3"/>
  <c r="CQ80" i="3"/>
  <c r="CR80" i="3"/>
  <c r="CK81" i="3"/>
  <c r="CL81" i="3"/>
  <c r="CM81" i="3"/>
  <c r="CN81" i="3"/>
  <c r="CP81" i="3"/>
  <c r="CQ81" i="3"/>
  <c r="CR81" i="3"/>
  <c r="CK82" i="3"/>
  <c r="CL82" i="3"/>
  <c r="CM82" i="3"/>
  <c r="CN82" i="3"/>
  <c r="CP82" i="3"/>
  <c r="CQ82" i="3"/>
  <c r="CR82" i="3"/>
  <c r="CK83" i="3"/>
  <c r="CL83" i="3"/>
  <c r="CM83" i="3"/>
  <c r="CN83" i="3"/>
  <c r="CP83" i="3"/>
  <c r="CQ83" i="3"/>
  <c r="CR83" i="3"/>
  <c r="CK84" i="3"/>
  <c r="CL84" i="3"/>
  <c r="CM84" i="3"/>
  <c r="CN84" i="3"/>
  <c r="CP84" i="3"/>
  <c r="CQ84" i="3"/>
  <c r="CR84" i="3"/>
  <c r="CK85" i="3"/>
  <c r="CL85" i="3"/>
  <c r="CM85" i="3"/>
  <c r="CN85" i="3"/>
  <c r="CP85" i="3"/>
  <c r="CQ85" i="3"/>
  <c r="CR85" i="3"/>
  <c r="CK86" i="3"/>
  <c r="CL86" i="3"/>
  <c r="CM86" i="3"/>
  <c r="CN86" i="3"/>
  <c r="CP86" i="3"/>
  <c r="CQ86" i="3"/>
  <c r="CR86" i="3"/>
  <c r="CK87" i="3"/>
  <c r="CL87" i="3"/>
  <c r="CM87" i="3"/>
  <c r="CN87" i="3"/>
  <c r="CP87" i="3"/>
  <c r="CQ87" i="3"/>
  <c r="CR87" i="3"/>
  <c r="CK88" i="3"/>
  <c r="CL88" i="3"/>
  <c r="CM88" i="3"/>
  <c r="CN88" i="3"/>
  <c r="CP88" i="3"/>
  <c r="CQ88" i="3"/>
  <c r="CR88" i="3"/>
  <c r="CK89" i="3"/>
  <c r="CL89" i="3"/>
  <c r="CM89" i="3"/>
  <c r="CN89" i="3"/>
  <c r="CP89" i="3"/>
  <c r="CQ89" i="3"/>
  <c r="CR89" i="3"/>
  <c r="CK90" i="3"/>
  <c r="CL90" i="3"/>
  <c r="CM90" i="3"/>
  <c r="CN90" i="3"/>
  <c r="CP90" i="3"/>
  <c r="CQ90" i="3"/>
  <c r="CR90" i="3"/>
  <c r="CK91" i="3"/>
  <c r="CL91" i="3"/>
  <c r="CM91" i="3"/>
  <c r="CN91" i="3"/>
  <c r="CP91" i="3"/>
  <c r="CQ91" i="3"/>
  <c r="CR91" i="3"/>
  <c r="CK92" i="3"/>
  <c r="CL92" i="3"/>
  <c r="CM92" i="3"/>
  <c r="CN92" i="3"/>
  <c r="CP92" i="3"/>
  <c r="CQ92" i="3"/>
  <c r="CR92" i="3"/>
  <c r="CK93" i="3"/>
  <c r="CL93" i="3"/>
  <c r="CM93" i="3"/>
  <c r="CN93" i="3"/>
  <c r="CP93" i="3"/>
  <c r="CQ93" i="3"/>
  <c r="CR93" i="3"/>
  <c r="CK94" i="3"/>
  <c r="CL94" i="3"/>
  <c r="CM94" i="3"/>
  <c r="CN94" i="3"/>
  <c r="CP94" i="3"/>
  <c r="CQ94" i="3"/>
  <c r="CR94" i="3"/>
  <c r="CK95" i="3"/>
  <c r="CL95" i="3"/>
  <c r="CM95" i="3"/>
  <c r="CN95" i="3"/>
  <c r="CP95" i="3"/>
  <c r="CQ95" i="3"/>
  <c r="CR95" i="3"/>
  <c r="CK96" i="3"/>
  <c r="CL96" i="3"/>
  <c r="CM96" i="3"/>
  <c r="CN96" i="3"/>
  <c r="CP96" i="3"/>
  <c r="CQ96" i="3"/>
  <c r="CR96" i="3"/>
  <c r="CK97" i="3"/>
  <c r="CL97" i="3"/>
  <c r="CM97" i="3"/>
  <c r="CN97" i="3"/>
  <c r="CP97" i="3"/>
  <c r="CQ97" i="3"/>
  <c r="CR97" i="3"/>
  <c r="CK98" i="3"/>
  <c r="CL98" i="3"/>
  <c r="CM98" i="3"/>
  <c r="CN98" i="3"/>
  <c r="CP98" i="3"/>
  <c r="CQ98" i="3"/>
  <c r="CR98" i="3"/>
  <c r="CK99" i="3"/>
  <c r="CL99" i="3"/>
  <c r="CM99" i="3"/>
  <c r="CN99" i="3"/>
  <c r="CP99" i="3"/>
  <c r="CQ99" i="3"/>
  <c r="CR99" i="3"/>
  <c r="CK100" i="3"/>
  <c r="CL100" i="3"/>
  <c r="CM100" i="3"/>
  <c r="CN100" i="3"/>
  <c r="CP100" i="3"/>
  <c r="CQ100" i="3"/>
  <c r="CR100" i="3"/>
  <c r="CK101" i="3"/>
  <c r="CL101" i="3"/>
  <c r="CM101" i="3"/>
  <c r="CN101" i="3"/>
  <c r="CP101" i="3"/>
  <c r="CQ101" i="3"/>
  <c r="CR101" i="3"/>
  <c r="CK102" i="3"/>
  <c r="CL102" i="3"/>
  <c r="CM102" i="3"/>
  <c r="CN102" i="3"/>
  <c r="CP102" i="3"/>
  <c r="CQ102" i="3"/>
  <c r="CR102" i="3"/>
  <c r="CK103" i="3"/>
  <c r="CL103" i="3"/>
  <c r="CM103" i="3"/>
  <c r="CN103" i="3"/>
  <c r="CP103" i="3"/>
  <c r="CQ103" i="3"/>
  <c r="CR103" i="3"/>
  <c r="CK104" i="3"/>
  <c r="CL104" i="3"/>
  <c r="CM104" i="3"/>
  <c r="CN104" i="3"/>
  <c r="CP104" i="3"/>
  <c r="CQ104" i="3"/>
  <c r="CR104" i="3"/>
  <c r="CK105" i="3"/>
  <c r="CL105" i="3"/>
  <c r="CM105" i="3"/>
  <c r="CN105" i="3"/>
  <c r="CP105" i="3"/>
  <c r="CQ105" i="3"/>
  <c r="CR105" i="3"/>
  <c r="CK106" i="3"/>
  <c r="CL106" i="3"/>
  <c r="CM106" i="3"/>
  <c r="CN106" i="3"/>
  <c r="CP106" i="3"/>
  <c r="CQ106" i="3"/>
  <c r="CR106" i="3"/>
  <c r="CK107" i="3"/>
  <c r="CL107" i="3"/>
  <c r="CM107" i="3"/>
  <c r="CN107" i="3"/>
  <c r="CP107" i="3"/>
  <c r="CQ107" i="3"/>
  <c r="CR107" i="3"/>
  <c r="CK108" i="3"/>
  <c r="CL108" i="3"/>
  <c r="CM108" i="3"/>
  <c r="CN108" i="3"/>
  <c r="CP108" i="3"/>
  <c r="CQ108" i="3"/>
  <c r="CR108" i="3"/>
  <c r="CK109" i="3"/>
  <c r="CL109" i="3"/>
  <c r="CM109" i="3"/>
  <c r="CN109" i="3"/>
  <c r="CP109" i="3"/>
  <c r="CQ109" i="3"/>
  <c r="CR109" i="3"/>
  <c r="CK110" i="3"/>
  <c r="CL110" i="3"/>
  <c r="CM110" i="3"/>
  <c r="CN110" i="3"/>
  <c r="CP110" i="3"/>
  <c r="CQ110" i="3"/>
  <c r="CR110" i="3"/>
  <c r="CK111" i="3"/>
  <c r="CL111" i="3"/>
  <c r="CM111" i="3"/>
  <c r="CN111" i="3"/>
  <c r="CP111" i="3"/>
  <c r="CQ111" i="3"/>
  <c r="CR111" i="3"/>
  <c r="CK112" i="3"/>
  <c r="CL112" i="3"/>
  <c r="CM112" i="3"/>
  <c r="CN112" i="3"/>
  <c r="CP112" i="3"/>
  <c r="CQ112" i="3"/>
  <c r="CR112" i="3"/>
  <c r="CK113" i="3"/>
  <c r="CL113" i="3"/>
  <c r="CM113" i="3"/>
  <c r="CN113" i="3"/>
  <c r="CP113" i="3"/>
  <c r="CQ113" i="3"/>
  <c r="CR113" i="3"/>
  <c r="CK114" i="3"/>
  <c r="CL114" i="3"/>
  <c r="CM114" i="3"/>
  <c r="CN114" i="3"/>
  <c r="CP114" i="3"/>
  <c r="CQ114" i="3"/>
  <c r="CR114" i="3"/>
  <c r="CK115" i="3"/>
  <c r="CL115" i="3"/>
  <c r="CM115" i="3"/>
  <c r="CN115" i="3"/>
  <c r="CP115" i="3"/>
  <c r="CQ115" i="3"/>
  <c r="CR115" i="3"/>
  <c r="CK116" i="3"/>
  <c r="CL116" i="3"/>
  <c r="CM116" i="3"/>
  <c r="CN116" i="3"/>
  <c r="CP116" i="3"/>
  <c r="CQ116" i="3"/>
  <c r="CR116" i="3"/>
  <c r="CK117" i="3"/>
  <c r="CL117" i="3"/>
  <c r="CM117" i="3"/>
  <c r="CN117" i="3"/>
  <c r="CP117" i="3"/>
  <c r="CQ117" i="3"/>
  <c r="CR117" i="3"/>
  <c r="CK118" i="3"/>
  <c r="CL118" i="3"/>
  <c r="CM118" i="3"/>
  <c r="CN118" i="3"/>
  <c r="CP118" i="3"/>
  <c r="CQ118" i="3"/>
  <c r="CR118" i="3"/>
  <c r="CK119" i="3"/>
  <c r="CL119" i="3"/>
  <c r="CM119" i="3"/>
  <c r="CN119" i="3"/>
  <c r="CP119" i="3"/>
  <c r="CQ119" i="3"/>
  <c r="CR119" i="3"/>
  <c r="CK120" i="3"/>
  <c r="CL120" i="3"/>
  <c r="CM120" i="3"/>
  <c r="CN120" i="3"/>
  <c r="CP120" i="3"/>
  <c r="CQ120" i="3"/>
  <c r="CR120" i="3"/>
  <c r="CK121" i="3"/>
  <c r="CL121" i="3"/>
  <c r="CM121" i="3"/>
  <c r="CN121" i="3"/>
  <c r="CP121" i="3"/>
  <c r="CQ121" i="3"/>
  <c r="CR121" i="3"/>
  <c r="CK122" i="3"/>
  <c r="CL122" i="3"/>
  <c r="CM122" i="3"/>
  <c r="CN122" i="3"/>
  <c r="CP122" i="3"/>
  <c r="CQ122" i="3"/>
  <c r="CR122" i="3"/>
  <c r="CK123" i="3"/>
  <c r="CL123" i="3"/>
  <c r="CM123" i="3"/>
  <c r="CN123" i="3"/>
  <c r="CP123" i="3"/>
  <c r="CQ123" i="3"/>
  <c r="CR123" i="3"/>
  <c r="CK124" i="3"/>
  <c r="CL124" i="3"/>
  <c r="CM124" i="3"/>
  <c r="CN124" i="3"/>
  <c r="CP124" i="3"/>
  <c r="CQ124" i="3"/>
  <c r="CR124" i="3"/>
  <c r="CK125" i="3"/>
  <c r="CL125" i="3"/>
  <c r="CM125" i="3"/>
  <c r="CN125" i="3"/>
  <c r="CP125" i="3"/>
  <c r="CQ125" i="3"/>
  <c r="CR125" i="3"/>
  <c r="CK126" i="3"/>
  <c r="CL126" i="3"/>
  <c r="CM126" i="3"/>
  <c r="CN126" i="3"/>
  <c r="CP126" i="3"/>
  <c r="CQ126" i="3"/>
  <c r="CR126" i="3"/>
  <c r="CK127" i="3"/>
  <c r="CL127" i="3"/>
  <c r="CM127" i="3"/>
  <c r="CN127" i="3"/>
  <c r="CP127" i="3"/>
  <c r="CQ127" i="3"/>
  <c r="CR127" i="3"/>
  <c r="CK128" i="3"/>
  <c r="CL128" i="3"/>
  <c r="CM128" i="3"/>
  <c r="CN128" i="3"/>
  <c r="CP128" i="3"/>
  <c r="CQ128" i="3"/>
  <c r="CR128" i="3"/>
  <c r="CK129" i="3"/>
  <c r="CL129" i="3"/>
  <c r="CM129" i="3"/>
  <c r="CN129" i="3"/>
  <c r="CP129" i="3"/>
  <c r="CQ129" i="3"/>
  <c r="CR129" i="3"/>
  <c r="CK130" i="3"/>
  <c r="CL130" i="3"/>
  <c r="CM130" i="3"/>
  <c r="CN130" i="3"/>
  <c r="CP130" i="3"/>
  <c r="CQ130" i="3"/>
  <c r="CR130" i="3"/>
  <c r="CK131" i="3"/>
  <c r="CL131" i="3"/>
  <c r="CM131" i="3"/>
  <c r="CN131" i="3"/>
  <c r="CP131" i="3"/>
  <c r="CQ131" i="3"/>
  <c r="CR131" i="3"/>
  <c r="CK132" i="3"/>
  <c r="CL132" i="3"/>
  <c r="CM132" i="3"/>
  <c r="CN132" i="3"/>
  <c r="CP132" i="3"/>
  <c r="CQ132" i="3"/>
  <c r="CR132" i="3"/>
  <c r="CK133" i="3"/>
  <c r="CL133" i="3"/>
  <c r="CM133" i="3"/>
  <c r="CN133" i="3"/>
  <c r="CP133" i="3"/>
  <c r="CQ133" i="3"/>
  <c r="CR133" i="3"/>
  <c r="CK134" i="3"/>
  <c r="CL134" i="3"/>
  <c r="CM134" i="3"/>
  <c r="CN134" i="3"/>
  <c r="CP134" i="3"/>
  <c r="CQ134" i="3"/>
  <c r="CR134" i="3"/>
  <c r="CK135" i="3"/>
  <c r="CL135" i="3"/>
  <c r="CM135" i="3"/>
  <c r="CN135" i="3"/>
  <c r="CP135" i="3"/>
  <c r="CQ135" i="3"/>
  <c r="CR135" i="3"/>
  <c r="CK136" i="3"/>
  <c r="CL136" i="3"/>
  <c r="CM136" i="3"/>
  <c r="CN136" i="3"/>
  <c r="CP136" i="3"/>
  <c r="CQ136" i="3"/>
  <c r="CR136" i="3"/>
  <c r="CK137" i="3"/>
  <c r="CL137" i="3"/>
  <c r="CM137" i="3"/>
  <c r="CN137" i="3"/>
  <c r="CP137" i="3"/>
  <c r="CQ137" i="3"/>
  <c r="CR137" i="3"/>
  <c r="CK138" i="3"/>
  <c r="CL138" i="3"/>
  <c r="CM138" i="3"/>
  <c r="CN138" i="3"/>
  <c r="CP138" i="3"/>
  <c r="CQ138" i="3"/>
  <c r="CR138" i="3"/>
  <c r="CK139" i="3"/>
  <c r="CL139" i="3"/>
  <c r="CM139" i="3"/>
  <c r="CN139" i="3"/>
  <c r="CP139" i="3"/>
  <c r="CQ139" i="3"/>
  <c r="CR139" i="3"/>
  <c r="CK140" i="3"/>
  <c r="CL140" i="3"/>
  <c r="CM140" i="3"/>
  <c r="CN140" i="3"/>
  <c r="CP140" i="3"/>
  <c r="CQ140" i="3"/>
  <c r="CR140" i="3"/>
  <c r="CK141" i="3"/>
  <c r="CL141" i="3"/>
  <c r="CM141" i="3"/>
  <c r="CN141" i="3"/>
  <c r="CP141" i="3"/>
  <c r="CQ141" i="3"/>
  <c r="CR141" i="3"/>
  <c r="CK142" i="3"/>
  <c r="CL142" i="3"/>
  <c r="CM142" i="3"/>
  <c r="CN142" i="3"/>
  <c r="CP142" i="3"/>
  <c r="CQ142" i="3"/>
  <c r="CR142" i="3"/>
  <c r="CK143" i="3"/>
  <c r="CL143" i="3"/>
  <c r="CM143" i="3"/>
  <c r="CN143" i="3"/>
  <c r="CP143" i="3"/>
  <c r="CQ143" i="3"/>
  <c r="CR143" i="3"/>
  <c r="CK144" i="3"/>
  <c r="CL144" i="3"/>
  <c r="CM144" i="3"/>
  <c r="CN144" i="3"/>
  <c r="CP144" i="3"/>
  <c r="CQ144" i="3"/>
  <c r="CR144" i="3"/>
  <c r="CK145" i="3"/>
  <c r="CL145" i="3"/>
  <c r="CM145" i="3"/>
  <c r="CN145" i="3"/>
  <c r="CP145" i="3"/>
  <c r="CQ145" i="3"/>
  <c r="CR145" i="3"/>
  <c r="CK146" i="3"/>
  <c r="CL146" i="3"/>
  <c r="CM146" i="3"/>
  <c r="CN146" i="3"/>
  <c r="CP146" i="3"/>
  <c r="CQ146" i="3"/>
  <c r="CR146" i="3"/>
  <c r="CK147" i="3"/>
  <c r="CL147" i="3"/>
  <c r="CM147" i="3"/>
  <c r="CN147" i="3"/>
  <c r="CP147" i="3"/>
  <c r="CQ147" i="3"/>
  <c r="CR147" i="3"/>
  <c r="CK148" i="3"/>
  <c r="CL148" i="3"/>
  <c r="CM148" i="3"/>
  <c r="CN148" i="3"/>
  <c r="CP148" i="3"/>
  <c r="CQ148" i="3"/>
  <c r="CR148" i="3"/>
  <c r="CK149" i="3"/>
  <c r="CL149" i="3"/>
  <c r="CM149" i="3"/>
  <c r="CN149" i="3"/>
  <c r="CP149" i="3"/>
  <c r="CQ149" i="3"/>
  <c r="CR149" i="3"/>
  <c r="CK150" i="3"/>
  <c r="CL150" i="3"/>
  <c r="CM150" i="3"/>
  <c r="CN150" i="3"/>
  <c r="CP150" i="3"/>
  <c r="CQ150" i="3"/>
  <c r="CR150" i="3"/>
  <c r="CK151" i="3"/>
  <c r="CL151" i="3"/>
  <c r="CM151" i="3"/>
  <c r="CN151" i="3"/>
  <c r="CP151" i="3"/>
  <c r="CQ151" i="3"/>
  <c r="CR151" i="3"/>
  <c r="CK152" i="3"/>
  <c r="CL152" i="3"/>
  <c r="CM152" i="3"/>
  <c r="CN152" i="3"/>
  <c r="CP152" i="3"/>
  <c r="CQ152" i="3"/>
  <c r="CR152" i="3"/>
  <c r="CK153" i="3"/>
  <c r="CL153" i="3"/>
  <c r="CM153" i="3"/>
  <c r="CN153" i="3"/>
  <c r="CP153" i="3"/>
  <c r="CQ153" i="3"/>
  <c r="CR153" i="3"/>
  <c r="CK154" i="3"/>
  <c r="CL154" i="3"/>
  <c r="CM154" i="3"/>
  <c r="CN154" i="3"/>
  <c r="CP154" i="3"/>
  <c r="CQ154" i="3"/>
  <c r="CR154" i="3"/>
  <c r="CK155" i="3"/>
  <c r="CL155" i="3"/>
  <c r="CM155" i="3"/>
  <c r="CN155" i="3"/>
  <c r="CP155" i="3"/>
  <c r="CQ155" i="3"/>
  <c r="CR155" i="3"/>
  <c r="CK156" i="3"/>
  <c r="CL156" i="3"/>
  <c r="CM156" i="3"/>
  <c r="CN156" i="3"/>
  <c r="CP156" i="3"/>
  <c r="CQ156" i="3"/>
  <c r="CR156" i="3"/>
  <c r="CK157" i="3"/>
  <c r="CL157" i="3"/>
  <c r="CM157" i="3"/>
  <c r="CN157" i="3"/>
  <c r="CP157" i="3"/>
  <c r="CQ157" i="3"/>
  <c r="CR157" i="3"/>
  <c r="CK158" i="3"/>
  <c r="CL158" i="3"/>
  <c r="CM158" i="3"/>
  <c r="CN158" i="3"/>
  <c r="CP158" i="3"/>
  <c r="CQ158" i="3"/>
  <c r="CR158" i="3"/>
  <c r="CK159" i="3"/>
  <c r="CL159" i="3"/>
  <c r="CM159" i="3"/>
  <c r="CN159" i="3"/>
  <c r="CP159" i="3"/>
  <c r="CQ159" i="3"/>
  <c r="CR159" i="3"/>
  <c r="CK160" i="3"/>
  <c r="CL160" i="3"/>
  <c r="CM160" i="3"/>
  <c r="CN160" i="3"/>
  <c r="CP160" i="3"/>
  <c r="CQ160" i="3"/>
  <c r="CR160" i="3"/>
  <c r="CK161" i="3"/>
  <c r="CL161" i="3"/>
  <c r="CM161" i="3"/>
  <c r="CN161" i="3"/>
  <c r="CP161" i="3"/>
  <c r="CQ161" i="3"/>
  <c r="CR161" i="3"/>
  <c r="CK162" i="3"/>
  <c r="CL162" i="3"/>
  <c r="CM162" i="3"/>
  <c r="CN162" i="3"/>
  <c r="CP162" i="3"/>
  <c r="CQ162" i="3"/>
  <c r="CR162" i="3"/>
  <c r="CK163" i="3"/>
  <c r="CL163" i="3"/>
  <c r="CM163" i="3"/>
  <c r="CN163" i="3"/>
  <c r="CP163" i="3"/>
  <c r="CQ163" i="3"/>
  <c r="CR163" i="3"/>
  <c r="CK164" i="3"/>
  <c r="CL164" i="3"/>
  <c r="CM164" i="3"/>
  <c r="CN164" i="3"/>
  <c r="CP164" i="3"/>
  <c r="CQ164" i="3"/>
  <c r="CR164" i="3"/>
  <c r="CK165" i="3"/>
  <c r="CL165" i="3"/>
  <c r="CM165" i="3"/>
  <c r="CN165" i="3"/>
  <c r="CP165" i="3"/>
  <c r="CQ165" i="3"/>
  <c r="CR165" i="3"/>
  <c r="CK166" i="3"/>
  <c r="CL166" i="3"/>
  <c r="CM166" i="3"/>
  <c r="CN166" i="3"/>
  <c r="CP166" i="3"/>
  <c r="CQ166" i="3"/>
  <c r="CR166" i="3"/>
  <c r="CK167" i="3"/>
  <c r="CL167" i="3"/>
  <c r="CM167" i="3"/>
  <c r="CN167" i="3"/>
  <c r="CP167" i="3"/>
  <c r="CQ167" i="3"/>
  <c r="CR167" i="3"/>
  <c r="CK168" i="3"/>
  <c r="CL168" i="3"/>
  <c r="CM168" i="3"/>
  <c r="CN168" i="3"/>
  <c r="CP168" i="3"/>
  <c r="CQ168" i="3"/>
  <c r="CR168" i="3"/>
  <c r="CK169" i="3"/>
  <c r="CL169" i="3"/>
  <c r="CM169" i="3"/>
  <c r="CN169" i="3"/>
  <c r="CP169" i="3"/>
  <c r="CQ169" i="3"/>
  <c r="CR169" i="3"/>
  <c r="CK170" i="3"/>
  <c r="CL170" i="3"/>
  <c r="CM170" i="3"/>
  <c r="CN170" i="3"/>
  <c r="CP170" i="3"/>
  <c r="CQ170" i="3"/>
  <c r="CR170" i="3"/>
  <c r="CK171" i="3"/>
  <c r="CL171" i="3"/>
  <c r="CM171" i="3"/>
  <c r="CN171" i="3"/>
  <c r="CP171" i="3"/>
  <c r="CQ171" i="3"/>
  <c r="CR171" i="3"/>
  <c r="CK172" i="3"/>
  <c r="CL172" i="3"/>
  <c r="CM172" i="3"/>
  <c r="CN172" i="3"/>
  <c r="CP172" i="3"/>
  <c r="CQ172" i="3"/>
  <c r="CR172" i="3"/>
  <c r="CK173" i="3"/>
  <c r="CL173" i="3"/>
  <c r="CM173" i="3"/>
  <c r="CN173" i="3"/>
  <c r="CP173" i="3"/>
  <c r="CQ173" i="3"/>
  <c r="CR173" i="3"/>
  <c r="CK174" i="3"/>
  <c r="CL174" i="3"/>
  <c r="CM174" i="3"/>
  <c r="CN174" i="3"/>
  <c r="CP174" i="3"/>
  <c r="CQ174" i="3"/>
  <c r="CR174" i="3"/>
  <c r="CK175" i="3"/>
  <c r="CL175" i="3"/>
  <c r="CM175" i="3"/>
  <c r="CN175" i="3"/>
  <c r="CP175" i="3"/>
  <c r="CQ175" i="3"/>
  <c r="CR175" i="3"/>
  <c r="CK176" i="3"/>
  <c r="CL176" i="3"/>
  <c r="CM176" i="3"/>
  <c r="CN176" i="3"/>
  <c r="CP176" i="3"/>
  <c r="CQ176" i="3"/>
  <c r="CR176" i="3"/>
  <c r="CK177" i="3"/>
  <c r="CL177" i="3"/>
  <c r="CM177" i="3"/>
  <c r="CN177" i="3"/>
  <c r="CP177" i="3"/>
  <c r="CQ177" i="3"/>
  <c r="CR177" i="3"/>
  <c r="CK178" i="3"/>
  <c r="CL178" i="3"/>
  <c r="CM178" i="3"/>
  <c r="CN178" i="3"/>
  <c r="CP178" i="3"/>
  <c r="CQ178" i="3"/>
  <c r="CR178" i="3"/>
  <c r="CK179" i="3"/>
  <c r="CL179" i="3"/>
  <c r="CM179" i="3"/>
  <c r="CN179" i="3"/>
  <c r="CP179" i="3"/>
  <c r="CQ179" i="3"/>
  <c r="CR179" i="3"/>
  <c r="CK180" i="3"/>
  <c r="CL180" i="3"/>
  <c r="CM180" i="3"/>
  <c r="CN180" i="3"/>
  <c r="CP180" i="3"/>
  <c r="CQ180" i="3"/>
  <c r="CR180" i="3"/>
  <c r="CK181" i="3"/>
  <c r="CL181" i="3"/>
  <c r="CM181" i="3"/>
  <c r="CN181" i="3"/>
  <c r="CP181" i="3"/>
  <c r="CQ181" i="3"/>
  <c r="CR181" i="3"/>
  <c r="CK182" i="3"/>
  <c r="CL182" i="3"/>
  <c r="CM182" i="3"/>
  <c r="CN182" i="3"/>
  <c r="CP182" i="3"/>
  <c r="CQ182" i="3"/>
  <c r="CR182" i="3"/>
  <c r="CK183" i="3"/>
  <c r="CL183" i="3"/>
  <c r="CM183" i="3"/>
  <c r="CN183" i="3"/>
  <c r="CP183" i="3"/>
  <c r="CQ183" i="3"/>
  <c r="CR183" i="3"/>
  <c r="CK184" i="3"/>
  <c r="CL184" i="3"/>
  <c r="CM184" i="3"/>
  <c r="CN184" i="3"/>
  <c r="CP184" i="3"/>
  <c r="CQ184" i="3"/>
  <c r="CR184" i="3"/>
  <c r="CK185" i="3"/>
  <c r="CL185" i="3"/>
  <c r="CM185" i="3"/>
  <c r="CN185" i="3"/>
  <c r="CP185" i="3"/>
  <c r="CQ185" i="3"/>
  <c r="CR185" i="3"/>
  <c r="CK186" i="3"/>
  <c r="CL186" i="3"/>
  <c r="CM186" i="3"/>
  <c r="CN186" i="3"/>
  <c r="CP186" i="3"/>
  <c r="CQ186" i="3"/>
  <c r="CR186" i="3"/>
  <c r="CK187" i="3"/>
  <c r="CL187" i="3"/>
  <c r="CM187" i="3"/>
  <c r="CN187" i="3"/>
  <c r="CP187" i="3"/>
  <c r="CQ187" i="3"/>
  <c r="CR187" i="3"/>
  <c r="CK188" i="3"/>
  <c r="CL188" i="3"/>
  <c r="CM188" i="3"/>
  <c r="CN188" i="3"/>
  <c r="CP188" i="3"/>
  <c r="CQ188" i="3"/>
  <c r="CR188" i="3"/>
  <c r="CK189" i="3"/>
  <c r="CL189" i="3"/>
  <c r="CM189" i="3"/>
  <c r="CN189" i="3"/>
  <c r="CP189" i="3"/>
  <c r="CQ189" i="3"/>
  <c r="CR189" i="3"/>
  <c r="CK190" i="3"/>
  <c r="CL190" i="3"/>
  <c r="CM190" i="3"/>
  <c r="CN190" i="3"/>
  <c r="CP190" i="3"/>
  <c r="CQ190" i="3"/>
  <c r="CR190" i="3"/>
  <c r="CK191" i="3"/>
  <c r="CL191" i="3"/>
  <c r="CM191" i="3"/>
  <c r="CN191" i="3"/>
  <c r="CP191" i="3"/>
  <c r="CQ191" i="3"/>
  <c r="CR191" i="3"/>
  <c r="CK192" i="3"/>
  <c r="CL192" i="3"/>
  <c r="CM192" i="3"/>
  <c r="CN192" i="3"/>
  <c r="CP192" i="3"/>
  <c r="CQ192" i="3"/>
  <c r="CR192" i="3"/>
  <c r="CK193" i="3"/>
  <c r="CL193" i="3"/>
  <c r="CM193" i="3"/>
  <c r="CN193" i="3"/>
  <c r="CP193" i="3"/>
  <c r="CQ193" i="3"/>
  <c r="CR193" i="3"/>
  <c r="CK194" i="3"/>
  <c r="CL194" i="3"/>
  <c r="CM194" i="3"/>
  <c r="CN194" i="3"/>
  <c r="CP194" i="3"/>
  <c r="CQ194" i="3"/>
  <c r="CR194" i="3"/>
  <c r="CK195" i="3"/>
  <c r="CL195" i="3"/>
  <c r="CM195" i="3"/>
  <c r="CN195" i="3"/>
  <c r="CO195" i="3"/>
  <c r="CP195" i="3"/>
  <c r="CQ195" i="3"/>
  <c r="CR195" i="3"/>
  <c r="CK16" i="3"/>
  <c r="CL16" i="3"/>
  <c r="CM16" i="3"/>
  <c r="CN16" i="3"/>
  <c r="CP16" i="3"/>
  <c r="CQ16" i="3"/>
  <c r="CR16" i="3"/>
  <c r="CK17" i="3"/>
  <c r="CL17" i="3"/>
  <c r="CM17" i="3"/>
  <c r="CN17" i="3"/>
  <c r="CP17" i="3"/>
  <c r="CQ17" i="3"/>
  <c r="CR17" i="3"/>
  <c r="CK18" i="3"/>
  <c r="CL18" i="3"/>
  <c r="CM18" i="3"/>
  <c r="CN18" i="3"/>
  <c r="CP18" i="3"/>
  <c r="CQ18" i="3"/>
  <c r="CR18" i="3"/>
  <c r="CK19" i="3"/>
  <c r="CL19" i="3"/>
  <c r="CM19" i="3"/>
  <c r="CN19" i="3"/>
  <c r="CP19" i="3"/>
  <c r="CQ19" i="3"/>
  <c r="CR19" i="3"/>
  <c r="CK20" i="3"/>
  <c r="CL20" i="3"/>
  <c r="CM20" i="3"/>
  <c r="CN20" i="3"/>
  <c r="CP20" i="3"/>
  <c r="CQ20" i="3"/>
  <c r="CR20" i="3"/>
  <c r="CK21" i="3"/>
  <c r="CL21" i="3"/>
  <c r="CM21" i="3"/>
  <c r="CN21" i="3"/>
  <c r="CP21" i="3"/>
  <c r="CQ21" i="3"/>
  <c r="CR21" i="3"/>
  <c r="CK22" i="3"/>
  <c r="CL22" i="3"/>
  <c r="CM22" i="3"/>
  <c r="CN22" i="3"/>
  <c r="CP22" i="3"/>
  <c r="CQ22" i="3"/>
  <c r="CR22" i="3"/>
  <c r="CK23" i="3"/>
  <c r="CL23" i="3"/>
  <c r="CM23" i="3"/>
  <c r="CN23" i="3"/>
  <c r="CP23" i="3"/>
  <c r="CQ23" i="3"/>
  <c r="CR23" i="3"/>
  <c r="CK24" i="3"/>
  <c r="CL24" i="3"/>
  <c r="CM24" i="3"/>
  <c r="CN24" i="3"/>
  <c r="CP24" i="3"/>
  <c r="CQ24" i="3"/>
  <c r="CR24" i="3"/>
  <c r="CK25" i="3"/>
  <c r="CL25" i="3"/>
  <c r="CM25" i="3"/>
  <c r="CN25" i="3"/>
  <c r="CP25" i="3"/>
  <c r="CQ25" i="3"/>
  <c r="CR25" i="3"/>
  <c r="CK26" i="3"/>
  <c r="CL26" i="3"/>
  <c r="CM26" i="3"/>
  <c r="CN26" i="3"/>
  <c r="CP26" i="3"/>
  <c r="CQ26" i="3"/>
  <c r="CR26" i="3"/>
  <c r="CK27" i="3"/>
  <c r="CL27" i="3"/>
  <c r="CM27" i="3"/>
  <c r="CN27" i="3"/>
  <c r="CP27" i="3"/>
  <c r="CQ27" i="3"/>
  <c r="CR27" i="3"/>
  <c r="CK28" i="3"/>
  <c r="CL28" i="3"/>
  <c r="CM28" i="3"/>
  <c r="CN28" i="3"/>
  <c r="CP28" i="3"/>
  <c r="CQ28" i="3"/>
  <c r="CR28" i="3"/>
  <c r="CK29" i="3"/>
  <c r="CL29" i="3"/>
  <c r="CM29" i="3"/>
  <c r="CN29" i="3"/>
  <c r="CP29" i="3"/>
  <c r="CQ29" i="3"/>
  <c r="CR29" i="3"/>
  <c r="CK30" i="3"/>
  <c r="CL30" i="3"/>
  <c r="CM30" i="3"/>
  <c r="CN30" i="3"/>
  <c r="CP30" i="3"/>
  <c r="CQ30" i="3"/>
  <c r="CR30" i="3"/>
  <c r="CK31" i="3"/>
  <c r="CL31" i="3"/>
  <c r="CM31" i="3"/>
  <c r="CN31" i="3"/>
  <c r="CP31" i="3"/>
  <c r="CQ31" i="3"/>
  <c r="CR31" i="3"/>
  <c r="CK32" i="3"/>
  <c r="CL32" i="3"/>
  <c r="CM32" i="3"/>
  <c r="CN32" i="3"/>
  <c r="CP32" i="3"/>
  <c r="CQ32" i="3"/>
  <c r="CR32" i="3"/>
  <c r="CK33" i="3"/>
  <c r="CL33" i="3"/>
  <c r="CM33" i="3"/>
  <c r="CN33" i="3"/>
  <c r="CP33" i="3"/>
  <c r="CQ33" i="3"/>
  <c r="CR33" i="3"/>
  <c r="CK34" i="3"/>
  <c r="CL34" i="3"/>
  <c r="CM34" i="3"/>
  <c r="CN34" i="3"/>
  <c r="CP34" i="3"/>
  <c r="CQ34" i="3"/>
  <c r="CR34" i="3"/>
  <c r="CK35" i="3"/>
  <c r="CL35" i="3"/>
  <c r="CM35" i="3"/>
  <c r="CN35" i="3"/>
  <c r="CP35" i="3"/>
  <c r="CQ35" i="3"/>
  <c r="CR35" i="3"/>
  <c r="CK36" i="3"/>
  <c r="CL36" i="3"/>
  <c r="CM36" i="3"/>
  <c r="CN36" i="3"/>
  <c r="CP36" i="3"/>
  <c r="CQ36" i="3"/>
  <c r="CR36" i="3"/>
  <c r="CK37" i="3"/>
  <c r="CL37" i="3"/>
  <c r="CM37" i="3"/>
  <c r="CN37" i="3"/>
  <c r="CP37" i="3"/>
  <c r="CQ37" i="3"/>
  <c r="CR37" i="3"/>
  <c r="CK38" i="3"/>
  <c r="CL38" i="3"/>
  <c r="CM38" i="3"/>
  <c r="CN38" i="3"/>
  <c r="CP38" i="3"/>
  <c r="CQ38" i="3"/>
  <c r="CR38" i="3"/>
  <c r="CK39" i="3"/>
  <c r="CL39" i="3"/>
  <c r="CM39" i="3"/>
  <c r="CN39" i="3"/>
  <c r="CP39" i="3"/>
  <c r="CQ39" i="3"/>
  <c r="CR39" i="3"/>
  <c r="CK40" i="3"/>
  <c r="CL40" i="3"/>
  <c r="CM40" i="3"/>
  <c r="CN40" i="3"/>
  <c r="CP40" i="3"/>
  <c r="CQ40" i="3"/>
  <c r="CR40" i="3"/>
  <c r="CK41" i="3"/>
  <c r="CL41" i="3"/>
  <c r="CM41" i="3"/>
  <c r="CN41" i="3"/>
  <c r="CP41" i="3"/>
  <c r="CQ41" i="3"/>
  <c r="CR41" i="3"/>
  <c r="CK42" i="3"/>
  <c r="CL42" i="3"/>
  <c r="CM42" i="3"/>
  <c r="CN42" i="3"/>
  <c r="CP42" i="3"/>
  <c r="CQ42" i="3"/>
  <c r="CR42" i="3"/>
  <c r="CK43" i="3"/>
  <c r="CL43" i="3"/>
  <c r="CM43" i="3"/>
  <c r="CN43" i="3"/>
  <c r="CP43" i="3"/>
  <c r="CQ43" i="3"/>
  <c r="CR43" i="3"/>
  <c r="CK44" i="3"/>
  <c r="CL44" i="3"/>
  <c r="CM44" i="3"/>
  <c r="CN44" i="3"/>
  <c r="CP44" i="3"/>
  <c r="CQ44" i="3"/>
  <c r="CR44" i="3"/>
  <c r="CK45" i="3"/>
  <c r="CL45" i="3"/>
  <c r="CM45" i="3"/>
  <c r="CN45" i="3"/>
  <c r="CP45" i="3"/>
  <c r="CQ45" i="3"/>
  <c r="CR45" i="3"/>
  <c r="CK46" i="3"/>
  <c r="CL46" i="3"/>
  <c r="CM46" i="3"/>
  <c r="CN46" i="3"/>
  <c r="CP46" i="3"/>
  <c r="CQ46" i="3"/>
  <c r="CR46" i="3"/>
  <c r="CK47" i="3"/>
  <c r="CL47" i="3"/>
  <c r="CM47" i="3"/>
  <c r="CN47" i="3"/>
  <c r="CP47" i="3"/>
  <c r="CQ47" i="3"/>
  <c r="CR47" i="3"/>
  <c r="CK48" i="3"/>
  <c r="CL48" i="3"/>
  <c r="CM48" i="3"/>
  <c r="CN48" i="3"/>
  <c r="CP48" i="3"/>
  <c r="CQ48" i="3"/>
  <c r="CR48" i="3"/>
  <c r="CK49" i="3"/>
  <c r="CL49" i="3"/>
  <c r="CM49" i="3"/>
  <c r="CN49" i="3"/>
  <c r="CP49" i="3"/>
  <c r="CQ49" i="3"/>
  <c r="CR49" i="3"/>
  <c r="CK50" i="3"/>
  <c r="CL50" i="3"/>
  <c r="CM50" i="3"/>
  <c r="CN50" i="3"/>
  <c r="CP50" i="3"/>
  <c r="CQ50" i="3"/>
  <c r="CR50" i="3"/>
  <c r="CK15" i="3"/>
  <c r="CL15" i="3"/>
  <c r="CM15" i="3"/>
  <c r="CN15" i="3"/>
  <c r="CO15" i="3"/>
  <c r="CP15" i="3"/>
  <c r="CQ15" i="3"/>
  <c r="CR15" i="3"/>
  <c r="CS15" i="3"/>
  <c r="CK9" i="3"/>
  <c r="CL9" i="3"/>
  <c r="CM9" i="3"/>
  <c r="CN9" i="3"/>
  <c r="CP9" i="3"/>
  <c r="CQ9" i="3"/>
  <c r="CR9" i="3"/>
  <c r="CK10" i="3"/>
  <c r="CL10" i="3"/>
  <c r="CM10" i="3"/>
  <c r="CN10" i="3"/>
  <c r="CP10" i="3"/>
  <c r="CQ10" i="3"/>
  <c r="CR10" i="3"/>
  <c r="CK11" i="3"/>
  <c r="CL11" i="3"/>
  <c r="CM11" i="3"/>
  <c r="CN11" i="3"/>
  <c r="CP11" i="3"/>
  <c r="CQ11" i="3"/>
  <c r="CR11" i="3"/>
  <c r="CK12" i="3"/>
  <c r="CL12" i="3"/>
  <c r="CM12" i="3"/>
  <c r="CN12" i="3"/>
  <c r="CP12" i="3"/>
  <c r="CQ12" i="3"/>
  <c r="CR12" i="3"/>
  <c r="CK13" i="3"/>
  <c r="CL13" i="3"/>
  <c r="CM13" i="3"/>
  <c r="CN13" i="3"/>
  <c r="CP13" i="3"/>
  <c r="CQ13" i="3"/>
  <c r="CR13" i="3"/>
  <c r="CK14" i="3"/>
  <c r="CL14" i="3"/>
  <c r="CM14" i="3"/>
  <c r="CN14" i="3"/>
  <c r="CP14" i="3"/>
  <c r="CQ14" i="3"/>
  <c r="CR14" i="3"/>
  <c r="CL8" i="3"/>
  <c r="CM8" i="3"/>
  <c r="CN8" i="3"/>
  <c r="CP8" i="3"/>
  <c r="CQ8" i="3"/>
  <c r="CR8" i="3"/>
  <c r="CK8" i="3"/>
  <c r="CC98" i="3"/>
  <c r="CO98" i="3" s="1"/>
  <c r="BM8" i="3"/>
  <c r="BN8" i="3"/>
  <c r="BO8" i="3"/>
  <c r="BM9" i="3"/>
  <c r="BN9" i="3"/>
  <c r="BO9" i="3"/>
  <c r="BM10" i="3"/>
  <c r="BN10" i="3"/>
  <c r="BO10" i="3"/>
  <c r="BM11" i="3"/>
  <c r="BN11" i="3"/>
  <c r="BO11" i="3"/>
  <c r="BM12" i="3"/>
  <c r="BN12" i="3"/>
  <c r="BO12" i="3"/>
  <c r="BM13" i="3"/>
  <c r="BN13" i="3"/>
  <c r="BO13" i="3"/>
  <c r="BM14" i="3"/>
  <c r="BN14" i="3"/>
  <c r="BO14" i="3"/>
  <c r="BM15" i="3"/>
  <c r="BN15" i="3"/>
  <c r="BO15" i="3"/>
  <c r="BM16" i="3"/>
  <c r="BN16" i="3"/>
  <c r="BO16" i="3"/>
  <c r="BM17" i="3"/>
  <c r="BN17" i="3"/>
  <c r="BO17" i="3"/>
  <c r="BM18" i="3"/>
  <c r="BN18" i="3"/>
  <c r="BO18" i="3"/>
  <c r="BM19" i="3"/>
  <c r="BN19" i="3"/>
  <c r="BO19" i="3"/>
  <c r="BM20" i="3"/>
  <c r="BN20" i="3"/>
  <c r="BO20" i="3"/>
  <c r="BM21" i="3"/>
  <c r="BN21" i="3"/>
  <c r="BO21" i="3"/>
  <c r="BM22" i="3"/>
  <c r="BN22" i="3"/>
  <c r="BO22" i="3"/>
  <c r="BM23" i="3"/>
  <c r="BN23" i="3"/>
  <c r="BO23" i="3"/>
  <c r="BM24" i="3"/>
  <c r="BN24" i="3"/>
  <c r="BO24" i="3"/>
  <c r="BM25" i="3"/>
  <c r="BN25" i="3"/>
  <c r="BO25" i="3"/>
  <c r="BM26" i="3"/>
  <c r="BN26" i="3"/>
  <c r="BO26" i="3"/>
  <c r="BM27" i="3"/>
  <c r="BN27" i="3"/>
  <c r="BO27" i="3"/>
  <c r="BM28" i="3"/>
  <c r="BN28" i="3"/>
  <c r="BO28" i="3"/>
  <c r="BM29" i="3"/>
  <c r="BN29" i="3"/>
  <c r="BO29" i="3"/>
  <c r="BM30" i="3"/>
  <c r="BN30" i="3"/>
  <c r="BO30" i="3"/>
  <c r="BM31" i="3"/>
  <c r="BN31" i="3"/>
  <c r="BO31" i="3"/>
  <c r="BM32" i="3"/>
  <c r="BN32" i="3"/>
  <c r="BO32" i="3"/>
  <c r="BM33" i="3"/>
  <c r="BN33" i="3"/>
  <c r="BO33" i="3"/>
  <c r="BM34" i="3"/>
  <c r="BN34" i="3"/>
  <c r="BO34" i="3"/>
  <c r="BM35" i="3"/>
  <c r="BN35" i="3"/>
  <c r="BO35" i="3"/>
  <c r="BM36" i="3"/>
  <c r="BN36" i="3"/>
  <c r="BO36" i="3"/>
  <c r="BM37" i="3"/>
  <c r="BN37" i="3"/>
  <c r="BO37" i="3"/>
  <c r="BM38" i="3"/>
  <c r="BN38" i="3"/>
  <c r="BO38" i="3"/>
  <c r="BM39" i="3"/>
  <c r="BN39" i="3"/>
  <c r="BO39" i="3"/>
  <c r="BM40" i="3"/>
  <c r="BN40" i="3"/>
  <c r="BO40" i="3"/>
  <c r="BM41" i="3"/>
  <c r="BN41" i="3"/>
  <c r="BO41" i="3"/>
  <c r="BM42" i="3"/>
  <c r="BN42" i="3"/>
  <c r="BO42" i="3"/>
  <c r="BM43" i="3"/>
  <c r="BN43" i="3"/>
  <c r="BO43" i="3"/>
  <c r="BM44" i="3"/>
  <c r="BN44" i="3"/>
  <c r="BO44" i="3"/>
  <c r="BM45" i="3"/>
  <c r="BN45" i="3"/>
  <c r="BO45" i="3"/>
  <c r="BM46" i="3"/>
  <c r="BN46" i="3"/>
  <c r="BO46" i="3"/>
  <c r="BM47" i="3"/>
  <c r="BN47" i="3"/>
  <c r="BO47" i="3"/>
  <c r="BM48" i="3"/>
  <c r="BN48" i="3"/>
  <c r="BO48" i="3"/>
  <c r="BM49" i="3"/>
  <c r="BN49" i="3"/>
  <c r="BO49" i="3"/>
  <c r="BM50" i="3"/>
  <c r="BN50" i="3"/>
  <c r="BO50" i="3"/>
  <c r="BM51" i="3"/>
  <c r="BN51" i="3"/>
  <c r="BO51" i="3"/>
  <c r="BM52" i="3"/>
  <c r="BN52" i="3"/>
  <c r="BO52" i="3"/>
  <c r="BM53" i="3"/>
  <c r="BN53" i="3"/>
  <c r="BO53" i="3"/>
  <c r="BM54" i="3"/>
  <c r="BN54" i="3"/>
  <c r="BO54" i="3"/>
  <c r="BM55" i="3"/>
  <c r="BN55" i="3"/>
  <c r="BO55" i="3"/>
  <c r="BM56" i="3"/>
  <c r="BN56" i="3"/>
  <c r="BO56" i="3"/>
  <c r="BM57" i="3"/>
  <c r="BN57" i="3"/>
  <c r="BO57" i="3"/>
  <c r="BM58" i="3"/>
  <c r="BN58" i="3"/>
  <c r="BO58" i="3"/>
  <c r="BM59" i="3"/>
  <c r="BN59" i="3"/>
  <c r="BO59" i="3"/>
  <c r="BM60" i="3"/>
  <c r="BN60" i="3"/>
  <c r="BO60" i="3"/>
  <c r="BM61" i="3"/>
  <c r="BN61" i="3"/>
  <c r="BO61" i="3"/>
  <c r="BM62" i="3"/>
  <c r="BN62" i="3"/>
  <c r="BO62" i="3"/>
  <c r="BM63" i="3"/>
  <c r="BN63" i="3"/>
  <c r="BO63" i="3"/>
  <c r="BM64" i="3"/>
  <c r="BN64" i="3"/>
  <c r="BO64" i="3"/>
  <c r="BM65" i="3"/>
  <c r="BN65" i="3"/>
  <c r="BO65" i="3"/>
  <c r="BM66" i="3"/>
  <c r="BN66" i="3"/>
  <c r="BO66" i="3"/>
  <c r="BM67" i="3"/>
  <c r="BN67" i="3"/>
  <c r="BO67" i="3"/>
  <c r="BM68" i="3"/>
  <c r="BN68" i="3"/>
  <c r="BO68" i="3"/>
  <c r="BM69" i="3"/>
  <c r="BN69" i="3"/>
  <c r="BO69" i="3"/>
  <c r="BM70" i="3"/>
  <c r="BN70" i="3"/>
  <c r="BO70" i="3"/>
  <c r="BM71" i="3"/>
  <c r="BN71" i="3"/>
  <c r="BO71" i="3"/>
  <c r="BM72" i="3"/>
  <c r="BN72" i="3"/>
  <c r="BO72" i="3"/>
  <c r="BM73" i="3"/>
  <c r="BN73" i="3"/>
  <c r="BO73" i="3"/>
  <c r="BM74" i="3"/>
  <c r="BN74" i="3"/>
  <c r="BO74" i="3"/>
  <c r="BM75" i="3"/>
  <c r="BN75" i="3"/>
  <c r="BO75" i="3"/>
  <c r="BM76" i="3"/>
  <c r="BN76" i="3"/>
  <c r="BO76" i="3"/>
  <c r="BM77" i="3"/>
  <c r="BN77" i="3"/>
  <c r="BO77" i="3"/>
  <c r="BM78" i="3"/>
  <c r="BN78" i="3"/>
  <c r="BO78" i="3"/>
  <c r="BM79" i="3"/>
  <c r="BN79" i="3"/>
  <c r="BO79" i="3"/>
  <c r="BM80" i="3"/>
  <c r="BN80" i="3"/>
  <c r="BO80" i="3"/>
  <c r="BM81" i="3"/>
  <c r="BN81" i="3"/>
  <c r="BO81" i="3"/>
  <c r="BM82" i="3"/>
  <c r="BN82" i="3"/>
  <c r="BO82" i="3"/>
  <c r="BM83" i="3"/>
  <c r="BN83" i="3"/>
  <c r="BO83" i="3"/>
  <c r="BM84" i="3"/>
  <c r="BN84" i="3"/>
  <c r="BO84" i="3"/>
  <c r="BM85" i="3"/>
  <c r="BN85" i="3"/>
  <c r="BO85" i="3"/>
  <c r="BM86" i="3"/>
  <c r="BN86" i="3"/>
  <c r="BO86" i="3"/>
  <c r="BM87" i="3"/>
  <c r="BN87" i="3"/>
  <c r="BO87" i="3"/>
  <c r="BM88" i="3"/>
  <c r="BN88" i="3"/>
  <c r="BO88" i="3"/>
  <c r="BM89" i="3"/>
  <c r="BN89" i="3"/>
  <c r="BO89" i="3"/>
  <c r="BM90" i="3"/>
  <c r="BN90" i="3"/>
  <c r="BO90" i="3"/>
  <c r="BM91" i="3"/>
  <c r="BN91" i="3"/>
  <c r="BO91" i="3"/>
  <c r="BM92" i="3"/>
  <c r="BN92" i="3"/>
  <c r="BO92" i="3"/>
  <c r="BM93" i="3"/>
  <c r="BN93" i="3"/>
  <c r="BO93" i="3"/>
  <c r="BM94" i="3"/>
  <c r="BN94" i="3"/>
  <c r="BO94" i="3"/>
  <c r="BM95" i="3"/>
  <c r="BN95" i="3"/>
  <c r="BO95" i="3"/>
  <c r="BM96" i="3"/>
  <c r="BN96" i="3"/>
  <c r="BO96" i="3"/>
  <c r="BM97" i="3"/>
  <c r="BN97" i="3"/>
  <c r="BO97" i="3"/>
  <c r="BM98" i="3"/>
  <c r="BN98" i="3"/>
  <c r="BO98" i="3"/>
  <c r="BM99" i="3"/>
  <c r="BN99" i="3"/>
  <c r="BO99" i="3"/>
  <c r="BM100" i="3"/>
  <c r="BN100" i="3"/>
  <c r="BO100" i="3"/>
  <c r="BM101" i="3"/>
  <c r="BN101" i="3"/>
  <c r="BO101" i="3"/>
  <c r="BM102" i="3"/>
  <c r="BN102" i="3"/>
  <c r="BO102" i="3"/>
  <c r="BM103" i="3"/>
  <c r="BN103" i="3"/>
  <c r="BO103" i="3"/>
  <c r="BM104" i="3"/>
  <c r="BN104" i="3"/>
  <c r="BO104" i="3"/>
  <c r="BM105" i="3"/>
  <c r="BN105" i="3"/>
  <c r="BO105" i="3"/>
  <c r="BM106" i="3"/>
  <c r="BN106" i="3"/>
  <c r="BO106" i="3"/>
  <c r="BM107" i="3"/>
  <c r="BN107" i="3"/>
  <c r="BO107" i="3"/>
  <c r="BM108" i="3"/>
  <c r="BN108" i="3"/>
  <c r="BO108" i="3"/>
  <c r="BM109" i="3"/>
  <c r="BN109" i="3"/>
  <c r="BO109" i="3"/>
  <c r="BM110" i="3"/>
  <c r="BN110" i="3"/>
  <c r="BO110" i="3"/>
  <c r="BM111" i="3"/>
  <c r="BN111" i="3"/>
  <c r="BO111" i="3"/>
  <c r="BM112" i="3"/>
  <c r="BN112" i="3"/>
  <c r="BO112" i="3"/>
  <c r="BM113" i="3"/>
  <c r="BN113" i="3"/>
  <c r="BO113" i="3"/>
  <c r="BM114" i="3"/>
  <c r="BN114" i="3"/>
  <c r="BO114" i="3"/>
  <c r="BM115" i="3"/>
  <c r="BN115" i="3"/>
  <c r="BO115" i="3"/>
  <c r="BM116" i="3"/>
  <c r="BN116" i="3"/>
  <c r="BO116" i="3"/>
  <c r="BM117" i="3"/>
  <c r="BN117" i="3"/>
  <c r="BO117" i="3"/>
  <c r="BM118" i="3"/>
  <c r="BN118" i="3"/>
  <c r="BO118" i="3"/>
  <c r="BM119" i="3"/>
  <c r="BN119" i="3"/>
  <c r="BO119" i="3"/>
  <c r="BM120" i="3"/>
  <c r="BN120" i="3"/>
  <c r="BO120" i="3"/>
  <c r="BM121" i="3"/>
  <c r="BN121" i="3"/>
  <c r="BO121" i="3"/>
  <c r="BM122" i="3"/>
  <c r="BN122" i="3"/>
  <c r="BO122" i="3"/>
  <c r="BM123" i="3"/>
  <c r="BN123" i="3"/>
  <c r="BO123" i="3"/>
  <c r="BM124" i="3"/>
  <c r="BN124" i="3"/>
  <c r="BO124" i="3"/>
  <c r="BM125" i="3"/>
  <c r="BN125" i="3"/>
  <c r="BO125" i="3"/>
  <c r="BM126" i="3"/>
  <c r="BN126" i="3"/>
  <c r="BO126" i="3"/>
  <c r="BM127" i="3"/>
  <c r="BN127" i="3"/>
  <c r="BO127" i="3"/>
  <c r="BM128" i="3"/>
  <c r="BN128" i="3"/>
  <c r="BO128" i="3"/>
  <c r="BM129" i="3"/>
  <c r="BN129" i="3"/>
  <c r="BO129" i="3"/>
  <c r="BM130" i="3"/>
  <c r="BN130" i="3"/>
  <c r="BO130" i="3"/>
  <c r="BM131" i="3"/>
  <c r="BN131" i="3"/>
  <c r="BO131" i="3"/>
  <c r="BM132" i="3"/>
  <c r="BN132" i="3"/>
  <c r="BO132" i="3"/>
  <c r="BM133" i="3"/>
  <c r="BN133" i="3"/>
  <c r="BO133" i="3"/>
  <c r="BM134" i="3"/>
  <c r="BN134" i="3"/>
  <c r="BO134" i="3"/>
  <c r="BM135" i="3"/>
  <c r="BN135" i="3"/>
  <c r="BO135" i="3"/>
  <c r="BM136" i="3"/>
  <c r="BN136" i="3"/>
  <c r="BO136" i="3"/>
  <c r="BM137" i="3"/>
  <c r="BN137" i="3"/>
  <c r="BO137" i="3"/>
  <c r="BM138" i="3"/>
  <c r="BN138" i="3"/>
  <c r="BO138" i="3"/>
  <c r="BM139" i="3"/>
  <c r="BN139" i="3"/>
  <c r="BO139" i="3"/>
  <c r="BM140" i="3"/>
  <c r="BN140" i="3"/>
  <c r="BO140" i="3"/>
  <c r="BM141" i="3"/>
  <c r="BN141" i="3"/>
  <c r="BO141" i="3"/>
  <c r="BM142" i="3"/>
  <c r="BN142" i="3"/>
  <c r="BO142" i="3"/>
  <c r="BM143" i="3"/>
  <c r="BN143" i="3"/>
  <c r="BO143" i="3"/>
  <c r="BM144" i="3"/>
  <c r="BN144" i="3"/>
  <c r="BO144" i="3"/>
  <c r="BM145" i="3"/>
  <c r="BN145" i="3"/>
  <c r="BO145" i="3"/>
  <c r="BM146" i="3"/>
  <c r="BN146" i="3"/>
  <c r="BO146" i="3"/>
  <c r="BM147" i="3"/>
  <c r="BN147" i="3"/>
  <c r="BO147" i="3"/>
  <c r="BM148" i="3"/>
  <c r="BN148" i="3"/>
  <c r="BO148" i="3"/>
  <c r="BM149" i="3"/>
  <c r="BN149" i="3"/>
  <c r="BO149" i="3"/>
  <c r="BM150" i="3"/>
  <c r="BN150" i="3"/>
  <c r="BO150" i="3"/>
  <c r="BM151" i="3"/>
  <c r="BN151" i="3"/>
  <c r="BO151" i="3"/>
  <c r="BM152" i="3"/>
  <c r="BN152" i="3"/>
  <c r="BO152" i="3"/>
  <c r="BM153" i="3"/>
  <c r="BN153" i="3"/>
  <c r="BO153" i="3"/>
  <c r="BM154" i="3"/>
  <c r="BN154" i="3"/>
  <c r="BO154" i="3"/>
  <c r="BM155" i="3"/>
  <c r="BN155" i="3"/>
  <c r="BO155" i="3"/>
  <c r="BM156" i="3"/>
  <c r="BN156" i="3"/>
  <c r="BO156" i="3"/>
  <c r="BM157" i="3"/>
  <c r="BN157" i="3"/>
  <c r="BO157" i="3"/>
  <c r="BM158" i="3"/>
  <c r="BN158" i="3"/>
  <c r="BO158" i="3"/>
  <c r="BM159" i="3"/>
  <c r="BN159" i="3"/>
  <c r="BO159" i="3"/>
  <c r="BM160" i="3"/>
  <c r="BN160" i="3"/>
  <c r="BO160" i="3"/>
  <c r="BM161" i="3"/>
  <c r="BN161" i="3"/>
  <c r="BO161" i="3"/>
  <c r="BM162" i="3"/>
  <c r="BN162" i="3"/>
  <c r="BO162" i="3"/>
  <c r="BM163" i="3"/>
  <c r="BN163" i="3"/>
  <c r="BO163" i="3"/>
  <c r="BM164" i="3"/>
  <c r="BN164" i="3"/>
  <c r="BO164" i="3"/>
  <c r="BM165" i="3"/>
  <c r="BN165" i="3"/>
  <c r="BO165" i="3"/>
  <c r="BM166" i="3"/>
  <c r="BN166" i="3"/>
  <c r="BO166" i="3"/>
  <c r="BM167" i="3"/>
  <c r="BN167" i="3"/>
  <c r="BO167" i="3"/>
  <c r="BM168" i="3"/>
  <c r="BN168" i="3"/>
  <c r="BO168" i="3"/>
  <c r="BM169" i="3"/>
  <c r="BN169" i="3"/>
  <c r="BO169" i="3"/>
  <c r="BM170" i="3"/>
  <c r="BN170" i="3"/>
  <c r="BO170" i="3"/>
  <c r="BM171" i="3"/>
  <c r="BN171" i="3"/>
  <c r="BO171" i="3"/>
  <c r="BM172" i="3"/>
  <c r="BN172" i="3"/>
  <c r="BO172" i="3"/>
  <c r="BM173" i="3"/>
  <c r="BN173" i="3"/>
  <c r="BO173" i="3"/>
  <c r="BM174" i="3"/>
  <c r="BN174" i="3"/>
  <c r="BO174" i="3"/>
  <c r="BM175" i="3"/>
  <c r="BN175" i="3"/>
  <c r="BO175" i="3"/>
  <c r="BM176" i="3"/>
  <c r="BN176" i="3"/>
  <c r="BO176" i="3"/>
  <c r="BM177" i="3"/>
  <c r="BN177" i="3"/>
  <c r="BO177" i="3"/>
  <c r="BM178" i="3"/>
  <c r="BN178" i="3"/>
  <c r="BO178" i="3"/>
  <c r="BM179" i="3"/>
  <c r="BN179" i="3"/>
  <c r="BO179" i="3"/>
  <c r="BM180" i="3"/>
  <c r="BN180" i="3"/>
  <c r="BO180" i="3"/>
  <c r="BM181" i="3"/>
  <c r="BN181" i="3"/>
  <c r="BO181" i="3"/>
  <c r="BM182" i="3"/>
  <c r="BN182" i="3"/>
  <c r="BO182" i="3"/>
  <c r="BM183" i="3"/>
  <c r="BN183" i="3"/>
  <c r="BO183" i="3"/>
  <c r="BM184" i="3"/>
  <c r="BN184" i="3"/>
  <c r="BO184" i="3"/>
  <c r="BM185" i="3"/>
  <c r="BN185" i="3"/>
  <c r="BO185" i="3"/>
  <c r="BM186" i="3"/>
  <c r="BN186" i="3"/>
  <c r="BO186" i="3"/>
  <c r="BM187" i="3"/>
  <c r="BN187" i="3"/>
  <c r="BO187" i="3"/>
  <c r="BM188" i="3"/>
  <c r="BN188" i="3"/>
  <c r="BO188" i="3"/>
  <c r="BM189" i="3"/>
  <c r="BN189" i="3"/>
  <c r="BO189" i="3"/>
  <c r="BM190" i="3"/>
  <c r="BN190" i="3"/>
  <c r="BO190" i="3"/>
  <c r="BM191" i="3"/>
  <c r="BN191" i="3"/>
  <c r="BO191" i="3"/>
  <c r="BM192" i="3"/>
  <c r="BN192" i="3"/>
  <c r="BO192" i="3"/>
  <c r="BM193" i="3"/>
  <c r="BN193" i="3"/>
  <c r="BO193" i="3"/>
  <c r="BM194" i="3"/>
  <c r="BN194" i="3"/>
  <c r="BO194" i="3"/>
  <c r="BM195" i="3"/>
  <c r="BN195" i="3"/>
  <c r="BO195" i="3"/>
  <c r="H49" i="7" l="1"/>
  <c r="I49" i="7" s="1"/>
  <c r="J49" i="7" s="1"/>
  <c r="H70" i="7"/>
  <c r="I70" i="7" s="1"/>
  <c r="H52" i="7"/>
  <c r="I52" i="7" s="1"/>
  <c r="H48" i="7"/>
  <c r="I48" i="7" s="1"/>
  <c r="H57" i="7"/>
  <c r="I57" i="7" s="1"/>
  <c r="H54" i="7"/>
  <c r="I54" i="7" s="1"/>
  <c r="H53" i="7"/>
  <c r="I53" i="7" s="1"/>
  <c r="H61" i="7"/>
  <c r="I61" i="7" s="1"/>
  <c r="J56" i="7"/>
  <c r="H64" i="7"/>
  <c r="I64" i="7" s="1"/>
  <c r="H50" i="7"/>
  <c r="I50" i="7" s="1"/>
  <c r="H51" i="7"/>
  <c r="I51" i="7" s="1"/>
  <c r="H66" i="7"/>
  <c r="I66" i="7" s="1"/>
  <c r="I179" i="6"/>
  <c r="J179" i="6"/>
  <c r="K179" i="6"/>
  <c r="L179" i="6"/>
  <c r="M179" i="6"/>
  <c r="N179" i="6"/>
  <c r="O179" i="6"/>
  <c r="P179" i="6"/>
  <c r="Q179" i="6"/>
  <c r="R179" i="6"/>
  <c r="S179" i="6"/>
  <c r="T179" i="6"/>
  <c r="U179" i="6"/>
  <c r="V179" i="6"/>
  <c r="W179" i="6"/>
  <c r="X179" i="6"/>
  <c r="Y179" i="6"/>
  <c r="Z179" i="6"/>
  <c r="AA179" i="6"/>
  <c r="AB179" i="6"/>
  <c r="AC179" i="6"/>
  <c r="AD179" i="6"/>
  <c r="AE179" i="6"/>
  <c r="AF179" i="6"/>
  <c r="AG179" i="6"/>
  <c r="AH179" i="6"/>
  <c r="AI179" i="6"/>
  <c r="AJ179" i="6"/>
  <c r="AK179" i="6"/>
  <c r="AL179" i="6"/>
  <c r="AM179" i="6"/>
  <c r="AN179" i="6"/>
  <c r="AO179" i="6"/>
  <c r="AP179" i="6"/>
  <c r="AQ179" i="6"/>
  <c r="AR179" i="6"/>
  <c r="AS179" i="6"/>
  <c r="AT179" i="6"/>
  <c r="AU179" i="6"/>
  <c r="AV179" i="6"/>
  <c r="AW179" i="6"/>
  <c r="AX179" i="6"/>
  <c r="AY179" i="6"/>
  <c r="AZ179" i="6"/>
  <c r="BA179" i="6"/>
  <c r="BB179" i="6"/>
  <c r="BC179" i="6"/>
  <c r="BD179" i="6"/>
  <c r="BE179" i="6"/>
  <c r="BF179" i="6"/>
  <c r="BG179" i="6"/>
  <c r="BH179" i="6"/>
  <c r="BI179" i="6"/>
  <c r="BJ179" i="6"/>
  <c r="BK179" i="6"/>
  <c r="BL179" i="6"/>
  <c r="BM179" i="6"/>
  <c r="BN179" i="6"/>
  <c r="BO179" i="6"/>
  <c r="BP179" i="6"/>
  <c r="BQ179" i="6"/>
  <c r="BR179" i="6"/>
  <c r="BS179" i="6"/>
  <c r="BT179" i="6"/>
  <c r="BU179" i="6"/>
  <c r="BV179" i="6"/>
  <c r="BW179" i="6"/>
  <c r="BX179" i="6"/>
  <c r="BY179" i="6"/>
  <c r="BZ179" i="6"/>
  <c r="CA179" i="6"/>
  <c r="CB179" i="6"/>
  <c r="CC179" i="6"/>
  <c r="CD179" i="6"/>
  <c r="CE179" i="6"/>
  <c r="CF179" i="6"/>
  <c r="CG179" i="6"/>
  <c r="CH179" i="6"/>
  <c r="CI179" i="6"/>
  <c r="CJ179" i="6"/>
  <c r="CK179" i="6"/>
  <c r="CL179" i="6"/>
  <c r="CM179" i="6"/>
  <c r="CN179" i="6"/>
  <c r="CO179" i="6"/>
  <c r="CP179" i="6"/>
  <c r="CQ179" i="6"/>
  <c r="CR179" i="6"/>
  <c r="CS179" i="6"/>
  <c r="CT179" i="6"/>
  <c r="CU179" i="6"/>
  <c r="CV179" i="6"/>
  <c r="CW179" i="6"/>
  <c r="CX179" i="6"/>
  <c r="CY179" i="6"/>
  <c r="CZ179" i="6"/>
  <c r="DA179" i="6"/>
  <c r="DB179" i="6"/>
  <c r="DC179" i="6"/>
  <c r="DD179" i="6"/>
  <c r="DE179" i="6"/>
  <c r="DF179" i="6"/>
  <c r="DG179" i="6"/>
  <c r="DH179" i="6"/>
  <c r="DJ179" i="6"/>
  <c r="DK179" i="6"/>
  <c r="DL179" i="6"/>
  <c r="DM179" i="6"/>
  <c r="DN179" i="6"/>
  <c r="DO179" i="6"/>
  <c r="DP179" i="6"/>
  <c r="DQ179" i="6"/>
  <c r="DR179" i="6"/>
  <c r="DS179" i="6"/>
  <c r="DT179" i="6"/>
  <c r="DU179" i="6"/>
  <c r="DV179" i="6"/>
  <c r="DW179" i="6"/>
  <c r="DX179" i="6"/>
  <c r="DY179" i="6"/>
  <c r="DZ179" i="6"/>
  <c r="EA179" i="6"/>
  <c r="EB179" i="6"/>
  <c r="EC179" i="6"/>
  <c r="ED179" i="6"/>
  <c r="EE179" i="6"/>
  <c r="EF179" i="6"/>
  <c r="EG179" i="6"/>
  <c r="EH179" i="6"/>
  <c r="EI179" i="6"/>
  <c r="EJ179" i="6"/>
  <c r="EK179" i="6"/>
  <c r="EL179" i="6"/>
  <c r="EM179" i="6"/>
  <c r="EN179" i="6"/>
  <c r="EO179" i="6"/>
  <c r="EP179" i="6"/>
  <c r="EQ179" i="6"/>
  <c r="ER179" i="6"/>
  <c r="ES179" i="6"/>
  <c r="ET179" i="6"/>
  <c r="EU179" i="6"/>
  <c r="EV179" i="6"/>
  <c r="EW179" i="6"/>
  <c r="EX179" i="6"/>
  <c r="EY179" i="6"/>
  <c r="EZ179" i="6"/>
  <c r="FA179" i="6"/>
  <c r="FB179" i="6"/>
  <c r="FC179" i="6"/>
  <c r="FD179" i="6"/>
  <c r="FE179" i="6"/>
  <c r="B4" i="6" s="1"/>
  <c r="FF179" i="6"/>
  <c r="FG179" i="6"/>
  <c r="FH179" i="6"/>
  <c r="FI179" i="6"/>
  <c r="FJ179" i="6"/>
  <c r="FK179" i="6"/>
  <c r="FL179" i="6"/>
  <c r="FM179" i="6"/>
  <c r="FN179" i="6"/>
  <c r="FO179" i="6"/>
  <c r="FP179" i="6"/>
  <c r="FQ179" i="6"/>
  <c r="FR179" i="6"/>
  <c r="FS179" i="6"/>
  <c r="FT179" i="6"/>
  <c r="FU179" i="6"/>
  <c r="FV179" i="6"/>
  <c r="FW179" i="6"/>
  <c r="FX179" i="6"/>
  <c r="FY179" i="6"/>
  <c r="FZ179" i="6"/>
  <c r="GA179" i="6"/>
  <c r="GB179" i="6"/>
  <c r="GC179" i="6"/>
  <c r="GD179" i="6"/>
  <c r="GE179" i="6"/>
  <c r="GF179" i="6"/>
  <c r="GG179" i="6"/>
  <c r="GH179" i="6"/>
  <c r="GI179" i="6"/>
  <c r="GJ179" i="6"/>
  <c r="GK179" i="6"/>
  <c r="GL179" i="6"/>
  <c r="GM179" i="6"/>
  <c r="I180" i="6"/>
  <c r="J180" i="6"/>
  <c r="K180" i="6"/>
  <c r="L180" i="6"/>
  <c r="M180" i="6"/>
  <c r="N180" i="6"/>
  <c r="O180" i="6"/>
  <c r="P180" i="6"/>
  <c r="Q180" i="6"/>
  <c r="R180" i="6"/>
  <c r="S180" i="6"/>
  <c r="T180" i="6"/>
  <c r="U180" i="6"/>
  <c r="V180" i="6"/>
  <c r="W180" i="6"/>
  <c r="X180" i="6"/>
  <c r="Y180" i="6"/>
  <c r="Z180" i="6"/>
  <c r="AA180" i="6"/>
  <c r="AB180" i="6"/>
  <c r="AC180" i="6"/>
  <c r="AD180" i="6"/>
  <c r="AE180" i="6"/>
  <c r="AF180" i="6"/>
  <c r="AG180" i="6"/>
  <c r="AH180" i="6"/>
  <c r="AI180" i="6"/>
  <c r="AJ180" i="6"/>
  <c r="AK180" i="6"/>
  <c r="AL180" i="6"/>
  <c r="AM180" i="6"/>
  <c r="AN180" i="6"/>
  <c r="AO180" i="6"/>
  <c r="AP180" i="6"/>
  <c r="AQ180" i="6"/>
  <c r="AR180" i="6"/>
  <c r="AS180" i="6"/>
  <c r="AT180" i="6"/>
  <c r="AU180" i="6"/>
  <c r="AV180" i="6"/>
  <c r="AW180" i="6"/>
  <c r="AX180" i="6"/>
  <c r="AY180" i="6"/>
  <c r="AZ180" i="6"/>
  <c r="BA180" i="6"/>
  <c r="BB180" i="6"/>
  <c r="BC180" i="6"/>
  <c r="BD180" i="6"/>
  <c r="BE180" i="6"/>
  <c r="BF180" i="6"/>
  <c r="BG180" i="6"/>
  <c r="BH180" i="6"/>
  <c r="BI180" i="6"/>
  <c r="BJ180" i="6"/>
  <c r="BK180" i="6"/>
  <c r="BL180" i="6"/>
  <c r="BM180" i="6"/>
  <c r="BN180" i="6"/>
  <c r="BO180" i="6"/>
  <c r="BP180" i="6"/>
  <c r="BQ180" i="6"/>
  <c r="BR180" i="6"/>
  <c r="BS180" i="6"/>
  <c r="BT180" i="6"/>
  <c r="BU180" i="6"/>
  <c r="BV180" i="6"/>
  <c r="BW180" i="6"/>
  <c r="BX180" i="6"/>
  <c r="BY180" i="6"/>
  <c r="BZ180" i="6"/>
  <c r="CA180" i="6"/>
  <c r="CB180" i="6"/>
  <c r="CC180" i="6"/>
  <c r="CD180" i="6"/>
  <c r="CE180" i="6"/>
  <c r="CF180" i="6"/>
  <c r="CG180" i="6"/>
  <c r="CH180" i="6"/>
  <c r="CI180" i="6"/>
  <c r="CJ180" i="6"/>
  <c r="CK180" i="6"/>
  <c r="CL180" i="6"/>
  <c r="CM180" i="6"/>
  <c r="CN180" i="6"/>
  <c r="CO180" i="6"/>
  <c r="CP180" i="6"/>
  <c r="CQ180" i="6"/>
  <c r="CR180" i="6"/>
  <c r="CS180" i="6"/>
  <c r="CT180" i="6"/>
  <c r="CU180" i="6"/>
  <c r="CV180" i="6"/>
  <c r="CW180" i="6"/>
  <c r="CX180" i="6"/>
  <c r="CY180" i="6"/>
  <c r="CZ180" i="6"/>
  <c r="DA180" i="6"/>
  <c r="DB180" i="6"/>
  <c r="DC180" i="6"/>
  <c r="DD180" i="6"/>
  <c r="DE180" i="6"/>
  <c r="DF180" i="6"/>
  <c r="DG180" i="6"/>
  <c r="DH180" i="6"/>
  <c r="DJ180" i="6"/>
  <c r="DK180" i="6"/>
  <c r="DL180" i="6"/>
  <c r="DM180" i="6"/>
  <c r="DN180" i="6"/>
  <c r="DO180" i="6"/>
  <c r="DP180" i="6"/>
  <c r="DQ180" i="6"/>
  <c r="DR180" i="6"/>
  <c r="DS180" i="6"/>
  <c r="DT180" i="6"/>
  <c r="DU180" i="6"/>
  <c r="DV180" i="6"/>
  <c r="DW180" i="6"/>
  <c r="DX180" i="6"/>
  <c r="DY180" i="6"/>
  <c r="DZ180" i="6"/>
  <c r="EA180" i="6"/>
  <c r="EB180" i="6"/>
  <c r="EC180" i="6"/>
  <c r="ED180" i="6"/>
  <c r="EE180" i="6"/>
  <c r="EF180" i="6"/>
  <c r="EG180" i="6"/>
  <c r="EH180" i="6"/>
  <c r="EI180" i="6"/>
  <c r="EJ180" i="6"/>
  <c r="EK180" i="6"/>
  <c r="EL180" i="6"/>
  <c r="EM180" i="6"/>
  <c r="EN180" i="6"/>
  <c r="EO180" i="6"/>
  <c r="EP180" i="6"/>
  <c r="EQ180" i="6"/>
  <c r="ER180" i="6"/>
  <c r="ES180" i="6"/>
  <c r="ET180" i="6"/>
  <c r="EU180" i="6"/>
  <c r="EV180" i="6"/>
  <c r="EW180" i="6"/>
  <c r="EX180" i="6"/>
  <c r="EY180" i="6"/>
  <c r="EZ180" i="6"/>
  <c r="FA180" i="6"/>
  <c r="FB180" i="6"/>
  <c r="FC180" i="6"/>
  <c r="FD180" i="6"/>
  <c r="FE180" i="6"/>
  <c r="B5" i="6" s="1"/>
  <c r="FF180" i="6"/>
  <c r="FG180" i="6"/>
  <c r="FH180" i="6"/>
  <c r="FI180" i="6"/>
  <c r="FJ180" i="6"/>
  <c r="FK180" i="6"/>
  <c r="FL180" i="6"/>
  <c r="FM180" i="6"/>
  <c r="FN180" i="6"/>
  <c r="FO180" i="6"/>
  <c r="FP180" i="6"/>
  <c r="FQ180" i="6"/>
  <c r="FR180" i="6"/>
  <c r="FS180" i="6"/>
  <c r="FT180" i="6"/>
  <c r="FU180" i="6"/>
  <c r="FV180" i="6"/>
  <c r="FW180" i="6"/>
  <c r="FX180" i="6"/>
  <c r="FY180" i="6"/>
  <c r="FZ180" i="6"/>
  <c r="GA180" i="6"/>
  <c r="GB180" i="6"/>
  <c r="GC180" i="6"/>
  <c r="GD180" i="6"/>
  <c r="GE180" i="6"/>
  <c r="GF180" i="6"/>
  <c r="GG180" i="6"/>
  <c r="GH180" i="6"/>
  <c r="GI180" i="6"/>
  <c r="GJ180" i="6"/>
  <c r="GK180" i="6"/>
  <c r="GL180" i="6"/>
  <c r="GM180" i="6"/>
  <c r="I181" i="6"/>
  <c r="J181" i="6"/>
  <c r="K181" i="6"/>
  <c r="L181" i="6"/>
  <c r="M181" i="6"/>
  <c r="N181" i="6"/>
  <c r="O181" i="6"/>
  <c r="P181" i="6"/>
  <c r="Q181" i="6"/>
  <c r="R181" i="6"/>
  <c r="S181" i="6"/>
  <c r="T181" i="6"/>
  <c r="U181" i="6"/>
  <c r="V181" i="6"/>
  <c r="W181" i="6"/>
  <c r="X181" i="6"/>
  <c r="Y181" i="6"/>
  <c r="Z181" i="6"/>
  <c r="AA181" i="6"/>
  <c r="AB181" i="6"/>
  <c r="AC181" i="6"/>
  <c r="AD181" i="6"/>
  <c r="AE181" i="6"/>
  <c r="AF181" i="6"/>
  <c r="AG181" i="6"/>
  <c r="AH181" i="6"/>
  <c r="AI181" i="6"/>
  <c r="AJ181" i="6"/>
  <c r="AK181" i="6"/>
  <c r="AL181" i="6"/>
  <c r="AM181" i="6"/>
  <c r="AN181" i="6"/>
  <c r="AO181" i="6"/>
  <c r="AP181" i="6"/>
  <c r="AQ181" i="6"/>
  <c r="AR181" i="6"/>
  <c r="AS181" i="6"/>
  <c r="AT181" i="6"/>
  <c r="AU181" i="6"/>
  <c r="AV181" i="6"/>
  <c r="AW181" i="6"/>
  <c r="AX181" i="6"/>
  <c r="AY181" i="6"/>
  <c r="AZ181" i="6"/>
  <c r="BA181" i="6"/>
  <c r="BB181" i="6"/>
  <c r="BC181" i="6"/>
  <c r="BD181" i="6"/>
  <c r="BE181" i="6"/>
  <c r="BF181" i="6"/>
  <c r="BG181" i="6"/>
  <c r="BH181" i="6"/>
  <c r="BI181" i="6"/>
  <c r="BJ181" i="6"/>
  <c r="BK181" i="6"/>
  <c r="BL181" i="6"/>
  <c r="BM181" i="6"/>
  <c r="BN181" i="6"/>
  <c r="BO181" i="6"/>
  <c r="BP181" i="6"/>
  <c r="BQ181" i="6"/>
  <c r="BR181" i="6"/>
  <c r="BS181" i="6"/>
  <c r="BT181" i="6"/>
  <c r="BU181" i="6"/>
  <c r="BV181" i="6"/>
  <c r="BW181" i="6"/>
  <c r="BX181" i="6"/>
  <c r="BY181" i="6"/>
  <c r="BZ181" i="6"/>
  <c r="CA181" i="6"/>
  <c r="CB181" i="6"/>
  <c r="CC181" i="6"/>
  <c r="CD181" i="6"/>
  <c r="CE181" i="6"/>
  <c r="CF181" i="6"/>
  <c r="CG181" i="6"/>
  <c r="CH181" i="6"/>
  <c r="CI181" i="6"/>
  <c r="CJ181" i="6"/>
  <c r="CK181" i="6"/>
  <c r="CL181" i="6"/>
  <c r="CM181" i="6"/>
  <c r="CN181" i="6"/>
  <c r="CO181" i="6"/>
  <c r="CP181" i="6"/>
  <c r="CQ181" i="6"/>
  <c r="CR181" i="6"/>
  <c r="CS181" i="6"/>
  <c r="CT181" i="6"/>
  <c r="CU181" i="6"/>
  <c r="CV181" i="6"/>
  <c r="CW181" i="6"/>
  <c r="CX181" i="6"/>
  <c r="CY181" i="6"/>
  <c r="CZ181" i="6"/>
  <c r="DA181" i="6"/>
  <c r="DB181" i="6"/>
  <c r="DC181" i="6"/>
  <c r="DD181" i="6"/>
  <c r="DE181" i="6"/>
  <c r="DF181" i="6"/>
  <c r="DG181" i="6"/>
  <c r="DH181" i="6"/>
  <c r="DJ181" i="6"/>
  <c r="DK181" i="6"/>
  <c r="DL181" i="6"/>
  <c r="DM181" i="6"/>
  <c r="DN181" i="6"/>
  <c r="DO181" i="6"/>
  <c r="DP181" i="6"/>
  <c r="DQ181" i="6"/>
  <c r="DR181" i="6"/>
  <c r="DS181" i="6"/>
  <c r="DT181" i="6"/>
  <c r="DU181" i="6"/>
  <c r="DV181" i="6"/>
  <c r="DW181" i="6"/>
  <c r="DX181" i="6"/>
  <c r="DY181" i="6"/>
  <c r="DZ181" i="6"/>
  <c r="EA181" i="6"/>
  <c r="EB181" i="6"/>
  <c r="EC181" i="6"/>
  <c r="ED181" i="6"/>
  <c r="EE181" i="6"/>
  <c r="EF181" i="6"/>
  <c r="EG181" i="6"/>
  <c r="EH181" i="6"/>
  <c r="EI181" i="6"/>
  <c r="EJ181" i="6"/>
  <c r="EK181" i="6"/>
  <c r="EL181" i="6"/>
  <c r="EM181" i="6"/>
  <c r="EN181" i="6"/>
  <c r="EO181" i="6"/>
  <c r="EP181" i="6"/>
  <c r="EQ181" i="6"/>
  <c r="ER181" i="6"/>
  <c r="ES181" i="6"/>
  <c r="ET181" i="6"/>
  <c r="EU181" i="6"/>
  <c r="EV181" i="6"/>
  <c r="EW181" i="6"/>
  <c r="EX181" i="6"/>
  <c r="EY181" i="6"/>
  <c r="EZ181" i="6"/>
  <c r="FA181" i="6"/>
  <c r="FB181" i="6"/>
  <c r="FC181" i="6"/>
  <c r="FD181" i="6"/>
  <c r="FE181" i="6"/>
  <c r="B6" i="6" s="1"/>
  <c r="FF181" i="6"/>
  <c r="FG181" i="6"/>
  <c r="FH181" i="6"/>
  <c r="FI181" i="6"/>
  <c r="FJ181" i="6"/>
  <c r="FK181" i="6"/>
  <c r="FL181" i="6"/>
  <c r="FM181" i="6"/>
  <c r="FN181" i="6"/>
  <c r="FO181" i="6"/>
  <c r="FP181" i="6"/>
  <c r="FQ181" i="6"/>
  <c r="FR181" i="6"/>
  <c r="FS181" i="6"/>
  <c r="FT181" i="6"/>
  <c r="FU181" i="6"/>
  <c r="FV181" i="6"/>
  <c r="FW181" i="6"/>
  <c r="FX181" i="6"/>
  <c r="FY181" i="6"/>
  <c r="FZ181" i="6"/>
  <c r="GA181" i="6"/>
  <c r="GB181" i="6"/>
  <c r="GC181" i="6"/>
  <c r="GD181" i="6"/>
  <c r="GE181" i="6"/>
  <c r="GF181" i="6"/>
  <c r="GG181" i="6"/>
  <c r="GH181" i="6"/>
  <c r="GI181" i="6"/>
  <c r="GJ181" i="6"/>
  <c r="GK181" i="6"/>
  <c r="GL181" i="6"/>
  <c r="GM181" i="6"/>
  <c r="I182" i="6"/>
  <c r="J182" i="6"/>
  <c r="K182" i="6"/>
  <c r="L182" i="6"/>
  <c r="M182" i="6"/>
  <c r="N182" i="6"/>
  <c r="O182" i="6"/>
  <c r="P182" i="6"/>
  <c r="Q182" i="6"/>
  <c r="R182" i="6"/>
  <c r="S182" i="6"/>
  <c r="T182" i="6"/>
  <c r="U182" i="6"/>
  <c r="V182" i="6"/>
  <c r="W182" i="6"/>
  <c r="X182" i="6"/>
  <c r="Y182" i="6"/>
  <c r="Z182" i="6"/>
  <c r="AA182" i="6"/>
  <c r="AB182" i="6"/>
  <c r="AC182" i="6"/>
  <c r="AD182" i="6"/>
  <c r="AE182" i="6"/>
  <c r="AF182" i="6"/>
  <c r="AG182" i="6"/>
  <c r="AH182" i="6"/>
  <c r="AI182" i="6"/>
  <c r="AJ182" i="6"/>
  <c r="AK182" i="6"/>
  <c r="AL182" i="6"/>
  <c r="AM182" i="6"/>
  <c r="AN182" i="6"/>
  <c r="AO182" i="6"/>
  <c r="AP182" i="6"/>
  <c r="AQ182" i="6"/>
  <c r="AR182" i="6"/>
  <c r="AS182" i="6"/>
  <c r="AT182" i="6"/>
  <c r="AU182" i="6"/>
  <c r="AV182" i="6"/>
  <c r="AW182" i="6"/>
  <c r="AX182" i="6"/>
  <c r="AY182" i="6"/>
  <c r="AZ182" i="6"/>
  <c r="BA182" i="6"/>
  <c r="BB182" i="6"/>
  <c r="BC182" i="6"/>
  <c r="BD182" i="6"/>
  <c r="BE182" i="6"/>
  <c r="BF182" i="6"/>
  <c r="BG182" i="6"/>
  <c r="BH182" i="6"/>
  <c r="BI182" i="6"/>
  <c r="BJ182" i="6"/>
  <c r="BK182" i="6"/>
  <c r="BL182" i="6"/>
  <c r="BM182" i="6"/>
  <c r="BN182" i="6"/>
  <c r="BO182" i="6"/>
  <c r="BP182" i="6"/>
  <c r="BQ182" i="6"/>
  <c r="BR182" i="6"/>
  <c r="BS182" i="6"/>
  <c r="BT182" i="6"/>
  <c r="BU182" i="6"/>
  <c r="BV182" i="6"/>
  <c r="BW182" i="6"/>
  <c r="BX182" i="6"/>
  <c r="BY182" i="6"/>
  <c r="BZ182" i="6"/>
  <c r="CA182" i="6"/>
  <c r="CB182" i="6"/>
  <c r="CC182" i="6"/>
  <c r="CD182" i="6"/>
  <c r="CE182" i="6"/>
  <c r="CF182" i="6"/>
  <c r="CG182" i="6"/>
  <c r="CH182" i="6"/>
  <c r="CI182" i="6"/>
  <c r="CJ182" i="6"/>
  <c r="CK182" i="6"/>
  <c r="CL182" i="6"/>
  <c r="CM182" i="6"/>
  <c r="CN182" i="6"/>
  <c r="CO182" i="6"/>
  <c r="CP182" i="6"/>
  <c r="CQ182" i="6"/>
  <c r="CR182" i="6"/>
  <c r="CS182" i="6"/>
  <c r="CT182" i="6"/>
  <c r="CU182" i="6"/>
  <c r="CV182" i="6"/>
  <c r="CW182" i="6"/>
  <c r="CX182" i="6"/>
  <c r="CY182" i="6"/>
  <c r="CZ182" i="6"/>
  <c r="DA182" i="6"/>
  <c r="DB182" i="6"/>
  <c r="DC182" i="6"/>
  <c r="DD182" i="6"/>
  <c r="DE182" i="6"/>
  <c r="DF182" i="6"/>
  <c r="DG182" i="6"/>
  <c r="DH182" i="6"/>
  <c r="DJ182" i="6"/>
  <c r="DK182" i="6"/>
  <c r="DL182" i="6"/>
  <c r="DM182" i="6"/>
  <c r="DN182" i="6"/>
  <c r="DO182" i="6"/>
  <c r="DP182" i="6"/>
  <c r="DQ182" i="6"/>
  <c r="DR182" i="6"/>
  <c r="DS182" i="6"/>
  <c r="DT182" i="6"/>
  <c r="DU182" i="6"/>
  <c r="DV182" i="6"/>
  <c r="DW182" i="6"/>
  <c r="DX182" i="6"/>
  <c r="DY182" i="6"/>
  <c r="DZ182" i="6"/>
  <c r="EA182" i="6"/>
  <c r="EB182" i="6"/>
  <c r="EC182" i="6"/>
  <c r="ED182" i="6"/>
  <c r="EE182" i="6"/>
  <c r="EF182" i="6"/>
  <c r="EG182" i="6"/>
  <c r="EH182" i="6"/>
  <c r="EI182" i="6"/>
  <c r="EJ182" i="6"/>
  <c r="EK182" i="6"/>
  <c r="EL182" i="6"/>
  <c r="EM182" i="6"/>
  <c r="EN182" i="6"/>
  <c r="EO182" i="6"/>
  <c r="EP182" i="6"/>
  <c r="EQ182" i="6"/>
  <c r="ER182" i="6"/>
  <c r="ES182" i="6"/>
  <c r="ET182" i="6"/>
  <c r="EU182" i="6"/>
  <c r="EV182" i="6"/>
  <c r="EW182" i="6"/>
  <c r="EX182" i="6"/>
  <c r="EY182" i="6"/>
  <c r="EZ182" i="6"/>
  <c r="FA182" i="6"/>
  <c r="FB182" i="6"/>
  <c r="FC182" i="6"/>
  <c r="FD182" i="6"/>
  <c r="FE182" i="6"/>
  <c r="B7" i="6" s="1"/>
  <c r="FF182" i="6"/>
  <c r="FG182" i="6"/>
  <c r="FH182" i="6"/>
  <c r="FI182" i="6"/>
  <c r="FJ182" i="6"/>
  <c r="FK182" i="6"/>
  <c r="FL182" i="6"/>
  <c r="FM182" i="6"/>
  <c r="FN182" i="6"/>
  <c r="FO182" i="6"/>
  <c r="FP182" i="6"/>
  <c r="FQ182" i="6"/>
  <c r="FR182" i="6"/>
  <c r="FS182" i="6"/>
  <c r="FT182" i="6"/>
  <c r="FU182" i="6"/>
  <c r="FV182" i="6"/>
  <c r="FW182" i="6"/>
  <c r="FX182" i="6"/>
  <c r="FY182" i="6"/>
  <c r="FZ182" i="6"/>
  <c r="GA182" i="6"/>
  <c r="GB182" i="6"/>
  <c r="GC182" i="6"/>
  <c r="GD182" i="6"/>
  <c r="GE182" i="6"/>
  <c r="GF182" i="6"/>
  <c r="GG182" i="6"/>
  <c r="GH182" i="6"/>
  <c r="GI182" i="6"/>
  <c r="GJ182" i="6"/>
  <c r="GK182" i="6"/>
  <c r="GL182" i="6"/>
  <c r="GM182" i="6"/>
  <c r="I183" i="6"/>
  <c r="J183" i="6"/>
  <c r="K183" i="6"/>
  <c r="L183" i="6"/>
  <c r="M183" i="6"/>
  <c r="N183" i="6"/>
  <c r="O183" i="6"/>
  <c r="P183" i="6"/>
  <c r="Q183" i="6"/>
  <c r="R183" i="6"/>
  <c r="S183" i="6"/>
  <c r="T183" i="6"/>
  <c r="U183" i="6"/>
  <c r="V183" i="6"/>
  <c r="W183" i="6"/>
  <c r="X183" i="6"/>
  <c r="Y183" i="6"/>
  <c r="Z183" i="6"/>
  <c r="AA183" i="6"/>
  <c r="AB183" i="6"/>
  <c r="AC183" i="6"/>
  <c r="AD183" i="6"/>
  <c r="AE183" i="6"/>
  <c r="AF183" i="6"/>
  <c r="AG183" i="6"/>
  <c r="AH183" i="6"/>
  <c r="AI183" i="6"/>
  <c r="AJ183" i="6"/>
  <c r="AK183" i="6"/>
  <c r="AL183" i="6"/>
  <c r="AM183" i="6"/>
  <c r="AN183" i="6"/>
  <c r="AO183" i="6"/>
  <c r="AP183" i="6"/>
  <c r="AQ183" i="6"/>
  <c r="AR183" i="6"/>
  <c r="AS183" i="6"/>
  <c r="AT183" i="6"/>
  <c r="AU183" i="6"/>
  <c r="AV183" i="6"/>
  <c r="AW183" i="6"/>
  <c r="AX183" i="6"/>
  <c r="AY183" i="6"/>
  <c r="AZ183" i="6"/>
  <c r="BA183" i="6"/>
  <c r="BB183" i="6"/>
  <c r="BC183" i="6"/>
  <c r="BD183" i="6"/>
  <c r="BE183" i="6"/>
  <c r="BF183" i="6"/>
  <c r="BG183" i="6"/>
  <c r="BH183" i="6"/>
  <c r="BI183" i="6"/>
  <c r="BJ183" i="6"/>
  <c r="BK183" i="6"/>
  <c r="BL183" i="6"/>
  <c r="BM183" i="6"/>
  <c r="BN183" i="6"/>
  <c r="BO183" i="6"/>
  <c r="BP183" i="6"/>
  <c r="BQ183" i="6"/>
  <c r="BR183" i="6"/>
  <c r="BS183" i="6"/>
  <c r="BT183" i="6"/>
  <c r="BU183" i="6"/>
  <c r="BV183" i="6"/>
  <c r="BW183" i="6"/>
  <c r="BX183" i="6"/>
  <c r="BY183" i="6"/>
  <c r="BZ183" i="6"/>
  <c r="CA183" i="6"/>
  <c r="CB183" i="6"/>
  <c r="CC183" i="6"/>
  <c r="CD183" i="6"/>
  <c r="CE183" i="6"/>
  <c r="CF183" i="6"/>
  <c r="CG183" i="6"/>
  <c r="CH183" i="6"/>
  <c r="CI183" i="6"/>
  <c r="CJ183" i="6"/>
  <c r="CK183" i="6"/>
  <c r="CL183" i="6"/>
  <c r="CM183" i="6"/>
  <c r="CN183" i="6"/>
  <c r="CO183" i="6"/>
  <c r="CP183" i="6"/>
  <c r="CQ183" i="6"/>
  <c r="CR183" i="6"/>
  <c r="CS183" i="6"/>
  <c r="CT183" i="6"/>
  <c r="CU183" i="6"/>
  <c r="CV183" i="6"/>
  <c r="CW183" i="6"/>
  <c r="CX183" i="6"/>
  <c r="CY183" i="6"/>
  <c r="CZ183" i="6"/>
  <c r="DA183" i="6"/>
  <c r="DB183" i="6"/>
  <c r="DC183" i="6"/>
  <c r="DD183" i="6"/>
  <c r="DE183" i="6"/>
  <c r="DF183" i="6"/>
  <c r="DG183" i="6"/>
  <c r="DH183" i="6"/>
  <c r="DJ183" i="6"/>
  <c r="DK183" i="6"/>
  <c r="DL183" i="6"/>
  <c r="DM183" i="6"/>
  <c r="DN183" i="6"/>
  <c r="DO183" i="6"/>
  <c r="DP183" i="6"/>
  <c r="DQ183" i="6"/>
  <c r="DR183" i="6"/>
  <c r="DS183" i="6"/>
  <c r="DT183" i="6"/>
  <c r="DU183" i="6"/>
  <c r="DV183" i="6"/>
  <c r="DW183" i="6"/>
  <c r="DX183" i="6"/>
  <c r="DY183" i="6"/>
  <c r="DZ183" i="6"/>
  <c r="EA183" i="6"/>
  <c r="EB183" i="6"/>
  <c r="EC183" i="6"/>
  <c r="ED183" i="6"/>
  <c r="EE183" i="6"/>
  <c r="EF183" i="6"/>
  <c r="EG183" i="6"/>
  <c r="EH183" i="6"/>
  <c r="EI183" i="6"/>
  <c r="EJ183" i="6"/>
  <c r="EK183" i="6"/>
  <c r="EL183" i="6"/>
  <c r="EM183" i="6"/>
  <c r="EN183" i="6"/>
  <c r="EO183" i="6"/>
  <c r="EP183" i="6"/>
  <c r="EQ183" i="6"/>
  <c r="ER183" i="6"/>
  <c r="ES183" i="6"/>
  <c r="ET183" i="6"/>
  <c r="EU183" i="6"/>
  <c r="EV183" i="6"/>
  <c r="EW183" i="6"/>
  <c r="EX183" i="6"/>
  <c r="EY183" i="6"/>
  <c r="EZ183" i="6"/>
  <c r="FA183" i="6"/>
  <c r="FB183" i="6"/>
  <c r="FC183" i="6"/>
  <c r="FD183" i="6"/>
  <c r="FE183" i="6"/>
  <c r="B8" i="6" s="1"/>
  <c r="FF183" i="6"/>
  <c r="FG183" i="6"/>
  <c r="FH183" i="6"/>
  <c r="FI183" i="6"/>
  <c r="FJ183" i="6"/>
  <c r="FK183" i="6"/>
  <c r="FL183" i="6"/>
  <c r="FM183" i="6"/>
  <c r="FN183" i="6"/>
  <c r="FO183" i="6"/>
  <c r="FP183" i="6"/>
  <c r="FQ183" i="6"/>
  <c r="FR183" i="6"/>
  <c r="FS183" i="6"/>
  <c r="FT183" i="6"/>
  <c r="FU183" i="6"/>
  <c r="FV183" i="6"/>
  <c r="FW183" i="6"/>
  <c r="FX183" i="6"/>
  <c r="FY183" i="6"/>
  <c r="FZ183" i="6"/>
  <c r="GA183" i="6"/>
  <c r="GB183" i="6"/>
  <c r="GC183" i="6"/>
  <c r="GD183" i="6"/>
  <c r="GE183" i="6"/>
  <c r="GF183" i="6"/>
  <c r="GG183" i="6"/>
  <c r="GH183" i="6"/>
  <c r="GI183" i="6"/>
  <c r="GJ183" i="6"/>
  <c r="GK183" i="6"/>
  <c r="GL183" i="6"/>
  <c r="GM183" i="6"/>
  <c r="I184" i="6"/>
  <c r="J184" i="6"/>
  <c r="K184" i="6"/>
  <c r="L184" i="6"/>
  <c r="M184" i="6"/>
  <c r="N184" i="6"/>
  <c r="O184" i="6"/>
  <c r="P184" i="6"/>
  <c r="Q184" i="6"/>
  <c r="R184" i="6"/>
  <c r="S184" i="6"/>
  <c r="T184" i="6"/>
  <c r="U184" i="6"/>
  <c r="V184" i="6"/>
  <c r="W184" i="6"/>
  <c r="X184" i="6"/>
  <c r="Y184" i="6"/>
  <c r="Z184" i="6"/>
  <c r="AA184" i="6"/>
  <c r="AB184" i="6"/>
  <c r="AC184" i="6"/>
  <c r="AD184" i="6"/>
  <c r="AE184" i="6"/>
  <c r="AF184" i="6"/>
  <c r="AG184" i="6"/>
  <c r="AH184" i="6"/>
  <c r="AI184" i="6"/>
  <c r="AJ184" i="6"/>
  <c r="AK184" i="6"/>
  <c r="AL184" i="6"/>
  <c r="AM184" i="6"/>
  <c r="AN184" i="6"/>
  <c r="AO184" i="6"/>
  <c r="AP184" i="6"/>
  <c r="AQ184" i="6"/>
  <c r="AR184" i="6"/>
  <c r="AS184" i="6"/>
  <c r="AT184" i="6"/>
  <c r="AU184" i="6"/>
  <c r="AV184" i="6"/>
  <c r="AW184" i="6"/>
  <c r="AX184" i="6"/>
  <c r="AY184" i="6"/>
  <c r="AZ184" i="6"/>
  <c r="BA184" i="6"/>
  <c r="BB184" i="6"/>
  <c r="BC184" i="6"/>
  <c r="BD184" i="6"/>
  <c r="BE184" i="6"/>
  <c r="BF184" i="6"/>
  <c r="BG184" i="6"/>
  <c r="BH184" i="6"/>
  <c r="BI184" i="6"/>
  <c r="BJ184" i="6"/>
  <c r="BK184" i="6"/>
  <c r="BL184" i="6"/>
  <c r="BM184" i="6"/>
  <c r="BN184" i="6"/>
  <c r="BO184" i="6"/>
  <c r="BP184" i="6"/>
  <c r="BQ184" i="6"/>
  <c r="BR184" i="6"/>
  <c r="BS184" i="6"/>
  <c r="BT184" i="6"/>
  <c r="BU184" i="6"/>
  <c r="BV184" i="6"/>
  <c r="BW184" i="6"/>
  <c r="BX184" i="6"/>
  <c r="BY184" i="6"/>
  <c r="BZ184" i="6"/>
  <c r="CA184" i="6"/>
  <c r="CB184" i="6"/>
  <c r="CC184" i="6"/>
  <c r="CD184" i="6"/>
  <c r="CE184" i="6"/>
  <c r="CF184" i="6"/>
  <c r="CG184" i="6"/>
  <c r="CH184" i="6"/>
  <c r="CI184" i="6"/>
  <c r="CJ184" i="6"/>
  <c r="CK184" i="6"/>
  <c r="CL184" i="6"/>
  <c r="CM184" i="6"/>
  <c r="CN184" i="6"/>
  <c r="CO184" i="6"/>
  <c r="CP184" i="6"/>
  <c r="CQ184" i="6"/>
  <c r="CR184" i="6"/>
  <c r="CS184" i="6"/>
  <c r="CT184" i="6"/>
  <c r="CU184" i="6"/>
  <c r="CV184" i="6"/>
  <c r="CW184" i="6"/>
  <c r="CX184" i="6"/>
  <c r="CY184" i="6"/>
  <c r="CZ184" i="6"/>
  <c r="DA184" i="6"/>
  <c r="DB184" i="6"/>
  <c r="DC184" i="6"/>
  <c r="DD184" i="6"/>
  <c r="DE184" i="6"/>
  <c r="DF184" i="6"/>
  <c r="DG184" i="6"/>
  <c r="DH184" i="6"/>
  <c r="DJ184" i="6"/>
  <c r="DK184" i="6"/>
  <c r="DL184" i="6"/>
  <c r="DM184" i="6"/>
  <c r="DN184" i="6"/>
  <c r="DO184" i="6"/>
  <c r="DP184" i="6"/>
  <c r="DQ184" i="6"/>
  <c r="DR184" i="6"/>
  <c r="DS184" i="6"/>
  <c r="DT184" i="6"/>
  <c r="DU184" i="6"/>
  <c r="DV184" i="6"/>
  <c r="DW184" i="6"/>
  <c r="DX184" i="6"/>
  <c r="DY184" i="6"/>
  <c r="DZ184" i="6"/>
  <c r="EA184" i="6"/>
  <c r="EB184" i="6"/>
  <c r="EC184" i="6"/>
  <c r="ED184" i="6"/>
  <c r="EE184" i="6"/>
  <c r="EF184" i="6"/>
  <c r="EG184" i="6"/>
  <c r="EH184" i="6"/>
  <c r="EI184" i="6"/>
  <c r="EJ184" i="6"/>
  <c r="EK184" i="6"/>
  <c r="EL184" i="6"/>
  <c r="EM184" i="6"/>
  <c r="EN184" i="6"/>
  <c r="EO184" i="6"/>
  <c r="EP184" i="6"/>
  <c r="EQ184" i="6"/>
  <c r="ER184" i="6"/>
  <c r="ES184" i="6"/>
  <c r="ET184" i="6"/>
  <c r="EU184" i="6"/>
  <c r="EV184" i="6"/>
  <c r="EW184" i="6"/>
  <c r="EX184" i="6"/>
  <c r="EY184" i="6"/>
  <c r="EZ184" i="6"/>
  <c r="FA184" i="6"/>
  <c r="FB184" i="6"/>
  <c r="FC184" i="6"/>
  <c r="FD184" i="6"/>
  <c r="FE184" i="6"/>
  <c r="B9" i="6" s="1"/>
  <c r="FF184" i="6"/>
  <c r="FG184" i="6"/>
  <c r="FH184" i="6"/>
  <c r="FI184" i="6"/>
  <c r="FJ184" i="6"/>
  <c r="FK184" i="6"/>
  <c r="FL184" i="6"/>
  <c r="FM184" i="6"/>
  <c r="FN184" i="6"/>
  <c r="FO184" i="6"/>
  <c r="FP184" i="6"/>
  <c r="FQ184" i="6"/>
  <c r="FR184" i="6"/>
  <c r="FS184" i="6"/>
  <c r="FT184" i="6"/>
  <c r="FU184" i="6"/>
  <c r="FV184" i="6"/>
  <c r="FW184" i="6"/>
  <c r="FX184" i="6"/>
  <c r="FY184" i="6"/>
  <c r="FZ184" i="6"/>
  <c r="GA184" i="6"/>
  <c r="GB184" i="6"/>
  <c r="GC184" i="6"/>
  <c r="GD184" i="6"/>
  <c r="GE184" i="6"/>
  <c r="GF184" i="6"/>
  <c r="GG184" i="6"/>
  <c r="GH184" i="6"/>
  <c r="GI184" i="6"/>
  <c r="GJ184" i="6"/>
  <c r="GK184" i="6"/>
  <c r="GL184" i="6"/>
  <c r="GM184" i="6"/>
  <c r="I185" i="6"/>
  <c r="J185" i="6"/>
  <c r="K185" i="6"/>
  <c r="L185" i="6"/>
  <c r="M185" i="6"/>
  <c r="N185" i="6"/>
  <c r="O185" i="6"/>
  <c r="P185" i="6"/>
  <c r="Q185" i="6"/>
  <c r="R185" i="6"/>
  <c r="S185" i="6"/>
  <c r="T185" i="6"/>
  <c r="U185" i="6"/>
  <c r="V185" i="6"/>
  <c r="W185" i="6"/>
  <c r="X185" i="6"/>
  <c r="Y185" i="6"/>
  <c r="Z185" i="6"/>
  <c r="AA185" i="6"/>
  <c r="AB185" i="6"/>
  <c r="AC185" i="6"/>
  <c r="AD185" i="6"/>
  <c r="AE185" i="6"/>
  <c r="AF185" i="6"/>
  <c r="AG185" i="6"/>
  <c r="AH185" i="6"/>
  <c r="AI185" i="6"/>
  <c r="AJ185" i="6"/>
  <c r="AK185" i="6"/>
  <c r="AL185" i="6"/>
  <c r="AM185" i="6"/>
  <c r="AN185" i="6"/>
  <c r="AO185" i="6"/>
  <c r="AP185" i="6"/>
  <c r="AQ185" i="6"/>
  <c r="AR185" i="6"/>
  <c r="AS185" i="6"/>
  <c r="AT185" i="6"/>
  <c r="AU185" i="6"/>
  <c r="AV185" i="6"/>
  <c r="AW185" i="6"/>
  <c r="AX185" i="6"/>
  <c r="AY185" i="6"/>
  <c r="AZ185" i="6"/>
  <c r="BA185" i="6"/>
  <c r="BB185" i="6"/>
  <c r="BC185" i="6"/>
  <c r="BD185" i="6"/>
  <c r="BE185" i="6"/>
  <c r="BF185" i="6"/>
  <c r="BG185" i="6"/>
  <c r="BH185" i="6"/>
  <c r="BI185" i="6"/>
  <c r="BJ185" i="6"/>
  <c r="BK185" i="6"/>
  <c r="BL185" i="6"/>
  <c r="BM185" i="6"/>
  <c r="BN185" i="6"/>
  <c r="BO185" i="6"/>
  <c r="BP185" i="6"/>
  <c r="BQ185" i="6"/>
  <c r="BR185" i="6"/>
  <c r="BS185" i="6"/>
  <c r="BT185" i="6"/>
  <c r="BU185" i="6"/>
  <c r="BV185" i="6"/>
  <c r="BW185" i="6"/>
  <c r="BX185" i="6"/>
  <c r="BY185" i="6"/>
  <c r="BZ185" i="6"/>
  <c r="CA185" i="6"/>
  <c r="CB185" i="6"/>
  <c r="CC185" i="6"/>
  <c r="CD185" i="6"/>
  <c r="CE185" i="6"/>
  <c r="CF185" i="6"/>
  <c r="CG185" i="6"/>
  <c r="CH185" i="6"/>
  <c r="CI185" i="6"/>
  <c r="CJ185" i="6"/>
  <c r="CK185" i="6"/>
  <c r="CL185" i="6"/>
  <c r="CM185" i="6"/>
  <c r="CN185" i="6"/>
  <c r="CO185" i="6"/>
  <c r="CP185" i="6"/>
  <c r="CQ185" i="6"/>
  <c r="CR185" i="6"/>
  <c r="CS185" i="6"/>
  <c r="CT185" i="6"/>
  <c r="CU185" i="6"/>
  <c r="CV185" i="6"/>
  <c r="CW185" i="6"/>
  <c r="CX185" i="6"/>
  <c r="CY185" i="6"/>
  <c r="CZ185" i="6"/>
  <c r="DA185" i="6"/>
  <c r="DB185" i="6"/>
  <c r="DC185" i="6"/>
  <c r="DD185" i="6"/>
  <c r="DE185" i="6"/>
  <c r="DF185" i="6"/>
  <c r="DG185" i="6"/>
  <c r="DH185" i="6"/>
  <c r="DJ185" i="6"/>
  <c r="DK185" i="6"/>
  <c r="DL185" i="6"/>
  <c r="DM185" i="6"/>
  <c r="DN185" i="6"/>
  <c r="DO185" i="6"/>
  <c r="DP185" i="6"/>
  <c r="DQ185" i="6"/>
  <c r="DR185" i="6"/>
  <c r="DS185" i="6"/>
  <c r="DT185" i="6"/>
  <c r="DU185" i="6"/>
  <c r="DV185" i="6"/>
  <c r="DW185" i="6"/>
  <c r="DX185" i="6"/>
  <c r="DY185" i="6"/>
  <c r="DZ185" i="6"/>
  <c r="EA185" i="6"/>
  <c r="EB185" i="6"/>
  <c r="EC185" i="6"/>
  <c r="ED185" i="6"/>
  <c r="EE185" i="6"/>
  <c r="EF185" i="6"/>
  <c r="EG185" i="6"/>
  <c r="EH185" i="6"/>
  <c r="EI185" i="6"/>
  <c r="EJ185" i="6"/>
  <c r="EK185" i="6"/>
  <c r="EL185" i="6"/>
  <c r="EM185" i="6"/>
  <c r="EN185" i="6"/>
  <c r="EO185" i="6"/>
  <c r="EP185" i="6"/>
  <c r="EQ185" i="6"/>
  <c r="ER185" i="6"/>
  <c r="ES185" i="6"/>
  <c r="ET185" i="6"/>
  <c r="EU185" i="6"/>
  <c r="EV185" i="6"/>
  <c r="EW185" i="6"/>
  <c r="EX185" i="6"/>
  <c r="EY185" i="6"/>
  <c r="EZ185" i="6"/>
  <c r="FA185" i="6"/>
  <c r="FB185" i="6"/>
  <c r="FC185" i="6"/>
  <c r="FD185" i="6"/>
  <c r="FE185" i="6"/>
  <c r="B10" i="6" s="1"/>
  <c r="FF185" i="6"/>
  <c r="FG185" i="6"/>
  <c r="FH185" i="6"/>
  <c r="FI185" i="6"/>
  <c r="FJ185" i="6"/>
  <c r="FK185" i="6"/>
  <c r="FL185" i="6"/>
  <c r="FM185" i="6"/>
  <c r="FN185" i="6"/>
  <c r="FO185" i="6"/>
  <c r="FP185" i="6"/>
  <c r="FQ185" i="6"/>
  <c r="FR185" i="6"/>
  <c r="FS185" i="6"/>
  <c r="FT185" i="6"/>
  <c r="FU185" i="6"/>
  <c r="FV185" i="6"/>
  <c r="FW185" i="6"/>
  <c r="FX185" i="6"/>
  <c r="FY185" i="6"/>
  <c r="FZ185" i="6"/>
  <c r="GA185" i="6"/>
  <c r="GB185" i="6"/>
  <c r="GC185" i="6"/>
  <c r="GD185" i="6"/>
  <c r="GE185" i="6"/>
  <c r="GF185" i="6"/>
  <c r="GG185" i="6"/>
  <c r="GH185" i="6"/>
  <c r="GI185" i="6"/>
  <c r="GJ185" i="6"/>
  <c r="GK185" i="6"/>
  <c r="GL185" i="6"/>
  <c r="GM185" i="6"/>
  <c r="I186" i="6"/>
  <c r="J186" i="6"/>
  <c r="K186" i="6"/>
  <c r="L186" i="6"/>
  <c r="M186" i="6"/>
  <c r="N186" i="6"/>
  <c r="O186" i="6"/>
  <c r="P186" i="6"/>
  <c r="Q186" i="6"/>
  <c r="R186" i="6"/>
  <c r="S186" i="6"/>
  <c r="T186" i="6"/>
  <c r="U186" i="6"/>
  <c r="V186" i="6"/>
  <c r="W186" i="6"/>
  <c r="X186" i="6"/>
  <c r="Y186" i="6"/>
  <c r="Z186" i="6"/>
  <c r="AA186" i="6"/>
  <c r="AB186" i="6"/>
  <c r="AC186" i="6"/>
  <c r="AD186" i="6"/>
  <c r="AE186" i="6"/>
  <c r="AF186" i="6"/>
  <c r="AG186" i="6"/>
  <c r="AH186" i="6"/>
  <c r="AI186" i="6"/>
  <c r="AJ186" i="6"/>
  <c r="AK186" i="6"/>
  <c r="AL186" i="6"/>
  <c r="AM186" i="6"/>
  <c r="AN186" i="6"/>
  <c r="AO186" i="6"/>
  <c r="AP186" i="6"/>
  <c r="AQ186" i="6"/>
  <c r="AR186" i="6"/>
  <c r="AS186" i="6"/>
  <c r="AT186" i="6"/>
  <c r="AU186" i="6"/>
  <c r="AV186" i="6"/>
  <c r="AW186" i="6"/>
  <c r="AX186" i="6"/>
  <c r="AY186" i="6"/>
  <c r="AZ186" i="6"/>
  <c r="BA186" i="6"/>
  <c r="BB186" i="6"/>
  <c r="BC186" i="6"/>
  <c r="BD186" i="6"/>
  <c r="BE186" i="6"/>
  <c r="BF186" i="6"/>
  <c r="BG186" i="6"/>
  <c r="BH186" i="6"/>
  <c r="BI186" i="6"/>
  <c r="BJ186" i="6"/>
  <c r="BK186" i="6"/>
  <c r="BL186" i="6"/>
  <c r="BM186" i="6"/>
  <c r="BN186" i="6"/>
  <c r="BO186" i="6"/>
  <c r="BP186" i="6"/>
  <c r="BQ186" i="6"/>
  <c r="BR186" i="6"/>
  <c r="BS186" i="6"/>
  <c r="BT186" i="6"/>
  <c r="BU186" i="6"/>
  <c r="BV186" i="6"/>
  <c r="BW186" i="6"/>
  <c r="BX186" i="6"/>
  <c r="BY186" i="6"/>
  <c r="BZ186" i="6"/>
  <c r="CA186" i="6"/>
  <c r="CB186" i="6"/>
  <c r="CC186" i="6"/>
  <c r="CD186" i="6"/>
  <c r="CE186" i="6"/>
  <c r="CF186" i="6"/>
  <c r="CG186" i="6"/>
  <c r="CH186" i="6"/>
  <c r="CI186" i="6"/>
  <c r="CJ186" i="6"/>
  <c r="CK186" i="6"/>
  <c r="CL186" i="6"/>
  <c r="CM186" i="6"/>
  <c r="CN186" i="6"/>
  <c r="CO186" i="6"/>
  <c r="CP186" i="6"/>
  <c r="CQ186" i="6"/>
  <c r="CR186" i="6"/>
  <c r="CS186" i="6"/>
  <c r="CT186" i="6"/>
  <c r="CU186" i="6"/>
  <c r="CV186" i="6"/>
  <c r="CW186" i="6"/>
  <c r="CX186" i="6"/>
  <c r="CY186" i="6"/>
  <c r="CZ186" i="6"/>
  <c r="DA186" i="6"/>
  <c r="DB186" i="6"/>
  <c r="DC186" i="6"/>
  <c r="DD186" i="6"/>
  <c r="DE186" i="6"/>
  <c r="DF186" i="6"/>
  <c r="DG186" i="6"/>
  <c r="DH186" i="6"/>
  <c r="DJ186" i="6"/>
  <c r="DK186" i="6"/>
  <c r="DL186" i="6"/>
  <c r="DM186" i="6"/>
  <c r="DN186" i="6"/>
  <c r="DO186" i="6"/>
  <c r="DP186" i="6"/>
  <c r="DQ186" i="6"/>
  <c r="DR186" i="6"/>
  <c r="DS186" i="6"/>
  <c r="DT186" i="6"/>
  <c r="DU186" i="6"/>
  <c r="DV186" i="6"/>
  <c r="DW186" i="6"/>
  <c r="DX186" i="6"/>
  <c r="DY186" i="6"/>
  <c r="DZ186" i="6"/>
  <c r="EA186" i="6"/>
  <c r="EB186" i="6"/>
  <c r="EC186" i="6"/>
  <c r="ED186" i="6"/>
  <c r="EE186" i="6"/>
  <c r="EF186" i="6"/>
  <c r="EG186" i="6"/>
  <c r="EH186" i="6"/>
  <c r="EI186" i="6"/>
  <c r="EJ186" i="6"/>
  <c r="EK186" i="6"/>
  <c r="EL186" i="6"/>
  <c r="EM186" i="6"/>
  <c r="EN186" i="6"/>
  <c r="EO186" i="6"/>
  <c r="EP186" i="6"/>
  <c r="EQ186" i="6"/>
  <c r="ER186" i="6"/>
  <c r="ES186" i="6"/>
  <c r="ET186" i="6"/>
  <c r="EU186" i="6"/>
  <c r="EV186" i="6"/>
  <c r="EW186" i="6"/>
  <c r="EX186" i="6"/>
  <c r="EY186" i="6"/>
  <c r="EZ186" i="6"/>
  <c r="FA186" i="6"/>
  <c r="FB186" i="6"/>
  <c r="FC186" i="6"/>
  <c r="FD186" i="6"/>
  <c r="FE186" i="6"/>
  <c r="B11" i="6" s="1"/>
  <c r="FF186" i="6"/>
  <c r="FG186" i="6"/>
  <c r="FH186" i="6"/>
  <c r="FI186" i="6"/>
  <c r="FJ186" i="6"/>
  <c r="FK186" i="6"/>
  <c r="FL186" i="6"/>
  <c r="FM186" i="6"/>
  <c r="FN186" i="6"/>
  <c r="FO186" i="6"/>
  <c r="FP186" i="6"/>
  <c r="FQ186" i="6"/>
  <c r="FR186" i="6"/>
  <c r="FS186" i="6"/>
  <c r="FT186" i="6"/>
  <c r="FU186" i="6"/>
  <c r="FV186" i="6"/>
  <c r="FW186" i="6"/>
  <c r="FX186" i="6"/>
  <c r="FY186" i="6"/>
  <c r="FZ186" i="6"/>
  <c r="GA186" i="6"/>
  <c r="GB186" i="6"/>
  <c r="GC186" i="6"/>
  <c r="GD186" i="6"/>
  <c r="GE186" i="6"/>
  <c r="GF186" i="6"/>
  <c r="GG186" i="6"/>
  <c r="GH186" i="6"/>
  <c r="GI186" i="6"/>
  <c r="GJ186" i="6"/>
  <c r="GK186" i="6"/>
  <c r="GL186" i="6"/>
  <c r="GM186" i="6"/>
  <c r="I187" i="6"/>
  <c r="J187" i="6"/>
  <c r="K187" i="6"/>
  <c r="L187" i="6"/>
  <c r="M187" i="6"/>
  <c r="N187" i="6"/>
  <c r="O187" i="6"/>
  <c r="P187" i="6"/>
  <c r="Q187" i="6"/>
  <c r="R187" i="6"/>
  <c r="S187" i="6"/>
  <c r="T187" i="6"/>
  <c r="U187" i="6"/>
  <c r="V187" i="6"/>
  <c r="W187" i="6"/>
  <c r="X187" i="6"/>
  <c r="Y187" i="6"/>
  <c r="Z187" i="6"/>
  <c r="AA187" i="6"/>
  <c r="AB187" i="6"/>
  <c r="AC187" i="6"/>
  <c r="AD187" i="6"/>
  <c r="AE187" i="6"/>
  <c r="AF187" i="6"/>
  <c r="AG187" i="6"/>
  <c r="AH187" i="6"/>
  <c r="AI187" i="6"/>
  <c r="AJ187" i="6"/>
  <c r="AK187" i="6"/>
  <c r="AL187" i="6"/>
  <c r="AM187" i="6"/>
  <c r="AN187" i="6"/>
  <c r="AO187" i="6"/>
  <c r="AP187" i="6"/>
  <c r="AQ187" i="6"/>
  <c r="AR187" i="6"/>
  <c r="AS187" i="6"/>
  <c r="AT187" i="6"/>
  <c r="AU187" i="6"/>
  <c r="AV187" i="6"/>
  <c r="AW187" i="6"/>
  <c r="AX187" i="6"/>
  <c r="AY187" i="6"/>
  <c r="AZ187" i="6"/>
  <c r="BA187" i="6"/>
  <c r="BB187" i="6"/>
  <c r="BC187" i="6"/>
  <c r="BD187" i="6"/>
  <c r="BE187" i="6"/>
  <c r="BF187" i="6"/>
  <c r="BG187" i="6"/>
  <c r="BH187" i="6"/>
  <c r="BI187" i="6"/>
  <c r="BJ187" i="6"/>
  <c r="BK187" i="6"/>
  <c r="BL187" i="6"/>
  <c r="BM187" i="6"/>
  <c r="BN187" i="6"/>
  <c r="BO187" i="6"/>
  <c r="BP187" i="6"/>
  <c r="BQ187" i="6"/>
  <c r="BR187" i="6"/>
  <c r="BS187" i="6"/>
  <c r="BT187" i="6"/>
  <c r="BU187" i="6"/>
  <c r="BV187" i="6"/>
  <c r="BW187" i="6"/>
  <c r="BX187" i="6"/>
  <c r="BY187" i="6"/>
  <c r="BZ187" i="6"/>
  <c r="CA187" i="6"/>
  <c r="CB187" i="6"/>
  <c r="CC187" i="6"/>
  <c r="CD187" i="6"/>
  <c r="CE187" i="6"/>
  <c r="CF187" i="6"/>
  <c r="CG187" i="6"/>
  <c r="CH187" i="6"/>
  <c r="CI187" i="6"/>
  <c r="CJ187" i="6"/>
  <c r="CK187" i="6"/>
  <c r="CL187" i="6"/>
  <c r="CM187" i="6"/>
  <c r="CN187" i="6"/>
  <c r="CO187" i="6"/>
  <c r="CP187" i="6"/>
  <c r="CQ187" i="6"/>
  <c r="CR187" i="6"/>
  <c r="CS187" i="6"/>
  <c r="CT187" i="6"/>
  <c r="CU187" i="6"/>
  <c r="CV187" i="6"/>
  <c r="CW187" i="6"/>
  <c r="CX187" i="6"/>
  <c r="CY187" i="6"/>
  <c r="CZ187" i="6"/>
  <c r="DA187" i="6"/>
  <c r="DB187" i="6"/>
  <c r="DC187" i="6"/>
  <c r="DD187" i="6"/>
  <c r="DE187" i="6"/>
  <c r="DF187" i="6"/>
  <c r="DG187" i="6"/>
  <c r="DH187" i="6"/>
  <c r="DJ187" i="6"/>
  <c r="DK187" i="6"/>
  <c r="DL187" i="6"/>
  <c r="DM187" i="6"/>
  <c r="DN187" i="6"/>
  <c r="DO187" i="6"/>
  <c r="DP187" i="6"/>
  <c r="DQ187" i="6"/>
  <c r="DR187" i="6"/>
  <c r="DS187" i="6"/>
  <c r="DT187" i="6"/>
  <c r="DU187" i="6"/>
  <c r="DV187" i="6"/>
  <c r="DW187" i="6"/>
  <c r="DX187" i="6"/>
  <c r="DY187" i="6"/>
  <c r="DZ187" i="6"/>
  <c r="EA187" i="6"/>
  <c r="EB187" i="6"/>
  <c r="EC187" i="6"/>
  <c r="ED187" i="6"/>
  <c r="EE187" i="6"/>
  <c r="EF187" i="6"/>
  <c r="EG187" i="6"/>
  <c r="EH187" i="6"/>
  <c r="EI187" i="6"/>
  <c r="EJ187" i="6"/>
  <c r="EK187" i="6"/>
  <c r="EL187" i="6"/>
  <c r="EM187" i="6"/>
  <c r="EN187" i="6"/>
  <c r="EO187" i="6"/>
  <c r="EP187" i="6"/>
  <c r="EQ187" i="6"/>
  <c r="ER187" i="6"/>
  <c r="ES187" i="6"/>
  <c r="ET187" i="6"/>
  <c r="EU187" i="6"/>
  <c r="EV187" i="6"/>
  <c r="EW187" i="6"/>
  <c r="EX187" i="6"/>
  <c r="EY187" i="6"/>
  <c r="EZ187" i="6"/>
  <c r="FA187" i="6"/>
  <c r="FB187" i="6"/>
  <c r="FC187" i="6"/>
  <c r="FD187" i="6"/>
  <c r="FE187" i="6"/>
  <c r="B12" i="6" s="1"/>
  <c r="FF187" i="6"/>
  <c r="FG187" i="6"/>
  <c r="FH187" i="6"/>
  <c r="FI187" i="6"/>
  <c r="FJ187" i="6"/>
  <c r="FK187" i="6"/>
  <c r="FL187" i="6"/>
  <c r="FM187" i="6"/>
  <c r="FN187" i="6"/>
  <c r="FO187" i="6"/>
  <c r="FP187" i="6"/>
  <c r="FQ187" i="6"/>
  <c r="FR187" i="6"/>
  <c r="FS187" i="6"/>
  <c r="FT187" i="6"/>
  <c r="FU187" i="6"/>
  <c r="FV187" i="6"/>
  <c r="FW187" i="6"/>
  <c r="FX187" i="6"/>
  <c r="FY187" i="6"/>
  <c r="FZ187" i="6"/>
  <c r="GA187" i="6"/>
  <c r="GB187" i="6"/>
  <c r="GC187" i="6"/>
  <c r="GD187" i="6"/>
  <c r="GE187" i="6"/>
  <c r="GF187" i="6"/>
  <c r="GG187" i="6"/>
  <c r="GH187" i="6"/>
  <c r="GI187" i="6"/>
  <c r="GJ187" i="6"/>
  <c r="GK187" i="6"/>
  <c r="GL187" i="6"/>
  <c r="GM187" i="6"/>
  <c r="I188" i="6"/>
  <c r="J188" i="6"/>
  <c r="K188" i="6"/>
  <c r="L188" i="6"/>
  <c r="M188" i="6"/>
  <c r="N188" i="6"/>
  <c r="O188" i="6"/>
  <c r="P188" i="6"/>
  <c r="Q188" i="6"/>
  <c r="R188" i="6"/>
  <c r="S188" i="6"/>
  <c r="T188" i="6"/>
  <c r="U188" i="6"/>
  <c r="V188" i="6"/>
  <c r="W188" i="6"/>
  <c r="X188" i="6"/>
  <c r="Y188" i="6"/>
  <c r="Z188" i="6"/>
  <c r="AA188" i="6"/>
  <c r="AB188" i="6"/>
  <c r="AC188" i="6"/>
  <c r="AD188" i="6"/>
  <c r="AE188" i="6"/>
  <c r="AF188" i="6"/>
  <c r="AG188" i="6"/>
  <c r="AH188" i="6"/>
  <c r="AI188" i="6"/>
  <c r="AJ188" i="6"/>
  <c r="AK188" i="6"/>
  <c r="AL188" i="6"/>
  <c r="AM188" i="6"/>
  <c r="AN188" i="6"/>
  <c r="AO188" i="6"/>
  <c r="AP188" i="6"/>
  <c r="AQ188" i="6"/>
  <c r="AR188" i="6"/>
  <c r="AS188" i="6"/>
  <c r="AT188" i="6"/>
  <c r="AU188" i="6"/>
  <c r="AV188" i="6"/>
  <c r="AW188" i="6"/>
  <c r="AX188" i="6"/>
  <c r="AY188" i="6"/>
  <c r="AZ188" i="6"/>
  <c r="BA188" i="6"/>
  <c r="BB188" i="6"/>
  <c r="BC188" i="6"/>
  <c r="BD188" i="6"/>
  <c r="BE188" i="6"/>
  <c r="BF188" i="6"/>
  <c r="BG188" i="6"/>
  <c r="BH188" i="6"/>
  <c r="BI188" i="6"/>
  <c r="BJ188" i="6"/>
  <c r="BK188" i="6"/>
  <c r="BL188" i="6"/>
  <c r="BM188" i="6"/>
  <c r="BN188" i="6"/>
  <c r="BO188" i="6"/>
  <c r="BP188" i="6"/>
  <c r="BQ188" i="6"/>
  <c r="BR188" i="6"/>
  <c r="BS188" i="6"/>
  <c r="BT188" i="6"/>
  <c r="BU188" i="6"/>
  <c r="BV188" i="6"/>
  <c r="BW188" i="6"/>
  <c r="BX188" i="6"/>
  <c r="BY188" i="6"/>
  <c r="BZ188" i="6"/>
  <c r="CA188" i="6"/>
  <c r="CB188" i="6"/>
  <c r="CC188" i="6"/>
  <c r="CD188" i="6"/>
  <c r="CE188" i="6"/>
  <c r="CF188" i="6"/>
  <c r="CG188" i="6"/>
  <c r="CH188" i="6"/>
  <c r="CI188" i="6"/>
  <c r="CJ188" i="6"/>
  <c r="CK188" i="6"/>
  <c r="CL188" i="6"/>
  <c r="CM188" i="6"/>
  <c r="CN188" i="6"/>
  <c r="CO188" i="6"/>
  <c r="CP188" i="6"/>
  <c r="CQ188" i="6"/>
  <c r="CR188" i="6"/>
  <c r="CS188" i="6"/>
  <c r="CT188" i="6"/>
  <c r="CU188" i="6"/>
  <c r="CV188" i="6"/>
  <c r="CW188" i="6"/>
  <c r="CX188" i="6"/>
  <c r="CY188" i="6"/>
  <c r="CZ188" i="6"/>
  <c r="DA188" i="6"/>
  <c r="DB188" i="6"/>
  <c r="DC188" i="6"/>
  <c r="DD188" i="6"/>
  <c r="DE188" i="6"/>
  <c r="DF188" i="6"/>
  <c r="DG188" i="6"/>
  <c r="DH188" i="6"/>
  <c r="DJ188" i="6"/>
  <c r="DK188" i="6"/>
  <c r="DL188" i="6"/>
  <c r="DM188" i="6"/>
  <c r="DN188" i="6"/>
  <c r="DO188" i="6"/>
  <c r="DP188" i="6"/>
  <c r="DQ188" i="6"/>
  <c r="DR188" i="6"/>
  <c r="DS188" i="6"/>
  <c r="DT188" i="6"/>
  <c r="DU188" i="6"/>
  <c r="DV188" i="6"/>
  <c r="DW188" i="6"/>
  <c r="DX188" i="6"/>
  <c r="DY188" i="6"/>
  <c r="DZ188" i="6"/>
  <c r="EA188" i="6"/>
  <c r="EB188" i="6"/>
  <c r="EC188" i="6"/>
  <c r="ED188" i="6"/>
  <c r="EE188" i="6"/>
  <c r="EF188" i="6"/>
  <c r="EG188" i="6"/>
  <c r="EH188" i="6"/>
  <c r="EI188" i="6"/>
  <c r="EJ188" i="6"/>
  <c r="EK188" i="6"/>
  <c r="EL188" i="6"/>
  <c r="EM188" i="6"/>
  <c r="EN188" i="6"/>
  <c r="EO188" i="6"/>
  <c r="EP188" i="6"/>
  <c r="EQ188" i="6"/>
  <c r="ER188" i="6"/>
  <c r="ES188" i="6"/>
  <c r="ET188" i="6"/>
  <c r="EU188" i="6"/>
  <c r="EV188" i="6"/>
  <c r="EW188" i="6"/>
  <c r="EX188" i="6"/>
  <c r="EY188" i="6"/>
  <c r="EZ188" i="6"/>
  <c r="FA188" i="6"/>
  <c r="FB188" i="6"/>
  <c r="FC188" i="6"/>
  <c r="FD188" i="6"/>
  <c r="FE188" i="6"/>
  <c r="B13" i="6" s="1"/>
  <c r="FF188" i="6"/>
  <c r="FG188" i="6"/>
  <c r="FH188" i="6"/>
  <c r="FI188" i="6"/>
  <c r="FJ188" i="6"/>
  <c r="FK188" i="6"/>
  <c r="FL188" i="6"/>
  <c r="FM188" i="6"/>
  <c r="FN188" i="6"/>
  <c r="FO188" i="6"/>
  <c r="FP188" i="6"/>
  <c r="FQ188" i="6"/>
  <c r="FR188" i="6"/>
  <c r="FS188" i="6"/>
  <c r="FT188" i="6"/>
  <c r="FU188" i="6"/>
  <c r="FV188" i="6"/>
  <c r="FW188" i="6"/>
  <c r="FX188" i="6"/>
  <c r="FY188" i="6"/>
  <c r="FZ188" i="6"/>
  <c r="GA188" i="6"/>
  <c r="GB188" i="6"/>
  <c r="GC188" i="6"/>
  <c r="GD188" i="6"/>
  <c r="GE188" i="6"/>
  <c r="GF188" i="6"/>
  <c r="GG188" i="6"/>
  <c r="GH188" i="6"/>
  <c r="GI188" i="6"/>
  <c r="GJ188" i="6"/>
  <c r="GK188" i="6"/>
  <c r="GL188" i="6"/>
  <c r="GM188" i="6"/>
  <c r="I189" i="6"/>
  <c r="J189" i="6"/>
  <c r="K189" i="6"/>
  <c r="L189" i="6"/>
  <c r="M189" i="6"/>
  <c r="N189" i="6"/>
  <c r="O189" i="6"/>
  <c r="P189" i="6"/>
  <c r="Q189" i="6"/>
  <c r="R189" i="6"/>
  <c r="S189" i="6"/>
  <c r="T189" i="6"/>
  <c r="U189" i="6"/>
  <c r="V189" i="6"/>
  <c r="W189" i="6"/>
  <c r="X189" i="6"/>
  <c r="Y189" i="6"/>
  <c r="Z189" i="6"/>
  <c r="AA189" i="6"/>
  <c r="AB189" i="6"/>
  <c r="AC189" i="6"/>
  <c r="AD189" i="6"/>
  <c r="AE189" i="6"/>
  <c r="AF189" i="6"/>
  <c r="AG189" i="6"/>
  <c r="AH189" i="6"/>
  <c r="AI189" i="6"/>
  <c r="AJ189" i="6"/>
  <c r="AK189" i="6"/>
  <c r="AL189" i="6"/>
  <c r="AM189" i="6"/>
  <c r="AN189" i="6"/>
  <c r="AO189" i="6"/>
  <c r="AP189" i="6"/>
  <c r="AQ189" i="6"/>
  <c r="AR189" i="6"/>
  <c r="AS189" i="6"/>
  <c r="AT189" i="6"/>
  <c r="AU189" i="6"/>
  <c r="AV189" i="6"/>
  <c r="AW189" i="6"/>
  <c r="AX189" i="6"/>
  <c r="AY189" i="6"/>
  <c r="AZ189" i="6"/>
  <c r="BA189" i="6"/>
  <c r="BB189" i="6"/>
  <c r="BC189" i="6"/>
  <c r="BD189" i="6"/>
  <c r="BE189" i="6"/>
  <c r="BF189" i="6"/>
  <c r="BG189" i="6"/>
  <c r="BH189" i="6"/>
  <c r="BI189" i="6"/>
  <c r="BJ189" i="6"/>
  <c r="BK189" i="6"/>
  <c r="BL189" i="6"/>
  <c r="BM189" i="6"/>
  <c r="BN189" i="6"/>
  <c r="BO189" i="6"/>
  <c r="BP189" i="6"/>
  <c r="BQ189" i="6"/>
  <c r="BR189" i="6"/>
  <c r="BS189" i="6"/>
  <c r="BT189" i="6"/>
  <c r="BU189" i="6"/>
  <c r="BV189" i="6"/>
  <c r="BW189" i="6"/>
  <c r="BX189" i="6"/>
  <c r="BY189" i="6"/>
  <c r="BZ189" i="6"/>
  <c r="CA189" i="6"/>
  <c r="CB189" i="6"/>
  <c r="CC189" i="6"/>
  <c r="CD189" i="6"/>
  <c r="CE189" i="6"/>
  <c r="CF189" i="6"/>
  <c r="CG189" i="6"/>
  <c r="CH189" i="6"/>
  <c r="CI189" i="6"/>
  <c r="CJ189" i="6"/>
  <c r="CK189" i="6"/>
  <c r="CL189" i="6"/>
  <c r="CM189" i="6"/>
  <c r="CN189" i="6"/>
  <c r="CO189" i="6"/>
  <c r="CP189" i="6"/>
  <c r="CQ189" i="6"/>
  <c r="CR189" i="6"/>
  <c r="CS189" i="6"/>
  <c r="CT189" i="6"/>
  <c r="CU189" i="6"/>
  <c r="CV189" i="6"/>
  <c r="CW189" i="6"/>
  <c r="CX189" i="6"/>
  <c r="CY189" i="6"/>
  <c r="CZ189" i="6"/>
  <c r="DA189" i="6"/>
  <c r="DB189" i="6"/>
  <c r="DC189" i="6"/>
  <c r="DD189" i="6"/>
  <c r="DE189" i="6"/>
  <c r="DF189" i="6"/>
  <c r="DG189" i="6"/>
  <c r="DH189" i="6"/>
  <c r="DJ189" i="6"/>
  <c r="DK189" i="6"/>
  <c r="DL189" i="6"/>
  <c r="DM189" i="6"/>
  <c r="DN189" i="6"/>
  <c r="DO189" i="6"/>
  <c r="DP189" i="6"/>
  <c r="DQ189" i="6"/>
  <c r="DR189" i="6"/>
  <c r="DS189" i="6"/>
  <c r="DT189" i="6"/>
  <c r="DU189" i="6"/>
  <c r="DV189" i="6"/>
  <c r="DW189" i="6"/>
  <c r="DX189" i="6"/>
  <c r="DY189" i="6"/>
  <c r="DZ189" i="6"/>
  <c r="EA189" i="6"/>
  <c r="EB189" i="6"/>
  <c r="EC189" i="6"/>
  <c r="ED189" i="6"/>
  <c r="EE189" i="6"/>
  <c r="EF189" i="6"/>
  <c r="EG189" i="6"/>
  <c r="EH189" i="6"/>
  <c r="EI189" i="6"/>
  <c r="EJ189" i="6"/>
  <c r="EK189" i="6"/>
  <c r="EL189" i="6"/>
  <c r="EM189" i="6"/>
  <c r="EN189" i="6"/>
  <c r="EO189" i="6"/>
  <c r="EP189" i="6"/>
  <c r="EQ189" i="6"/>
  <c r="ER189" i="6"/>
  <c r="ES189" i="6"/>
  <c r="ET189" i="6"/>
  <c r="EU189" i="6"/>
  <c r="EV189" i="6"/>
  <c r="EW189" i="6"/>
  <c r="EX189" i="6"/>
  <c r="EY189" i="6"/>
  <c r="EZ189" i="6"/>
  <c r="FA189" i="6"/>
  <c r="FB189" i="6"/>
  <c r="FC189" i="6"/>
  <c r="FD189" i="6"/>
  <c r="FE189" i="6"/>
  <c r="B14" i="6" s="1"/>
  <c r="FF189" i="6"/>
  <c r="FG189" i="6"/>
  <c r="FH189" i="6"/>
  <c r="FI189" i="6"/>
  <c r="FJ189" i="6"/>
  <c r="FK189" i="6"/>
  <c r="FL189" i="6"/>
  <c r="FM189" i="6"/>
  <c r="FN189" i="6"/>
  <c r="FO189" i="6"/>
  <c r="FP189" i="6"/>
  <c r="FQ189" i="6"/>
  <c r="FR189" i="6"/>
  <c r="FS189" i="6"/>
  <c r="FT189" i="6"/>
  <c r="FU189" i="6"/>
  <c r="FV189" i="6"/>
  <c r="FW189" i="6"/>
  <c r="FX189" i="6"/>
  <c r="FY189" i="6"/>
  <c r="FZ189" i="6"/>
  <c r="GA189" i="6"/>
  <c r="GB189" i="6"/>
  <c r="GC189" i="6"/>
  <c r="GD189" i="6"/>
  <c r="GE189" i="6"/>
  <c r="GF189" i="6"/>
  <c r="GG189" i="6"/>
  <c r="GH189" i="6"/>
  <c r="GI189" i="6"/>
  <c r="GJ189" i="6"/>
  <c r="GK189" i="6"/>
  <c r="GL189" i="6"/>
  <c r="GM189" i="6"/>
  <c r="I190" i="6"/>
  <c r="J190" i="6"/>
  <c r="K190" i="6"/>
  <c r="L190" i="6"/>
  <c r="M190" i="6"/>
  <c r="N190" i="6"/>
  <c r="O190" i="6"/>
  <c r="P190" i="6"/>
  <c r="Q190" i="6"/>
  <c r="R190" i="6"/>
  <c r="S190" i="6"/>
  <c r="T190" i="6"/>
  <c r="U190" i="6"/>
  <c r="V190" i="6"/>
  <c r="W190" i="6"/>
  <c r="X190" i="6"/>
  <c r="Y190" i="6"/>
  <c r="Z190" i="6"/>
  <c r="AA190" i="6"/>
  <c r="AB190" i="6"/>
  <c r="AC190" i="6"/>
  <c r="AD190" i="6"/>
  <c r="AE190" i="6"/>
  <c r="AF190" i="6"/>
  <c r="AG190" i="6"/>
  <c r="AH190" i="6"/>
  <c r="AI190" i="6"/>
  <c r="AJ190" i="6"/>
  <c r="AK190" i="6"/>
  <c r="AL190" i="6"/>
  <c r="AM190" i="6"/>
  <c r="AN190" i="6"/>
  <c r="AO190" i="6"/>
  <c r="AP190" i="6"/>
  <c r="AQ190" i="6"/>
  <c r="AR190" i="6"/>
  <c r="AS190" i="6"/>
  <c r="AT190" i="6"/>
  <c r="AU190" i="6"/>
  <c r="AV190" i="6"/>
  <c r="AW190" i="6"/>
  <c r="AX190" i="6"/>
  <c r="AY190" i="6"/>
  <c r="AZ190" i="6"/>
  <c r="BA190" i="6"/>
  <c r="BB190" i="6"/>
  <c r="BC190" i="6"/>
  <c r="BD190" i="6"/>
  <c r="BE190" i="6"/>
  <c r="BF190" i="6"/>
  <c r="BG190" i="6"/>
  <c r="BH190" i="6"/>
  <c r="BI190" i="6"/>
  <c r="BJ190" i="6"/>
  <c r="BK190" i="6"/>
  <c r="BL190" i="6"/>
  <c r="BM190" i="6"/>
  <c r="BN190" i="6"/>
  <c r="BO190" i="6"/>
  <c r="BP190" i="6"/>
  <c r="BQ190" i="6"/>
  <c r="BR190" i="6"/>
  <c r="BS190" i="6"/>
  <c r="BT190" i="6"/>
  <c r="BU190" i="6"/>
  <c r="BV190" i="6"/>
  <c r="BW190" i="6"/>
  <c r="BX190" i="6"/>
  <c r="BY190" i="6"/>
  <c r="BZ190" i="6"/>
  <c r="CA190" i="6"/>
  <c r="CB190" i="6"/>
  <c r="CC190" i="6"/>
  <c r="CD190" i="6"/>
  <c r="CE190" i="6"/>
  <c r="CF190" i="6"/>
  <c r="CG190" i="6"/>
  <c r="CH190" i="6"/>
  <c r="CI190" i="6"/>
  <c r="CJ190" i="6"/>
  <c r="CK190" i="6"/>
  <c r="CL190" i="6"/>
  <c r="CM190" i="6"/>
  <c r="CN190" i="6"/>
  <c r="CO190" i="6"/>
  <c r="CP190" i="6"/>
  <c r="CQ190" i="6"/>
  <c r="CR190" i="6"/>
  <c r="CS190" i="6"/>
  <c r="CT190" i="6"/>
  <c r="CU190" i="6"/>
  <c r="CV190" i="6"/>
  <c r="CW190" i="6"/>
  <c r="CX190" i="6"/>
  <c r="CY190" i="6"/>
  <c r="CZ190" i="6"/>
  <c r="DA190" i="6"/>
  <c r="DB190" i="6"/>
  <c r="DC190" i="6"/>
  <c r="DD190" i="6"/>
  <c r="DE190" i="6"/>
  <c r="DF190" i="6"/>
  <c r="DG190" i="6"/>
  <c r="DH190" i="6"/>
  <c r="DJ190" i="6"/>
  <c r="DK190" i="6"/>
  <c r="DL190" i="6"/>
  <c r="DM190" i="6"/>
  <c r="DN190" i="6"/>
  <c r="DO190" i="6"/>
  <c r="DP190" i="6"/>
  <c r="DQ190" i="6"/>
  <c r="DR190" i="6"/>
  <c r="DS190" i="6"/>
  <c r="DT190" i="6"/>
  <c r="DU190" i="6"/>
  <c r="DV190" i="6"/>
  <c r="DW190" i="6"/>
  <c r="DX190" i="6"/>
  <c r="DY190" i="6"/>
  <c r="DZ190" i="6"/>
  <c r="EA190" i="6"/>
  <c r="EB190" i="6"/>
  <c r="EC190" i="6"/>
  <c r="ED190" i="6"/>
  <c r="EE190" i="6"/>
  <c r="EF190" i="6"/>
  <c r="EG190" i="6"/>
  <c r="EH190" i="6"/>
  <c r="EI190" i="6"/>
  <c r="EJ190" i="6"/>
  <c r="EK190" i="6"/>
  <c r="EL190" i="6"/>
  <c r="EM190" i="6"/>
  <c r="EN190" i="6"/>
  <c r="EO190" i="6"/>
  <c r="EP190" i="6"/>
  <c r="EQ190" i="6"/>
  <c r="ER190" i="6"/>
  <c r="ES190" i="6"/>
  <c r="ET190" i="6"/>
  <c r="EU190" i="6"/>
  <c r="EV190" i="6"/>
  <c r="EW190" i="6"/>
  <c r="EX190" i="6"/>
  <c r="EY190" i="6"/>
  <c r="EZ190" i="6"/>
  <c r="FA190" i="6"/>
  <c r="FB190" i="6"/>
  <c r="FC190" i="6"/>
  <c r="FD190" i="6"/>
  <c r="FE190" i="6"/>
  <c r="B15" i="6" s="1"/>
  <c r="FF190" i="6"/>
  <c r="FG190" i="6"/>
  <c r="FH190" i="6"/>
  <c r="FI190" i="6"/>
  <c r="FJ190" i="6"/>
  <c r="FK190" i="6"/>
  <c r="FL190" i="6"/>
  <c r="FM190" i="6"/>
  <c r="FN190" i="6"/>
  <c r="FO190" i="6"/>
  <c r="FP190" i="6"/>
  <c r="FQ190" i="6"/>
  <c r="FR190" i="6"/>
  <c r="FS190" i="6"/>
  <c r="FT190" i="6"/>
  <c r="FU190" i="6"/>
  <c r="FV190" i="6"/>
  <c r="FW190" i="6"/>
  <c r="FX190" i="6"/>
  <c r="FY190" i="6"/>
  <c r="FZ190" i="6"/>
  <c r="GA190" i="6"/>
  <c r="GB190" i="6"/>
  <c r="GC190" i="6"/>
  <c r="GD190" i="6"/>
  <c r="GE190" i="6"/>
  <c r="GF190" i="6"/>
  <c r="GG190" i="6"/>
  <c r="GH190" i="6"/>
  <c r="GI190" i="6"/>
  <c r="GJ190" i="6"/>
  <c r="GK190" i="6"/>
  <c r="GL190" i="6"/>
  <c r="GM190" i="6"/>
  <c r="I191" i="6"/>
  <c r="J191" i="6"/>
  <c r="K191" i="6"/>
  <c r="L191" i="6"/>
  <c r="M191" i="6"/>
  <c r="N191" i="6"/>
  <c r="O191" i="6"/>
  <c r="P191" i="6"/>
  <c r="Q191" i="6"/>
  <c r="R191" i="6"/>
  <c r="S191" i="6"/>
  <c r="T191" i="6"/>
  <c r="U191" i="6"/>
  <c r="V191" i="6"/>
  <c r="W191" i="6"/>
  <c r="X191" i="6"/>
  <c r="Y191" i="6"/>
  <c r="Z191" i="6"/>
  <c r="AA191" i="6"/>
  <c r="AB191" i="6"/>
  <c r="AC191" i="6"/>
  <c r="AD191" i="6"/>
  <c r="AE191" i="6"/>
  <c r="AF191" i="6"/>
  <c r="AG191" i="6"/>
  <c r="AH191" i="6"/>
  <c r="AI191" i="6"/>
  <c r="AJ191" i="6"/>
  <c r="AK191" i="6"/>
  <c r="AL191" i="6"/>
  <c r="AM191" i="6"/>
  <c r="AN191" i="6"/>
  <c r="AO191" i="6"/>
  <c r="AP191" i="6"/>
  <c r="AQ191" i="6"/>
  <c r="AR191" i="6"/>
  <c r="AS191" i="6"/>
  <c r="AT191" i="6"/>
  <c r="AU191" i="6"/>
  <c r="AV191" i="6"/>
  <c r="AW191" i="6"/>
  <c r="AX191" i="6"/>
  <c r="AY191" i="6"/>
  <c r="AZ191" i="6"/>
  <c r="BA191" i="6"/>
  <c r="BB191" i="6"/>
  <c r="BC191" i="6"/>
  <c r="BD191" i="6"/>
  <c r="BE191" i="6"/>
  <c r="BF191" i="6"/>
  <c r="BG191" i="6"/>
  <c r="BH191" i="6"/>
  <c r="BI191" i="6"/>
  <c r="BJ191" i="6"/>
  <c r="BK191" i="6"/>
  <c r="BL191" i="6"/>
  <c r="BM191" i="6"/>
  <c r="BN191" i="6"/>
  <c r="BO191" i="6"/>
  <c r="BP191" i="6"/>
  <c r="BQ191" i="6"/>
  <c r="BR191" i="6"/>
  <c r="BS191" i="6"/>
  <c r="BT191" i="6"/>
  <c r="BU191" i="6"/>
  <c r="BV191" i="6"/>
  <c r="BW191" i="6"/>
  <c r="BX191" i="6"/>
  <c r="BY191" i="6"/>
  <c r="BZ191" i="6"/>
  <c r="CA191" i="6"/>
  <c r="CB191" i="6"/>
  <c r="CC191" i="6"/>
  <c r="CD191" i="6"/>
  <c r="CE191" i="6"/>
  <c r="CF191" i="6"/>
  <c r="CG191" i="6"/>
  <c r="CH191" i="6"/>
  <c r="CI191" i="6"/>
  <c r="CJ191" i="6"/>
  <c r="CK191" i="6"/>
  <c r="CL191" i="6"/>
  <c r="CM191" i="6"/>
  <c r="CN191" i="6"/>
  <c r="CO191" i="6"/>
  <c r="CP191" i="6"/>
  <c r="CQ191" i="6"/>
  <c r="CR191" i="6"/>
  <c r="CS191" i="6"/>
  <c r="CT191" i="6"/>
  <c r="CU191" i="6"/>
  <c r="CV191" i="6"/>
  <c r="CW191" i="6"/>
  <c r="CX191" i="6"/>
  <c r="CY191" i="6"/>
  <c r="CZ191" i="6"/>
  <c r="DA191" i="6"/>
  <c r="DB191" i="6"/>
  <c r="DC191" i="6"/>
  <c r="DD191" i="6"/>
  <c r="DE191" i="6"/>
  <c r="DF191" i="6"/>
  <c r="DG191" i="6"/>
  <c r="DH191" i="6"/>
  <c r="DJ191" i="6"/>
  <c r="DK191" i="6"/>
  <c r="DL191" i="6"/>
  <c r="DM191" i="6"/>
  <c r="DN191" i="6"/>
  <c r="DO191" i="6"/>
  <c r="DP191" i="6"/>
  <c r="DQ191" i="6"/>
  <c r="DR191" i="6"/>
  <c r="DS191" i="6"/>
  <c r="DT191" i="6"/>
  <c r="DU191" i="6"/>
  <c r="DV191" i="6"/>
  <c r="DW191" i="6"/>
  <c r="DX191" i="6"/>
  <c r="DY191" i="6"/>
  <c r="DZ191" i="6"/>
  <c r="EA191" i="6"/>
  <c r="EB191" i="6"/>
  <c r="EC191" i="6"/>
  <c r="ED191" i="6"/>
  <c r="EE191" i="6"/>
  <c r="EF191" i="6"/>
  <c r="EG191" i="6"/>
  <c r="EH191" i="6"/>
  <c r="EI191" i="6"/>
  <c r="EJ191" i="6"/>
  <c r="EK191" i="6"/>
  <c r="EL191" i="6"/>
  <c r="EM191" i="6"/>
  <c r="EN191" i="6"/>
  <c r="EO191" i="6"/>
  <c r="EP191" i="6"/>
  <c r="EQ191" i="6"/>
  <c r="ER191" i="6"/>
  <c r="ES191" i="6"/>
  <c r="ET191" i="6"/>
  <c r="EU191" i="6"/>
  <c r="EV191" i="6"/>
  <c r="EW191" i="6"/>
  <c r="EX191" i="6"/>
  <c r="EY191" i="6"/>
  <c r="EZ191" i="6"/>
  <c r="FA191" i="6"/>
  <c r="FB191" i="6"/>
  <c r="FC191" i="6"/>
  <c r="FD191" i="6"/>
  <c r="FE191" i="6"/>
  <c r="B16" i="6" s="1"/>
  <c r="FF191" i="6"/>
  <c r="FG191" i="6"/>
  <c r="FH191" i="6"/>
  <c r="FI191" i="6"/>
  <c r="FJ191" i="6"/>
  <c r="FK191" i="6"/>
  <c r="FL191" i="6"/>
  <c r="FM191" i="6"/>
  <c r="FN191" i="6"/>
  <c r="FO191" i="6"/>
  <c r="FP191" i="6"/>
  <c r="FQ191" i="6"/>
  <c r="FR191" i="6"/>
  <c r="FS191" i="6"/>
  <c r="FT191" i="6"/>
  <c r="FU191" i="6"/>
  <c r="FV191" i="6"/>
  <c r="FW191" i="6"/>
  <c r="FX191" i="6"/>
  <c r="FY191" i="6"/>
  <c r="FZ191" i="6"/>
  <c r="GA191" i="6"/>
  <c r="GB191" i="6"/>
  <c r="GC191" i="6"/>
  <c r="GD191" i="6"/>
  <c r="GE191" i="6"/>
  <c r="GF191" i="6"/>
  <c r="GG191" i="6"/>
  <c r="GH191" i="6"/>
  <c r="GI191" i="6"/>
  <c r="GJ191" i="6"/>
  <c r="GK191" i="6"/>
  <c r="GL191" i="6"/>
  <c r="GM191" i="6"/>
  <c r="I192" i="6"/>
  <c r="J192" i="6"/>
  <c r="K192" i="6"/>
  <c r="L192" i="6"/>
  <c r="M192" i="6"/>
  <c r="N192" i="6"/>
  <c r="O192" i="6"/>
  <c r="P192" i="6"/>
  <c r="Q192" i="6"/>
  <c r="R192" i="6"/>
  <c r="S192" i="6"/>
  <c r="T192" i="6"/>
  <c r="U192" i="6"/>
  <c r="V192" i="6"/>
  <c r="W192" i="6"/>
  <c r="X192" i="6"/>
  <c r="Y192" i="6"/>
  <c r="Z192" i="6"/>
  <c r="AA192" i="6"/>
  <c r="AB192" i="6"/>
  <c r="AC192" i="6"/>
  <c r="AD192" i="6"/>
  <c r="AE192" i="6"/>
  <c r="AF192" i="6"/>
  <c r="AG192" i="6"/>
  <c r="AH192" i="6"/>
  <c r="AI192" i="6"/>
  <c r="AJ192" i="6"/>
  <c r="AK192" i="6"/>
  <c r="AL192" i="6"/>
  <c r="AM192" i="6"/>
  <c r="AN192" i="6"/>
  <c r="AO192" i="6"/>
  <c r="AP192" i="6"/>
  <c r="AQ192" i="6"/>
  <c r="AR192" i="6"/>
  <c r="AS192" i="6"/>
  <c r="AT192" i="6"/>
  <c r="AU192" i="6"/>
  <c r="AV192" i="6"/>
  <c r="AW192" i="6"/>
  <c r="AX192" i="6"/>
  <c r="AY192" i="6"/>
  <c r="AZ192" i="6"/>
  <c r="BA192" i="6"/>
  <c r="BB192" i="6"/>
  <c r="BC192" i="6"/>
  <c r="BD192" i="6"/>
  <c r="BE192" i="6"/>
  <c r="BF192" i="6"/>
  <c r="BG192" i="6"/>
  <c r="BH192" i="6"/>
  <c r="BI192" i="6"/>
  <c r="BJ192" i="6"/>
  <c r="BK192" i="6"/>
  <c r="BL192" i="6"/>
  <c r="BM192" i="6"/>
  <c r="BN192" i="6"/>
  <c r="BO192" i="6"/>
  <c r="BP192" i="6"/>
  <c r="BQ192" i="6"/>
  <c r="BR192" i="6"/>
  <c r="BS192" i="6"/>
  <c r="BT192" i="6"/>
  <c r="BU192" i="6"/>
  <c r="BV192" i="6"/>
  <c r="BW192" i="6"/>
  <c r="BX192" i="6"/>
  <c r="BY192" i="6"/>
  <c r="BZ192" i="6"/>
  <c r="CA192" i="6"/>
  <c r="CB192" i="6"/>
  <c r="CC192" i="6"/>
  <c r="CD192" i="6"/>
  <c r="CE192" i="6"/>
  <c r="CF192" i="6"/>
  <c r="CG192" i="6"/>
  <c r="CH192" i="6"/>
  <c r="CI192" i="6"/>
  <c r="CJ192" i="6"/>
  <c r="CK192" i="6"/>
  <c r="CL192" i="6"/>
  <c r="CM192" i="6"/>
  <c r="CN192" i="6"/>
  <c r="CO192" i="6"/>
  <c r="CP192" i="6"/>
  <c r="CQ192" i="6"/>
  <c r="CR192" i="6"/>
  <c r="CS192" i="6"/>
  <c r="CT192" i="6"/>
  <c r="CU192" i="6"/>
  <c r="CV192" i="6"/>
  <c r="CW192" i="6"/>
  <c r="CX192" i="6"/>
  <c r="CY192" i="6"/>
  <c r="CZ192" i="6"/>
  <c r="DA192" i="6"/>
  <c r="DB192" i="6"/>
  <c r="DC192" i="6"/>
  <c r="DD192" i="6"/>
  <c r="DE192" i="6"/>
  <c r="DF192" i="6"/>
  <c r="DG192" i="6"/>
  <c r="DH192" i="6"/>
  <c r="DJ192" i="6"/>
  <c r="DK192" i="6"/>
  <c r="DL192" i="6"/>
  <c r="DM192" i="6"/>
  <c r="DN192" i="6"/>
  <c r="DO192" i="6"/>
  <c r="DP192" i="6"/>
  <c r="DQ192" i="6"/>
  <c r="DR192" i="6"/>
  <c r="DS192" i="6"/>
  <c r="DT192" i="6"/>
  <c r="DU192" i="6"/>
  <c r="DV192" i="6"/>
  <c r="DW192" i="6"/>
  <c r="DX192" i="6"/>
  <c r="DY192" i="6"/>
  <c r="DZ192" i="6"/>
  <c r="EA192" i="6"/>
  <c r="EB192" i="6"/>
  <c r="EC192" i="6"/>
  <c r="ED192" i="6"/>
  <c r="EE192" i="6"/>
  <c r="EF192" i="6"/>
  <c r="EG192" i="6"/>
  <c r="EH192" i="6"/>
  <c r="EI192" i="6"/>
  <c r="EJ192" i="6"/>
  <c r="EK192" i="6"/>
  <c r="EL192" i="6"/>
  <c r="EM192" i="6"/>
  <c r="EN192" i="6"/>
  <c r="EO192" i="6"/>
  <c r="EP192" i="6"/>
  <c r="EQ192" i="6"/>
  <c r="ER192" i="6"/>
  <c r="ES192" i="6"/>
  <c r="ET192" i="6"/>
  <c r="EU192" i="6"/>
  <c r="EV192" i="6"/>
  <c r="EW192" i="6"/>
  <c r="EX192" i="6"/>
  <c r="EY192" i="6"/>
  <c r="EZ192" i="6"/>
  <c r="FA192" i="6"/>
  <c r="FB192" i="6"/>
  <c r="FC192" i="6"/>
  <c r="FD192" i="6"/>
  <c r="FE192" i="6"/>
  <c r="B17" i="6" s="1"/>
  <c r="FF192" i="6"/>
  <c r="FG192" i="6"/>
  <c r="FH192" i="6"/>
  <c r="FI192" i="6"/>
  <c r="FJ192" i="6"/>
  <c r="FK192" i="6"/>
  <c r="FL192" i="6"/>
  <c r="FM192" i="6"/>
  <c r="FN192" i="6"/>
  <c r="FO192" i="6"/>
  <c r="FP192" i="6"/>
  <c r="FQ192" i="6"/>
  <c r="FR192" i="6"/>
  <c r="FS192" i="6"/>
  <c r="FT192" i="6"/>
  <c r="FU192" i="6"/>
  <c r="FV192" i="6"/>
  <c r="FW192" i="6"/>
  <c r="FX192" i="6"/>
  <c r="FY192" i="6"/>
  <c r="FZ192" i="6"/>
  <c r="GA192" i="6"/>
  <c r="GB192" i="6"/>
  <c r="GC192" i="6"/>
  <c r="GD192" i="6"/>
  <c r="GE192" i="6"/>
  <c r="GF192" i="6"/>
  <c r="GG192" i="6"/>
  <c r="GH192" i="6"/>
  <c r="GI192" i="6"/>
  <c r="GJ192" i="6"/>
  <c r="GK192" i="6"/>
  <c r="GL192" i="6"/>
  <c r="GM192" i="6"/>
  <c r="I193" i="6"/>
  <c r="J193" i="6"/>
  <c r="K193" i="6"/>
  <c r="L193" i="6"/>
  <c r="M193" i="6"/>
  <c r="N193" i="6"/>
  <c r="O193" i="6"/>
  <c r="P193" i="6"/>
  <c r="Q193" i="6"/>
  <c r="R193" i="6"/>
  <c r="S193" i="6"/>
  <c r="T193" i="6"/>
  <c r="U193" i="6"/>
  <c r="V193" i="6"/>
  <c r="W193" i="6"/>
  <c r="X193" i="6"/>
  <c r="Y193" i="6"/>
  <c r="Z193" i="6"/>
  <c r="AA193" i="6"/>
  <c r="AB193" i="6"/>
  <c r="AC193" i="6"/>
  <c r="AD193" i="6"/>
  <c r="AE193" i="6"/>
  <c r="AF193" i="6"/>
  <c r="AG193" i="6"/>
  <c r="AH193" i="6"/>
  <c r="AI193" i="6"/>
  <c r="AJ193" i="6"/>
  <c r="AK193" i="6"/>
  <c r="AL193" i="6"/>
  <c r="AM193" i="6"/>
  <c r="AN193" i="6"/>
  <c r="AO193" i="6"/>
  <c r="AP193" i="6"/>
  <c r="AQ193" i="6"/>
  <c r="AR193" i="6"/>
  <c r="AS193" i="6"/>
  <c r="AT193" i="6"/>
  <c r="AU193" i="6"/>
  <c r="AV193" i="6"/>
  <c r="AW193" i="6"/>
  <c r="AX193" i="6"/>
  <c r="AY193" i="6"/>
  <c r="AZ193" i="6"/>
  <c r="BA193" i="6"/>
  <c r="BB193" i="6"/>
  <c r="BC193" i="6"/>
  <c r="BD193" i="6"/>
  <c r="BE193" i="6"/>
  <c r="BF193" i="6"/>
  <c r="BG193" i="6"/>
  <c r="BH193" i="6"/>
  <c r="BI193" i="6"/>
  <c r="BJ193" i="6"/>
  <c r="BK193" i="6"/>
  <c r="BL193" i="6"/>
  <c r="BM193" i="6"/>
  <c r="BN193" i="6"/>
  <c r="BO193" i="6"/>
  <c r="BP193" i="6"/>
  <c r="BQ193" i="6"/>
  <c r="BR193" i="6"/>
  <c r="BS193" i="6"/>
  <c r="BT193" i="6"/>
  <c r="BU193" i="6"/>
  <c r="BV193" i="6"/>
  <c r="BW193" i="6"/>
  <c r="BX193" i="6"/>
  <c r="BY193" i="6"/>
  <c r="BZ193" i="6"/>
  <c r="CA193" i="6"/>
  <c r="CB193" i="6"/>
  <c r="CC193" i="6"/>
  <c r="CD193" i="6"/>
  <c r="CE193" i="6"/>
  <c r="CF193" i="6"/>
  <c r="CG193" i="6"/>
  <c r="CH193" i="6"/>
  <c r="CI193" i="6"/>
  <c r="CJ193" i="6"/>
  <c r="CK193" i="6"/>
  <c r="CL193" i="6"/>
  <c r="CM193" i="6"/>
  <c r="CN193" i="6"/>
  <c r="CO193" i="6"/>
  <c r="CP193" i="6"/>
  <c r="CQ193" i="6"/>
  <c r="CR193" i="6"/>
  <c r="CS193" i="6"/>
  <c r="CT193" i="6"/>
  <c r="CU193" i="6"/>
  <c r="CV193" i="6"/>
  <c r="CW193" i="6"/>
  <c r="CX193" i="6"/>
  <c r="CY193" i="6"/>
  <c r="CZ193" i="6"/>
  <c r="DA193" i="6"/>
  <c r="DB193" i="6"/>
  <c r="DC193" i="6"/>
  <c r="DD193" i="6"/>
  <c r="DE193" i="6"/>
  <c r="DF193" i="6"/>
  <c r="DG193" i="6"/>
  <c r="DH193" i="6"/>
  <c r="DJ193" i="6"/>
  <c r="DK193" i="6"/>
  <c r="DL193" i="6"/>
  <c r="DM193" i="6"/>
  <c r="DN193" i="6"/>
  <c r="DO193" i="6"/>
  <c r="DP193" i="6"/>
  <c r="DQ193" i="6"/>
  <c r="DR193" i="6"/>
  <c r="DS193" i="6"/>
  <c r="DT193" i="6"/>
  <c r="DU193" i="6"/>
  <c r="DV193" i="6"/>
  <c r="DW193" i="6"/>
  <c r="DX193" i="6"/>
  <c r="DY193" i="6"/>
  <c r="DZ193" i="6"/>
  <c r="EA193" i="6"/>
  <c r="EB193" i="6"/>
  <c r="EC193" i="6"/>
  <c r="ED193" i="6"/>
  <c r="EE193" i="6"/>
  <c r="EF193" i="6"/>
  <c r="EG193" i="6"/>
  <c r="EH193" i="6"/>
  <c r="EI193" i="6"/>
  <c r="EJ193" i="6"/>
  <c r="EK193" i="6"/>
  <c r="EL193" i="6"/>
  <c r="EM193" i="6"/>
  <c r="EN193" i="6"/>
  <c r="EO193" i="6"/>
  <c r="EP193" i="6"/>
  <c r="EQ193" i="6"/>
  <c r="ER193" i="6"/>
  <c r="ES193" i="6"/>
  <c r="ET193" i="6"/>
  <c r="EU193" i="6"/>
  <c r="EV193" i="6"/>
  <c r="EW193" i="6"/>
  <c r="EX193" i="6"/>
  <c r="EY193" i="6"/>
  <c r="EZ193" i="6"/>
  <c r="FA193" i="6"/>
  <c r="FB193" i="6"/>
  <c r="FC193" i="6"/>
  <c r="FD193" i="6"/>
  <c r="FE193" i="6"/>
  <c r="B18" i="6" s="1"/>
  <c r="FF193" i="6"/>
  <c r="FG193" i="6"/>
  <c r="FH193" i="6"/>
  <c r="FI193" i="6"/>
  <c r="FJ193" i="6"/>
  <c r="FK193" i="6"/>
  <c r="FL193" i="6"/>
  <c r="FM193" i="6"/>
  <c r="FN193" i="6"/>
  <c r="FO193" i="6"/>
  <c r="FP193" i="6"/>
  <c r="FQ193" i="6"/>
  <c r="FR193" i="6"/>
  <c r="FS193" i="6"/>
  <c r="FT193" i="6"/>
  <c r="FU193" i="6"/>
  <c r="FV193" i="6"/>
  <c r="FW193" i="6"/>
  <c r="FX193" i="6"/>
  <c r="FY193" i="6"/>
  <c r="FZ193" i="6"/>
  <c r="GA193" i="6"/>
  <c r="GB193" i="6"/>
  <c r="GC193" i="6"/>
  <c r="GD193" i="6"/>
  <c r="GE193" i="6"/>
  <c r="GF193" i="6"/>
  <c r="GG193" i="6"/>
  <c r="GH193" i="6"/>
  <c r="GI193" i="6"/>
  <c r="GJ193" i="6"/>
  <c r="GK193" i="6"/>
  <c r="GL193" i="6"/>
  <c r="GM193" i="6"/>
  <c r="I194" i="6"/>
  <c r="J194" i="6"/>
  <c r="K194" i="6"/>
  <c r="L194" i="6"/>
  <c r="M194" i="6"/>
  <c r="N194" i="6"/>
  <c r="O194" i="6"/>
  <c r="P194" i="6"/>
  <c r="Q194" i="6"/>
  <c r="R194" i="6"/>
  <c r="S194" i="6"/>
  <c r="T194" i="6"/>
  <c r="U194" i="6"/>
  <c r="V194" i="6"/>
  <c r="W194" i="6"/>
  <c r="X194" i="6"/>
  <c r="Y194" i="6"/>
  <c r="Z194" i="6"/>
  <c r="AA194" i="6"/>
  <c r="AB194" i="6"/>
  <c r="AC194" i="6"/>
  <c r="AD194" i="6"/>
  <c r="AE194" i="6"/>
  <c r="AF194" i="6"/>
  <c r="AG194" i="6"/>
  <c r="AH194" i="6"/>
  <c r="AI194" i="6"/>
  <c r="AJ194" i="6"/>
  <c r="AK194" i="6"/>
  <c r="AL194" i="6"/>
  <c r="AM194" i="6"/>
  <c r="AN194" i="6"/>
  <c r="AO194" i="6"/>
  <c r="AP194" i="6"/>
  <c r="AQ194" i="6"/>
  <c r="AR194" i="6"/>
  <c r="AS194" i="6"/>
  <c r="AT194" i="6"/>
  <c r="AU194" i="6"/>
  <c r="AV194" i="6"/>
  <c r="AW194" i="6"/>
  <c r="AX194" i="6"/>
  <c r="AY194" i="6"/>
  <c r="AZ194" i="6"/>
  <c r="BA194" i="6"/>
  <c r="BB194" i="6"/>
  <c r="BC194" i="6"/>
  <c r="BD194" i="6"/>
  <c r="BE194" i="6"/>
  <c r="BF194" i="6"/>
  <c r="BG194" i="6"/>
  <c r="BH194" i="6"/>
  <c r="BI194" i="6"/>
  <c r="BJ194" i="6"/>
  <c r="BK194" i="6"/>
  <c r="BL194" i="6"/>
  <c r="BM194" i="6"/>
  <c r="BN194" i="6"/>
  <c r="BO194" i="6"/>
  <c r="BP194" i="6"/>
  <c r="BQ194" i="6"/>
  <c r="BR194" i="6"/>
  <c r="BS194" i="6"/>
  <c r="BT194" i="6"/>
  <c r="BU194" i="6"/>
  <c r="BV194" i="6"/>
  <c r="BW194" i="6"/>
  <c r="BX194" i="6"/>
  <c r="BY194" i="6"/>
  <c r="BZ194" i="6"/>
  <c r="CA194" i="6"/>
  <c r="CB194" i="6"/>
  <c r="CC194" i="6"/>
  <c r="CD194" i="6"/>
  <c r="CE194" i="6"/>
  <c r="CF194" i="6"/>
  <c r="CG194" i="6"/>
  <c r="CH194" i="6"/>
  <c r="CI194" i="6"/>
  <c r="CJ194" i="6"/>
  <c r="CK194" i="6"/>
  <c r="CL194" i="6"/>
  <c r="CM194" i="6"/>
  <c r="CN194" i="6"/>
  <c r="CO194" i="6"/>
  <c r="CP194" i="6"/>
  <c r="CQ194" i="6"/>
  <c r="CR194" i="6"/>
  <c r="CS194" i="6"/>
  <c r="CT194" i="6"/>
  <c r="CU194" i="6"/>
  <c r="CV194" i="6"/>
  <c r="CW194" i="6"/>
  <c r="CX194" i="6"/>
  <c r="CY194" i="6"/>
  <c r="CZ194" i="6"/>
  <c r="DA194" i="6"/>
  <c r="DB194" i="6"/>
  <c r="DC194" i="6"/>
  <c r="DD194" i="6"/>
  <c r="DE194" i="6"/>
  <c r="DF194" i="6"/>
  <c r="DG194" i="6"/>
  <c r="DH194" i="6"/>
  <c r="DJ194" i="6"/>
  <c r="DK194" i="6"/>
  <c r="DL194" i="6"/>
  <c r="DM194" i="6"/>
  <c r="DN194" i="6"/>
  <c r="DO194" i="6"/>
  <c r="DP194" i="6"/>
  <c r="DQ194" i="6"/>
  <c r="DR194" i="6"/>
  <c r="DS194" i="6"/>
  <c r="DT194" i="6"/>
  <c r="DU194" i="6"/>
  <c r="DV194" i="6"/>
  <c r="DW194" i="6"/>
  <c r="DX194" i="6"/>
  <c r="DY194" i="6"/>
  <c r="DZ194" i="6"/>
  <c r="EA194" i="6"/>
  <c r="EB194" i="6"/>
  <c r="EC194" i="6"/>
  <c r="ED194" i="6"/>
  <c r="EE194" i="6"/>
  <c r="EF194" i="6"/>
  <c r="EG194" i="6"/>
  <c r="EH194" i="6"/>
  <c r="EI194" i="6"/>
  <c r="EJ194" i="6"/>
  <c r="EK194" i="6"/>
  <c r="EL194" i="6"/>
  <c r="EM194" i="6"/>
  <c r="EN194" i="6"/>
  <c r="EO194" i="6"/>
  <c r="EP194" i="6"/>
  <c r="EQ194" i="6"/>
  <c r="ER194" i="6"/>
  <c r="ES194" i="6"/>
  <c r="ET194" i="6"/>
  <c r="EU194" i="6"/>
  <c r="EV194" i="6"/>
  <c r="EW194" i="6"/>
  <c r="EX194" i="6"/>
  <c r="EY194" i="6"/>
  <c r="EZ194" i="6"/>
  <c r="FA194" i="6"/>
  <c r="FB194" i="6"/>
  <c r="FC194" i="6"/>
  <c r="FD194" i="6"/>
  <c r="FE194" i="6"/>
  <c r="B19" i="6" s="1"/>
  <c r="FF194" i="6"/>
  <c r="FG194" i="6"/>
  <c r="FH194" i="6"/>
  <c r="FI194" i="6"/>
  <c r="FJ194" i="6"/>
  <c r="FK194" i="6"/>
  <c r="FL194" i="6"/>
  <c r="FM194" i="6"/>
  <c r="FN194" i="6"/>
  <c r="FO194" i="6"/>
  <c r="FP194" i="6"/>
  <c r="FQ194" i="6"/>
  <c r="FR194" i="6"/>
  <c r="FS194" i="6"/>
  <c r="FT194" i="6"/>
  <c r="FU194" i="6"/>
  <c r="FV194" i="6"/>
  <c r="FW194" i="6"/>
  <c r="FX194" i="6"/>
  <c r="FY194" i="6"/>
  <c r="FZ194" i="6"/>
  <c r="GA194" i="6"/>
  <c r="GB194" i="6"/>
  <c r="GC194" i="6"/>
  <c r="GD194" i="6"/>
  <c r="GE194" i="6"/>
  <c r="GF194" i="6"/>
  <c r="GG194" i="6"/>
  <c r="GH194" i="6"/>
  <c r="GI194" i="6"/>
  <c r="GJ194" i="6"/>
  <c r="GK194" i="6"/>
  <c r="GL194" i="6"/>
  <c r="GM194" i="6"/>
  <c r="I195" i="6"/>
  <c r="J195" i="6"/>
  <c r="K195" i="6"/>
  <c r="L195" i="6"/>
  <c r="M195" i="6"/>
  <c r="N195" i="6"/>
  <c r="O195" i="6"/>
  <c r="P195" i="6"/>
  <c r="Q195" i="6"/>
  <c r="R195" i="6"/>
  <c r="S195" i="6"/>
  <c r="T195" i="6"/>
  <c r="U195" i="6"/>
  <c r="V195" i="6"/>
  <c r="W195" i="6"/>
  <c r="X195" i="6"/>
  <c r="Y195" i="6"/>
  <c r="Z195" i="6"/>
  <c r="AA195" i="6"/>
  <c r="AB195" i="6"/>
  <c r="AC195" i="6"/>
  <c r="AD195" i="6"/>
  <c r="AE195" i="6"/>
  <c r="AF195" i="6"/>
  <c r="AG195" i="6"/>
  <c r="AH195" i="6"/>
  <c r="AI195" i="6"/>
  <c r="AJ195" i="6"/>
  <c r="AK195" i="6"/>
  <c r="AL195" i="6"/>
  <c r="AM195" i="6"/>
  <c r="AN195" i="6"/>
  <c r="AO195" i="6"/>
  <c r="AP195" i="6"/>
  <c r="AQ195" i="6"/>
  <c r="AR195" i="6"/>
  <c r="AS195" i="6"/>
  <c r="AT195" i="6"/>
  <c r="AU195" i="6"/>
  <c r="AV195" i="6"/>
  <c r="AW195" i="6"/>
  <c r="AX195" i="6"/>
  <c r="AY195" i="6"/>
  <c r="AZ195" i="6"/>
  <c r="BA195" i="6"/>
  <c r="BB195" i="6"/>
  <c r="BC195" i="6"/>
  <c r="BD195" i="6"/>
  <c r="BE195" i="6"/>
  <c r="BF195" i="6"/>
  <c r="BG195" i="6"/>
  <c r="BH195" i="6"/>
  <c r="BI195" i="6"/>
  <c r="BJ195" i="6"/>
  <c r="BK195" i="6"/>
  <c r="BL195" i="6"/>
  <c r="BM195" i="6"/>
  <c r="BN195" i="6"/>
  <c r="BO195" i="6"/>
  <c r="BP195" i="6"/>
  <c r="BQ195" i="6"/>
  <c r="BR195" i="6"/>
  <c r="BS195" i="6"/>
  <c r="BT195" i="6"/>
  <c r="BU195" i="6"/>
  <c r="BV195" i="6"/>
  <c r="BW195" i="6"/>
  <c r="BX195" i="6"/>
  <c r="BY195" i="6"/>
  <c r="BZ195" i="6"/>
  <c r="CA195" i="6"/>
  <c r="CB195" i="6"/>
  <c r="CC195" i="6"/>
  <c r="CD195" i="6"/>
  <c r="CE195" i="6"/>
  <c r="CF195" i="6"/>
  <c r="CG195" i="6"/>
  <c r="CH195" i="6"/>
  <c r="CI195" i="6"/>
  <c r="CJ195" i="6"/>
  <c r="CK195" i="6"/>
  <c r="CL195" i="6"/>
  <c r="CM195" i="6"/>
  <c r="CN195" i="6"/>
  <c r="CO195" i="6"/>
  <c r="CP195" i="6"/>
  <c r="CQ195" i="6"/>
  <c r="CR195" i="6"/>
  <c r="CS195" i="6"/>
  <c r="CT195" i="6"/>
  <c r="CU195" i="6"/>
  <c r="CV195" i="6"/>
  <c r="CW195" i="6"/>
  <c r="CX195" i="6"/>
  <c r="CY195" i="6"/>
  <c r="CZ195" i="6"/>
  <c r="DA195" i="6"/>
  <c r="DB195" i="6"/>
  <c r="DC195" i="6"/>
  <c r="DD195" i="6"/>
  <c r="DE195" i="6"/>
  <c r="DF195" i="6"/>
  <c r="DG195" i="6"/>
  <c r="DH195" i="6"/>
  <c r="DJ195" i="6"/>
  <c r="DK195" i="6"/>
  <c r="DL195" i="6"/>
  <c r="DM195" i="6"/>
  <c r="DN195" i="6"/>
  <c r="DO195" i="6"/>
  <c r="DP195" i="6"/>
  <c r="DQ195" i="6"/>
  <c r="DR195" i="6"/>
  <c r="DS195" i="6"/>
  <c r="DT195" i="6"/>
  <c r="DU195" i="6"/>
  <c r="DV195" i="6"/>
  <c r="DW195" i="6"/>
  <c r="DX195" i="6"/>
  <c r="DY195" i="6"/>
  <c r="DZ195" i="6"/>
  <c r="EA195" i="6"/>
  <c r="EB195" i="6"/>
  <c r="EC195" i="6"/>
  <c r="ED195" i="6"/>
  <c r="EE195" i="6"/>
  <c r="EF195" i="6"/>
  <c r="EG195" i="6"/>
  <c r="EH195" i="6"/>
  <c r="EI195" i="6"/>
  <c r="EJ195" i="6"/>
  <c r="EK195" i="6"/>
  <c r="EL195" i="6"/>
  <c r="EM195" i="6"/>
  <c r="EN195" i="6"/>
  <c r="EO195" i="6"/>
  <c r="EP195" i="6"/>
  <c r="EQ195" i="6"/>
  <c r="ER195" i="6"/>
  <c r="ES195" i="6"/>
  <c r="ET195" i="6"/>
  <c r="EU195" i="6"/>
  <c r="EV195" i="6"/>
  <c r="EW195" i="6"/>
  <c r="EX195" i="6"/>
  <c r="EY195" i="6"/>
  <c r="EZ195" i="6"/>
  <c r="FA195" i="6"/>
  <c r="FB195" i="6"/>
  <c r="FC195" i="6"/>
  <c r="FD195" i="6"/>
  <c r="FE195" i="6"/>
  <c r="B20" i="6" s="1"/>
  <c r="FF195" i="6"/>
  <c r="FG195" i="6"/>
  <c r="FH195" i="6"/>
  <c r="FI195" i="6"/>
  <c r="FJ195" i="6"/>
  <c r="FK195" i="6"/>
  <c r="FL195" i="6"/>
  <c r="FM195" i="6"/>
  <c r="FN195" i="6"/>
  <c r="FO195" i="6"/>
  <c r="FP195" i="6"/>
  <c r="FQ195" i="6"/>
  <c r="FR195" i="6"/>
  <c r="FS195" i="6"/>
  <c r="FT195" i="6"/>
  <c r="FU195" i="6"/>
  <c r="FV195" i="6"/>
  <c r="FW195" i="6"/>
  <c r="FX195" i="6"/>
  <c r="FY195" i="6"/>
  <c r="FZ195" i="6"/>
  <c r="GA195" i="6"/>
  <c r="GB195" i="6"/>
  <c r="GC195" i="6"/>
  <c r="GD195" i="6"/>
  <c r="GE195" i="6"/>
  <c r="GF195" i="6"/>
  <c r="GG195" i="6"/>
  <c r="GH195" i="6"/>
  <c r="GI195" i="6"/>
  <c r="GJ195" i="6"/>
  <c r="GK195" i="6"/>
  <c r="GL195" i="6"/>
  <c r="GM195" i="6"/>
  <c r="I196" i="6"/>
  <c r="J196" i="6"/>
  <c r="K196" i="6"/>
  <c r="L196" i="6"/>
  <c r="M196" i="6"/>
  <c r="N196" i="6"/>
  <c r="O196" i="6"/>
  <c r="P196" i="6"/>
  <c r="Q196" i="6"/>
  <c r="R196" i="6"/>
  <c r="S196" i="6"/>
  <c r="T196" i="6"/>
  <c r="U196" i="6"/>
  <c r="V196" i="6"/>
  <c r="W196" i="6"/>
  <c r="X196" i="6"/>
  <c r="Y196" i="6"/>
  <c r="Z196" i="6"/>
  <c r="AA196" i="6"/>
  <c r="AB196" i="6"/>
  <c r="AC196" i="6"/>
  <c r="AD196" i="6"/>
  <c r="AE196" i="6"/>
  <c r="AF196" i="6"/>
  <c r="AG196" i="6"/>
  <c r="AH196" i="6"/>
  <c r="AI196" i="6"/>
  <c r="AJ196" i="6"/>
  <c r="AK196" i="6"/>
  <c r="AL196" i="6"/>
  <c r="AM196" i="6"/>
  <c r="AN196" i="6"/>
  <c r="AO196" i="6"/>
  <c r="AP196" i="6"/>
  <c r="AQ196" i="6"/>
  <c r="AR196" i="6"/>
  <c r="AS196" i="6"/>
  <c r="AT196" i="6"/>
  <c r="AU196" i="6"/>
  <c r="AV196" i="6"/>
  <c r="AW196" i="6"/>
  <c r="AX196" i="6"/>
  <c r="AY196" i="6"/>
  <c r="AZ196" i="6"/>
  <c r="BA196" i="6"/>
  <c r="BB196" i="6"/>
  <c r="BC196" i="6"/>
  <c r="BD196" i="6"/>
  <c r="BE196" i="6"/>
  <c r="BF196" i="6"/>
  <c r="BG196" i="6"/>
  <c r="BH196" i="6"/>
  <c r="BI196" i="6"/>
  <c r="BJ196" i="6"/>
  <c r="BK196" i="6"/>
  <c r="BL196" i="6"/>
  <c r="BM196" i="6"/>
  <c r="BN196" i="6"/>
  <c r="BO196" i="6"/>
  <c r="BP196" i="6"/>
  <c r="BQ196" i="6"/>
  <c r="BR196" i="6"/>
  <c r="BS196" i="6"/>
  <c r="BT196" i="6"/>
  <c r="BU196" i="6"/>
  <c r="BV196" i="6"/>
  <c r="BW196" i="6"/>
  <c r="BX196" i="6"/>
  <c r="BY196" i="6"/>
  <c r="BZ196" i="6"/>
  <c r="CA196" i="6"/>
  <c r="CB196" i="6"/>
  <c r="CC196" i="6"/>
  <c r="CD196" i="6"/>
  <c r="CE196" i="6"/>
  <c r="CF196" i="6"/>
  <c r="CG196" i="6"/>
  <c r="CH196" i="6"/>
  <c r="CI196" i="6"/>
  <c r="CJ196" i="6"/>
  <c r="CK196" i="6"/>
  <c r="CL196" i="6"/>
  <c r="CM196" i="6"/>
  <c r="CN196" i="6"/>
  <c r="CO196" i="6"/>
  <c r="CP196" i="6"/>
  <c r="CQ196" i="6"/>
  <c r="CR196" i="6"/>
  <c r="CS196" i="6"/>
  <c r="CT196" i="6"/>
  <c r="CU196" i="6"/>
  <c r="CV196" i="6"/>
  <c r="CW196" i="6"/>
  <c r="CX196" i="6"/>
  <c r="CY196" i="6"/>
  <c r="CZ196" i="6"/>
  <c r="DA196" i="6"/>
  <c r="DB196" i="6"/>
  <c r="DC196" i="6"/>
  <c r="DD196" i="6"/>
  <c r="DE196" i="6"/>
  <c r="DF196" i="6"/>
  <c r="DG196" i="6"/>
  <c r="DH196" i="6"/>
  <c r="DJ196" i="6"/>
  <c r="DK196" i="6"/>
  <c r="DL196" i="6"/>
  <c r="DM196" i="6"/>
  <c r="DN196" i="6"/>
  <c r="DO196" i="6"/>
  <c r="DP196" i="6"/>
  <c r="DQ196" i="6"/>
  <c r="DR196" i="6"/>
  <c r="DS196" i="6"/>
  <c r="DT196" i="6"/>
  <c r="DU196" i="6"/>
  <c r="DV196" i="6"/>
  <c r="DW196" i="6"/>
  <c r="DX196" i="6"/>
  <c r="DY196" i="6"/>
  <c r="DZ196" i="6"/>
  <c r="EA196" i="6"/>
  <c r="EB196" i="6"/>
  <c r="EC196" i="6"/>
  <c r="ED196" i="6"/>
  <c r="EE196" i="6"/>
  <c r="EF196" i="6"/>
  <c r="EG196" i="6"/>
  <c r="EH196" i="6"/>
  <c r="EI196" i="6"/>
  <c r="EJ196" i="6"/>
  <c r="EK196" i="6"/>
  <c r="EL196" i="6"/>
  <c r="EM196" i="6"/>
  <c r="EN196" i="6"/>
  <c r="EO196" i="6"/>
  <c r="EP196" i="6"/>
  <c r="EQ196" i="6"/>
  <c r="ER196" i="6"/>
  <c r="ES196" i="6"/>
  <c r="ET196" i="6"/>
  <c r="EU196" i="6"/>
  <c r="EV196" i="6"/>
  <c r="EW196" i="6"/>
  <c r="EX196" i="6"/>
  <c r="EY196" i="6"/>
  <c r="EZ196" i="6"/>
  <c r="FA196" i="6"/>
  <c r="FB196" i="6"/>
  <c r="FC196" i="6"/>
  <c r="FD196" i="6"/>
  <c r="FE196" i="6"/>
  <c r="B21" i="6" s="1"/>
  <c r="FF196" i="6"/>
  <c r="FG196" i="6"/>
  <c r="FH196" i="6"/>
  <c r="FI196" i="6"/>
  <c r="FJ196" i="6"/>
  <c r="FK196" i="6"/>
  <c r="FL196" i="6"/>
  <c r="FM196" i="6"/>
  <c r="FN196" i="6"/>
  <c r="FO196" i="6"/>
  <c r="FP196" i="6"/>
  <c r="FQ196" i="6"/>
  <c r="FR196" i="6"/>
  <c r="FS196" i="6"/>
  <c r="FT196" i="6"/>
  <c r="FU196" i="6"/>
  <c r="FV196" i="6"/>
  <c r="FW196" i="6"/>
  <c r="FX196" i="6"/>
  <c r="FY196" i="6"/>
  <c r="FZ196" i="6"/>
  <c r="GA196" i="6"/>
  <c r="GB196" i="6"/>
  <c r="GC196" i="6"/>
  <c r="GD196" i="6"/>
  <c r="GE196" i="6"/>
  <c r="GF196" i="6"/>
  <c r="GG196" i="6"/>
  <c r="GH196" i="6"/>
  <c r="GI196" i="6"/>
  <c r="GJ196" i="6"/>
  <c r="GK196" i="6"/>
  <c r="GL196" i="6"/>
  <c r="GM196" i="6"/>
  <c r="I197" i="6"/>
  <c r="J197" i="6"/>
  <c r="K197" i="6"/>
  <c r="L197" i="6"/>
  <c r="M197" i="6"/>
  <c r="N197" i="6"/>
  <c r="O197" i="6"/>
  <c r="P197" i="6"/>
  <c r="Q197" i="6"/>
  <c r="R197" i="6"/>
  <c r="S197" i="6"/>
  <c r="T197" i="6"/>
  <c r="U197" i="6"/>
  <c r="V197" i="6"/>
  <c r="W197" i="6"/>
  <c r="X197" i="6"/>
  <c r="Y197" i="6"/>
  <c r="Z197" i="6"/>
  <c r="AA197" i="6"/>
  <c r="AB197" i="6"/>
  <c r="AC197" i="6"/>
  <c r="AD197" i="6"/>
  <c r="AE197" i="6"/>
  <c r="AF197" i="6"/>
  <c r="AG197" i="6"/>
  <c r="AH197" i="6"/>
  <c r="AI197" i="6"/>
  <c r="AJ197" i="6"/>
  <c r="AK197" i="6"/>
  <c r="AL197" i="6"/>
  <c r="AM197" i="6"/>
  <c r="AN197" i="6"/>
  <c r="AO197" i="6"/>
  <c r="AP197" i="6"/>
  <c r="AQ197" i="6"/>
  <c r="AR197" i="6"/>
  <c r="AS197" i="6"/>
  <c r="AT197" i="6"/>
  <c r="AU197" i="6"/>
  <c r="AV197" i="6"/>
  <c r="AW197" i="6"/>
  <c r="AX197" i="6"/>
  <c r="AY197" i="6"/>
  <c r="AZ197" i="6"/>
  <c r="BA197" i="6"/>
  <c r="BB197" i="6"/>
  <c r="BC197" i="6"/>
  <c r="BD197" i="6"/>
  <c r="BE197" i="6"/>
  <c r="BF197" i="6"/>
  <c r="BG197" i="6"/>
  <c r="BH197" i="6"/>
  <c r="BI197" i="6"/>
  <c r="BJ197" i="6"/>
  <c r="BK197" i="6"/>
  <c r="BL197" i="6"/>
  <c r="BM197" i="6"/>
  <c r="BN197" i="6"/>
  <c r="BO197" i="6"/>
  <c r="BP197" i="6"/>
  <c r="BQ197" i="6"/>
  <c r="BR197" i="6"/>
  <c r="BS197" i="6"/>
  <c r="BT197" i="6"/>
  <c r="BU197" i="6"/>
  <c r="BV197" i="6"/>
  <c r="BW197" i="6"/>
  <c r="BX197" i="6"/>
  <c r="BY197" i="6"/>
  <c r="BZ197" i="6"/>
  <c r="CA197" i="6"/>
  <c r="CB197" i="6"/>
  <c r="CC197" i="6"/>
  <c r="CD197" i="6"/>
  <c r="CE197" i="6"/>
  <c r="CF197" i="6"/>
  <c r="CG197" i="6"/>
  <c r="CH197" i="6"/>
  <c r="CI197" i="6"/>
  <c r="CJ197" i="6"/>
  <c r="CK197" i="6"/>
  <c r="CL197" i="6"/>
  <c r="CM197" i="6"/>
  <c r="CN197" i="6"/>
  <c r="CO197" i="6"/>
  <c r="CP197" i="6"/>
  <c r="CQ197" i="6"/>
  <c r="CR197" i="6"/>
  <c r="CS197" i="6"/>
  <c r="CT197" i="6"/>
  <c r="CU197" i="6"/>
  <c r="CV197" i="6"/>
  <c r="CW197" i="6"/>
  <c r="CX197" i="6"/>
  <c r="CY197" i="6"/>
  <c r="CZ197" i="6"/>
  <c r="DA197" i="6"/>
  <c r="DB197" i="6"/>
  <c r="DC197" i="6"/>
  <c r="DD197" i="6"/>
  <c r="DE197" i="6"/>
  <c r="DF197" i="6"/>
  <c r="DG197" i="6"/>
  <c r="DH197" i="6"/>
  <c r="DJ197" i="6"/>
  <c r="DK197" i="6"/>
  <c r="DL197" i="6"/>
  <c r="DM197" i="6"/>
  <c r="DN197" i="6"/>
  <c r="DO197" i="6"/>
  <c r="DP197" i="6"/>
  <c r="DQ197" i="6"/>
  <c r="DR197" i="6"/>
  <c r="DS197" i="6"/>
  <c r="DT197" i="6"/>
  <c r="DU197" i="6"/>
  <c r="DV197" i="6"/>
  <c r="DW197" i="6"/>
  <c r="DX197" i="6"/>
  <c r="DY197" i="6"/>
  <c r="DZ197" i="6"/>
  <c r="EA197" i="6"/>
  <c r="EB197" i="6"/>
  <c r="EC197" i="6"/>
  <c r="ED197" i="6"/>
  <c r="EE197" i="6"/>
  <c r="EF197" i="6"/>
  <c r="EG197" i="6"/>
  <c r="EH197" i="6"/>
  <c r="EI197" i="6"/>
  <c r="EJ197" i="6"/>
  <c r="EK197" i="6"/>
  <c r="EL197" i="6"/>
  <c r="EM197" i="6"/>
  <c r="EN197" i="6"/>
  <c r="EO197" i="6"/>
  <c r="EP197" i="6"/>
  <c r="EQ197" i="6"/>
  <c r="ER197" i="6"/>
  <c r="ES197" i="6"/>
  <c r="ET197" i="6"/>
  <c r="EU197" i="6"/>
  <c r="EV197" i="6"/>
  <c r="EW197" i="6"/>
  <c r="EX197" i="6"/>
  <c r="EY197" i="6"/>
  <c r="EZ197" i="6"/>
  <c r="FA197" i="6"/>
  <c r="FB197" i="6"/>
  <c r="FC197" i="6"/>
  <c r="FD197" i="6"/>
  <c r="FE197" i="6"/>
  <c r="B22" i="6" s="1"/>
  <c r="FF197" i="6"/>
  <c r="FG197" i="6"/>
  <c r="FH197" i="6"/>
  <c r="FI197" i="6"/>
  <c r="FJ197" i="6"/>
  <c r="FK197" i="6"/>
  <c r="FL197" i="6"/>
  <c r="FM197" i="6"/>
  <c r="FN197" i="6"/>
  <c r="FO197" i="6"/>
  <c r="FP197" i="6"/>
  <c r="FQ197" i="6"/>
  <c r="FR197" i="6"/>
  <c r="FS197" i="6"/>
  <c r="FT197" i="6"/>
  <c r="FU197" i="6"/>
  <c r="FV197" i="6"/>
  <c r="FW197" i="6"/>
  <c r="FX197" i="6"/>
  <c r="FY197" i="6"/>
  <c r="FZ197" i="6"/>
  <c r="GA197" i="6"/>
  <c r="GB197" i="6"/>
  <c r="GC197" i="6"/>
  <c r="GD197" i="6"/>
  <c r="GE197" i="6"/>
  <c r="GF197" i="6"/>
  <c r="GG197" i="6"/>
  <c r="GH197" i="6"/>
  <c r="GI197" i="6"/>
  <c r="GJ197" i="6"/>
  <c r="GK197" i="6"/>
  <c r="GL197" i="6"/>
  <c r="GM197" i="6"/>
  <c r="I198" i="6"/>
  <c r="J198" i="6"/>
  <c r="K198" i="6"/>
  <c r="L198" i="6"/>
  <c r="M198" i="6"/>
  <c r="N198" i="6"/>
  <c r="O198" i="6"/>
  <c r="P198" i="6"/>
  <c r="Q198" i="6"/>
  <c r="R198" i="6"/>
  <c r="S198" i="6"/>
  <c r="T198" i="6"/>
  <c r="U198" i="6"/>
  <c r="V198" i="6"/>
  <c r="W198" i="6"/>
  <c r="X198" i="6"/>
  <c r="Y198" i="6"/>
  <c r="Z198" i="6"/>
  <c r="AA198" i="6"/>
  <c r="AB198" i="6"/>
  <c r="AC198" i="6"/>
  <c r="AD198" i="6"/>
  <c r="AE198" i="6"/>
  <c r="AF198" i="6"/>
  <c r="AG198" i="6"/>
  <c r="AH198" i="6"/>
  <c r="AI198" i="6"/>
  <c r="AJ198" i="6"/>
  <c r="AK198" i="6"/>
  <c r="AL198" i="6"/>
  <c r="AM198" i="6"/>
  <c r="AN198" i="6"/>
  <c r="AO198" i="6"/>
  <c r="AP198" i="6"/>
  <c r="AQ198" i="6"/>
  <c r="AR198" i="6"/>
  <c r="AS198" i="6"/>
  <c r="AT198" i="6"/>
  <c r="AU198" i="6"/>
  <c r="AV198" i="6"/>
  <c r="AW198" i="6"/>
  <c r="AX198" i="6"/>
  <c r="AY198" i="6"/>
  <c r="AZ198" i="6"/>
  <c r="BA198" i="6"/>
  <c r="BB198" i="6"/>
  <c r="BC198" i="6"/>
  <c r="BD198" i="6"/>
  <c r="BE198" i="6"/>
  <c r="BF198" i="6"/>
  <c r="BG198" i="6"/>
  <c r="BH198" i="6"/>
  <c r="BI198" i="6"/>
  <c r="BJ198" i="6"/>
  <c r="BK198" i="6"/>
  <c r="BL198" i="6"/>
  <c r="BM198" i="6"/>
  <c r="BN198" i="6"/>
  <c r="BO198" i="6"/>
  <c r="BP198" i="6"/>
  <c r="BQ198" i="6"/>
  <c r="BR198" i="6"/>
  <c r="BS198" i="6"/>
  <c r="BT198" i="6"/>
  <c r="BU198" i="6"/>
  <c r="BV198" i="6"/>
  <c r="BW198" i="6"/>
  <c r="BX198" i="6"/>
  <c r="BY198" i="6"/>
  <c r="BZ198" i="6"/>
  <c r="CA198" i="6"/>
  <c r="CB198" i="6"/>
  <c r="CC198" i="6"/>
  <c r="CD198" i="6"/>
  <c r="CE198" i="6"/>
  <c r="CF198" i="6"/>
  <c r="CG198" i="6"/>
  <c r="CH198" i="6"/>
  <c r="CI198" i="6"/>
  <c r="CJ198" i="6"/>
  <c r="CK198" i="6"/>
  <c r="CL198" i="6"/>
  <c r="CM198" i="6"/>
  <c r="CN198" i="6"/>
  <c r="CO198" i="6"/>
  <c r="CP198" i="6"/>
  <c r="CQ198" i="6"/>
  <c r="CR198" i="6"/>
  <c r="CS198" i="6"/>
  <c r="CT198" i="6"/>
  <c r="CU198" i="6"/>
  <c r="CV198" i="6"/>
  <c r="CW198" i="6"/>
  <c r="CX198" i="6"/>
  <c r="CY198" i="6"/>
  <c r="CZ198" i="6"/>
  <c r="DA198" i="6"/>
  <c r="DB198" i="6"/>
  <c r="DC198" i="6"/>
  <c r="DD198" i="6"/>
  <c r="DE198" i="6"/>
  <c r="DF198" i="6"/>
  <c r="DG198" i="6"/>
  <c r="DH198" i="6"/>
  <c r="DJ198" i="6"/>
  <c r="DK198" i="6"/>
  <c r="DL198" i="6"/>
  <c r="DM198" i="6"/>
  <c r="DN198" i="6"/>
  <c r="DO198" i="6"/>
  <c r="DP198" i="6"/>
  <c r="DQ198" i="6"/>
  <c r="DR198" i="6"/>
  <c r="DS198" i="6"/>
  <c r="DT198" i="6"/>
  <c r="DU198" i="6"/>
  <c r="DV198" i="6"/>
  <c r="DW198" i="6"/>
  <c r="DX198" i="6"/>
  <c r="DY198" i="6"/>
  <c r="DZ198" i="6"/>
  <c r="EA198" i="6"/>
  <c r="EB198" i="6"/>
  <c r="EC198" i="6"/>
  <c r="ED198" i="6"/>
  <c r="EE198" i="6"/>
  <c r="EF198" i="6"/>
  <c r="EG198" i="6"/>
  <c r="EH198" i="6"/>
  <c r="EI198" i="6"/>
  <c r="EJ198" i="6"/>
  <c r="EK198" i="6"/>
  <c r="EL198" i="6"/>
  <c r="EM198" i="6"/>
  <c r="EN198" i="6"/>
  <c r="EO198" i="6"/>
  <c r="EP198" i="6"/>
  <c r="EQ198" i="6"/>
  <c r="ER198" i="6"/>
  <c r="ES198" i="6"/>
  <c r="ET198" i="6"/>
  <c r="EU198" i="6"/>
  <c r="EV198" i="6"/>
  <c r="EW198" i="6"/>
  <c r="EX198" i="6"/>
  <c r="EY198" i="6"/>
  <c r="EZ198" i="6"/>
  <c r="FA198" i="6"/>
  <c r="FB198" i="6"/>
  <c r="FC198" i="6"/>
  <c r="FD198" i="6"/>
  <c r="FE198" i="6"/>
  <c r="B23" i="6" s="1"/>
  <c r="FF198" i="6"/>
  <c r="FG198" i="6"/>
  <c r="FH198" i="6"/>
  <c r="FI198" i="6"/>
  <c r="FJ198" i="6"/>
  <c r="FK198" i="6"/>
  <c r="FL198" i="6"/>
  <c r="FM198" i="6"/>
  <c r="FN198" i="6"/>
  <c r="FO198" i="6"/>
  <c r="FP198" i="6"/>
  <c r="FQ198" i="6"/>
  <c r="FR198" i="6"/>
  <c r="FS198" i="6"/>
  <c r="FT198" i="6"/>
  <c r="FU198" i="6"/>
  <c r="FV198" i="6"/>
  <c r="FW198" i="6"/>
  <c r="FX198" i="6"/>
  <c r="FY198" i="6"/>
  <c r="FZ198" i="6"/>
  <c r="GA198" i="6"/>
  <c r="GB198" i="6"/>
  <c r="GC198" i="6"/>
  <c r="GD198" i="6"/>
  <c r="GE198" i="6"/>
  <c r="GF198" i="6"/>
  <c r="GG198" i="6"/>
  <c r="GH198" i="6"/>
  <c r="GI198" i="6"/>
  <c r="GJ198" i="6"/>
  <c r="GK198" i="6"/>
  <c r="GL198" i="6"/>
  <c r="GM198" i="6"/>
  <c r="I199" i="6"/>
  <c r="J199" i="6"/>
  <c r="K199" i="6"/>
  <c r="L199" i="6"/>
  <c r="M199" i="6"/>
  <c r="N199" i="6"/>
  <c r="O199" i="6"/>
  <c r="P199" i="6"/>
  <c r="Q199" i="6"/>
  <c r="R199" i="6"/>
  <c r="S199" i="6"/>
  <c r="T199" i="6"/>
  <c r="U199" i="6"/>
  <c r="V199" i="6"/>
  <c r="W199" i="6"/>
  <c r="X199" i="6"/>
  <c r="Y199" i="6"/>
  <c r="Z199" i="6"/>
  <c r="AA199" i="6"/>
  <c r="AB199" i="6"/>
  <c r="AC199" i="6"/>
  <c r="AD199" i="6"/>
  <c r="AE199" i="6"/>
  <c r="AF199" i="6"/>
  <c r="AG199" i="6"/>
  <c r="AH199" i="6"/>
  <c r="AI199" i="6"/>
  <c r="AJ199" i="6"/>
  <c r="AK199" i="6"/>
  <c r="AL199" i="6"/>
  <c r="AM199" i="6"/>
  <c r="AN199" i="6"/>
  <c r="AO199" i="6"/>
  <c r="AP199" i="6"/>
  <c r="AQ199" i="6"/>
  <c r="AR199" i="6"/>
  <c r="AS199" i="6"/>
  <c r="AT199" i="6"/>
  <c r="AU199" i="6"/>
  <c r="AV199" i="6"/>
  <c r="AW199" i="6"/>
  <c r="AX199" i="6"/>
  <c r="AY199" i="6"/>
  <c r="AZ199" i="6"/>
  <c r="BA199" i="6"/>
  <c r="BB199" i="6"/>
  <c r="BC199" i="6"/>
  <c r="BD199" i="6"/>
  <c r="BE199" i="6"/>
  <c r="BF199" i="6"/>
  <c r="BG199" i="6"/>
  <c r="BH199" i="6"/>
  <c r="BI199" i="6"/>
  <c r="BJ199" i="6"/>
  <c r="BK199" i="6"/>
  <c r="BL199" i="6"/>
  <c r="BM199" i="6"/>
  <c r="BN199" i="6"/>
  <c r="BO199" i="6"/>
  <c r="BP199" i="6"/>
  <c r="BQ199" i="6"/>
  <c r="BR199" i="6"/>
  <c r="BS199" i="6"/>
  <c r="BT199" i="6"/>
  <c r="BU199" i="6"/>
  <c r="BV199" i="6"/>
  <c r="BW199" i="6"/>
  <c r="BX199" i="6"/>
  <c r="BY199" i="6"/>
  <c r="BZ199" i="6"/>
  <c r="CA199" i="6"/>
  <c r="CB199" i="6"/>
  <c r="CC199" i="6"/>
  <c r="CD199" i="6"/>
  <c r="CE199" i="6"/>
  <c r="CF199" i="6"/>
  <c r="CG199" i="6"/>
  <c r="CH199" i="6"/>
  <c r="CI199" i="6"/>
  <c r="CJ199" i="6"/>
  <c r="CK199" i="6"/>
  <c r="CL199" i="6"/>
  <c r="CM199" i="6"/>
  <c r="CN199" i="6"/>
  <c r="CO199" i="6"/>
  <c r="CP199" i="6"/>
  <c r="CQ199" i="6"/>
  <c r="CR199" i="6"/>
  <c r="CS199" i="6"/>
  <c r="CT199" i="6"/>
  <c r="CU199" i="6"/>
  <c r="CV199" i="6"/>
  <c r="CW199" i="6"/>
  <c r="CX199" i="6"/>
  <c r="CY199" i="6"/>
  <c r="CZ199" i="6"/>
  <c r="DA199" i="6"/>
  <c r="DB199" i="6"/>
  <c r="DC199" i="6"/>
  <c r="DD199" i="6"/>
  <c r="DE199" i="6"/>
  <c r="DF199" i="6"/>
  <c r="DG199" i="6"/>
  <c r="DH199" i="6"/>
  <c r="DJ199" i="6"/>
  <c r="DK199" i="6"/>
  <c r="DL199" i="6"/>
  <c r="DM199" i="6"/>
  <c r="DN199" i="6"/>
  <c r="DO199" i="6"/>
  <c r="DP199" i="6"/>
  <c r="DQ199" i="6"/>
  <c r="DR199" i="6"/>
  <c r="DS199" i="6"/>
  <c r="DT199" i="6"/>
  <c r="DU199" i="6"/>
  <c r="DV199" i="6"/>
  <c r="DW199" i="6"/>
  <c r="DX199" i="6"/>
  <c r="DY199" i="6"/>
  <c r="DZ199" i="6"/>
  <c r="EA199" i="6"/>
  <c r="EB199" i="6"/>
  <c r="EC199" i="6"/>
  <c r="ED199" i="6"/>
  <c r="EE199" i="6"/>
  <c r="EF199" i="6"/>
  <c r="EG199" i="6"/>
  <c r="EH199" i="6"/>
  <c r="EI199" i="6"/>
  <c r="EJ199" i="6"/>
  <c r="EK199" i="6"/>
  <c r="EL199" i="6"/>
  <c r="EM199" i="6"/>
  <c r="EN199" i="6"/>
  <c r="EO199" i="6"/>
  <c r="EP199" i="6"/>
  <c r="EQ199" i="6"/>
  <c r="ER199" i="6"/>
  <c r="ES199" i="6"/>
  <c r="ET199" i="6"/>
  <c r="EU199" i="6"/>
  <c r="EV199" i="6"/>
  <c r="EW199" i="6"/>
  <c r="EX199" i="6"/>
  <c r="EY199" i="6"/>
  <c r="EZ199" i="6"/>
  <c r="FA199" i="6"/>
  <c r="FB199" i="6"/>
  <c r="FC199" i="6"/>
  <c r="FD199" i="6"/>
  <c r="FE199" i="6"/>
  <c r="B24" i="6" s="1"/>
  <c r="FF199" i="6"/>
  <c r="FG199" i="6"/>
  <c r="FH199" i="6"/>
  <c r="FI199" i="6"/>
  <c r="FJ199" i="6"/>
  <c r="FK199" i="6"/>
  <c r="FL199" i="6"/>
  <c r="FM199" i="6"/>
  <c r="FN199" i="6"/>
  <c r="FO199" i="6"/>
  <c r="FP199" i="6"/>
  <c r="FQ199" i="6"/>
  <c r="FR199" i="6"/>
  <c r="FS199" i="6"/>
  <c r="FT199" i="6"/>
  <c r="FU199" i="6"/>
  <c r="FV199" i="6"/>
  <c r="FW199" i="6"/>
  <c r="FX199" i="6"/>
  <c r="FY199" i="6"/>
  <c r="FZ199" i="6"/>
  <c r="GA199" i="6"/>
  <c r="GB199" i="6"/>
  <c r="GC199" i="6"/>
  <c r="GD199" i="6"/>
  <c r="GE199" i="6"/>
  <c r="GF199" i="6"/>
  <c r="GG199" i="6"/>
  <c r="GH199" i="6"/>
  <c r="GI199" i="6"/>
  <c r="GJ199" i="6"/>
  <c r="GK199" i="6"/>
  <c r="GL199" i="6"/>
  <c r="GM199" i="6"/>
  <c r="I200" i="6"/>
  <c r="J200" i="6"/>
  <c r="K200" i="6"/>
  <c r="L200" i="6"/>
  <c r="M200" i="6"/>
  <c r="N200" i="6"/>
  <c r="O200" i="6"/>
  <c r="P200" i="6"/>
  <c r="Q200" i="6"/>
  <c r="R200" i="6"/>
  <c r="S200" i="6"/>
  <c r="T200" i="6"/>
  <c r="U200" i="6"/>
  <c r="V200" i="6"/>
  <c r="W200" i="6"/>
  <c r="X200" i="6"/>
  <c r="Y200" i="6"/>
  <c r="Z200" i="6"/>
  <c r="AA200" i="6"/>
  <c r="AB200" i="6"/>
  <c r="AC200" i="6"/>
  <c r="AD200" i="6"/>
  <c r="AE200" i="6"/>
  <c r="AF200" i="6"/>
  <c r="AG200" i="6"/>
  <c r="AH200" i="6"/>
  <c r="AI200" i="6"/>
  <c r="AJ200" i="6"/>
  <c r="AK200" i="6"/>
  <c r="AL200" i="6"/>
  <c r="AM200" i="6"/>
  <c r="AN200" i="6"/>
  <c r="AO200" i="6"/>
  <c r="AP200" i="6"/>
  <c r="AQ200" i="6"/>
  <c r="AR200" i="6"/>
  <c r="AS200" i="6"/>
  <c r="AT200" i="6"/>
  <c r="AU200" i="6"/>
  <c r="AV200" i="6"/>
  <c r="AW200" i="6"/>
  <c r="AX200" i="6"/>
  <c r="AY200" i="6"/>
  <c r="AZ200" i="6"/>
  <c r="BA200" i="6"/>
  <c r="BB200" i="6"/>
  <c r="BC200" i="6"/>
  <c r="BD200" i="6"/>
  <c r="BE200" i="6"/>
  <c r="BF200" i="6"/>
  <c r="BG200" i="6"/>
  <c r="BH200" i="6"/>
  <c r="BI200" i="6"/>
  <c r="BJ200" i="6"/>
  <c r="BK200" i="6"/>
  <c r="BL200" i="6"/>
  <c r="BM200" i="6"/>
  <c r="BN200" i="6"/>
  <c r="BO200" i="6"/>
  <c r="BP200" i="6"/>
  <c r="BQ200" i="6"/>
  <c r="BR200" i="6"/>
  <c r="BS200" i="6"/>
  <c r="BT200" i="6"/>
  <c r="BU200" i="6"/>
  <c r="BV200" i="6"/>
  <c r="BW200" i="6"/>
  <c r="BX200" i="6"/>
  <c r="BY200" i="6"/>
  <c r="BZ200" i="6"/>
  <c r="CA200" i="6"/>
  <c r="CB200" i="6"/>
  <c r="CC200" i="6"/>
  <c r="CD200" i="6"/>
  <c r="CE200" i="6"/>
  <c r="CF200" i="6"/>
  <c r="CG200" i="6"/>
  <c r="CH200" i="6"/>
  <c r="CI200" i="6"/>
  <c r="CJ200" i="6"/>
  <c r="CK200" i="6"/>
  <c r="CL200" i="6"/>
  <c r="CM200" i="6"/>
  <c r="CN200" i="6"/>
  <c r="CO200" i="6"/>
  <c r="CP200" i="6"/>
  <c r="CQ200" i="6"/>
  <c r="CR200" i="6"/>
  <c r="CS200" i="6"/>
  <c r="CT200" i="6"/>
  <c r="CU200" i="6"/>
  <c r="CV200" i="6"/>
  <c r="CW200" i="6"/>
  <c r="CX200" i="6"/>
  <c r="CY200" i="6"/>
  <c r="CZ200" i="6"/>
  <c r="DA200" i="6"/>
  <c r="DB200" i="6"/>
  <c r="DC200" i="6"/>
  <c r="DD200" i="6"/>
  <c r="DE200" i="6"/>
  <c r="DF200" i="6"/>
  <c r="DG200" i="6"/>
  <c r="DH200" i="6"/>
  <c r="DJ200" i="6"/>
  <c r="DK200" i="6"/>
  <c r="DL200" i="6"/>
  <c r="DM200" i="6"/>
  <c r="DN200" i="6"/>
  <c r="DO200" i="6"/>
  <c r="DP200" i="6"/>
  <c r="DQ200" i="6"/>
  <c r="DR200" i="6"/>
  <c r="DS200" i="6"/>
  <c r="DT200" i="6"/>
  <c r="DU200" i="6"/>
  <c r="DV200" i="6"/>
  <c r="DW200" i="6"/>
  <c r="DX200" i="6"/>
  <c r="DY200" i="6"/>
  <c r="DZ200" i="6"/>
  <c r="EA200" i="6"/>
  <c r="EB200" i="6"/>
  <c r="EC200" i="6"/>
  <c r="ED200" i="6"/>
  <c r="EE200" i="6"/>
  <c r="EF200" i="6"/>
  <c r="EG200" i="6"/>
  <c r="EH200" i="6"/>
  <c r="EI200" i="6"/>
  <c r="EJ200" i="6"/>
  <c r="EK200" i="6"/>
  <c r="EL200" i="6"/>
  <c r="EM200" i="6"/>
  <c r="EN200" i="6"/>
  <c r="EO200" i="6"/>
  <c r="EP200" i="6"/>
  <c r="EQ200" i="6"/>
  <c r="ER200" i="6"/>
  <c r="ES200" i="6"/>
  <c r="ET200" i="6"/>
  <c r="EU200" i="6"/>
  <c r="EV200" i="6"/>
  <c r="EW200" i="6"/>
  <c r="EX200" i="6"/>
  <c r="EY200" i="6"/>
  <c r="EZ200" i="6"/>
  <c r="FA200" i="6"/>
  <c r="FB200" i="6"/>
  <c r="FC200" i="6"/>
  <c r="FD200" i="6"/>
  <c r="FE200" i="6"/>
  <c r="B25" i="6" s="1"/>
  <c r="FF200" i="6"/>
  <c r="FG200" i="6"/>
  <c r="FH200" i="6"/>
  <c r="FI200" i="6"/>
  <c r="FJ200" i="6"/>
  <c r="FK200" i="6"/>
  <c r="FL200" i="6"/>
  <c r="FM200" i="6"/>
  <c r="FN200" i="6"/>
  <c r="FO200" i="6"/>
  <c r="FP200" i="6"/>
  <c r="FQ200" i="6"/>
  <c r="FR200" i="6"/>
  <c r="FS200" i="6"/>
  <c r="FT200" i="6"/>
  <c r="FU200" i="6"/>
  <c r="FV200" i="6"/>
  <c r="FW200" i="6"/>
  <c r="FX200" i="6"/>
  <c r="FY200" i="6"/>
  <c r="FZ200" i="6"/>
  <c r="GA200" i="6"/>
  <c r="GB200" i="6"/>
  <c r="GC200" i="6"/>
  <c r="GD200" i="6"/>
  <c r="GE200" i="6"/>
  <c r="GF200" i="6"/>
  <c r="GG200" i="6"/>
  <c r="GH200" i="6"/>
  <c r="GI200" i="6"/>
  <c r="GJ200" i="6"/>
  <c r="GK200" i="6"/>
  <c r="GL200" i="6"/>
  <c r="GM200" i="6"/>
  <c r="AX194" i="20"/>
  <c r="AX193" i="20"/>
  <c r="AX192" i="20"/>
  <c r="AX191" i="20"/>
  <c r="AX190" i="20"/>
  <c r="AX189" i="20"/>
  <c r="AX188" i="20"/>
  <c r="AX187" i="20"/>
  <c r="AX186" i="20"/>
  <c r="AX185" i="20"/>
  <c r="AX184" i="20"/>
  <c r="AX183" i="20"/>
  <c r="AX182" i="20"/>
  <c r="AX181" i="20"/>
  <c r="AX180" i="20"/>
  <c r="AX179" i="20"/>
  <c r="AX178" i="20"/>
  <c r="AX177" i="20"/>
  <c r="AX176" i="20"/>
  <c r="AX175" i="20"/>
  <c r="AX174" i="20"/>
  <c r="AX173" i="20"/>
  <c r="AX172" i="20"/>
  <c r="AX171" i="20"/>
  <c r="AX170" i="20"/>
  <c r="AX169" i="20"/>
  <c r="AX168" i="20"/>
  <c r="AX167" i="20"/>
  <c r="AX166" i="20"/>
  <c r="AX165" i="20"/>
  <c r="AX164" i="20"/>
  <c r="AX163" i="20"/>
  <c r="AX162" i="20"/>
  <c r="AX161" i="20"/>
  <c r="AX160" i="20"/>
  <c r="AX159" i="20"/>
  <c r="AX158" i="20"/>
  <c r="AX157" i="20"/>
  <c r="AX156" i="20"/>
  <c r="AX155" i="20"/>
  <c r="AX154" i="20"/>
  <c r="AX153" i="20"/>
  <c r="AX152" i="20"/>
  <c r="AX151" i="20"/>
  <c r="AX150" i="20"/>
  <c r="AX149" i="20"/>
  <c r="AX148" i="20"/>
  <c r="AX147" i="20"/>
  <c r="AX146" i="20"/>
  <c r="AX145" i="20"/>
  <c r="AX144" i="20"/>
  <c r="AX143" i="20"/>
  <c r="AX142" i="20"/>
  <c r="AX141" i="20"/>
  <c r="AX140" i="20"/>
  <c r="AX139" i="20"/>
  <c r="AX138" i="20"/>
  <c r="AX137" i="20"/>
  <c r="AX136" i="20"/>
  <c r="AX135" i="20"/>
  <c r="AX134" i="20"/>
  <c r="AX133" i="20"/>
  <c r="AX132" i="20"/>
  <c r="AX131" i="20"/>
  <c r="AX130" i="20"/>
  <c r="AX129" i="20"/>
  <c r="AX128" i="20"/>
  <c r="AX127" i="20"/>
  <c r="AX126" i="20"/>
  <c r="AX125" i="20"/>
  <c r="AX124" i="20"/>
  <c r="AX123" i="20"/>
  <c r="AX122" i="20"/>
  <c r="AX121" i="20"/>
  <c r="AX120" i="20"/>
  <c r="AX119" i="20"/>
  <c r="AX118" i="20"/>
  <c r="AX117" i="20"/>
  <c r="AX116" i="20"/>
  <c r="AX115" i="20"/>
  <c r="AX114" i="20"/>
  <c r="AX113" i="20"/>
  <c r="AX112" i="20"/>
  <c r="AX111" i="20"/>
  <c r="AX110" i="20"/>
  <c r="AX109" i="20"/>
  <c r="AX108" i="20"/>
  <c r="AX107" i="20"/>
  <c r="AX106" i="20"/>
  <c r="AX105" i="20"/>
  <c r="AX104" i="20"/>
  <c r="AX103" i="20"/>
  <c r="AX102" i="20"/>
  <c r="AX101" i="20"/>
  <c r="AX100" i="20"/>
  <c r="AX99" i="20"/>
  <c r="AX98" i="20"/>
  <c r="AX97" i="20"/>
  <c r="AX96" i="20"/>
  <c r="AX95" i="20"/>
  <c r="AX94" i="20"/>
  <c r="AX93" i="20"/>
  <c r="AX92" i="20"/>
  <c r="AX91" i="20"/>
  <c r="AX90" i="20"/>
  <c r="AX89" i="20"/>
  <c r="AX88" i="20"/>
  <c r="AX87" i="20"/>
  <c r="AX86" i="20"/>
  <c r="AX85" i="20"/>
  <c r="AX84" i="20"/>
  <c r="AX83" i="20"/>
  <c r="AX82" i="20"/>
  <c r="AX81" i="20"/>
  <c r="AX80" i="20"/>
  <c r="AX79" i="20"/>
  <c r="AX78" i="20"/>
  <c r="AX77" i="20"/>
  <c r="AX76" i="20"/>
  <c r="AX75" i="20"/>
  <c r="AX74" i="20"/>
  <c r="AX73" i="20"/>
  <c r="AX72" i="20"/>
  <c r="AX71" i="20"/>
  <c r="AX70" i="20"/>
  <c r="AX69" i="20"/>
  <c r="AX68" i="20"/>
  <c r="AX67" i="20"/>
  <c r="AX66" i="20"/>
  <c r="AX65" i="20"/>
  <c r="AX64" i="20"/>
  <c r="AX63" i="20"/>
  <c r="AX62" i="20"/>
  <c r="AX61" i="20"/>
  <c r="AX60" i="20"/>
  <c r="AX59" i="20"/>
  <c r="AX58" i="20"/>
  <c r="AX57" i="20"/>
  <c r="AX56" i="20"/>
  <c r="AX55" i="20"/>
  <c r="AX54" i="20"/>
  <c r="AX53" i="20"/>
  <c r="AX52" i="20"/>
  <c r="AX51" i="20"/>
  <c r="AX50" i="20"/>
  <c r="AX49" i="20"/>
  <c r="AX48" i="20"/>
  <c r="AX47" i="20"/>
  <c r="AX46" i="20"/>
  <c r="AX45" i="20"/>
  <c r="AX44" i="20"/>
  <c r="AX43" i="20"/>
  <c r="AX42" i="20"/>
  <c r="AX41" i="20"/>
  <c r="AX40" i="20"/>
  <c r="AX39" i="20"/>
  <c r="AX38" i="20"/>
  <c r="AX37" i="20"/>
  <c r="AX36" i="20"/>
  <c r="AX35" i="20"/>
  <c r="AX34" i="20"/>
  <c r="AX33" i="20"/>
  <c r="AX32" i="20"/>
  <c r="AX31" i="20"/>
  <c r="AX30" i="20"/>
  <c r="AX29" i="20"/>
  <c r="AX28" i="20"/>
  <c r="AX27" i="20"/>
  <c r="AX26" i="20"/>
  <c r="AX25" i="20"/>
  <c r="AX24" i="20"/>
  <c r="AX23" i="20"/>
  <c r="AX22" i="20"/>
  <c r="AX21" i="20"/>
  <c r="AX20" i="20"/>
  <c r="AX19" i="20"/>
  <c r="AX18" i="20"/>
  <c r="AX17" i="20"/>
  <c r="AX16" i="20"/>
  <c r="AX15" i="20"/>
  <c r="AX14" i="20"/>
  <c r="AX13" i="20"/>
  <c r="AX12" i="20"/>
  <c r="AX11" i="20"/>
  <c r="AX10" i="20"/>
  <c r="AX9" i="20"/>
  <c r="AX8" i="20"/>
  <c r="AX7" i="20"/>
  <c r="C11" i="2"/>
  <c r="C12" i="2"/>
  <c r="C9" i="2"/>
  <c r="J53" i="7" l="1"/>
  <c r="G39" i="17" s="1"/>
  <c r="J57" i="7"/>
  <c r="G43" i="17" s="1"/>
  <c r="J51" i="7"/>
  <c r="J70" i="7"/>
  <c r="G56" i="17" s="1"/>
  <c r="J50" i="7"/>
  <c r="G36" i="17" s="1"/>
  <c r="J66" i="7"/>
  <c r="G52" i="17" s="1"/>
  <c r="J61" i="7"/>
  <c r="K61" i="7" s="1"/>
  <c r="J54" i="7"/>
  <c r="G40" i="17" s="1"/>
  <c r="J48" i="7"/>
  <c r="J52" i="7"/>
  <c r="K52" i="7" s="1"/>
  <c r="J64" i="7"/>
  <c r="G35" i="17"/>
  <c r="K56" i="7"/>
  <c r="G42" i="17"/>
  <c r="J60" i="25"/>
  <c r="J61" i="25"/>
  <c r="J64" i="25"/>
  <c r="J65" i="25"/>
  <c r="D65" i="25"/>
  <c r="D64" i="25"/>
  <c r="D61" i="25"/>
  <c r="D60" i="25"/>
  <c r="L54" i="25"/>
  <c r="L46" i="25"/>
  <c r="L34" i="25"/>
  <c r="L33" i="25"/>
  <c r="L32" i="25"/>
  <c r="L31" i="25"/>
  <c r="L30" i="25"/>
  <c r="L28" i="25"/>
  <c r="L27" i="25"/>
  <c r="L26" i="25"/>
  <c r="L24" i="25"/>
  <c r="L22" i="25"/>
  <c r="L21" i="25"/>
  <c r="L20" i="25"/>
  <c r="K49" i="7"/>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8" i="3"/>
  <c r="K57" i="7" l="1"/>
  <c r="K53" i="7"/>
  <c r="K54" i="7"/>
  <c r="G34" i="17"/>
  <c r="G47" i="17"/>
  <c r="K70" i="7"/>
  <c r="K48" i="7"/>
  <c r="G38" i="17"/>
  <c r="G50" i="17"/>
  <c r="K51" i="7"/>
  <c r="G37" i="17"/>
  <c r="K64" i="7"/>
  <c r="K50" i="7"/>
  <c r="K66" i="7"/>
  <c r="C6" i="13" l="1"/>
  <c r="C6" i="14"/>
  <c r="C6" i="11"/>
  <c r="C5" i="14" l="1"/>
  <c r="O300" i="7" l="1"/>
  <c r="O297" i="7"/>
  <c r="D296" i="7"/>
  <c r="P295" i="7"/>
  <c r="P300" i="7"/>
  <c r="D297" i="7"/>
  <c r="O295" i="7"/>
  <c r="P297" i="7"/>
  <c r="E296" i="7"/>
  <c r="D295" i="7"/>
  <c r="D300" i="7"/>
  <c r="P324" i="7"/>
  <c r="C324" i="7"/>
  <c r="P296" i="7"/>
  <c r="O296" i="7"/>
  <c r="N296" i="7"/>
  <c r="O291" i="7"/>
  <c r="O289" i="7"/>
  <c r="O287" i="7"/>
  <c r="P292" i="7"/>
  <c r="N291" i="7"/>
  <c r="P290" i="7"/>
  <c r="N289" i="7"/>
  <c r="P288" i="7"/>
  <c r="N287" i="7"/>
  <c r="P286" i="7"/>
  <c r="O292" i="7"/>
  <c r="O290" i="7"/>
  <c r="O288" i="7"/>
  <c r="O286" i="7"/>
  <c r="N292" i="7"/>
  <c r="P291" i="7"/>
  <c r="N290" i="7"/>
  <c r="P289" i="7"/>
  <c r="Q289" i="7" s="1"/>
  <c r="N288" i="7"/>
  <c r="P287" i="7"/>
  <c r="N286" i="7"/>
  <c r="C296" i="7"/>
  <c r="C291" i="7"/>
  <c r="C292" i="7"/>
  <c r="C290" i="7"/>
  <c r="C288" i="7"/>
  <c r="C286" i="7"/>
  <c r="C289" i="7"/>
  <c r="C287" i="7"/>
  <c r="C299" i="7"/>
  <c r="P294" i="7"/>
  <c r="O299" i="7"/>
  <c r="N294" i="7"/>
  <c r="N299" i="7"/>
  <c r="C294" i="7"/>
  <c r="P299" i="7"/>
  <c r="O294" i="7"/>
  <c r="C5" i="13"/>
  <c r="C5" i="11"/>
  <c r="Q297" i="7" l="1"/>
  <c r="Q287" i="7"/>
  <c r="S287" i="7" s="1"/>
  <c r="Q291" i="7"/>
  <c r="T291" i="7" s="1"/>
  <c r="Q296" i="7"/>
  <c r="Q300" i="7"/>
  <c r="Q288" i="7"/>
  <c r="T288" i="7" s="1"/>
  <c r="Q299" i="7"/>
  <c r="Q294" i="7"/>
  <c r="T289" i="7"/>
  <c r="Q286" i="7"/>
  <c r="S286" i="7" s="1"/>
  <c r="Q290" i="7"/>
  <c r="T290" i="7" s="1"/>
  <c r="Q292" i="7"/>
  <c r="S292" i="7" s="1"/>
  <c r="Q295" i="7"/>
  <c r="S289" i="7"/>
  <c r="J84" i="24"/>
  <c r="J57" i="23"/>
  <c r="E297" i="7"/>
  <c r="J56" i="23"/>
  <c r="E300" i="7"/>
  <c r="E295" i="7"/>
  <c r="F295" i="7" s="1"/>
  <c r="J54" i="23"/>
  <c r="E294" i="7"/>
  <c r="D287" i="7"/>
  <c r="D290" i="7"/>
  <c r="D289" i="7"/>
  <c r="J50" i="23"/>
  <c r="E290" i="7"/>
  <c r="J49" i="23"/>
  <c r="E289" i="7"/>
  <c r="D292" i="7"/>
  <c r="E288" i="7"/>
  <c r="D291" i="7"/>
  <c r="D286" i="7"/>
  <c r="D294" i="7"/>
  <c r="E292" i="7"/>
  <c r="J46" i="23"/>
  <c r="E286" i="7"/>
  <c r="E287" i="7"/>
  <c r="J51" i="23"/>
  <c r="E291" i="7"/>
  <c r="D288" i="7"/>
  <c r="E299" i="7"/>
  <c r="D299" i="7"/>
  <c r="J83" i="24"/>
  <c r="O324" i="7"/>
  <c r="Q324" i="7" s="1"/>
  <c r="D476" i="17"/>
  <c r="N324" i="7"/>
  <c r="P318" i="7"/>
  <c r="O318" i="7"/>
  <c r="N318" i="7"/>
  <c r="P319" i="7"/>
  <c r="O319" i="7"/>
  <c r="N319" i="7"/>
  <c r="P315" i="7"/>
  <c r="O315" i="7"/>
  <c r="N315" i="7"/>
  <c r="P320" i="7"/>
  <c r="O320" i="7"/>
  <c r="N320" i="7"/>
  <c r="P314" i="7"/>
  <c r="O314" i="7"/>
  <c r="N314" i="7"/>
  <c r="P317" i="7"/>
  <c r="O317" i="7"/>
  <c r="N317" i="7"/>
  <c r="P316" i="7"/>
  <c r="O316" i="7"/>
  <c r="N316" i="7"/>
  <c r="E314" i="7"/>
  <c r="C314" i="7"/>
  <c r="E318" i="7"/>
  <c r="C318" i="7"/>
  <c r="E315" i="7"/>
  <c r="C315" i="7"/>
  <c r="E317" i="7"/>
  <c r="C317" i="7"/>
  <c r="E320" i="7"/>
  <c r="C320" i="7"/>
  <c r="E319" i="7"/>
  <c r="C319" i="7"/>
  <c r="E316" i="7"/>
  <c r="C316" i="7"/>
  <c r="C309" i="7"/>
  <c r="P309" i="7"/>
  <c r="O309" i="7"/>
  <c r="N309" i="7"/>
  <c r="C322" i="7"/>
  <c r="P306" i="7"/>
  <c r="V306" i="7" s="1"/>
  <c r="O306" i="7"/>
  <c r="O312" i="7"/>
  <c r="N312" i="7"/>
  <c r="P312" i="7"/>
  <c r="N327" i="7"/>
  <c r="O327" i="7"/>
  <c r="P327" i="7"/>
  <c r="N307" i="7"/>
  <c r="P307" i="7"/>
  <c r="O307" i="7"/>
  <c r="P308" i="7"/>
  <c r="O308" i="7"/>
  <c r="N308" i="7"/>
  <c r="N310" i="7"/>
  <c r="P310" i="7"/>
  <c r="O310" i="7"/>
  <c r="C306" i="7"/>
  <c r="C307" i="7"/>
  <c r="E327" i="7"/>
  <c r="C327" i="7"/>
  <c r="P311" i="7"/>
  <c r="O311" i="7"/>
  <c r="N311" i="7"/>
  <c r="P322" i="7"/>
  <c r="O322" i="7"/>
  <c r="N322" i="7"/>
  <c r="E284" i="7"/>
  <c r="O284" i="7"/>
  <c r="C282" i="7"/>
  <c r="P278" i="7"/>
  <c r="V278" i="7" s="1"/>
  <c r="C278" i="7"/>
  <c r="O283" i="7"/>
  <c r="E281" i="7"/>
  <c r="E279" i="7"/>
  <c r="P279" i="7"/>
  <c r="O280" i="7"/>
  <c r="C284" i="7"/>
  <c r="P282" i="7"/>
  <c r="N283" i="7"/>
  <c r="O282" i="7"/>
  <c r="N281" i="7"/>
  <c r="O278" i="7"/>
  <c r="E280" i="7"/>
  <c r="P284" i="7"/>
  <c r="C279" i="7"/>
  <c r="N284" i="7"/>
  <c r="P283" i="7"/>
  <c r="C281" i="7"/>
  <c r="P281" i="7"/>
  <c r="O279" i="7"/>
  <c r="P280" i="7"/>
  <c r="E283" i="7"/>
  <c r="C280" i="7"/>
  <c r="N278" i="7"/>
  <c r="C283" i="7"/>
  <c r="E282" i="7"/>
  <c r="N280" i="7"/>
  <c r="N279" i="7"/>
  <c r="O281" i="7"/>
  <c r="N282" i="7"/>
  <c r="E12" i="2"/>
  <c r="E11" i="2"/>
  <c r="E8" i="2"/>
  <c r="E7" i="2"/>
  <c r="O432" i="7" l="1"/>
  <c r="D432" i="7"/>
  <c r="E422" i="17"/>
  <c r="E422" i="31" s="1"/>
  <c r="L422" i="31" s="1"/>
  <c r="D476" i="31"/>
  <c r="C476" i="31" s="1"/>
  <c r="N25" i="29" s="1"/>
  <c r="F289" i="7"/>
  <c r="H289" i="7" s="1"/>
  <c r="I289" i="7" s="1"/>
  <c r="J289" i="7" s="1"/>
  <c r="G333" i="17" s="1"/>
  <c r="T287" i="7"/>
  <c r="U287" i="7" s="1"/>
  <c r="P376" i="7"/>
  <c r="F474" i="17"/>
  <c r="O373" i="7"/>
  <c r="E471" i="17"/>
  <c r="N375" i="7"/>
  <c r="D473" i="17"/>
  <c r="P373" i="7"/>
  <c r="F471" i="17"/>
  <c r="E476" i="17"/>
  <c r="O375" i="7"/>
  <c r="E473" i="17"/>
  <c r="N370" i="7"/>
  <c r="D468" i="17"/>
  <c r="F476" i="17"/>
  <c r="N374" i="7"/>
  <c r="D472" i="17"/>
  <c r="P375" i="7"/>
  <c r="F473" i="17"/>
  <c r="O370" i="7"/>
  <c r="E468" i="17"/>
  <c r="N379" i="7"/>
  <c r="D477" i="17"/>
  <c r="O374" i="7"/>
  <c r="E472" i="17"/>
  <c r="N372" i="7"/>
  <c r="D470" i="17"/>
  <c r="P370" i="7"/>
  <c r="Q370" i="7" s="1"/>
  <c r="F468" i="17"/>
  <c r="O379" i="7"/>
  <c r="E477" i="17"/>
  <c r="P374" i="7"/>
  <c r="Q374" i="7" s="1"/>
  <c r="S374" i="7" s="1"/>
  <c r="F472" i="17"/>
  <c r="O372" i="7"/>
  <c r="E470" i="17"/>
  <c r="N371" i="7"/>
  <c r="D469" i="17"/>
  <c r="P379" i="7"/>
  <c r="F477" i="17"/>
  <c r="N376" i="7"/>
  <c r="D474" i="17"/>
  <c r="P372" i="7"/>
  <c r="Q372" i="7" s="1"/>
  <c r="F470" i="17"/>
  <c r="O371" i="7"/>
  <c r="E469" i="17"/>
  <c r="O376" i="7"/>
  <c r="E474" i="17"/>
  <c r="N373" i="7"/>
  <c r="D471" i="17"/>
  <c r="P371" i="7"/>
  <c r="F469" i="17"/>
  <c r="F287" i="7"/>
  <c r="H287" i="7" s="1"/>
  <c r="I287" i="7" s="1"/>
  <c r="E348" i="7"/>
  <c r="C346" i="7"/>
  <c r="D343" i="7"/>
  <c r="E345" i="7"/>
  <c r="C342" i="7"/>
  <c r="D352" i="7"/>
  <c r="E353" i="7"/>
  <c r="C347" i="7"/>
  <c r="D346" i="7"/>
  <c r="E343" i="7"/>
  <c r="C344" i="7"/>
  <c r="D342" i="7"/>
  <c r="E352" i="7"/>
  <c r="C348" i="7"/>
  <c r="D347" i="7"/>
  <c r="E346" i="7"/>
  <c r="C345" i="7"/>
  <c r="D344" i="7"/>
  <c r="E342" i="7"/>
  <c r="C353" i="7"/>
  <c r="D348" i="7"/>
  <c r="F348" i="7" s="1"/>
  <c r="E347" i="7"/>
  <c r="C343" i="7"/>
  <c r="D345" i="7"/>
  <c r="E344" i="7"/>
  <c r="C352" i="7"/>
  <c r="D353" i="7"/>
  <c r="F292" i="7"/>
  <c r="H292" i="7" s="1"/>
  <c r="I292" i="7" s="1"/>
  <c r="J292" i="7" s="1"/>
  <c r="G336" i="17" s="1"/>
  <c r="S291" i="7"/>
  <c r="U291" i="7" s="1"/>
  <c r="S290" i="7"/>
  <c r="U290" i="7" s="1"/>
  <c r="Q327" i="7"/>
  <c r="Q320" i="7"/>
  <c r="T320" i="7" s="1"/>
  <c r="Q317" i="7"/>
  <c r="S317" i="7" s="1"/>
  <c r="Q319" i="7"/>
  <c r="T319" i="7" s="1"/>
  <c r="S288" i="7"/>
  <c r="U288" i="7" s="1"/>
  <c r="U289" i="7"/>
  <c r="Q314" i="7"/>
  <c r="T314" i="7" s="1"/>
  <c r="Q318" i="7"/>
  <c r="S318" i="7" s="1"/>
  <c r="T292" i="7"/>
  <c r="U292" i="7" s="1"/>
  <c r="Q322" i="7"/>
  <c r="Q316" i="7"/>
  <c r="Q315" i="7"/>
  <c r="T295" i="7"/>
  <c r="S295" i="7"/>
  <c r="T286" i="7"/>
  <c r="U286" i="7" s="1"/>
  <c r="F291" i="7"/>
  <c r="H291" i="7" s="1"/>
  <c r="F290" i="7"/>
  <c r="H290" i="7" s="1"/>
  <c r="I290" i="7" s="1"/>
  <c r="I295" i="7"/>
  <c r="H295" i="7"/>
  <c r="J55" i="23"/>
  <c r="J26" i="23"/>
  <c r="F286" i="7"/>
  <c r="H286" i="7" s="1"/>
  <c r="I286" i="7" s="1"/>
  <c r="D319" i="7"/>
  <c r="F319" i="7" s="1"/>
  <c r="H319" i="7" s="1"/>
  <c r="I319" i="7" s="1"/>
  <c r="D315" i="7"/>
  <c r="F315" i="7" s="1"/>
  <c r="D318" i="7"/>
  <c r="F318" i="7" s="1"/>
  <c r="D316" i="7"/>
  <c r="F316" i="7" s="1"/>
  <c r="D317" i="7"/>
  <c r="F317" i="7" s="1"/>
  <c r="D327" i="7"/>
  <c r="D324" i="7"/>
  <c r="D322" i="7"/>
  <c r="D320" i="7"/>
  <c r="F320" i="7" s="1"/>
  <c r="D314" i="7"/>
  <c r="F314" i="7" s="1"/>
  <c r="E322" i="7"/>
  <c r="E324" i="7"/>
  <c r="F288" i="7"/>
  <c r="F294" i="7"/>
  <c r="P378" i="7"/>
  <c r="N378" i="7"/>
  <c r="O378" i="7"/>
  <c r="S294" i="7"/>
  <c r="T294" i="7"/>
  <c r="C310" i="7"/>
  <c r="C312" i="7"/>
  <c r="C308" i="7"/>
  <c r="D311" i="7"/>
  <c r="C311" i="7"/>
  <c r="E311" i="7"/>
  <c r="D308" i="7"/>
  <c r="E310" i="7"/>
  <c r="E308" i="7"/>
  <c r="D309" i="7"/>
  <c r="E307" i="7"/>
  <c r="D312" i="7"/>
  <c r="D307" i="7"/>
  <c r="E309" i="7"/>
  <c r="D310" i="7"/>
  <c r="N306" i="7"/>
  <c r="E312" i="7"/>
  <c r="Z113" i="19"/>
  <c r="Z112" i="19"/>
  <c r="Z111" i="19"/>
  <c r="Z110" i="19"/>
  <c r="Z109" i="19"/>
  <c r="Z108" i="19"/>
  <c r="Z107" i="19"/>
  <c r="Z106" i="19"/>
  <c r="Z105" i="19"/>
  <c r="Z104" i="19"/>
  <c r="Z103" i="19"/>
  <c r="Z102" i="19"/>
  <c r="Z101" i="19"/>
  <c r="Z100" i="19"/>
  <c r="Z99" i="19"/>
  <c r="Z98" i="19"/>
  <c r="Z97" i="19"/>
  <c r="Z96" i="19"/>
  <c r="Z95" i="19"/>
  <c r="Z94" i="19"/>
  <c r="Z93" i="19"/>
  <c r="Z92" i="19"/>
  <c r="Z91" i="19"/>
  <c r="Z90" i="19"/>
  <c r="Z89" i="19"/>
  <c r="Z88" i="19"/>
  <c r="Z87" i="19"/>
  <c r="Z86" i="19"/>
  <c r="Z85" i="19"/>
  <c r="Z84" i="19"/>
  <c r="Z83" i="19"/>
  <c r="Z82" i="19"/>
  <c r="Z81" i="19"/>
  <c r="Z80" i="19"/>
  <c r="Z79" i="19"/>
  <c r="Z78" i="19"/>
  <c r="Z77" i="19"/>
  <c r="Z76" i="19"/>
  <c r="Z75" i="19"/>
  <c r="Z74" i="19"/>
  <c r="Z73" i="19"/>
  <c r="Z72" i="19"/>
  <c r="Z71" i="19"/>
  <c r="Z70" i="19"/>
  <c r="Z69" i="19"/>
  <c r="Z68" i="19"/>
  <c r="Z67" i="19"/>
  <c r="Z66" i="19"/>
  <c r="Z65" i="19"/>
  <c r="Z64" i="19"/>
  <c r="Z63" i="19"/>
  <c r="Z62" i="19"/>
  <c r="Z61" i="19"/>
  <c r="Z60" i="19"/>
  <c r="Z59" i="19"/>
  <c r="Z58" i="19"/>
  <c r="Z57" i="19"/>
  <c r="Z56" i="19"/>
  <c r="Z55" i="19"/>
  <c r="Z54" i="19"/>
  <c r="Z53" i="19"/>
  <c r="Z52" i="19"/>
  <c r="Z51" i="19"/>
  <c r="Z50" i="19"/>
  <c r="Z49" i="19"/>
  <c r="Z48" i="19"/>
  <c r="Z47" i="19"/>
  <c r="Z46" i="19"/>
  <c r="Z45" i="19"/>
  <c r="Z44" i="19"/>
  <c r="Z43" i="19"/>
  <c r="Z42" i="19"/>
  <c r="Z41" i="19"/>
  <c r="Z40" i="19"/>
  <c r="Z39" i="19"/>
  <c r="Z38" i="19"/>
  <c r="Z37" i="19"/>
  <c r="Z36" i="19"/>
  <c r="Z35" i="19"/>
  <c r="Z34" i="19"/>
  <c r="Z33" i="19"/>
  <c r="Z32" i="19"/>
  <c r="Z31" i="19"/>
  <c r="Z30" i="19"/>
  <c r="Z29" i="19"/>
  <c r="Z28" i="19"/>
  <c r="Z27" i="19"/>
  <c r="Z26" i="19"/>
  <c r="Z25" i="19"/>
  <c r="Z24" i="19"/>
  <c r="Z23" i="19"/>
  <c r="Z22" i="19"/>
  <c r="Z21" i="19"/>
  <c r="Z20" i="19"/>
  <c r="Z19" i="19"/>
  <c r="Z18" i="19"/>
  <c r="Z17" i="19"/>
  <c r="Z16" i="19"/>
  <c r="Z15" i="19"/>
  <c r="Z14" i="19"/>
  <c r="Z13" i="19"/>
  <c r="Z12" i="19"/>
  <c r="Z11" i="19"/>
  <c r="Z10" i="19"/>
  <c r="Z9" i="19"/>
  <c r="Z8" i="19"/>
  <c r="Z7" i="19"/>
  <c r="Z6" i="19"/>
  <c r="Z5" i="19"/>
  <c r="I913" i="7"/>
  <c r="I912" i="7"/>
  <c r="I911" i="7"/>
  <c r="I908" i="7"/>
  <c r="I907" i="7"/>
  <c r="I903" i="7"/>
  <c r="I901" i="7"/>
  <c r="I894" i="7"/>
  <c r="I890" i="7"/>
  <c r="I889" i="7"/>
  <c r="F345" i="7" l="1"/>
  <c r="O424" i="7"/>
  <c r="F422" i="17"/>
  <c r="F422" i="31" s="1"/>
  <c r="M422" i="31" s="1"/>
  <c r="P432" i="7"/>
  <c r="Q432" i="7" s="1"/>
  <c r="O427" i="7"/>
  <c r="F415" i="17"/>
  <c r="F415" i="31" s="1"/>
  <c r="M415" i="31" s="1"/>
  <c r="P425" i="7"/>
  <c r="O430" i="7"/>
  <c r="E415" i="17"/>
  <c r="E415" i="31" s="1"/>
  <c r="L415" i="31" s="1"/>
  <c r="O425" i="7"/>
  <c r="P428" i="7"/>
  <c r="F414" i="17"/>
  <c r="F414" i="31" s="1"/>
  <c r="M414" i="31" s="1"/>
  <c r="P424" i="7"/>
  <c r="O428" i="7"/>
  <c r="F417" i="17"/>
  <c r="F417" i="31" s="1"/>
  <c r="M417" i="31" s="1"/>
  <c r="P427" i="7"/>
  <c r="P429" i="7"/>
  <c r="E430" i="7"/>
  <c r="P430" i="7"/>
  <c r="P426" i="7"/>
  <c r="E433" i="7"/>
  <c r="P433" i="7"/>
  <c r="O426" i="7"/>
  <c r="D433" i="7"/>
  <c r="O433" i="7"/>
  <c r="O429" i="7"/>
  <c r="E429" i="7"/>
  <c r="F419" i="17"/>
  <c r="F419" i="31" s="1"/>
  <c r="M419" i="31" s="1"/>
  <c r="E426" i="7"/>
  <c r="F416" i="17"/>
  <c r="F416" i="31" s="1"/>
  <c r="M416" i="31" s="1"/>
  <c r="D426" i="7"/>
  <c r="E416" i="17"/>
  <c r="E416" i="31" s="1"/>
  <c r="L416" i="31" s="1"/>
  <c r="D429" i="7"/>
  <c r="E419" i="17"/>
  <c r="E419" i="31" s="1"/>
  <c r="L419" i="31" s="1"/>
  <c r="Q371" i="7"/>
  <c r="D424" i="7"/>
  <c r="E414" i="17"/>
  <c r="E414" i="31" s="1"/>
  <c r="L414" i="31" s="1"/>
  <c r="E432" i="7"/>
  <c r="F432" i="7" s="1"/>
  <c r="D427" i="7"/>
  <c r="E417" i="17"/>
  <c r="E417" i="31" s="1"/>
  <c r="L417" i="31" s="1"/>
  <c r="E425" i="7"/>
  <c r="D430" i="7"/>
  <c r="E420" i="17"/>
  <c r="E420" i="31" s="1"/>
  <c r="L420" i="31" s="1"/>
  <c r="D425" i="7"/>
  <c r="E428" i="7"/>
  <c r="F418" i="17"/>
  <c r="F418" i="31" s="1"/>
  <c r="M418" i="31" s="1"/>
  <c r="E424" i="7"/>
  <c r="D428" i="7"/>
  <c r="E418" i="17"/>
  <c r="E418" i="31" s="1"/>
  <c r="L418" i="31" s="1"/>
  <c r="E427" i="7"/>
  <c r="F427" i="7" s="1"/>
  <c r="Q376" i="7"/>
  <c r="S376" i="7" s="1"/>
  <c r="T317" i="7"/>
  <c r="U317" i="7" s="1"/>
  <c r="N361" i="17" s="1"/>
  <c r="N54" i="29"/>
  <c r="N83" i="29" s="1"/>
  <c r="F469" i="31"/>
  <c r="E474" i="31"/>
  <c r="F470" i="31"/>
  <c r="F477" i="31"/>
  <c r="E470" i="31"/>
  <c r="E477" i="31"/>
  <c r="D470" i="31"/>
  <c r="C470" i="31" s="1"/>
  <c r="D477" i="31"/>
  <c r="C477" i="31" s="1"/>
  <c r="N26" i="29" s="1"/>
  <c r="F473" i="31"/>
  <c r="F476" i="31"/>
  <c r="D473" i="31"/>
  <c r="C473" i="31" s="1"/>
  <c r="N22" i="29" s="1"/>
  <c r="F474" i="31"/>
  <c r="D468" i="31"/>
  <c r="C468" i="31" s="1"/>
  <c r="N46" i="29" s="1"/>
  <c r="E476" i="31"/>
  <c r="D471" i="31"/>
  <c r="C471" i="31" s="1"/>
  <c r="N20" i="29" s="1"/>
  <c r="E469" i="31"/>
  <c r="D474" i="31"/>
  <c r="C474" i="31" s="1"/>
  <c r="D469" i="31"/>
  <c r="C469" i="31" s="1"/>
  <c r="F472" i="31"/>
  <c r="F468" i="31"/>
  <c r="E472" i="31"/>
  <c r="E468" i="31"/>
  <c r="D472" i="31"/>
  <c r="C472" i="31" s="1"/>
  <c r="N50" i="29" s="1"/>
  <c r="F471" i="31"/>
  <c r="E471" i="31"/>
  <c r="H345" i="7"/>
  <c r="E473" i="31"/>
  <c r="S370" i="7"/>
  <c r="I345" i="7"/>
  <c r="Q373" i="7"/>
  <c r="T373" i="7" s="1"/>
  <c r="S314" i="7"/>
  <c r="U314" i="7" s="1"/>
  <c r="N358" i="17" s="1"/>
  <c r="Q379" i="7"/>
  <c r="S379" i="7" s="1"/>
  <c r="Q375" i="7"/>
  <c r="T375" i="7" s="1"/>
  <c r="N46" i="24"/>
  <c r="N17" i="24"/>
  <c r="N20" i="23"/>
  <c r="N49" i="23"/>
  <c r="N21" i="23"/>
  <c r="N50" i="23"/>
  <c r="N50" i="24"/>
  <c r="N21" i="24"/>
  <c r="N46" i="23"/>
  <c r="N17" i="23"/>
  <c r="N25" i="24"/>
  <c r="N54" i="24"/>
  <c r="N51" i="23"/>
  <c r="N22" i="23"/>
  <c r="N26" i="24"/>
  <c r="N55" i="24"/>
  <c r="N20" i="24"/>
  <c r="N49" i="24"/>
  <c r="N55" i="23"/>
  <c r="N26" i="23"/>
  <c r="N22" i="24"/>
  <c r="N51" i="24"/>
  <c r="H348" i="7"/>
  <c r="T374" i="7"/>
  <c r="U374" i="7" s="1"/>
  <c r="G472" i="17" s="1"/>
  <c r="I348" i="7"/>
  <c r="S320" i="7"/>
  <c r="U320" i="7" s="1"/>
  <c r="N364" i="17" s="1"/>
  <c r="F344" i="7"/>
  <c r="F347" i="7"/>
  <c r="F342" i="7"/>
  <c r="F346" i="7"/>
  <c r="F343" i="7"/>
  <c r="S319" i="7"/>
  <c r="U319" i="7" s="1"/>
  <c r="N363" i="17" s="1"/>
  <c r="J290" i="7"/>
  <c r="G334" i="17" s="1"/>
  <c r="U295" i="7"/>
  <c r="I291" i="7"/>
  <c r="J291" i="7" s="1"/>
  <c r="G335" i="17" s="1"/>
  <c r="T315" i="7"/>
  <c r="S315" i="7"/>
  <c r="T316" i="7"/>
  <c r="S316" i="7"/>
  <c r="T318" i="7"/>
  <c r="U318" i="7" s="1"/>
  <c r="N362" i="17" s="1"/>
  <c r="U294" i="7"/>
  <c r="T370" i="7"/>
  <c r="U370" i="7" s="1"/>
  <c r="G468" i="17" s="1"/>
  <c r="J319" i="7"/>
  <c r="G363" i="17" s="1"/>
  <c r="H314" i="7"/>
  <c r="I314" i="7" s="1"/>
  <c r="H320" i="7"/>
  <c r="I320" i="7" s="1"/>
  <c r="H317" i="7"/>
  <c r="I317" i="7" s="1"/>
  <c r="H316" i="7"/>
  <c r="I316" i="7" s="1"/>
  <c r="J295" i="7"/>
  <c r="G339" i="17" s="1"/>
  <c r="J84" i="23"/>
  <c r="H315" i="7"/>
  <c r="I315" i="7" s="1"/>
  <c r="H318" i="7"/>
  <c r="I318" i="7" s="1"/>
  <c r="H288" i="7"/>
  <c r="I288" i="7" s="1"/>
  <c r="J287" i="7"/>
  <c r="G331" i="17" s="1"/>
  <c r="J286" i="7"/>
  <c r="G330" i="17" s="1"/>
  <c r="I294" i="7"/>
  <c r="Q378" i="7"/>
  <c r="S378" i="7" s="1"/>
  <c r="T371" i="7"/>
  <c r="S371" i="7"/>
  <c r="S372" i="7"/>
  <c r="T372" i="7"/>
  <c r="H294" i="7"/>
  <c r="T322" i="7"/>
  <c r="S322" i="7"/>
  <c r="F322" i="7"/>
  <c r="H379" i="7"/>
  <c r="I379" i="7"/>
  <c r="C732" i="7"/>
  <c r="D732" i="7"/>
  <c r="E732" i="7"/>
  <c r="C733" i="7"/>
  <c r="D733" i="7"/>
  <c r="E733" i="7"/>
  <c r="C734" i="7"/>
  <c r="D734" i="7"/>
  <c r="E734" i="7"/>
  <c r="C735" i="7"/>
  <c r="D735" i="7"/>
  <c r="E735" i="7"/>
  <c r="C736" i="7"/>
  <c r="D736" i="7"/>
  <c r="E736" i="7"/>
  <c r="C737" i="7"/>
  <c r="D737" i="7"/>
  <c r="E737" i="7"/>
  <c r="Q424" i="7" l="1"/>
  <c r="F428" i="7"/>
  <c r="F433" i="7"/>
  <c r="F425" i="7"/>
  <c r="F424" i="7"/>
  <c r="Q430" i="7"/>
  <c r="Q427" i="7"/>
  <c r="Q428" i="7"/>
  <c r="Q425" i="7"/>
  <c r="F426" i="7"/>
  <c r="Q429" i="7"/>
  <c r="Q426" i="7"/>
  <c r="F429" i="7"/>
  <c r="Q433" i="7"/>
  <c r="F430" i="7"/>
  <c r="E423" i="17"/>
  <c r="E423" i="31" s="1"/>
  <c r="L423" i="31" s="1"/>
  <c r="F423" i="17"/>
  <c r="F423" i="31" s="1"/>
  <c r="M423" i="31" s="1"/>
  <c r="F420" i="17"/>
  <c r="F420" i="31" s="1"/>
  <c r="M420" i="31" s="1"/>
  <c r="S375" i="7"/>
  <c r="U375" i="7" s="1"/>
  <c r="G473" i="17" s="1"/>
  <c r="T376" i="7"/>
  <c r="U376" i="7" s="1"/>
  <c r="G474" i="17" s="1"/>
  <c r="J345" i="7"/>
  <c r="G444" i="17" s="1"/>
  <c r="N51" i="29"/>
  <c r="N80" i="29" s="1"/>
  <c r="N55" i="29"/>
  <c r="N84" i="29" s="1"/>
  <c r="N17" i="29"/>
  <c r="N75" i="29" s="1"/>
  <c r="N49" i="29"/>
  <c r="N78" i="29" s="1"/>
  <c r="N21" i="29"/>
  <c r="N79" i="29" s="1"/>
  <c r="S373" i="7"/>
  <c r="U373" i="7" s="1"/>
  <c r="G471" i="17" s="1"/>
  <c r="T379" i="7"/>
  <c r="U379" i="7" s="1"/>
  <c r="J348" i="7"/>
  <c r="I346" i="7"/>
  <c r="H346" i="7"/>
  <c r="I342" i="7"/>
  <c r="H342" i="7"/>
  <c r="I347" i="7"/>
  <c r="H347" i="7"/>
  <c r="H343" i="7"/>
  <c r="I343" i="7"/>
  <c r="H344" i="7"/>
  <c r="I344" i="7"/>
  <c r="U315" i="7"/>
  <c r="N359" i="17" s="1"/>
  <c r="U371" i="7"/>
  <c r="U372" i="7"/>
  <c r="G470" i="17" s="1"/>
  <c r="U316" i="7"/>
  <c r="N360" i="17" s="1"/>
  <c r="J316" i="7"/>
  <c r="G360" i="17" s="1"/>
  <c r="J294" i="7"/>
  <c r="G338" i="17" s="1"/>
  <c r="J320" i="7"/>
  <c r="G364" i="17" s="1"/>
  <c r="T378" i="7"/>
  <c r="U378" i="7" s="1"/>
  <c r="J379" i="7"/>
  <c r="U322" i="7"/>
  <c r="N366" i="17" s="1"/>
  <c r="J317" i="7"/>
  <c r="G361" i="17" s="1"/>
  <c r="J315" i="7"/>
  <c r="G359" i="17" s="1"/>
  <c r="J314" i="7"/>
  <c r="G358" i="17" s="1"/>
  <c r="J318" i="7"/>
  <c r="G362" i="17" s="1"/>
  <c r="J288" i="7"/>
  <c r="G332" i="17" s="1"/>
  <c r="I322" i="7"/>
  <c r="H322" i="7"/>
  <c r="H378" i="7"/>
  <c r="I378" i="7"/>
  <c r="F735" i="7"/>
  <c r="H735" i="7" s="1"/>
  <c r="F308" i="7"/>
  <c r="F749" i="7"/>
  <c r="H749" i="7" s="1"/>
  <c r="F752" i="7"/>
  <c r="H752" i="7" s="1"/>
  <c r="Q282" i="7"/>
  <c r="F761" i="7"/>
  <c r="H761" i="7" s="1"/>
  <c r="F780" i="7"/>
  <c r="H780" i="7" s="1"/>
  <c r="F753" i="7"/>
  <c r="H753" i="7" s="1"/>
  <c r="F732" i="7"/>
  <c r="H732" i="7" s="1"/>
  <c r="F736" i="7"/>
  <c r="H736" i="7" s="1"/>
  <c r="F778" i="7"/>
  <c r="H778" i="7" s="1"/>
  <c r="Q567" i="7"/>
  <c r="F777" i="7"/>
  <c r="H777" i="7" s="1"/>
  <c r="F733" i="7"/>
  <c r="H733" i="7" s="1"/>
  <c r="F211" i="7"/>
  <c r="F191" i="7"/>
  <c r="Q207" i="7"/>
  <c r="F763" i="7"/>
  <c r="H763" i="7" s="1"/>
  <c r="F750" i="7"/>
  <c r="H750" i="7" s="1"/>
  <c r="F737" i="7"/>
  <c r="H737" i="7" s="1"/>
  <c r="F734" i="7"/>
  <c r="H734" i="7" s="1"/>
  <c r="F760" i="7"/>
  <c r="H760" i="7" s="1"/>
  <c r="F759" i="7"/>
  <c r="F765" i="7"/>
  <c r="H765" i="7" s="1"/>
  <c r="Q307" i="7"/>
  <c r="F764" i="7"/>
  <c r="H764" i="7" s="1"/>
  <c r="F781" i="7"/>
  <c r="H781" i="7" s="1"/>
  <c r="F762" i="7"/>
  <c r="H762" i="7" s="1"/>
  <c r="F590" i="7"/>
  <c r="Q562" i="7"/>
  <c r="F645" i="7"/>
  <c r="F664" i="7"/>
  <c r="Q311" i="7"/>
  <c r="F311" i="7"/>
  <c r="F646" i="7"/>
  <c r="Q312" i="7"/>
  <c r="F328" i="7"/>
  <c r="F297" i="7"/>
  <c r="F296" i="7"/>
  <c r="Q308" i="7"/>
  <c r="F561" i="7"/>
  <c r="F647" i="7"/>
  <c r="F567" i="7"/>
  <c r="F563" i="7"/>
  <c r="Q306" i="7"/>
  <c r="F178" i="7"/>
  <c r="F549" i="7"/>
  <c r="F168" i="7"/>
  <c r="F189" i="7"/>
  <c r="F208" i="7"/>
  <c r="Q195" i="7"/>
  <c r="F165" i="7"/>
  <c r="Q192" i="7"/>
  <c r="Q281" i="7"/>
  <c r="F312" i="7"/>
  <c r="F551" i="7"/>
  <c r="F566" i="7"/>
  <c r="F651" i="7"/>
  <c r="F309" i="7"/>
  <c r="F594" i="7"/>
  <c r="F164" i="7"/>
  <c r="F193" i="7"/>
  <c r="Q189" i="7"/>
  <c r="Q191" i="7"/>
  <c r="Q280" i="7"/>
  <c r="Q309" i="7"/>
  <c r="F530" i="7"/>
  <c r="F565" i="7"/>
  <c r="Q561" i="7"/>
  <c r="Q579" i="7"/>
  <c r="F650" i="7"/>
  <c r="F190" i="7"/>
  <c r="F535" i="7"/>
  <c r="Q566" i="7"/>
  <c r="Q279" i="7"/>
  <c r="F310" i="7"/>
  <c r="F532" i="7"/>
  <c r="Q563" i="7"/>
  <c r="F595" i="7"/>
  <c r="F731" i="7"/>
  <c r="H731" i="7" s="1"/>
  <c r="Q582" i="7"/>
  <c r="F589" i="7"/>
  <c r="F610" i="7"/>
  <c r="F210" i="7"/>
  <c r="Q284" i="7"/>
  <c r="F324" i="7"/>
  <c r="Q583" i="7"/>
  <c r="F299" i="7"/>
  <c r="F163" i="7"/>
  <c r="F195" i="7"/>
  <c r="F192" i="7"/>
  <c r="Q208" i="7"/>
  <c r="Q190" i="7"/>
  <c r="F531" i="7"/>
  <c r="Q193" i="7"/>
  <c r="Q283" i="7"/>
  <c r="F611" i="7"/>
  <c r="F162" i="7"/>
  <c r="F179" i="7"/>
  <c r="F194" i="7"/>
  <c r="Q210" i="7"/>
  <c r="F580" i="7"/>
  <c r="Q310" i="7"/>
  <c r="F579" i="7"/>
  <c r="F608" i="7"/>
  <c r="F582" i="7"/>
  <c r="Q564" i="7"/>
  <c r="F592" i="7"/>
  <c r="F666" i="7"/>
  <c r="F648" i="7"/>
  <c r="F167" i="7"/>
  <c r="F207" i="7"/>
  <c r="F325" i="7"/>
  <c r="F536" i="7"/>
  <c r="F562" i="7"/>
  <c r="Q194" i="7"/>
  <c r="F327" i="7"/>
  <c r="F564" i="7"/>
  <c r="F181" i="7"/>
  <c r="F166" i="7"/>
  <c r="Q211" i="7"/>
  <c r="F300" i="7"/>
  <c r="F307" i="7"/>
  <c r="F583" i="7"/>
  <c r="Q580" i="7"/>
  <c r="Q565" i="7"/>
  <c r="F593" i="7"/>
  <c r="F667" i="7"/>
  <c r="J667" i="7" s="1"/>
  <c r="F649" i="7"/>
  <c r="F533" i="7"/>
  <c r="F534" i="7"/>
  <c r="F552" i="7"/>
  <c r="F548" i="7"/>
  <c r="C635" i="7" l="1"/>
  <c r="O596" i="14"/>
  <c r="D673" i="17"/>
  <c r="D673" i="31" s="1"/>
  <c r="G447" i="17"/>
  <c r="I327" i="7"/>
  <c r="H327" i="7"/>
  <c r="G477" i="17"/>
  <c r="J347" i="7"/>
  <c r="J346" i="7"/>
  <c r="G469" i="17"/>
  <c r="J343" i="7"/>
  <c r="J342" i="7"/>
  <c r="J344" i="7"/>
  <c r="J322" i="7"/>
  <c r="G366" i="17" s="1"/>
  <c r="J378" i="7"/>
  <c r="G476" i="17" s="1"/>
  <c r="I781" i="7"/>
  <c r="J781" i="7" s="1"/>
  <c r="G787" i="17" s="1"/>
  <c r="I764" i="7"/>
  <c r="J764" i="7" s="1"/>
  <c r="G770" i="17" s="1"/>
  <c r="I765" i="7"/>
  <c r="J765" i="7" s="1"/>
  <c r="G771" i="17" s="1"/>
  <c r="I737" i="7"/>
  <c r="J737" i="7" s="1"/>
  <c r="G744" i="17" s="1"/>
  <c r="I777" i="7"/>
  <c r="J777" i="7" s="1"/>
  <c r="G783" i="17" s="1"/>
  <c r="I736" i="7"/>
  <c r="J736" i="7" s="1"/>
  <c r="G743" i="17" s="1"/>
  <c r="I753" i="7"/>
  <c r="J753" i="7" s="1"/>
  <c r="G760" i="17" s="1"/>
  <c r="I761" i="7"/>
  <c r="J761" i="7" s="1"/>
  <c r="G767" i="17" s="1"/>
  <c r="I752" i="7"/>
  <c r="J752" i="7" s="1"/>
  <c r="I762" i="7"/>
  <c r="J762" i="7" s="1"/>
  <c r="G768" i="17" s="1"/>
  <c r="I734" i="7"/>
  <c r="J734" i="7" s="1"/>
  <c r="G741" i="17" s="1"/>
  <c r="I750" i="7"/>
  <c r="J750" i="7" s="1"/>
  <c r="I778" i="7"/>
  <c r="J778" i="7" s="1"/>
  <c r="G784" i="17" s="1"/>
  <c r="I732" i="7"/>
  <c r="J732" i="7" s="1"/>
  <c r="G739" i="17" s="1"/>
  <c r="I780" i="7"/>
  <c r="J780" i="7" s="1"/>
  <c r="G786" i="17" s="1"/>
  <c r="I749" i="7"/>
  <c r="J749" i="7" s="1"/>
  <c r="I735" i="7"/>
  <c r="J735" i="7" s="1"/>
  <c r="G742" i="17" s="1"/>
  <c r="H552" i="7"/>
  <c r="I534" i="7"/>
  <c r="H533" i="7"/>
  <c r="H667" i="7"/>
  <c r="I593" i="7"/>
  <c r="S565" i="7"/>
  <c r="S580" i="7"/>
  <c r="I583" i="7"/>
  <c r="S325" i="7"/>
  <c r="H564" i="7"/>
  <c r="T328" i="7"/>
  <c r="I562" i="7"/>
  <c r="I536" i="7"/>
  <c r="H325" i="7"/>
  <c r="I648" i="7"/>
  <c r="H666" i="7"/>
  <c r="I592" i="7"/>
  <c r="T564" i="7"/>
  <c r="H582" i="7"/>
  <c r="I608" i="7"/>
  <c r="H579" i="7"/>
  <c r="T310" i="7"/>
  <c r="I580" i="7"/>
  <c r="S327" i="7"/>
  <c r="H611" i="7"/>
  <c r="S283" i="7"/>
  <c r="I531" i="7"/>
  <c r="I299" i="7"/>
  <c r="S583" i="7"/>
  <c r="I610" i="7"/>
  <c r="I589" i="7"/>
  <c r="T582" i="7"/>
  <c r="I595" i="7"/>
  <c r="T563" i="7"/>
  <c r="I532" i="7"/>
  <c r="S279" i="7"/>
  <c r="T297" i="7"/>
  <c r="T566" i="7"/>
  <c r="H535" i="7"/>
  <c r="S296" i="7"/>
  <c r="H650" i="7"/>
  <c r="S561" i="7"/>
  <c r="H565" i="7"/>
  <c r="S309" i="7"/>
  <c r="T280" i="7"/>
  <c r="H594" i="7"/>
  <c r="I309" i="7"/>
  <c r="I566" i="7"/>
  <c r="I551" i="7"/>
  <c r="H312" i="7"/>
  <c r="T281" i="7"/>
  <c r="T306" i="7"/>
  <c r="H563" i="7"/>
  <c r="H567" i="7"/>
  <c r="I647" i="7"/>
  <c r="I561" i="7"/>
  <c r="H296" i="7"/>
  <c r="I297" i="7"/>
  <c r="H328" i="7"/>
  <c r="T312" i="7"/>
  <c r="I646" i="7"/>
  <c r="T311" i="7"/>
  <c r="S324" i="7"/>
  <c r="H645" i="7"/>
  <c r="S562" i="7"/>
  <c r="I590" i="7"/>
  <c r="T307" i="7"/>
  <c r="T567" i="7"/>
  <c r="S282" i="7"/>
  <c r="S300" i="7"/>
  <c r="H308" i="7"/>
  <c r="S184" i="7"/>
  <c r="S168" i="7"/>
  <c r="S166" i="7"/>
  <c r="S183" i="7"/>
  <c r="S178" i="7"/>
  <c r="S210" i="7"/>
  <c r="T210" i="7" s="1"/>
  <c r="S207" i="7"/>
  <c r="T207" i="7" s="1"/>
  <c r="I308" i="7"/>
  <c r="T282" i="7"/>
  <c r="T562" i="7"/>
  <c r="T300" i="7"/>
  <c r="I733" i="7"/>
  <c r="J733" i="7" s="1"/>
  <c r="G740" i="17" s="1"/>
  <c r="I763" i="7"/>
  <c r="J763" i="7" s="1"/>
  <c r="G769" i="17" s="1"/>
  <c r="S567" i="7"/>
  <c r="S307" i="7"/>
  <c r="I563" i="7"/>
  <c r="I760" i="7"/>
  <c r="J760" i="7" s="1"/>
  <c r="G766" i="17" s="1"/>
  <c r="H595" i="7"/>
  <c r="J595" i="7" s="1"/>
  <c r="H590" i="7"/>
  <c r="I311" i="7"/>
  <c r="I645" i="7"/>
  <c r="S582" i="7"/>
  <c r="H664" i="7"/>
  <c r="I664" i="7"/>
  <c r="T324" i="7"/>
  <c r="I567" i="7"/>
  <c r="I565" i="7"/>
  <c r="S311" i="7"/>
  <c r="I296" i="7"/>
  <c r="S312" i="7"/>
  <c r="I328" i="7"/>
  <c r="H566" i="7"/>
  <c r="H324" i="7"/>
  <c r="H311" i="7"/>
  <c r="H549" i="7"/>
  <c r="H651" i="7"/>
  <c r="J651" i="7" s="1"/>
  <c r="H532" i="7"/>
  <c r="I310" i="7"/>
  <c r="H646" i="7"/>
  <c r="K646" i="7" s="1"/>
  <c r="S163" i="7"/>
  <c r="H647" i="7"/>
  <c r="H309" i="7"/>
  <c r="S280" i="7"/>
  <c r="I530" i="7"/>
  <c r="S566" i="7"/>
  <c r="H530" i="7"/>
  <c r="I535" i="7"/>
  <c r="I549" i="7"/>
  <c r="S164" i="7"/>
  <c r="S308" i="7"/>
  <c r="H297" i="7"/>
  <c r="H551" i="7"/>
  <c r="T308" i="7"/>
  <c r="S563" i="7"/>
  <c r="H561" i="7"/>
  <c r="I594" i="7"/>
  <c r="S306" i="7"/>
  <c r="I650" i="7"/>
  <c r="S190" i="7"/>
  <c r="T190" i="7" s="1"/>
  <c r="H548" i="7"/>
  <c r="H310" i="7"/>
  <c r="T279" i="7"/>
  <c r="F81" i="7"/>
  <c r="S195" i="7"/>
  <c r="T195" i="7" s="1"/>
  <c r="S167" i="7"/>
  <c r="T296" i="7"/>
  <c r="T565" i="7"/>
  <c r="T309" i="7"/>
  <c r="S297" i="7"/>
  <c r="H592" i="7"/>
  <c r="I312" i="7"/>
  <c r="S192" i="7"/>
  <c r="T192" i="7" s="1"/>
  <c r="S564" i="7"/>
  <c r="I667" i="7"/>
  <c r="I651" i="7"/>
  <c r="S191" i="7"/>
  <c r="T191" i="7" s="1"/>
  <c r="H531" i="7"/>
  <c r="K531" i="7" s="1"/>
  <c r="F79" i="7"/>
  <c r="F156" i="7"/>
  <c r="F136" i="7"/>
  <c r="T561" i="7"/>
  <c r="I731" i="7"/>
  <c r="J731" i="7" s="1"/>
  <c r="G738" i="17" s="1"/>
  <c r="S165" i="7"/>
  <c r="I564" i="7"/>
  <c r="S281" i="7"/>
  <c r="S193" i="7"/>
  <c r="T193" i="7" s="1"/>
  <c r="S211" i="7"/>
  <c r="T211" i="7" s="1"/>
  <c r="T327" i="7"/>
  <c r="I611" i="7"/>
  <c r="I582" i="7"/>
  <c r="S579" i="7"/>
  <c r="T579" i="7"/>
  <c r="T284" i="7"/>
  <c r="S284" i="7"/>
  <c r="H580" i="7"/>
  <c r="H610" i="7"/>
  <c r="F138" i="7"/>
  <c r="S208" i="7"/>
  <c r="T208" i="7" s="1"/>
  <c r="S179" i="7"/>
  <c r="I548" i="7"/>
  <c r="T583" i="7"/>
  <c r="H589" i="7"/>
  <c r="H649" i="7"/>
  <c r="I324" i="7"/>
  <c r="H648" i="7"/>
  <c r="F78" i="7"/>
  <c r="F155" i="7"/>
  <c r="F135" i="7"/>
  <c r="Q139" i="7"/>
  <c r="Q135" i="7"/>
  <c r="H583" i="7"/>
  <c r="T580" i="7"/>
  <c r="H608" i="7"/>
  <c r="F75" i="7"/>
  <c r="F140" i="7"/>
  <c r="I649" i="7"/>
  <c r="H299" i="7"/>
  <c r="I307" i="7"/>
  <c r="T325" i="7"/>
  <c r="H536" i="7"/>
  <c r="S299" i="7"/>
  <c r="T299" i="7"/>
  <c r="T283" i="7"/>
  <c r="F80" i="7"/>
  <c r="F137" i="7"/>
  <c r="Q138" i="7"/>
  <c r="Q134" i="7"/>
  <c r="I666" i="7"/>
  <c r="H593" i="7"/>
  <c r="H307" i="7"/>
  <c r="K307" i="7" s="1"/>
  <c r="I579" i="7"/>
  <c r="S328" i="7"/>
  <c r="H562" i="7"/>
  <c r="S310" i="7"/>
  <c r="I325" i="7"/>
  <c r="I300" i="7"/>
  <c r="H300" i="7"/>
  <c r="H534" i="7"/>
  <c r="I533" i="7"/>
  <c r="I552" i="7"/>
  <c r="F77" i="7"/>
  <c r="F134" i="7"/>
  <c r="F153" i="7"/>
  <c r="Q278" i="7"/>
  <c r="F139" i="7"/>
  <c r="Q137" i="7"/>
  <c r="F76" i="7"/>
  <c r="F152" i="7"/>
  <c r="Q140" i="7"/>
  <c r="Q136" i="7"/>
  <c r="S194" i="7"/>
  <c r="T194" i="7" s="1"/>
  <c r="C7" i="2"/>
  <c r="C3" i="22" s="1"/>
  <c r="J590" i="7" l="1"/>
  <c r="K590" i="7"/>
  <c r="J611" i="7"/>
  <c r="Q596" i="14"/>
  <c r="E635" i="7"/>
  <c r="J531" i="7"/>
  <c r="G572" i="17" s="1"/>
  <c r="P596" i="14"/>
  <c r="D635" i="7"/>
  <c r="J299" i="7"/>
  <c r="G343" i="17" s="1"/>
  <c r="J593" i="7"/>
  <c r="J327" i="7"/>
  <c r="G371" i="17" s="1"/>
  <c r="J530" i="7"/>
  <c r="G571" i="17" s="1"/>
  <c r="J589" i="7"/>
  <c r="U310" i="7"/>
  <c r="N354" i="17" s="1"/>
  <c r="U306" i="7"/>
  <c r="N350" i="17" s="1"/>
  <c r="J549" i="7"/>
  <c r="G590" i="17" s="1"/>
  <c r="G756" i="17"/>
  <c r="G759" i="17"/>
  <c r="G757" i="17"/>
  <c r="G443" i="17"/>
  <c r="G441" i="17"/>
  <c r="G442" i="17"/>
  <c r="G445" i="17"/>
  <c r="G446" i="17"/>
  <c r="U280" i="7"/>
  <c r="U566" i="7"/>
  <c r="J583" i="7"/>
  <c r="U311" i="7"/>
  <c r="J297" i="7"/>
  <c r="G341" i="17" s="1"/>
  <c r="J566" i="7"/>
  <c r="J309" i="7"/>
  <c r="J592" i="7"/>
  <c r="J648" i="7"/>
  <c r="J310" i="7"/>
  <c r="J647" i="7"/>
  <c r="J645" i="7"/>
  <c r="J610" i="7"/>
  <c r="J646" i="7"/>
  <c r="U582" i="7"/>
  <c r="J666" i="7"/>
  <c r="J664" i="7"/>
  <c r="J650" i="7"/>
  <c r="J649" i="7"/>
  <c r="U567" i="7"/>
  <c r="U564" i="7"/>
  <c r="U583" i="7"/>
  <c r="U565" i="7"/>
  <c r="U579" i="7"/>
  <c r="U562" i="7"/>
  <c r="U563" i="7"/>
  <c r="U561" i="7"/>
  <c r="U580" i="7"/>
  <c r="J608" i="7"/>
  <c r="J551" i="7"/>
  <c r="G592" i="17" s="1"/>
  <c r="J536" i="7"/>
  <c r="U284" i="7"/>
  <c r="J307" i="7"/>
  <c r="G351" i="17" s="1"/>
  <c r="J561" i="7"/>
  <c r="U299" i="7"/>
  <c r="J548" i="7"/>
  <c r="G589" i="17" s="1"/>
  <c r="J567" i="7"/>
  <c r="J535" i="7"/>
  <c r="G576" i="17" s="1"/>
  <c r="J534" i="7"/>
  <c r="G575" i="17" s="1"/>
  <c r="U281" i="7"/>
  <c r="J563" i="7"/>
  <c r="J312" i="7"/>
  <c r="G356" i="17" s="1"/>
  <c r="U283" i="7"/>
  <c r="J552" i="7"/>
  <c r="G593" i="17" s="1"/>
  <c r="U282" i="7"/>
  <c r="J582" i="7"/>
  <c r="J594" i="7"/>
  <c r="J565" i="7"/>
  <c r="J579" i="7"/>
  <c r="J564" i="7"/>
  <c r="J562" i="7"/>
  <c r="J580" i="7"/>
  <c r="J532" i="7"/>
  <c r="U279" i="7"/>
  <c r="J533" i="7"/>
  <c r="G574" i="17" s="1"/>
  <c r="U308" i="7"/>
  <c r="N352" i="17" s="1"/>
  <c r="T163" i="7"/>
  <c r="U163" i="7" s="1"/>
  <c r="N207" i="17" s="1"/>
  <c r="T178" i="7"/>
  <c r="U178" i="7" s="1"/>
  <c r="N222" i="17" s="1"/>
  <c r="U324" i="7"/>
  <c r="N368" i="17" s="1"/>
  <c r="U309" i="7"/>
  <c r="N353" i="17" s="1"/>
  <c r="U195" i="7"/>
  <c r="N240" i="17" s="1"/>
  <c r="U210" i="7"/>
  <c r="N255" i="17" s="1"/>
  <c r="U190" i="7"/>
  <c r="N235" i="17" s="1"/>
  <c r="U192" i="7"/>
  <c r="N237" i="17" s="1"/>
  <c r="U208" i="7"/>
  <c r="N253" i="17" s="1"/>
  <c r="T164" i="7"/>
  <c r="U164" i="7" s="1"/>
  <c r="N208" i="17" s="1"/>
  <c r="T168" i="7"/>
  <c r="U168" i="7" s="1"/>
  <c r="N212" i="17" s="1"/>
  <c r="U193" i="7"/>
  <c r="N238" i="17" s="1"/>
  <c r="U207" i="7"/>
  <c r="N252" i="17" s="1"/>
  <c r="J300" i="7"/>
  <c r="G344" i="17" s="1"/>
  <c r="T165" i="7"/>
  <c r="U165" i="7" s="1"/>
  <c r="N209" i="17" s="1"/>
  <c r="T167" i="7"/>
  <c r="U167" i="7" s="1"/>
  <c r="N211" i="17" s="1"/>
  <c r="T183" i="7"/>
  <c r="U183" i="7" s="1"/>
  <c r="N227" i="17" s="1"/>
  <c r="U211" i="7"/>
  <c r="N256" i="17" s="1"/>
  <c r="U191" i="7"/>
  <c r="N236" i="17" s="1"/>
  <c r="U194" i="7"/>
  <c r="N239" i="17" s="1"/>
  <c r="T179" i="7"/>
  <c r="U179" i="7" s="1"/>
  <c r="N223" i="17" s="1"/>
  <c r="J324" i="7"/>
  <c r="G368" i="17" s="1"/>
  <c r="T166" i="7"/>
  <c r="U166" i="7" s="1"/>
  <c r="N210" i="17" s="1"/>
  <c r="T184" i="7"/>
  <c r="U184" i="7" s="1"/>
  <c r="N228" i="17" s="1"/>
  <c r="U300" i="7"/>
  <c r="U296" i="7"/>
  <c r="U327" i="7"/>
  <c r="N371" i="17" s="1"/>
  <c r="U307" i="7"/>
  <c r="N351" i="17" s="1"/>
  <c r="J328" i="7"/>
  <c r="G372" i="17" s="1"/>
  <c r="J325" i="7"/>
  <c r="G369" i="17" s="1"/>
  <c r="U325" i="7"/>
  <c r="N369" i="17" s="1"/>
  <c r="U328" i="7"/>
  <c r="N372" i="17" s="1"/>
  <c r="J311" i="7"/>
  <c r="G355" i="17" s="1"/>
  <c r="U312" i="7"/>
  <c r="J308" i="7"/>
  <c r="G352" i="17" s="1"/>
  <c r="U297" i="7"/>
  <c r="J296" i="7"/>
  <c r="G340" i="17" s="1"/>
  <c r="E38" i="22"/>
  <c r="E40" i="22"/>
  <c r="F40" i="22"/>
  <c r="C43" i="22"/>
  <c r="F39" i="22"/>
  <c r="D43" i="22"/>
  <c r="C36" i="22"/>
  <c r="G43" i="22"/>
  <c r="F37" i="22"/>
  <c r="D41" i="22"/>
  <c r="E42" i="22"/>
  <c r="C40" i="22"/>
  <c r="G36" i="22"/>
  <c r="G39" i="22"/>
  <c r="D37" i="22"/>
  <c r="F42" i="22"/>
  <c r="F36" i="22"/>
  <c r="G42" i="22"/>
  <c r="G41" i="22"/>
  <c r="D39" i="22"/>
  <c r="E36" i="22"/>
  <c r="E43" i="22"/>
  <c r="D42" i="22"/>
  <c r="G37" i="22"/>
  <c r="E41" i="22"/>
  <c r="C38" i="22"/>
  <c r="C41" i="22"/>
  <c r="D40" i="22"/>
  <c r="C42" i="22"/>
  <c r="E39" i="22"/>
  <c r="G38" i="22"/>
  <c r="G40" i="22"/>
  <c r="D38" i="22"/>
  <c r="F43" i="22"/>
  <c r="E37" i="22"/>
  <c r="F38" i="22"/>
  <c r="C37" i="22"/>
  <c r="D36" i="22"/>
  <c r="F41" i="22"/>
  <c r="C39" i="22"/>
  <c r="S156" i="7"/>
  <c r="S155" i="7"/>
  <c r="S153" i="7"/>
  <c r="S152" i="7"/>
  <c r="S135" i="7"/>
  <c r="T135" i="7" s="1"/>
  <c r="S138" i="7"/>
  <c r="T138" i="7" s="1"/>
  <c r="S139" i="7"/>
  <c r="T139" i="7" s="1"/>
  <c r="S136" i="7"/>
  <c r="T136" i="7" s="1"/>
  <c r="S137" i="7"/>
  <c r="T137" i="7" s="1"/>
  <c r="S140" i="7"/>
  <c r="T140" i="7" s="1"/>
  <c r="S134" i="7"/>
  <c r="T134" i="7" s="1"/>
  <c r="U134" i="7" s="1"/>
  <c r="H78" i="7"/>
  <c r="I78" i="7" s="1"/>
  <c r="H79" i="7"/>
  <c r="I79" i="7" s="1"/>
  <c r="H81" i="7"/>
  <c r="I81" i="7" s="1"/>
  <c r="H76" i="7"/>
  <c r="I76" i="7" s="1"/>
  <c r="H77" i="7"/>
  <c r="I77" i="7" s="1"/>
  <c r="H80" i="7"/>
  <c r="I80" i="7" s="1"/>
  <c r="T278" i="7"/>
  <c r="S278" i="7"/>
  <c r="C847" i="17"/>
  <c r="C848" i="17"/>
  <c r="C849" i="17"/>
  <c r="C118" i="19"/>
  <c r="C117" i="19"/>
  <c r="E113" i="19"/>
  <c r="F113" i="19" s="1"/>
  <c r="C849" i="31" l="1"/>
  <c r="C848" i="31"/>
  <c r="C847" i="31"/>
  <c r="G577" i="17"/>
  <c r="G573" i="17"/>
  <c r="N355" i="17"/>
  <c r="N356" i="17"/>
  <c r="G354" i="17"/>
  <c r="G353" i="17"/>
  <c r="U278" i="7"/>
  <c r="J80" i="7"/>
  <c r="G66" i="17" s="1"/>
  <c r="T155" i="7"/>
  <c r="U155" i="7" s="1"/>
  <c r="N199" i="17" s="1"/>
  <c r="T156" i="7"/>
  <c r="U156" i="7" s="1"/>
  <c r="N200" i="17" s="1"/>
  <c r="J76" i="7"/>
  <c r="J81" i="7"/>
  <c r="J79" i="7"/>
  <c r="G65" i="17" s="1"/>
  <c r="T152" i="7"/>
  <c r="U152" i="7" s="1"/>
  <c r="T153" i="7"/>
  <c r="U153" i="7" s="1"/>
  <c r="J77" i="7"/>
  <c r="J78" i="7"/>
  <c r="G64" i="17" s="1"/>
  <c r="N178" i="17"/>
  <c r="H113" i="7"/>
  <c r="H115" i="7"/>
  <c r="U140" i="7"/>
  <c r="N184" i="17" s="1"/>
  <c r="U137" i="7"/>
  <c r="N181" i="17" s="1"/>
  <c r="U138" i="7"/>
  <c r="N182" i="17" s="1"/>
  <c r="U139" i="7"/>
  <c r="N183" i="17" s="1"/>
  <c r="U136" i="7"/>
  <c r="N180" i="17" s="1"/>
  <c r="U135" i="7"/>
  <c r="N179" i="17" s="1"/>
  <c r="G67" i="17" l="1"/>
  <c r="F635" i="7"/>
  <c r="F607" i="7"/>
  <c r="I113" i="7"/>
  <c r="J113" i="7" s="1"/>
  <c r="K113" i="7" s="1"/>
  <c r="S170" i="7"/>
  <c r="S171" i="7"/>
  <c r="G63" i="17"/>
  <c r="G62" i="17"/>
  <c r="H75" i="24"/>
  <c r="I115" i="7"/>
  <c r="J115" i="7" s="1"/>
  <c r="H116" i="7"/>
  <c r="H112" i="7"/>
  <c r="H110" i="7"/>
  <c r="F121" i="7"/>
  <c r="K78" i="7"/>
  <c r="K80" i="7"/>
  <c r="K81" i="7"/>
  <c r="K77" i="7"/>
  <c r="K76" i="7"/>
  <c r="K79" i="7"/>
  <c r="F104" i="7"/>
  <c r="F103" i="7"/>
  <c r="F107" i="7"/>
  <c r="F105" i="7"/>
  <c r="CC16" i="3"/>
  <c r="CO16" i="3" s="1"/>
  <c r="CC17" i="3"/>
  <c r="CO17" i="3" s="1"/>
  <c r="CC18" i="3"/>
  <c r="CO18" i="3" s="1"/>
  <c r="CC19" i="3"/>
  <c r="CO19" i="3" s="1"/>
  <c r="CC20" i="3"/>
  <c r="CO20" i="3" s="1"/>
  <c r="CC21" i="3"/>
  <c r="CO21" i="3" s="1"/>
  <c r="CC22" i="3"/>
  <c r="CO22" i="3" s="1"/>
  <c r="CC23" i="3"/>
  <c r="CO23" i="3" s="1"/>
  <c r="CC24" i="3"/>
  <c r="CO24" i="3" s="1"/>
  <c r="CC25" i="3"/>
  <c r="CO25" i="3" s="1"/>
  <c r="CC26" i="3"/>
  <c r="CO26" i="3" s="1"/>
  <c r="CC27" i="3"/>
  <c r="CO27" i="3" s="1"/>
  <c r="CC28" i="3"/>
  <c r="CO28" i="3" s="1"/>
  <c r="CC29" i="3"/>
  <c r="CO29" i="3" s="1"/>
  <c r="CC30" i="3"/>
  <c r="CO30" i="3" s="1"/>
  <c r="CC31" i="3"/>
  <c r="CO31" i="3" s="1"/>
  <c r="CC32" i="3"/>
  <c r="CO32" i="3" s="1"/>
  <c r="CC33" i="3"/>
  <c r="CO33" i="3" s="1"/>
  <c r="CC34" i="3"/>
  <c r="CO34" i="3" s="1"/>
  <c r="CC35" i="3"/>
  <c r="CO35" i="3" s="1"/>
  <c r="CC36" i="3"/>
  <c r="CO36" i="3" s="1"/>
  <c r="CC37" i="3"/>
  <c r="CO37" i="3" s="1"/>
  <c r="CC38" i="3"/>
  <c r="CO38" i="3" s="1"/>
  <c r="CC39" i="3"/>
  <c r="CO39" i="3" s="1"/>
  <c r="CC40" i="3"/>
  <c r="CO40" i="3" s="1"/>
  <c r="CC41" i="3"/>
  <c r="CO41" i="3" s="1"/>
  <c r="CC42" i="3"/>
  <c r="CO42" i="3" s="1"/>
  <c r="CC43" i="3"/>
  <c r="CO43" i="3" s="1"/>
  <c r="CC44" i="3"/>
  <c r="CO44" i="3" s="1"/>
  <c r="CC45" i="3"/>
  <c r="CO45" i="3" s="1"/>
  <c r="CC46" i="3"/>
  <c r="CO46" i="3" s="1"/>
  <c r="CC47" i="3"/>
  <c r="CO47" i="3" s="1"/>
  <c r="CC48" i="3"/>
  <c r="CO48" i="3" s="1"/>
  <c r="CC49" i="3"/>
  <c r="CO49" i="3" s="1"/>
  <c r="CC50" i="3"/>
  <c r="CO50" i="3" s="1"/>
  <c r="CC52" i="3"/>
  <c r="CO52" i="3" s="1"/>
  <c r="CC53" i="3"/>
  <c r="CO53" i="3" s="1"/>
  <c r="CC54" i="3"/>
  <c r="CO54" i="3" s="1"/>
  <c r="CC55" i="3"/>
  <c r="CO55" i="3" s="1"/>
  <c r="CC56" i="3"/>
  <c r="CO56" i="3" s="1"/>
  <c r="CC57" i="3"/>
  <c r="CO57" i="3" s="1"/>
  <c r="CC58" i="3"/>
  <c r="CO58" i="3" s="1"/>
  <c r="CC59" i="3"/>
  <c r="CO59" i="3" s="1"/>
  <c r="CC60" i="3"/>
  <c r="CO60" i="3" s="1"/>
  <c r="CC61" i="3"/>
  <c r="CO61" i="3" s="1"/>
  <c r="CC62" i="3"/>
  <c r="CO62" i="3" s="1"/>
  <c r="CC63" i="3"/>
  <c r="CO63" i="3" s="1"/>
  <c r="CC64" i="3"/>
  <c r="CO64" i="3" s="1"/>
  <c r="CC65" i="3"/>
  <c r="CO65" i="3" s="1"/>
  <c r="CC66" i="3"/>
  <c r="CO66" i="3" s="1"/>
  <c r="CC67" i="3"/>
  <c r="CO67" i="3" s="1"/>
  <c r="CC68" i="3"/>
  <c r="CO68" i="3" s="1"/>
  <c r="CC69" i="3"/>
  <c r="CO69" i="3" s="1"/>
  <c r="CC70" i="3"/>
  <c r="CO70" i="3" s="1"/>
  <c r="CC71" i="3"/>
  <c r="CO71" i="3" s="1"/>
  <c r="CC72" i="3"/>
  <c r="CO72" i="3" s="1"/>
  <c r="CC73" i="3"/>
  <c r="CO73" i="3" s="1"/>
  <c r="CC74" i="3"/>
  <c r="CO74" i="3" s="1"/>
  <c r="CC75" i="3"/>
  <c r="CO75" i="3" s="1"/>
  <c r="CC76" i="3"/>
  <c r="CO76" i="3" s="1"/>
  <c r="CC77" i="3"/>
  <c r="CO77" i="3" s="1"/>
  <c r="CC78" i="3"/>
  <c r="CO78" i="3" s="1"/>
  <c r="CC79" i="3"/>
  <c r="CO79" i="3" s="1"/>
  <c r="CC80" i="3"/>
  <c r="CO80" i="3" s="1"/>
  <c r="CC81" i="3"/>
  <c r="CO81" i="3" s="1"/>
  <c r="CC82" i="3"/>
  <c r="CO82" i="3" s="1"/>
  <c r="CC83" i="3"/>
  <c r="CO83" i="3" s="1"/>
  <c r="CC84" i="3"/>
  <c r="CO84" i="3" s="1"/>
  <c r="CC85" i="3"/>
  <c r="CO85" i="3" s="1"/>
  <c r="CC86" i="3"/>
  <c r="CO86" i="3" s="1"/>
  <c r="CC87" i="3"/>
  <c r="CO87" i="3" s="1"/>
  <c r="CC88" i="3"/>
  <c r="CO88" i="3" s="1"/>
  <c r="CC89" i="3"/>
  <c r="CO89" i="3" s="1"/>
  <c r="CC90" i="3"/>
  <c r="CO90" i="3" s="1"/>
  <c r="CC91" i="3"/>
  <c r="CO91" i="3" s="1"/>
  <c r="CC92" i="3"/>
  <c r="CO92" i="3" s="1"/>
  <c r="CC93" i="3"/>
  <c r="CO93" i="3" s="1"/>
  <c r="CC94" i="3"/>
  <c r="CO94" i="3" s="1"/>
  <c r="CC95" i="3"/>
  <c r="CO95" i="3" s="1"/>
  <c r="CC96" i="3"/>
  <c r="CO96" i="3" s="1"/>
  <c r="CC97" i="3"/>
  <c r="CO97" i="3" s="1"/>
  <c r="CC99" i="3"/>
  <c r="CO99" i="3" s="1"/>
  <c r="CC100" i="3"/>
  <c r="CO100" i="3" s="1"/>
  <c r="CC101" i="3"/>
  <c r="CO101" i="3" s="1"/>
  <c r="CC102" i="3"/>
  <c r="CO102" i="3" s="1"/>
  <c r="CC103" i="3"/>
  <c r="CO103" i="3" s="1"/>
  <c r="CC104" i="3"/>
  <c r="CO104" i="3" s="1"/>
  <c r="CC105" i="3"/>
  <c r="CO105" i="3" s="1"/>
  <c r="CC106" i="3"/>
  <c r="CO106" i="3" s="1"/>
  <c r="CC107" i="3"/>
  <c r="CO107" i="3" s="1"/>
  <c r="CC108" i="3"/>
  <c r="CO108" i="3" s="1"/>
  <c r="CC109" i="3"/>
  <c r="CO109" i="3" s="1"/>
  <c r="CC110" i="3"/>
  <c r="CO110" i="3" s="1"/>
  <c r="CC111" i="3"/>
  <c r="CO111" i="3" s="1"/>
  <c r="CC112" i="3"/>
  <c r="CO112" i="3" s="1"/>
  <c r="CC113" i="3"/>
  <c r="CO113" i="3" s="1"/>
  <c r="CC114" i="3"/>
  <c r="CO114" i="3" s="1"/>
  <c r="CC115" i="3"/>
  <c r="CO115" i="3" s="1"/>
  <c r="CC116" i="3"/>
  <c r="CO116" i="3" s="1"/>
  <c r="CC117" i="3"/>
  <c r="CO117" i="3" s="1"/>
  <c r="CC118" i="3"/>
  <c r="CO118" i="3" s="1"/>
  <c r="CC119" i="3"/>
  <c r="CO119" i="3" s="1"/>
  <c r="CC120" i="3"/>
  <c r="CO120" i="3" s="1"/>
  <c r="CC121" i="3"/>
  <c r="CO121" i="3" s="1"/>
  <c r="CC122" i="3"/>
  <c r="CO122" i="3" s="1"/>
  <c r="CC123" i="3"/>
  <c r="CO123" i="3" s="1"/>
  <c r="CC124" i="3"/>
  <c r="CO124" i="3" s="1"/>
  <c r="CC125" i="3"/>
  <c r="CO125" i="3" s="1"/>
  <c r="CC126" i="3"/>
  <c r="CO126" i="3" s="1"/>
  <c r="CC127" i="3"/>
  <c r="CO127" i="3" s="1"/>
  <c r="CC128" i="3"/>
  <c r="CO128" i="3" s="1"/>
  <c r="CC129" i="3"/>
  <c r="CO129" i="3" s="1"/>
  <c r="CC130" i="3"/>
  <c r="CO130" i="3" s="1"/>
  <c r="CC131" i="3"/>
  <c r="CO131" i="3" s="1"/>
  <c r="CC132" i="3"/>
  <c r="CO132" i="3" s="1"/>
  <c r="CC133" i="3"/>
  <c r="CO133" i="3" s="1"/>
  <c r="CC134" i="3"/>
  <c r="CO134" i="3" s="1"/>
  <c r="CC135" i="3"/>
  <c r="CO135" i="3" s="1"/>
  <c r="CC136" i="3"/>
  <c r="CO136" i="3" s="1"/>
  <c r="CC137" i="3"/>
  <c r="CO137" i="3" s="1"/>
  <c r="CC138" i="3"/>
  <c r="CO138" i="3" s="1"/>
  <c r="CC139" i="3"/>
  <c r="CO139" i="3" s="1"/>
  <c r="CC140" i="3"/>
  <c r="CO140" i="3" s="1"/>
  <c r="CC141" i="3"/>
  <c r="CO141" i="3" s="1"/>
  <c r="CC142" i="3"/>
  <c r="CO142" i="3" s="1"/>
  <c r="CC143" i="3"/>
  <c r="CO143" i="3" s="1"/>
  <c r="CC144" i="3"/>
  <c r="CO144" i="3" s="1"/>
  <c r="CC145" i="3"/>
  <c r="CO145" i="3" s="1"/>
  <c r="CC146" i="3"/>
  <c r="CO146" i="3" s="1"/>
  <c r="CC147" i="3"/>
  <c r="CO147" i="3" s="1"/>
  <c r="CC148" i="3"/>
  <c r="CO148" i="3" s="1"/>
  <c r="CC149" i="3"/>
  <c r="CO149" i="3" s="1"/>
  <c r="CC150" i="3"/>
  <c r="CO150" i="3" s="1"/>
  <c r="CC151" i="3"/>
  <c r="CO151" i="3" s="1"/>
  <c r="CC152" i="3"/>
  <c r="CO152" i="3" s="1"/>
  <c r="CC153" i="3"/>
  <c r="CO153" i="3" s="1"/>
  <c r="CC154" i="3"/>
  <c r="CO154" i="3" s="1"/>
  <c r="CC155" i="3"/>
  <c r="CO155" i="3" s="1"/>
  <c r="CC156" i="3"/>
  <c r="CO156" i="3" s="1"/>
  <c r="CC157" i="3"/>
  <c r="CO157" i="3" s="1"/>
  <c r="CC158" i="3"/>
  <c r="CO158" i="3" s="1"/>
  <c r="CC159" i="3"/>
  <c r="CO159" i="3" s="1"/>
  <c r="CC160" i="3"/>
  <c r="CO160" i="3" s="1"/>
  <c r="CC161" i="3"/>
  <c r="CO161" i="3" s="1"/>
  <c r="CC162" i="3"/>
  <c r="CO162" i="3" s="1"/>
  <c r="CC163" i="3"/>
  <c r="CO163" i="3" s="1"/>
  <c r="CC164" i="3"/>
  <c r="CO164" i="3" s="1"/>
  <c r="CC165" i="3"/>
  <c r="CO165" i="3" s="1"/>
  <c r="CC166" i="3"/>
  <c r="CO166" i="3" s="1"/>
  <c r="CC167" i="3"/>
  <c r="CO167" i="3" s="1"/>
  <c r="CC168" i="3"/>
  <c r="CO168" i="3" s="1"/>
  <c r="CC169" i="3"/>
  <c r="CO169" i="3" s="1"/>
  <c r="CC170" i="3"/>
  <c r="CO170" i="3" s="1"/>
  <c r="CC171" i="3"/>
  <c r="CO171" i="3" s="1"/>
  <c r="CC172" i="3"/>
  <c r="CO172" i="3" s="1"/>
  <c r="CC173" i="3"/>
  <c r="CO173" i="3" s="1"/>
  <c r="CC174" i="3"/>
  <c r="CO174" i="3" s="1"/>
  <c r="CC175" i="3"/>
  <c r="CO175" i="3" s="1"/>
  <c r="CC176" i="3"/>
  <c r="CO176" i="3" s="1"/>
  <c r="CC177" i="3"/>
  <c r="CO177" i="3" s="1"/>
  <c r="CC178" i="3"/>
  <c r="CO178" i="3" s="1"/>
  <c r="CC179" i="3"/>
  <c r="CO179" i="3" s="1"/>
  <c r="CC180" i="3"/>
  <c r="CO180" i="3" s="1"/>
  <c r="CC181" i="3"/>
  <c r="CO181" i="3" s="1"/>
  <c r="CC182" i="3"/>
  <c r="CO182" i="3" s="1"/>
  <c r="CC183" i="3"/>
  <c r="CO183" i="3" s="1"/>
  <c r="CC184" i="3"/>
  <c r="CO184" i="3" s="1"/>
  <c r="CC185" i="3"/>
  <c r="CO185" i="3" s="1"/>
  <c r="CC186" i="3"/>
  <c r="CO186" i="3" s="1"/>
  <c r="CC187" i="3"/>
  <c r="CO187" i="3" s="1"/>
  <c r="CC188" i="3"/>
  <c r="CO188" i="3" s="1"/>
  <c r="CC189" i="3"/>
  <c r="CO189" i="3" s="1"/>
  <c r="CC190" i="3"/>
  <c r="CO190" i="3" s="1"/>
  <c r="CC191" i="3"/>
  <c r="CO191" i="3" s="1"/>
  <c r="CC192" i="3"/>
  <c r="CO192" i="3" s="1"/>
  <c r="CC193" i="3"/>
  <c r="CO193" i="3" s="1"/>
  <c r="CC194" i="3"/>
  <c r="CO194" i="3" s="1"/>
  <c r="CC9" i="3"/>
  <c r="CO9" i="3" s="1"/>
  <c r="CC10" i="3"/>
  <c r="CO10" i="3" s="1"/>
  <c r="CC11" i="3"/>
  <c r="CO11" i="3" s="1"/>
  <c r="CC12" i="3"/>
  <c r="CO12" i="3" s="1"/>
  <c r="CC13" i="3"/>
  <c r="CO13" i="3" s="1"/>
  <c r="CC14" i="3"/>
  <c r="CO14" i="3" s="1"/>
  <c r="CC8" i="3"/>
  <c r="CO8" i="3" s="1"/>
  <c r="O580" i="14" l="1"/>
  <c r="C619" i="7"/>
  <c r="D657" i="17"/>
  <c r="D657" i="31" s="1"/>
  <c r="C663" i="7"/>
  <c r="O627" i="14"/>
  <c r="D700" i="17"/>
  <c r="D700" i="31" s="1"/>
  <c r="I607" i="7"/>
  <c r="H607" i="7"/>
  <c r="H635" i="7"/>
  <c r="I635" i="7"/>
  <c r="G99" i="17"/>
  <c r="H104" i="7"/>
  <c r="I104" i="7" s="1"/>
  <c r="I112" i="7"/>
  <c r="J112" i="7" s="1"/>
  <c r="I116" i="7"/>
  <c r="J116" i="7" s="1"/>
  <c r="T171" i="7"/>
  <c r="U171" i="7" s="1"/>
  <c r="N215" i="17" s="1"/>
  <c r="T170" i="7"/>
  <c r="U170" i="7" s="1"/>
  <c r="N214" i="17" s="1"/>
  <c r="I110" i="7"/>
  <c r="J110" i="7" s="1"/>
  <c r="H121" i="7"/>
  <c r="I121" i="7" s="1"/>
  <c r="K115" i="7"/>
  <c r="G101" i="17"/>
  <c r="AB75" i="24"/>
  <c r="AD75" i="24"/>
  <c r="F118" i="7"/>
  <c r="H118" i="7" s="1"/>
  <c r="I118" i="7" s="1"/>
  <c r="F124" i="7"/>
  <c r="F108" i="7"/>
  <c r="H105" i="7"/>
  <c r="I105" i="7" s="1"/>
  <c r="F120" i="7"/>
  <c r="H103" i="7"/>
  <c r="I103" i="7" s="1"/>
  <c r="F106" i="7"/>
  <c r="H107" i="7"/>
  <c r="I107" i="7" s="1"/>
  <c r="F123" i="7"/>
  <c r="D27" i="15"/>
  <c r="D79" i="15"/>
  <c r="U84" i="15" s="1"/>
  <c r="S75" i="15"/>
  <c r="S74" i="15"/>
  <c r="S73" i="15"/>
  <c r="S72" i="15"/>
  <c r="S71" i="15"/>
  <c r="S70" i="15"/>
  <c r="S69" i="15"/>
  <c r="S68" i="15"/>
  <c r="S67" i="15"/>
  <c r="S66" i="15"/>
  <c r="S65" i="15"/>
  <c r="D619" i="7" l="1"/>
  <c r="P580" i="14"/>
  <c r="E619" i="7"/>
  <c r="Q580" i="14"/>
  <c r="Q627" i="14"/>
  <c r="E663" i="7"/>
  <c r="P627" i="14"/>
  <c r="D663" i="7"/>
  <c r="O594" i="14"/>
  <c r="C633" i="7"/>
  <c r="D671" i="17"/>
  <c r="D671" i="31" s="1"/>
  <c r="J635" i="7"/>
  <c r="J607" i="7"/>
  <c r="J104" i="7"/>
  <c r="J121" i="7"/>
  <c r="G107" i="17" s="1"/>
  <c r="K110" i="7"/>
  <c r="G96" i="17"/>
  <c r="H106" i="7"/>
  <c r="I106" i="7" s="1"/>
  <c r="H108" i="7"/>
  <c r="I108" i="7" s="1"/>
  <c r="H124" i="7"/>
  <c r="I124" i="7" s="1"/>
  <c r="J103" i="7"/>
  <c r="J118" i="7"/>
  <c r="G104" i="17" s="1"/>
  <c r="J107" i="7"/>
  <c r="G93" i="17" s="1"/>
  <c r="J105" i="7"/>
  <c r="G91" i="17" s="1"/>
  <c r="K112" i="7"/>
  <c r="G98" i="17"/>
  <c r="K116" i="7"/>
  <c r="G102" i="17"/>
  <c r="H120" i="7"/>
  <c r="I120" i="7" s="1"/>
  <c r="H123" i="7"/>
  <c r="I123" i="7" s="1"/>
  <c r="U83" i="15"/>
  <c r="U85" i="15"/>
  <c r="B77" i="18"/>
  <c r="F76" i="18"/>
  <c r="E76" i="18"/>
  <c r="C76" i="18"/>
  <c r="B76" i="18"/>
  <c r="E75" i="18"/>
  <c r="C75" i="18"/>
  <c r="B75" i="18"/>
  <c r="E74" i="18"/>
  <c r="C74" i="18"/>
  <c r="B74" i="18"/>
  <c r="E73" i="18"/>
  <c r="C73" i="18"/>
  <c r="B73" i="18"/>
  <c r="E72" i="18"/>
  <c r="C72" i="18"/>
  <c r="B72" i="18"/>
  <c r="U71" i="18"/>
  <c r="E71" i="18"/>
  <c r="C71" i="18"/>
  <c r="B71" i="18"/>
  <c r="U70" i="18"/>
  <c r="E70" i="18"/>
  <c r="C70" i="18"/>
  <c r="B70" i="18"/>
  <c r="U69" i="18"/>
  <c r="E69" i="18"/>
  <c r="C69" i="18"/>
  <c r="B69" i="18"/>
  <c r="U68" i="18"/>
  <c r="E68" i="18"/>
  <c r="C68" i="18"/>
  <c r="B68" i="18"/>
  <c r="U67" i="18"/>
  <c r="E67" i="18"/>
  <c r="C67" i="18"/>
  <c r="B67" i="18"/>
  <c r="U66" i="18"/>
  <c r="E66" i="18"/>
  <c r="C66" i="18"/>
  <c r="B66" i="18"/>
  <c r="U65" i="18"/>
  <c r="E65" i="18"/>
  <c r="C65" i="18"/>
  <c r="B65" i="18"/>
  <c r="B60" i="18"/>
  <c r="E59" i="18"/>
  <c r="C59" i="18"/>
  <c r="B59" i="18"/>
  <c r="E58" i="18"/>
  <c r="C58" i="18"/>
  <c r="B58" i="18"/>
  <c r="E57" i="18"/>
  <c r="C57" i="18"/>
  <c r="B57" i="18"/>
  <c r="E56" i="18"/>
  <c r="C56" i="18"/>
  <c r="B56" i="18"/>
  <c r="E55" i="18"/>
  <c r="C55" i="18"/>
  <c r="B55" i="18"/>
  <c r="U54" i="18"/>
  <c r="E54" i="18"/>
  <c r="C54" i="18"/>
  <c r="B54" i="18"/>
  <c r="U53" i="18"/>
  <c r="E53" i="18"/>
  <c r="C53" i="18"/>
  <c r="B53" i="18"/>
  <c r="U52" i="18"/>
  <c r="E52" i="18"/>
  <c r="C52" i="18"/>
  <c r="B52" i="18"/>
  <c r="U51" i="18"/>
  <c r="E51" i="18"/>
  <c r="C51" i="18"/>
  <c r="B51" i="18"/>
  <c r="U50" i="18"/>
  <c r="E50" i="18"/>
  <c r="C50" i="18"/>
  <c r="B50" i="18"/>
  <c r="U49" i="18"/>
  <c r="E49" i="18"/>
  <c r="C49" i="18"/>
  <c r="B49" i="18"/>
  <c r="U48" i="18"/>
  <c r="E48" i="18"/>
  <c r="C48" i="18"/>
  <c r="B48" i="18"/>
  <c r="F43" i="18"/>
  <c r="D43" i="18"/>
  <c r="F42" i="18"/>
  <c r="D42" i="18"/>
  <c r="F41" i="18"/>
  <c r="D41" i="18"/>
  <c r="F40" i="18"/>
  <c r="D40" i="18"/>
  <c r="F39" i="18"/>
  <c r="D39" i="18"/>
  <c r="F38" i="18"/>
  <c r="D38" i="18"/>
  <c r="F37" i="18"/>
  <c r="D37" i="18"/>
  <c r="F36" i="18"/>
  <c r="D36" i="18"/>
  <c r="F35" i="18"/>
  <c r="D35" i="18"/>
  <c r="U34" i="18"/>
  <c r="F34" i="18"/>
  <c r="D34" i="18"/>
  <c r="U33" i="18"/>
  <c r="F33" i="18"/>
  <c r="F49" i="18" s="1"/>
  <c r="F65" i="18" s="1"/>
  <c r="D33" i="18"/>
  <c r="D66" i="18" s="1"/>
  <c r="U32" i="18"/>
  <c r="F32" i="18"/>
  <c r="D65" i="18"/>
  <c r="D25" i="18"/>
  <c r="D28" i="15"/>
  <c r="E633" i="7" l="1"/>
  <c r="Q594" i="14"/>
  <c r="D633" i="7"/>
  <c r="P594" i="14"/>
  <c r="F663" i="7"/>
  <c r="H663" i="7" s="1"/>
  <c r="K104" i="7"/>
  <c r="K121" i="7"/>
  <c r="G90" i="17"/>
  <c r="J108" i="7"/>
  <c r="K108" i="7" s="1"/>
  <c r="J123" i="7"/>
  <c r="G109" i="17" s="1"/>
  <c r="J106" i="7"/>
  <c r="G92" i="17" s="1"/>
  <c r="J124" i="7"/>
  <c r="G110" i="17" s="1"/>
  <c r="J120" i="7"/>
  <c r="G106" i="17" s="1"/>
  <c r="G89" i="17"/>
  <c r="K118" i="7"/>
  <c r="K107" i="7"/>
  <c r="K103" i="7"/>
  <c r="K105" i="7"/>
  <c r="U77" i="18"/>
  <c r="U44" i="18"/>
  <c r="T34" i="18"/>
  <c r="U60" i="18"/>
  <c r="T65" i="18"/>
  <c r="H32" i="18"/>
  <c r="J32" i="18"/>
  <c r="L32" i="18"/>
  <c r="N32" i="18"/>
  <c r="P32" i="18"/>
  <c r="R32" i="18"/>
  <c r="T32" i="18"/>
  <c r="G33" i="18"/>
  <c r="I33" i="18"/>
  <c r="K33" i="18"/>
  <c r="M33" i="18"/>
  <c r="O33" i="18"/>
  <c r="Q33" i="18"/>
  <c r="T67" i="18"/>
  <c r="T50" i="18"/>
  <c r="F50" i="18"/>
  <c r="F66" i="18" s="1"/>
  <c r="R66" i="18" s="1"/>
  <c r="H34" i="18"/>
  <c r="J34" i="18"/>
  <c r="L34" i="18"/>
  <c r="N34" i="18"/>
  <c r="P34" i="18"/>
  <c r="R34" i="18"/>
  <c r="D68" i="18"/>
  <c r="D51" i="18"/>
  <c r="G35" i="18"/>
  <c r="I35" i="18"/>
  <c r="K35" i="18"/>
  <c r="M35" i="18"/>
  <c r="O35" i="18"/>
  <c r="Q35" i="18"/>
  <c r="D69" i="18"/>
  <c r="D52" i="18"/>
  <c r="G36" i="18"/>
  <c r="I36" i="18"/>
  <c r="K36" i="18"/>
  <c r="M36" i="18"/>
  <c r="O36" i="18"/>
  <c r="Q36" i="18"/>
  <c r="D70" i="18"/>
  <c r="D53" i="18"/>
  <c r="G37" i="18"/>
  <c r="I37" i="18"/>
  <c r="K37" i="18"/>
  <c r="M37" i="18"/>
  <c r="O37" i="18"/>
  <c r="Q37" i="18"/>
  <c r="D71" i="18"/>
  <c r="D54" i="18"/>
  <c r="G38" i="18"/>
  <c r="I38" i="18"/>
  <c r="K38" i="18"/>
  <c r="M38" i="18"/>
  <c r="O38" i="18"/>
  <c r="Q38" i="18"/>
  <c r="D72" i="18"/>
  <c r="D55" i="18"/>
  <c r="G39" i="18"/>
  <c r="I39" i="18"/>
  <c r="K39" i="18"/>
  <c r="M39" i="18"/>
  <c r="O39" i="18"/>
  <c r="Q39" i="18"/>
  <c r="D73" i="18"/>
  <c r="D56" i="18"/>
  <c r="G40" i="18"/>
  <c r="I40" i="18"/>
  <c r="K40" i="18"/>
  <c r="M40" i="18"/>
  <c r="O40" i="18"/>
  <c r="Q40" i="18"/>
  <c r="D74" i="18"/>
  <c r="D57" i="18"/>
  <c r="G41" i="18"/>
  <c r="I41" i="18"/>
  <c r="K41" i="18"/>
  <c r="M41" i="18"/>
  <c r="O41" i="18"/>
  <c r="Q41" i="18"/>
  <c r="D75" i="18"/>
  <c r="D58" i="18"/>
  <c r="G42" i="18"/>
  <c r="I42" i="18"/>
  <c r="K42" i="18"/>
  <c r="M42" i="18"/>
  <c r="O42" i="18"/>
  <c r="Q42" i="18"/>
  <c r="D76" i="18"/>
  <c r="D59" i="18"/>
  <c r="G43" i="18"/>
  <c r="I43" i="18"/>
  <c r="K43" i="18"/>
  <c r="M43" i="18"/>
  <c r="O43" i="18"/>
  <c r="Q43" i="18"/>
  <c r="T48" i="18"/>
  <c r="D49" i="18"/>
  <c r="Q65" i="18"/>
  <c r="O65" i="18"/>
  <c r="M65" i="18"/>
  <c r="K65" i="18"/>
  <c r="I65" i="18"/>
  <c r="G65" i="18"/>
  <c r="R65" i="18"/>
  <c r="P65" i="18"/>
  <c r="N65" i="18"/>
  <c r="L65" i="18"/>
  <c r="J65" i="18"/>
  <c r="H65" i="18"/>
  <c r="G32" i="18"/>
  <c r="I32" i="18"/>
  <c r="K32" i="18"/>
  <c r="M32" i="18"/>
  <c r="O32" i="18"/>
  <c r="Q32" i="18"/>
  <c r="T66" i="18"/>
  <c r="T49" i="18"/>
  <c r="H33" i="18"/>
  <c r="J33" i="18"/>
  <c r="L33" i="18"/>
  <c r="N33" i="18"/>
  <c r="N49" i="18" s="1"/>
  <c r="P33" i="18"/>
  <c r="R33" i="18"/>
  <c r="T33" i="18"/>
  <c r="D67" i="18"/>
  <c r="D50" i="18"/>
  <c r="G34" i="18"/>
  <c r="I34" i="18"/>
  <c r="K34" i="18"/>
  <c r="M34" i="18"/>
  <c r="O34" i="18"/>
  <c r="Q34" i="18"/>
  <c r="T68" i="18"/>
  <c r="F51" i="18"/>
  <c r="F67" i="18" s="1"/>
  <c r="T51" i="18"/>
  <c r="H35" i="18"/>
  <c r="J35" i="18"/>
  <c r="L35" i="18"/>
  <c r="N35" i="18"/>
  <c r="P35" i="18"/>
  <c r="R35" i="18"/>
  <c r="T35" i="18"/>
  <c r="T69" i="18"/>
  <c r="T52" i="18"/>
  <c r="F52" i="18"/>
  <c r="F68" i="18" s="1"/>
  <c r="H36" i="18"/>
  <c r="J36" i="18"/>
  <c r="L36" i="18"/>
  <c r="N36" i="18"/>
  <c r="P36" i="18"/>
  <c r="R36" i="18"/>
  <c r="T36" i="18"/>
  <c r="T70" i="18"/>
  <c r="F53" i="18"/>
  <c r="F69" i="18" s="1"/>
  <c r="T53" i="18"/>
  <c r="H37" i="18"/>
  <c r="J37" i="18"/>
  <c r="L37" i="18"/>
  <c r="N37" i="18"/>
  <c r="P37" i="18"/>
  <c r="R37" i="18"/>
  <c r="T37" i="18"/>
  <c r="T71" i="18"/>
  <c r="T54" i="18"/>
  <c r="F54" i="18"/>
  <c r="F70" i="18" s="1"/>
  <c r="H38" i="18"/>
  <c r="J38" i="18"/>
  <c r="L38" i="18"/>
  <c r="N38" i="18"/>
  <c r="P38" i="18"/>
  <c r="R38" i="18"/>
  <c r="T38" i="18"/>
  <c r="T72" i="18"/>
  <c r="F55" i="18"/>
  <c r="F71" i="18" s="1"/>
  <c r="T55" i="18"/>
  <c r="H39" i="18"/>
  <c r="J39" i="18"/>
  <c r="L39" i="18"/>
  <c r="N39" i="18"/>
  <c r="P39" i="18"/>
  <c r="R39" i="18"/>
  <c r="T39" i="18"/>
  <c r="T73" i="18"/>
  <c r="F56" i="18"/>
  <c r="F72" i="18" s="1"/>
  <c r="T56" i="18"/>
  <c r="H40" i="18"/>
  <c r="J40" i="18"/>
  <c r="L40" i="18"/>
  <c r="N40" i="18"/>
  <c r="P40" i="18"/>
  <c r="R40" i="18"/>
  <c r="T40" i="18"/>
  <c r="T74" i="18"/>
  <c r="F57" i="18"/>
  <c r="F73" i="18" s="1"/>
  <c r="T57" i="18"/>
  <c r="H41" i="18"/>
  <c r="J41" i="18"/>
  <c r="L41" i="18"/>
  <c r="N41" i="18"/>
  <c r="P41" i="18"/>
  <c r="R41" i="18"/>
  <c r="T41" i="18"/>
  <c r="T75" i="18"/>
  <c r="F58" i="18"/>
  <c r="F74" i="18" s="1"/>
  <c r="T58" i="18"/>
  <c r="H42" i="18"/>
  <c r="J42" i="18"/>
  <c r="L42" i="18"/>
  <c r="N42" i="18"/>
  <c r="P42" i="18"/>
  <c r="R42" i="18"/>
  <c r="T42" i="18"/>
  <c r="T76" i="18"/>
  <c r="F59" i="18"/>
  <c r="F75" i="18" s="1"/>
  <c r="T59" i="18"/>
  <c r="H43" i="18"/>
  <c r="J43" i="18"/>
  <c r="L43" i="18"/>
  <c r="N43" i="18"/>
  <c r="P43" i="18"/>
  <c r="R43" i="18"/>
  <c r="T43" i="18"/>
  <c r="D48" i="18"/>
  <c r="F48" i="18"/>
  <c r="B64" i="15"/>
  <c r="C64" i="15"/>
  <c r="E64" i="15"/>
  <c r="B65" i="15"/>
  <c r="C65" i="15"/>
  <c r="E65" i="15"/>
  <c r="B66" i="15"/>
  <c r="C66" i="15"/>
  <c r="E66" i="15"/>
  <c r="B67" i="15"/>
  <c r="C67" i="15"/>
  <c r="E67" i="15"/>
  <c r="B68" i="15"/>
  <c r="C68" i="15"/>
  <c r="E68" i="15"/>
  <c r="B69" i="15"/>
  <c r="C69" i="15"/>
  <c r="E69" i="15"/>
  <c r="B70" i="15"/>
  <c r="C70" i="15"/>
  <c r="E70" i="15"/>
  <c r="B71" i="15"/>
  <c r="C71" i="15"/>
  <c r="E71" i="15"/>
  <c r="B72" i="15"/>
  <c r="C72" i="15"/>
  <c r="E72" i="15"/>
  <c r="B73" i="15"/>
  <c r="C73" i="15"/>
  <c r="E73" i="15"/>
  <c r="B74" i="15"/>
  <c r="C74" i="15"/>
  <c r="E74" i="15"/>
  <c r="B75" i="15"/>
  <c r="C75" i="15"/>
  <c r="E75" i="15"/>
  <c r="F75" i="15"/>
  <c r="B60" i="15"/>
  <c r="I663" i="7" l="1"/>
  <c r="J663" i="7" s="1"/>
  <c r="F591" i="7"/>
  <c r="I591" i="7" s="1"/>
  <c r="F619" i="7"/>
  <c r="H619" i="7" s="1"/>
  <c r="G94" i="17"/>
  <c r="K124" i="7"/>
  <c r="K106" i="7"/>
  <c r="K120" i="7"/>
  <c r="K123" i="7"/>
  <c r="N57" i="18"/>
  <c r="H57" i="18"/>
  <c r="L56" i="18"/>
  <c r="H53" i="18"/>
  <c r="P51" i="18"/>
  <c r="J56" i="18"/>
  <c r="J52" i="18"/>
  <c r="R49" i="18"/>
  <c r="R56" i="18"/>
  <c r="J57" i="18"/>
  <c r="N56" i="18"/>
  <c r="J53" i="18"/>
  <c r="N52" i="18"/>
  <c r="L52" i="18"/>
  <c r="H56" i="18"/>
  <c r="H52" i="18"/>
  <c r="P49" i="18"/>
  <c r="L49" i="18"/>
  <c r="R54" i="18"/>
  <c r="J54" i="18"/>
  <c r="N53" i="18"/>
  <c r="R52" i="18"/>
  <c r="J49" i="18"/>
  <c r="Q51" i="18"/>
  <c r="J58" i="18"/>
  <c r="H58" i="18"/>
  <c r="L57" i="18"/>
  <c r="P56" i="18"/>
  <c r="H54" i="18"/>
  <c r="L53" i="18"/>
  <c r="P52" i="18"/>
  <c r="H49" i="18"/>
  <c r="O51" i="18"/>
  <c r="R55" i="18"/>
  <c r="R51" i="18"/>
  <c r="P55" i="18"/>
  <c r="Q50" i="18"/>
  <c r="P59" i="18"/>
  <c r="R58" i="18"/>
  <c r="N55" i="18"/>
  <c r="N51" i="18"/>
  <c r="O50" i="18"/>
  <c r="L59" i="18"/>
  <c r="L55" i="18"/>
  <c r="P54" i="18"/>
  <c r="L51" i="18"/>
  <c r="M50" i="18"/>
  <c r="R59" i="18"/>
  <c r="N59" i="18"/>
  <c r="P58" i="18"/>
  <c r="N58" i="18"/>
  <c r="R57" i="18"/>
  <c r="J55" i="18"/>
  <c r="N54" i="18"/>
  <c r="R53" i="18"/>
  <c r="J51" i="18"/>
  <c r="K50" i="18"/>
  <c r="H59" i="18"/>
  <c r="L58" i="18"/>
  <c r="P57" i="18"/>
  <c r="H55" i="18"/>
  <c r="L54" i="18"/>
  <c r="P53" i="18"/>
  <c r="H51" i="18"/>
  <c r="I50" i="18"/>
  <c r="O48" i="18"/>
  <c r="K48" i="18"/>
  <c r="S32" i="18"/>
  <c r="G48" i="18"/>
  <c r="T60" i="18"/>
  <c r="O59" i="18"/>
  <c r="K59" i="18"/>
  <c r="G59" i="18"/>
  <c r="S43" i="18"/>
  <c r="R76" i="18"/>
  <c r="P76" i="18"/>
  <c r="N76" i="18"/>
  <c r="L76" i="18"/>
  <c r="J76" i="18"/>
  <c r="H76" i="18"/>
  <c r="Q76" i="18"/>
  <c r="O76" i="18"/>
  <c r="M76" i="18"/>
  <c r="K76" i="18"/>
  <c r="I76" i="18"/>
  <c r="G76" i="18"/>
  <c r="O58" i="18"/>
  <c r="K58" i="18"/>
  <c r="G58" i="18"/>
  <c r="S42" i="18"/>
  <c r="R75" i="18"/>
  <c r="P75" i="18"/>
  <c r="N75" i="18"/>
  <c r="L75" i="18"/>
  <c r="J75" i="18"/>
  <c r="H75" i="18"/>
  <c r="Q75" i="18"/>
  <c r="O75" i="18"/>
  <c r="M75" i="18"/>
  <c r="K75" i="18"/>
  <c r="I75" i="18"/>
  <c r="G75" i="18"/>
  <c r="O57" i="18"/>
  <c r="K57" i="18"/>
  <c r="G57" i="18"/>
  <c r="S41" i="18"/>
  <c r="R74" i="18"/>
  <c r="P74" i="18"/>
  <c r="N74" i="18"/>
  <c r="L74" i="18"/>
  <c r="J74" i="18"/>
  <c r="H74" i="18"/>
  <c r="Q74" i="18"/>
  <c r="O74" i="18"/>
  <c r="M74" i="18"/>
  <c r="K74" i="18"/>
  <c r="I74" i="18"/>
  <c r="G74" i="18"/>
  <c r="O56" i="18"/>
  <c r="K56" i="18"/>
  <c r="G56" i="18"/>
  <c r="S40" i="18"/>
  <c r="R73" i="18"/>
  <c r="P73" i="18"/>
  <c r="N73" i="18"/>
  <c r="L73" i="18"/>
  <c r="J73" i="18"/>
  <c r="H73" i="18"/>
  <c r="Q73" i="18"/>
  <c r="O73" i="18"/>
  <c r="M73" i="18"/>
  <c r="K73" i="18"/>
  <c r="I73" i="18"/>
  <c r="G73" i="18"/>
  <c r="O55" i="18"/>
  <c r="K55" i="18"/>
  <c r="G55" i="18"/>
  <c r="S39" i="18"/>
  <c r="R72" i="18"/>
  <c r="P72" i="18"/>
  <c r="N72" i="18"/>
  <c r="L72" i="18"/>
  <c r="J72" i="18"/>
  <c r="H72" i="18"/>
  <c r="Q72" i="18"/>
  <c r="O72" i="18"/>
  <c r="M72" i="18"/>
  <c r="K72" i="18"/>
  <c r="I72" i="18"/>
  <c r="G72" i="18"/>
  <c r="O54" i="18"/>
  <c r="K54" i="18"/>
  <c r="G54" i="18"/>
  <c r="S38" i="18"/>
  <c r="Q71" i="18"/>
  <c r="O71" i="18"/>
  <c r="M71" i="18"/>
  <c r="K71" i="18"/>
  <c r="I71" i="18"/>
  <c r="G71" i="18"/>
  <c r="R71" i="18"/>
  <c r="P71" i="18"/>
  <c r="N71" i="18"/>
  <c r="L71" i="18"/>
  <c r="J71" i="18"/>
  <c r="H71" i="18"/>
  <c r="O53" i="18"/>
  <c r="K53" i="18"/>
  <c r="G53" i="18"/>
  <c r="S37" i="18"/>
  <c r="R70" i="18"/>
  <c r="P70" i="18"/>
  <c r="N70" i="18"/>
  <c r="L70" i="18"/>
  <c r="J70" i="18"/>
  <c r="H70" i="18"/>
  <c r="Q70" i="18"/>
  <c r="O70" i="18"/>
  <c r="M70" i="18"/>
  <c r="K70" i="18"/>
  <c r="I70" i="18"/>
  <c r="G70" i="18"/>
  <c r="O52" i="18"/>
  <c r="K52" i="18"/>
  <c r="G52" i="18"/>
  <c r="S36" i="18"/>
  <c r="Q69" i="18"/>
  <c r="O69" i="18"/>
  <c r="M69" i="18"/>
  <c r="K69" i="18"/>
  <c r="I69" i="18"/>
  <c r="G69" i="18"/>
  <c r="R69" i="18"/>
  <c r="P69" i="18"/>
  <c r="N69" i="18"/>
  <c r="L69" i="18"/>
  <c r="J69" i="18"/>
  <c r="H69" i="18"/>
  <c r="K51" i="18"/>
  <c r="G51" i="18"/>
  <c r="S35" i="18"/>
  <c r="R68" i="18"/>
  <c r="P68" i="18"/>
  <c r="N68" i="18"/>
  <c r="L68" i="18"/>
  <c r="J68" i="18"/>
  <c r="H68" i="18"/>
  <c r="Q68" i="18"/>
  <c r="O68" i="18"/>
  <c r="M68" i="18"/>
  <c r="K68" i="18"/>
  <c r="I68" i="18"/>
  <c r="G68" i="18"/>
  <c r="P50" i="18"/>
  <c r="L50" i="18"/>
  <c r="H50" i="18"/>
  <c r="Q49" i="18"/>
  <c r="M49" i="18"/>
  <c r="I49" i="18"/>
  <c r="G66" i="18"/>
  <c r="K66" i="18"/>
  <c r="O66" i="18"/>
  <c r="H66" i="18"/>
  <c r="L66" i="18"/>
  <c r="P66" i="18"/>
  <c r="T44" i="18"/>
  <c r="P48" i="18"/>
  <c r="L48" i="18"/>
  <c r="H48" i="18"/>
  <c r="J59" i="18"/>
  <c r="G50" i="18"/>
  <c r="S34" i="18"/>
  <c r="Q67" i="18"/>
  <c r="O67" i="18"/>
  <c r="M67" i="18"/>
  <c r="K67" i="18"/>
  <c r="I67" i="18"/>
  <c r="G67" i="18"/>
  <c r="R67" i="18"/>
  <c r="P67" i="18"/>
  <c r="N67" i="18"/>
  <c r="L67" i="18"/>
  <c r="J67" i="18"/>
  <c r="H67" i="18"/>
  <c r="Q48" i="18"/>
  <c r="M48" i="18"/>
  <c r="I48" i="18"/>
  <c r="Q59" i="18"/>
  <c r="M59" i="18"/>
  <c r="I59" i="18"/>
  <c r="Q58" i="18"/>
  <c r="M58" i="18"/>
  <c r="I58" i="18"/>
  <c r="Q57" i="18"/>
  <c r="M57" i="18"/>
  <c r="I57" i="18"/>
  <c r="Q56" i="18"/>
  <c r="M56" i="18"/>
  <c r="I56" i="18"/>
  <c r="Q55" i="18"/>
  <c r="M55" i="18"/>
  <c r="I55" i="18"/>
  <c r="Q54" i="18"/>
  <c r="M54" i="18"/>
  <c r="I54" i="18"/>
  <c r="Q53" i="18"/>
  <c r="M53" i="18"/>
  <c r="I53" i="18"/>
  <c r="Q52" i="18"/>
  <c r="M52" i="18"/>
  <c r="I52" i="18"/>
  <c r="M51" i="18"/>
  <c r="I51" i="18"/>
  <c r="R50" i="18"/>
  <c r="N50" i="18"/>
  <c r="J50" i="18"/>
  <c r="O49" i="18"/>
  <c r="K49" i="18"/>
  <c r="G49" i="18"/>
  <c r="S33" i="18"/>
  <c r="I66" i="18"/>
  <c r="M66" i="18"/>
  <c r="Q66" i="18"/>
  <c r="J66" i="18"/>
  <c r="N66" i="18"/>
  <c r="R48" i="18"/>
  <c r="N48" i="18"/>
  <c r="J48" i="18"/>
  <c r="T77" i="18"/>
  <c r="Z101" i="3"/>
  <c r="AA101" i="3"/>
  <c r="AB101" i="3"/>
  <c r="AC101" i="3"/>
  <c r="AD101" i="3"/>
  <c r="AE101" i="3"/>
  <c r="AF101" i="3"/>
  <c r="AG101" i="3"/>
  <c r="AK101" i="3"/>
  <c r="CG101" i="3"/>
  <c r="CS101" i="3" s="1"/>
  <c r="DE101" i="3"/>
  <c r="DH101" i="3" s="1"/>
  <c r="DI101" i="3" s="1"/>
  <c r="DJ101" i="3" s="1"/>
  <c r="DX101" i="3"/>
  <c r="DY101" i="3" s="1"/>
  <c r="EO101" i="3"/>
  <c r="Z102" i="3"/>
  <c r="AA102" i="3"/>
  <c r="AB102" i="3"/>
  <c r="AC102" i="3"/>
  <c r="AD102" i="3"/>
  <c r="AE102" i="3"/>
  <c r="AF102" i="3"/>
  <c r="AG102" i="3"/>
  <c r="AK102" i="3"/>
  <c r="CG102" i="3"/>
  <c r="CS102" i="3" s="1"/>
  <c r="DE102" i="3"/>
  <c r="DH102" i="3" s="1"/>
  <c r="DI102" i="3" s="1"/>
  <c r="DJ102" i="3" s="1"/>
  <c r="DX102" i="3"/>
  <c r="DY102" i="3" s="1"/>
  <c r="EO102" i="3"/>
  <c r="Z103" i="3"/>
  <c r="AA103" i="3"/>
  <c r="AB103" i="3"/>
  <c r="AC103" i="3"/>
  <c r="AD103" i="3"/>
  <c r="AE103" i="3"/>
  <c r="AF103" i="3"/>
  <c r="AG103" i="3"/>
  <c r="AK103" i="3"/>
  <c r="CG103" i="3"/>
  <c r="CS103" i="3" s="1"/>
  <c r="DE103" i="3"/>
  <c r="DH103" i="3" s="1"/>
  <c r="DI103" i="3" s="1"/>
  <c r="DJ103" i="3" s="1"/>
  <c r="DX103" i="3"/>
  <c r="DY103" i="3" s="1"/>
  <c r="EO103" i="3"/>
  <c r="Z104" i="3"/>
  <c r="AA104" i="3"/>
  <c r="AB104" i="3"/>
  <c r="AC104" i="3"/>
  <c r="AD104" i="3"/>
  <c r="AE104" i="3"/>
  <c r="AF104" i="3"/>
  <c r="AG104" i="3"/>
  <c r="AK104" i="3"/>
  <c r="CG104" i="3"/>
  <c r="CS104" i="3" s="1"/>
  <c r="DE104" i="3"/>
  <c r="DH104" i="3" s="1"/>
  <c r="DI104" i="3" s="1"/>
  <c r="DJ104" i="3" s="1"/>
  <c r="DX104" i="3"/>
  <c r="DY104" i="3" s="1"/>
  <c r="EO104" i="3"/>
  <c r="V10" i="8"/>
  <c r="V11" i="8"/>
  <c r="V12" i="8"/>
  <c r="V13" i="8"/>
  <c r="V14" i="8"/>
  <c r="V15" i="8"/>
  <c r="V16" i="8"/>
  <c r="V17" i="8"/>
  <c r="V18" i="8"/>
  <c r="V19" i="8"/>
  <c r="V20" i="8"/>
  <c r="V21" i="8"/>
  <c r="V22" i="8"/>
  <c r="V23" i="8"/>
  <c r="V24" i="8"/>
  <c r="V25" i="8"/>
  <c r="V26" i="8"/>
  <c r="V27" i="8"/>
  <c r="V28" i="8"/>
  <c r="V29" i="8"/>
  <c r="V30" i="8"/>
  <c r="V31" i="8"/>
  <c r="V32" i="8"/>
  <c r="V33" i="8"/>
  <c r="Y33" i="8" s="1"/>
  <c r="V34" i="8"/>
  <c r="V35" i="8"/>
  <c r="V36" i="8"/>
  <c r="V37" i="8"/>
  <c r="V38" i="8"/>
  <c r="V39" i="8"/>
  <c r="V40" i="8"/>
  <c r="V41" i="8"/>
  <c r="V42" i="8"/>
  <c r="V43" i="8"/>
  <c r="V44" i="8"/>
  <c r="V45" i="8"/>
  <c r="V46" i="8"/>
  <c r="V47" i="8"/>
  <c r="V48" i="8"/>
  <c r="V49" i="8"/>
  <c r="V50" i="8"/>
  <c r="V51" i="8"/>
  <c r="V52" i="8"/>
  <c r="V53" i="8"/>
  <c r="V54" i="8"/>
  <c r="V55" i="8"/>
  <c r="V56" i="8"/>
  <c r="V57" i="8"/>
  <c r="Z57" i="8" s="1"/>
  <c r="V58" i="8"/>
  <c r="Y58" i="8" s="1"/>
  <c r="V59" i="8"/>
  <c r="V60" i="8"/>
  <c r="V61" i="8"/>
  <c r="V62" i="8"/>
  <c r="V63" i="8"/>
  <c r="V64" i="8"/>
  <c r="V65" i="8"/>
  <c r="V66" i="8"/>
  <c r="V67" i="8"/>
  <c r="V68" i="8"/>
  <c r="V69" i="8"/>
  <c r="V70" i="8"/>
  <c r="V71" i="8"/>
  <c r="V72" i="8"/>
  <c r="V73" i="8"/>
  <c r="V74" i="8"/>
  <c r="V75" i="8"/>
  <c r="V76" i="8"/>
  <c r="V77" i="8"/>
  <c r="V78" i="8"/>
  <c r="V79" i="8"/>
  <c r="V80" i="8"/>
  <c r="V81" i="8"/>
  <c r="V82" i="8"/>
  <c r="Z82" i="8" s="1"/>
  <c r="V83" i="8"/>
  <c r="V84" i="8"/>
  <c r="V85" i="8"/>
  <c r="V86" i="8"/>
  <c r="V87" i="8"/>
  <c r="V88" i="8"/>
  <c r="V89" i="8"/>
  <c r="V90" i="8"/>
  <c r="V91" i="8"/>
  <c r="V92" i="8"/>
  <c r="V93" i="8"/>
  <c r="V94" i="8"/>
  <c r="V95" i="8"/>
  <c r="V96" i="8"/>
  <c r="V97" i="8"/>
  <c r="V98" i="8"/>
  <c r="V99" i="8"/>
  <c r="V100" i="8"/>
  <c r="V101" i="8"/>
  <c r="V102" i="8"/>
  <c r="V103" i="8"/>
  <c r="V104" i="8"/>
  <c r="Z104" i="8" s="1"/>
  <c r="V105" i="8"/>
  <c r="V106" i="8"/>
  <c r="V107" i="8"/>
  <c r="V108" i="8"/>
  <c r="V109" i="8"/>
  <c r="V110" i="8"/>
  <c r="V111" i="8"/>
  <c r="V112" i="8"/>
  <c r="V113" i="8"/>
  <c r="V114" i="8"/>
  <c r="V115" i="8"/>
  <c r="V116" i="8"/>
  <c r="V117" i="8"/>
  <c r="V118" i="8"/>
  <c r="V119" i="8"/>
  <c r="V120" i="8"/>
  <c r="V121" i="8"/>
  <c r="V122" i="8"/>
  <c r="V123" i="8"/>
  <c r="V124" i="8"/>
  <c r="V125" i="8"/>
  <c r="V126" i="8"/>
  <c r="V127" i="8"/>
  <c r="V128" i="8"/>
  <c r="V129" i="8"/>
  <c r="V130" i="8"/>
  <c r="V131" i="8"/>
  <c r="V132" i="8"/>
  <c r="V133" i="8"/>
  <c r="V134" i="8"/>
  <c r="V135" i="8"/>
  <c r="V136" i="8"/>
  <c r="V137" i="8"/>
  <c r="V138" i="8"/>
  <c r="V139" i="8"/>
  <c r="V140" i="8"/>
  <c r="V141" i="8"/>
  <c r="V142" i="8"/>
  <c r="V143" i="8"/>
  <c r="V144" i="8"/>
  <c r="V145" i="8"/>
  <c r="Z145" i="8" s="1"/>
  <c r="V146" i="8"/>
  <c r="V147" i="8"/>
  <c r="V148" i="8"/>
  <c r="V149" i="8"/>
  <c r="V150" i="8"/>
  <c r="V151" i="8"/>
  <c r="V152" i="8"/>
  <c r="V153" i="8"/>
  <c r="V154" i="8"/>
  <c r="V155" i="8"/>
  <c r="V156" i="8"/>
  <c r="V157" i="8"/>
  <c r="V158" i="8"/>
  <c r="Z158" i="8" s="1"/>
  <c r="V159" i="8"/>
  <c r="V160" i="8"/>
  <c r="V161" i="8"/>
  <c r="V162" i="8"/>
  <c r="V163" i="8"/>
  <c r="V164" i="8"/>
  <c r="V165" i="8"/>
  <c r="V166" i="8"/>
  <c r="V167" i="8"/>
  <c r="V168" i="8"/>
  <c r="V169" i="8"/>
  <c r="V170" i="8"/>
  <c r="V171" i="8"/>
  <c r="V172" i="8"/>
  <c r="Y172" i="8" s="1"/>
  <c r="V173" i="8"/>
  <c r="V174" i="8"/>
  <c r="V175" i="8"/>
  <c r="V176" i="8"/>
  <c r="V177" i="8"/>
  <c r="V178" i="8"/>
  <c r="Z178" i="8" s="1"/>
  <c r="V179" i="8"/>
  <c r="V180" i="8"/>
  <c r="Z180" i="8" s="1"/>
  <c r="V181" i="8"/>
  <c r="V182" i="8"/>
  <c r="V183" i="8"/>
  <c r="V184" i="8"/>
  <c r="V185" i="8"/>
  <c r="V186" i="8"/>
  <c r="V187" i="8"/>
  <c r="V188" i="8"/>
  <c r="V189" i="8"/>
  <c r="V190" i="8"/>
  <c r="V191" i="8"/>
  <c r="V192" i="8"/>
  <c r="V193" i="8"/>
  <c r="V194" i="8"/>
  <c r="V195" i="8"/>
  <c r="V196" i="8"/>
  <c r="V197" i="8"/>
  <c r="V198" i="8"/>
  <c r="V199" i="8"/>
  <c r="V200" i="8"/>
  <c r="Y200" i="8" s="1"/>
  <c r="V201" i="8"/>
  <c r="V202" i="8"/>
  <c r="V203" i="8"/>
  <c r="V204" i="8"/>
  <c r="V205" i="8"/>
  <c r="Z205" i="8" s="1"/>
  <c r="V206" i="8"/>
  <c r="Y206" i="8" s="1"/>
  <c r="V207" i="8"/>
  <c r="V208" i="8"/>
  <c r="V209" i="8"/>
  <c r="V210" i="8"/>
  <c r="V211" i="8"/>
  <c r="V212" i="8"/>
  <c r="V213" i="8"/>
  <c r="V214" i="8"/>
  <c r="V215" i="8"/>
  <c r="V216" i="8"/>
  <c r="V217" i="8"/>
  <c r="Z217" i="8" s="1"/>
  <c r="V218" i="8"/>
  <c r="Y218" i="8" s="1"/>
  <c r="V219" i="8"/>
  <c r="V220" i="8"/>
  <c r="V221" i="8"/>
  <c r="V222" i="8"/>
  <c r="V223" i="8"/>
  <c r="V224" i="8"/>
  <c r="V225" i="8"/>
  <c r="V226" i="8"/>
  <c r="V227" i="8"/>
  <c r="V228" i="8"/>
  <c r="V229" i="8"/>
  <c r="Z229" i="8" s="1"/>
  <c r="V230" i="8"/>
  <c r="Y230" i="8" s="1"/>
  <c r="V231" i="8"/>
  <c r="V232" i="8"/>
  <c r="V233" i="8"/>
  <c r="V234" i="8"/>
  <c r="V235" i="8"/>
  <c r="V236" i="8"/>
  <c r="V237" i="8"/>
  <c r="V238" i="8"/>
  <c r="V239" i="8"/>
  <c r="V240" i="8"/>
  <c r="V241" i="8"/>
  <c r="V242" i="8"/>
  <c r="Y242" i="8" s="1"/>
  <c r="V243" i="8"/>
  <c r="V244" i="8"/>
  <c r="V245" i="8"/>
  <c r="V246" i="8"/>
  <c r="V247" i="8"/>
  <c r="V248" i="8"/>
  <c r="Y248" i="8" s="1"/>
  <c r="V249" i="8"/>
  <c r="V250" i="8"/>
  <c r="V251" i="8"/>
  <c r="V252" i="8"/>
  <c r="V253" i="8"/>
  <c r="V254" i="8"/>
  <c r="V255" i="8"/>
  <c r="V256" i="8"/>
  <c r="V257" i="8"/>
  <c r="V258" i="8"/>
  <c r="V259" i="8"/>
  <c r="V260" i="8"/>
  <c r="V261" i="8"/>
  <c r="V262" i="8"/>
  <c r="V263" i="8"/>
  <c r="V264" i="8"/>
  <c r="V265" i="8"/>
  <c r="Z265" i="8" s="1"/>
  <c r="V266" i="8"/>
  <c r="Y266" i="8" s="1"/>
  <c r="V267" i="8"/>
  <c r="V268" i="8"/>
  <c r="V269" i="8"/>
  <c r="V270" i="8"/>
  <c r="V271" i="8"/>
  <c r="V272" i="8"/>
  <c r="Y272" i="8" s="1"/>
  <c r="V273" i="8"/>
  <c r="V274" i="8"/>
  <c r="V275" i="8"/>
  <c r="V276" i="8"/>
  <c r="V277" i="8"/>
  <c r="V278" i="8"/>
  <c r="Y278" i="8" s="1"/>
  <c r="V279" i="8"/>
  <c r="V280" i="8"/>
  <c r="V281" i="8"/>
  <c r="V282" i="8"/>
  <c r="V283" i="8"/>
  <c r="V284" i="8"/>
  <c r="V285" i="8"/>
  <c r="V286" i="8"/>
  <c r="V287" i="8"/>
  <c r="Y287" i="8" s="1"/>
  <c r="V288" i="8"/>
  <c r="Y288" i="8" s="1"/>
  <c r="V289" i="8"/>
  <c r="V290" i="8"/>
  <c r="V291" i="8"/>
  <c r="V292" i="8"/>
  <c r="V293" i="8"/>
  <c r="V294" i="8"/>
  <c r="V295" i="8"/>
  <c r="V296" i="8"/>
  <c r="V297" i="8"/>
  <c r="V298" i="8"/>
  <c r="V299" i="8"/>
  <c r="V300" i="8"/>
  <c r="V301" i="8"/>
  <c r="V302" i="8"/>
  <c r="V303" i="8"/>
  <c r="V304" i="8"/>
  <c r="Y304" i="8" s="1"/>
  <c r="V305" i="8"/>
  <c r="V306" i="8"/>
  <c r="V307" i="8"/>
  <c r="V308" i="8"/>
  <c r="Y308" i="8" s="1"/>
  <c r="V309" i="8"/>
  <c r="Y309" i="8" s="1"/>
  <c r="V310" i="8"/>
  <c r="V311" i="8"/>
  <c r="V312" i="8"/>
  <c r="V313" i="8"/>
  <c r="V314" i="8"/>
  <c r="V315" i="8"/>
  <c r="V316" i="8"/>
  <c r="V317" i="8"/>
  <c r="V318" i="8"/>
  <c r="V319" i="8"/>
  <c r="V320" i="8"/>
  <c r="V321" i="8"/>
  <c r="V322" i="8"/>
  <c r="V323" i="8"/>
  <c r="V324" i="8"/>
  <c r="V325" i="8"/>
  <c r="Z325" i="8" s="1"/>
  <c r="V326" i="8"/>
  <c r="V327" i="8"/>
  <c r="V328" i="8"/>
  <c r="V329" i="8"/>
  <c r="Z329" i="8" s="1"/>
  <c r="V330" i="8"/>
  <c r="V331" i="8"/>
  <c r="V332" i="8"/>
  <c r="V333" i="8"/>
  <c r="V334" i="8"/>
  <c r="V335" i="8"/>
  <c r="V336" i="8"/>
  <c r="V337" i="8"/>
  <c r="V338" i="8"/>
  <c r="V339" i="8"/>
  <c r="V340" i="8"/>
  <c r="V341" i="8"/>
  <c r="V342" i="8"/>
  <c r="V343" i="8"/>
  <c r="V344" i="8"/>
  <c r="V345" i="8"/>
  <c r="V346" i="8"/>
  <c r="V347" i="8"/>
  <c r="V348" i="8"/>
  <c r="V349" i="8"/>
  <c r="V350" i="8"/>
  <c r="V351" i="8"/>
  <c r="Y351" i="8" s="1"/>
  <c r="V352" i="8"/>
  <c r="V353" i="8"/>
  <c r="V354" i="8"/>
  <c r="V355" i="8"/>
  <c r="V356" i="8"/>
  <c r="V357" i="8"/>
  <c r="V358" i="8"/>
  <c r="V359" i="8"/>
  <c r="V360" i="8"/>
  <c r="V361" i="8"/>
  <c r="Y361" i="8" s="1"/>
  <c r="V362" i="8"/>
  <c r="V363" i="8"/>
  <c r="V364" i="8"/>
  <c r="V365" i="8"/>
  <c r="V366" i="8"/>
  <c r="V367" i="8"/>
  <c r="V368" i="8"/>
  <c r="Y368" i="8" s="1"/>
  <c r="V369" i="8"/>
  <c r="V370" i="8"/>
  <c r="V371" i="8"/>
  <c r="V372" i="8"/>
  <c r="V373" i="8"/>
  <c r="Y373" i="8" s="1"/>
  <c r="V374" i="8"/>
  <c r="V375" i="8"/>
  <c r="V376" i="8"/>
  <c r="V377" i="8"/>
  <c r="V378" i="8"/>
  <c r="V379" i="8"/>
  <c r="V380" i="8"/>
  <c r="Y380" i="8" s="1"/>
  <c r="V381" i="8"/>
  <c r="V382" i="8"/>
  <c r="V383" i="8"/>
  <c r="V384" i="8"/>
  <c r="V385" i="8"/>
  <c r="V386" i="8"/>
  <c r="Y386" i="8" s="1"/>
  <c r="V387" i="8"/>
  <c r="V388" i="8"/>
  <c r="V389" i="8"/>
  <c r="Y389" i="8" s="1"/>
  <c r="V390" i="8"/>
  <c r="V391" i="8"/>
  <c r="Y391" i="8" s="1"/>
  <c r="V392" i="8"/>
  <c r="Y392" i="8" s="1"/>
  <c r="V393" i="8"/>
  <c r="V394" i="8"/>
  <c r="V395" i="8"/>
  <c r="V396" i="8"/>
  <c r="V397" i="8"/>
  <c r="V398" i="8"/>
  <c r="V399" i="8"/>
  <c r="V400" i="8"/>
  <c r="V401" i="8"/>
  <c r="V402" i="8"/>
  <c r="Y402" i="8" s="1"/>
  <c r="V403" i="8"/>
  <c r="V404" i="8"/>
  <c r="V405" i="8"/>
  <c r="V406" i="8"/>
  <c r="V407" i="8"/>
  <c r="Y407" i="8" s="1"/>
  <c r="V408" i="8"/>
  <c r="Y408" i="8" s="1"/>
  <c r="V409" i="8"/>
  <c r="V410" i="8"/>
  <c r="V411" i="8"/>
  <c r="V412" i="8"/>
  <c r="V413" i="8"/>
  <c r="Y413" i="8" s="1"/>
  <c r="V414" i="8"/>
  <c r="V415" i="8"/>
  <c r="V416" i="8"/>
  <c r="Y416" i="8" s="1"/>
  <c r="V417" i="8"/>
  <c r="V418" i="8"/>
  <c r="V419" i="8"/>
  <c r="V420" i="8"/>
  <c r="V421" i="8"/>
  <c r="Y421" i="8" s="1"/>
  <c r="V422" i="8"/>
  <c r="V423" i="8"/>
  <c r="Z423" i="8" s="1"/>
  <c r="V424" i="8"/>
  <c r="V425" i="8"/>
  <c r="V426" i="8"/>
  <c r="V427" i="8"/>
  <c r="V428" i="8"/>
  <c r="Y428" i="8" s="1"/>
  <c r="V429" i="8"/>
  <c r="Y429" i="8" s="1"/>
  <c r="V430" i="8"/>
  <c r="V431" i="8"/>
  <c r="V432" i="8"/>
  <c r="V433" i="8"/>
  <c r="Y433" i="8" s="1"/>
  <c r="V434" i="8"/>
  <c r="Y434" i="8" s="1"/>
  <c r="V435" i="8"/>
  <c r="V436" i="8"/>
  <c r="V437" i="8"/>
  <c r="Z437" i="8" s="1"/>
  <c r="V438" i="8"/>
  <c r="V439" i="8"/>
  <c r="Y439" i="8" s="1"/>
  <c r="V440" i="8"/>
  <c r="V441" i="8"/>
  <c r="V442" i="8"/>
  <c r="Y442" i="8" s="1"/>
  <c r="V443" i="8"/>
  <c r="V444" i="8"/>
  <c r="V445" i="8"/>
  <c r="V446" i="8"/>
  <c r="V447" i="8"/>
  <c r="V448" i="8"/>
  <c r="V449" i="8"/>
  <c r="Z449" i="8" s="1"/>
  <c r="V450" i="8"/>
  <c r="Y450" i="8" s="1"/>
  <c r="V451" i="8"/>
  <c r="V452" i="8"/>
  <c r="V453" i="8"/>
  <c r="V454" i="8"/>
  <c r="V455" i="8"/>
  <c r="Y455" i="8" s="1"/>
  <c r="V456" i="8"/>
  <c r="V457" i="8"/>
  <c r="V458" i="8"/>
  <c r="V459" i="8"/>
  <c r="V460" i="8"/>
  <c r="Y460" i="8" s="1"/>
  <c r="V461" i="8"/>
  <c r="V462" i="8"/>
  <c r="V463" i="8"/>
  <c r="Z463" i="8" s="1"/>
  <c r="V464" i="8"/>
  <c r="V465" i="8"/>
  <c r="Y465" i="8" s="1"/>
  <c r="V466" i="8"/>
  <c r="V467" i="8"/>
  <c r="V468" i="8"/>
  <c r="V469" i="8"/>
  <c r="V470" i="8"/>
  <c r="V471" i="8"/>
  <c r="Z471" i="8" s="1"/>
  <c r="V472" i="8"/>
  <c r="V473" i="8"/>
  <c r="V474" i="8"/>
  <c r="V475" i="8"/>
  <c r="V476" i="8"/>
  <c r="Y476" i="8" s="1"/>
  <c r="V477" i="8"/>
  <c r="V478" i="8"/>
  <c r="V479" i="8"/>
  <c r="V480" i="8"/>
  <c r="V481" i="8"/>
  <c r="Y481" i="8" s="1"/>
  <c r="V482" i="8"/>
  <c r="V483" i="8"/>
  <c r="V484" i="8"/>
  <c r="Z484" i="8" s="1"/>
  <c r="V485" i="8"/>
  <c r="Y485" i="8" s="1"/>
  <c r="V486" i="8"/>
  <c r="Y486" i="8" s="1"/>
  <c r="V487" i="8"/>
  <c r="V488" i="8"/>
  <c r="V489" i="8"/>
  <c r="V490" i="8"/>
  <c r="Z490" i="8" s="1"/>
  <c r="V491" i="8"/>
  <c r="V492" i="8"/>
  <c r="V493" i="8"/>
  <c r="Z493" i="8" s="1"/>
  <c r="V494" i="8"/>
  <c r="V495" i="8"/>
  <c r="Z495" i="8" s="1"/>
  <c r="V496" i="8"/>
  <c r="V497" i="8"/>
  <c r="V498" i="8"/>
  <c r="V499" i="8"/>
  <c r="V500" i="8"/>
  <c r="Z500" i="8" s="1"/>
  <c r="V501" i="8"/>
  <c r="V502" i="8"/>
  <c r="Y502" i="8" s="1"/>
  <c r="V503" i="8"/>
  <c r="V504" i="8"/>
  <c r="Y504" i="8" s="1"/>
  <c r="V505" i="8"/>
  <c r="V506" i="8"/>
  <c r="V507" i="8"/>
  <c r="V508" i="8"/>
  <c r="Y508" i="8" s="1"/>
  <c r="V509" i="8"/>
  <c r="Z509" i="8" s="1"/>
  <c r="V510" i="8"/>
  <c r="V511" i="8"/>
  <c r="Y511" i="8" s="1"/>
  <c r="V512" i="8"/>
  <c r="V513" i="8"/>
  <c r="Y513" i="8" s="1"/>
  <c r="V514" i="8"/>
  <c r="V515" i="8"/>
  <c r="V516" i="8"/>
  <c r="Z516" i="8" s="1"/>
  <c r="V517" i="8"/>
  <c r="Y517" i="8" s="1"/>
  <c r="V518" i="8"/>
  <c r="Y518" i="8" s="1"/>
  <c r="V519" i="8"/>
  <c r="V520" i="8"/>
  <c r="V521" i="8"/>
  <c r="V522" i="8"/>
  <c r="Z522" i="8" s="1"/>
  <c r="V523" i="8"/>
  <c r="V524" i="8"/>
  <c r="V525" i="8"/>
  <c r="Z525" i="8" s="1"/>
  <c r="V526" i="8"/>
  <c r="V527" i="8"/>
  <c r="Y527" i="8" s="1"/>
  <c r="V528" i="8"/>
  <c r="V529" i="8"/>
  <c r="V530" i="8"/>
  <c r="V531" i="8"/>
  <c r="V532" i="8"/>
  <c r="Z532" i="8" s="1"/>
  <c r="V533" i="8"/>
  <c r="V534" i="8"/>
  <c r="Y534" i="8" s="1"/>
  <c r="V535" i="8"/>
  <c r="V536" i="8"/>
  <c r="Y536" i="8" s="1"/>
  <c r="V537" i="8"/>
  <c r="V538" i="8"/>
  <c r="V539" i="8"/>
  <c r="V540" i="8"/>
  <c r="Y540" i="8" s="1"/>
  <c r="V541" i="8"/>
  <c r="Z541" i="8" s="1"/>
  <c r="V542" i="8"/>
  <c r="V543" i="8"/>
  <c r="Y543" i="8" s="1"/>
  <c r="V544" i="8"/>
  <c r="V545" i="8"/>
  <c r="Y545" i="8" s="1"/>
  <c r="V546" i="8"/>
  <c r="V547" i="8"/>
  <c r="V548" i="8"/>
  <c r="Z548" i="8" s="1"/>
  <c r="V549" i="8"/>
  <c r="Y549" i="8" s="1"/>
  <c r="V550" i="8"/>
  <c r="Z550" i="8" s="1"/>
  <c r="V551" i="8"/>
  <c r="V552" i="8"/>
  <c r="V553" i="8"/>
  <c r="V554" i="8"/>
  <c r="Z554" i="8" s="1"/>
  <c r="V555" i="8"/>
  <c r="V556" i="8"/>
  <c r="V557" i="8"/>
  <c r="Z557" i="8" s="1"/>
  <c r="V558" i="8"/>
  <c r="V559" i="8"/>
  <c r="Z559" i="8" s="1"/>
  <c r="V560" i="8"/>
  <c r="V561" i="8"/>
  <c r="V562" i="8"/>
  <c r="V563" i="8"/>
  <c r="V564" i="8"/>
  <c r="Z564" i="8" s="1"/>
  <c r="V565" i="8"/>
  <c r="V566" i="8"/>
  <c r="Y566" i="8" s="1"/>
  <c r="V567" i="8"/>
  <c r="V568" i="8"/>
  <c r="Y568" i="8" s="1"/>
  <c r="V569" i="8"/>
  <c r="V570" i="8"/>
  <c r="V571" i="8"/>
  <c r="V572" i="8"/>
  <c r="Y572" i="8" s="1"/>
  <c r="V573" i="8"/>
  <c r="Z573" i="8" s="1"/>
  <c r="V574" i="8"/>
  <c r="V575" i="8"/>
  <c r="Y575" i="8" s="1"/>
  <c r="V576" i="8"/>
  <c r="V577" i="8"/>
  <c r="Y577" i="8" s="1"/>
  <c r="V578" i="8"/>
  <c r="V579" i="8"/>
  <c r="V580" i="8"/>
  <c r="Z580" i="8" s="1"/>
  <c r="V581" i="8"/>
  <c r="Y581" i="8" s="1"/>
  <c r="V582" i="8"/>
  <c r="Y582" i="8" s="1"/>
  <c r="V583" i="8"/>
  <c r="V584" i="8"/>
  <c r="V585" i="8"/>
  <c r="V586" i="8"/>
  <c r="Z586" i="8" s="1"/>
  <c r="V587" i="8"/>
  <c r="V588" i="8"/>
  <c r="V589" i="8"/>
  <c r="Z589" i="8" s="1"/>
  <c r="V590" i="8"/>
  <c r="V591" i="8"/>
  <c r="Y591" i="8" s="1"/>
  <c r="V592" i="8"/>
  <c r="V593" i="8"/>
  <c r="V594" i="8"/>
  <c r="V595" i="8"/>
  <c r="V596" i="8"/>
  <c r="Z596" i="8" s="1"/>
  <c r="V597" i="8"/>
  <c r="V598" i="8"/>
  <c r="Y598" i="8" s="1"/>
  <c r="V599" i="8"/>
  <c r="V600" i="8"/>
  <c r="Y600" i="8" s="1"/>
  <c r="V601" i="8"/>
  <c r="V602" i="8"/>
  <c r="V603" i="8"/>
  <c r="V604" i="8"/>
  <c r="Y604" i="8" s="1"/>
  <c r="V605" i="8"/>
  <c r="Z605" i="8" s="1"/>
  <c r="V606" i="8"/>
  <c r="V607" i="8"/>
  <c r="Y607" i="8" s="1"/>
  <c r="V608" i="8"/>
  <c r="V609" i="8"/>
  <c r="Y609" i="8" s="1"/>
  <c r="V610" i="8"/>
  <c r="V611" i="8"/>
  <c r="V612" i="8"/>
  <c r="Z612" i="8" s="1"/>
  <c r="V613" i="8"/>
  <c r="Y613" i="8" s="1"/>
  <c r="V614" i="8"/>
  <c r="Y614" i="8" s="1"/>
  <c r="V615" i="8"/>
  <c r="V616" i="8"/>
  <c r="V617" i="8"/>
  <c r="V618" i="8"/>
  <c r="Z618" i="8" s="1"/>
  <c r="V619" i="8"/>
  <c r="V620" i="8"/>
  <c r="V621" i="8"/>
  <c r="Z621" i="8" s="1"/>
  <c r="V622" i="8"/>
  <c r="V623" i="8"/>
  <c r="Y623" i="8" s="1"/>
  <c r="V624" i="8"/>
  <c r="V625" i="8"/>
  <c r="V626" i="8"/>
  <c r="V627" i="8"/>
  <c r="V628" i="8"/>
  <c r="Z628" i="8" s="1"/>
  <c r="V629" i="8"/>
  <c r="V630" i="8"/>
  <c r="Y630" i="8" s="1"/>
  <c r="V631" i="8"/>
  <c r="V632" i="8"/>
  <c r="Y632" i="8" s="1"/>
  <c r="V633" i="8"/>
  <c r="V634" i="8"/>
  <c r="V635" i="8"/>
  <c r="V636" i="8"/>
  <c r="Y636" i="8" s="1"/>
  <c r="V637" i="8"/>
  <c r="Z637" i="8" s="1"/>
  <c r="V638" i="8"/>
  <c r="V639" i="8"/>
  <c r="Y639" i="8" s="1"/>
  <c r="V640" i="8"/>
  <c r="V641" i="8"/>
  <c r="Y641" i="8" s="1"/>
  <c r="V642" i="8"/>
  <c r="V643" i="8"/>
  <c r="V644" i="8"/>
  <c r="Z644" i="8" s="1"/>
  <c r="V645" i="8"/>
  <c r="Y645" i="8" s="1"/>
  <c r="V646" i="8"/>
  <c r="Y646" i="8" s="1"/>
  <c r="V647" i="8"/>
  <c r="V648" i="8"/>
  <c r="V649" i="8"/>
  <c r="V650" i="8"/>
  <c r="Z650" i="8" s="1"/>
  <c r="V651" i="8"/>
  <c r="V652" i="8"/>
  <c r="V653" i="8"/>
  <c r="Z653" i="8" s="1"/>
  <c r="V654" i="8"/>
  <c r="V655" i="8"/>
  <c r="Z655" i="8" s="1"/>
  <c r="V656" i="8"/>
  <c r="V657" i="8"/>
  <c r="V658" i="8"/>
  <c r="V659" i="8"/>
  <c r="V660" i="8"/>
  <c r="Z660" i="8" s="1"/>
  <c r="V661" i="8"/>
  <c r="V662" i="8"/>
  <c r="Y662" i="8" s="1"/>
  <c r="V663" i="8"/>
  <c r="V664" i="8"/>
  <c r="Y664" i="8" s="1"/>
  <c r="V665" i="8"/>
  <c r="V666" i="8"/>
  <c r="V667" i="8"/>
  <c r="V668" i="8"/>
  <c r="Y668" i="8" s="1"/>
  <c r="V669" i="8"/>
  <c r="Z669" i="8" s="1"/>
  <c r="V670" i="8"/>
  <c r="V671" i="8"/>
  <c r="Y671" i="8" s="1"/>
  <c r="V672" i="8"/>
  <c r="V673" i="8"/>
  <c r="Y673" i="8" s="1"/>
  <c r="V674" i="8"/>
  <c r="V675" i="8"/>
  <c r="V676" i="8"/>
  <c r="Y676" i="8" s="1"/>
  <c r="V677" i="8"/>
  <c r="Y677" i="8" s="1"/>
  <c r="V678" i="8"/>
  <c r="Y678" i="8" s="1"/>
  <c r="V679" i="8"/>
  <c r="V680" i="8"/>
  <c r="Y680" i="8" s="1"/>
  <c r="V681" i="8"/>
  <c r="Y681" i="8" s="1"/>
  <c r="V682" i="8"/>
  <c r="V683" i="8"/>
  <c r="V684" i="8"/>
  <c r="Z684" i="8" s="1"/>
  <c r="V685" i="8"/>
  <c r="Y685" i="8" s="1"/>
  <c r="V686" i="8"/>
  <c r="Y686" i="8" s="1"/>
  <c r="V687" i="8"/>
  <c r="V688" i="8"/>
  <c r="Z688" i="8" s="1"/>
  <c r="V689" i="8"/>
  <c r="Y689" i="8" s="1"/>
  <c r="V690" i="8"/>
  <c r="V691" i="8"/>
  <c r="V692" i="8"/>
  <c r="Z692" i="8" s="1"/>
  <c r="V693" i="8"/>
  <c r="Z693" i="8" s="1"/>
  <c r="V694" i="8"/>
  <c r="Y694" i="8" s="1"/>
  <c r="V695" i="8"/>
  <c r="V696" i="8"/>
  <c r="V697" i="8"/>
  <c r="Z697" i="8" s="1"/>
  <c r="V698" i="8"/>
  <c r="V699" i="8"/>
  <c r="V700" i="8"/>
  <c r="V701" i="8"/>
  <c r="Z701" i="8" s="1"/>
  <c r="V702" i="8"/>
  <c r="Z702" i="8" s="1"/>
  <c r="V703" i="8"/>
  <c r="V704" i="8"/>
  <c r="Y704" i="8" s="1"/>
  <c r="V705" i="8"/>
  <c r="V706" i="8"/>
  <c r="Y706" i="8" s="1"/>
  <c r="V707" i="8"/>
  <c r="V708" i="8"/>
  <c r="V709" i="8"/>
  <c r="Y709" i="8" s="1"/>
  <c r="V710" i="8"/>
  <c r="Y710" i="8" s="1"/>
  <c r="V711" i="8"/>
  <c r="Y711" i="8" s="1"/>
  <c r="V712" i="8"/>
  <c r="Y712" i="8" s="1"/>
  <c r="V713" i="8"/>
  <c r="V714" i="8"/>
  <c r="Y714" i="8" s="1"/>
  <c r="V715" i="8"/>
  <c r="V716" i="8"/>
  <c r="Z716" i="8" s="1"/>
  <c r="V717" i="8"/>
  <c r="Z717" i="8" s="1"/>
  <c r="V718" i="8"/>
  <c r="Y718" i="8" s="1"/>
  <c r="V719" i="8"/>
  <c r="Y719" i="8" s="1"/>
  <c r="V720" i="8"/>
  <c r="V721" i="8"/>
  <c r="Y721" i="8" s="1"/>
  <c r="V722" i="8"/>
  <c r="V723" i="8"/>
  <c r="V724" i="8"/>
  <c r="Z724" i="8" s="1"/>
  <c r="V725" i="8"/>
  <c r="Z725" i="8" s="1"/>
  <c r="V726" i="8"/>
  <c r="Z726" i="8" s="1"/>
  <c r="V727" i="8"/>
  <c r="Y727" i="8" s="1"/>
  <c r="V728" i="8"/>
  <c r="Y728" i="8" s="1"/>
  <c r="V729" i="8"/>
  <c r="V730" i="8"/>
  <c r="Y730" i="8" s="1"/>
  <c r="V731" i="8"/>
  <c r="V732" i="8"/>
  <c r="Z732" i="8" s="1"/>
  <c r="V733" i="8"/>
  <c r="Z733" i="8" s="1"/>
  <c r="V734" i="8"/>
  <c r="Y734" i="8" s="1"/>
  <c r="V735" i="8"/>
  <c r="Z735" i="8" s="1"/>
  <c r="V736" i="8"/>
  <c r="V737" i="8"/>
  <c r="Y737" i="8" s="1"/>
  <c r="V738" i="8"/>
  <c r="V739" i="8"/>
  <c r="V740" i="8"/>
  <c r="Z740" i="8" s="1"/>
  <c r="V741" i="8"/>
  <c r="Z741" i="8" s="1"/>
  <c r="V742" i="8"/>
  <c r="Y742" i="8" s="1"/>
  <c r="V743" i="8"/>
  <c r="Y743" i="8" s="1"/>
  <c r="V744" i="8"/>
  <c r="Y744" i="8" s="1"/>
  <c r="V745" i="8"/>
  <c r="V746" i="8"/>
  <c r="Y746" i="8" s="1"/>
  <c r="V747" i="8"/>
  <c r="V748" i="8"/>
  <c r="Z748" i="8" s="1"/>
  <c r="V749" i="8"/>
  <c r="Z749" i="8" s="1"/>
  <c r="V750" i="8"/>
  <c r="Y750" i="8" s="1"/>
  <c r="V751" i="8"/>
  <c r="Z751" i="8" s="1"/>
  <c r="V752" i="8"/>
  <c r="V753" i="8"/>
  <c r="Y753" i="8" s="1"/>
  <c r="V754" i="8"/>
  <c r="V755" i="8"/>
  <c r="V756" i="8"/>
  <c r="Z756" i="8" s="1"/>
  <c r="V757" i="8"/>
  <c r="Z757" i="8" s="1"/>
  <c r="V758" i="8"/>
  <c r="Y758" i="8" s="1"/>
  <c r="V759" i="8"/>
  <c r="Y759" i="8" s="1"/>
  <c r="V760" i="8"/>
  <c r="Y760" i="8" s="1"/>
  <c r="V761" i="8"/>
  <c r="V762" i="8"/>
  <c r="Y762" i="8" s="1"/>
  <c r="V763" i="8"/>
  <c r="V764" i="8"/>
  <c r="Z764" i="8" s="1"/>
  <c r="V765" i="8"/>
  <c r="Z765" i="8" s="1"/>
  <c r="V766" i="8"/>
  <c r="Y766" i="8" s="1"/>
  <c r="V767" i="8"/>
  <c r="Y767" i="8" s="1"/>
  <c r="V768" i="8"/>
  <c r="V769" i="8"/>
  <c r="Y769" i="8" s="1"/>
  <c r="V770" i="8"/>
  <c r="V771" i="8"/>
  <c r="V772" i="8"/>
  <c r="Z772" i="8" s="1"/>
  <c r="V773" i="8"/>
  <c r="Z773" i="8" s="1"/>
  <c r="V774" i="8"/>
  <c r="Y774" i="8" s="1"/>
  <c r="V775" i="8"/>
  <c r="Y775" i="8" s="1"/>
  <c r="V776" i="8"/>
  <c r="Y776" i="8" s="1"/>
  <c r="V777" i="8"/>
  <c r="V778" i="8"/>
  <c r="Y778" i="8" s="1"/>
  <c r="V779" i="8"/>
  <c r="V780" i="8"/>
  <c r="Z780" i="8" s="1"/>
  <c r="V781" i="8"/>
  <c r="Z781" i="8" s="1"/>
  <c r="V782" i="8"/>
  <c r="Y782" i="8" s="1"/>
  <c r="V783" i="8"/>
  <c r="Z783" i="8" s="1"/>
  <c r="V784" i="8"/>
  <c r="V785" i="8"/>
  <c r="Y785" i="8" s="1"/>
  <c r="V786" i="8"/>
  <c r="V787" i="8"/>
  <c r="V788" i="8"/>
  <c r="Z788" i="8" s="1"/>
  <c r="V789" i="8"/>
  <c r="Z789" i="8" s="1"/>
  <c r="V790" i="8"/>
  <c r="Z790" i="8" s="1"/>
  <c r="V791" i="8"/>
  <c r="Y791" i="8" s="1"/>
  <c r="V792" i="8"/>
  <c r="Y792" i="8" s="1"/>
  <c r="V793" i="8"/>
  <c r="V794" i="8"/>
  <c r="Y794" i="8" s="1"/>
  <c r="V795" i="8"/>
  <c r="V796" i="8"/>
  <c r="Z796" i="8" s="1"/>
  <c r="V797" i="8"/>
  <c r="Z797" i="8" s="1"/>
  <c r="V798" i="8"/>
  <c r="Y798" i="8" s="1"/>
  <c r="V799" i="8"/>
  <c r="Z799" i="8" s="1"/>
  <c r="V800" i="8"/>
  <c r="V801" i="8"/>
  <c r="Y801" i="8" s="1"/>
  <c r="V802" i="8"/>
  <c r="V803" i="8"/>
  <c r="V804" i="8"/>
  <c r="Z804" i="8" s="1"/>
  <c r="V805" i="8"/>
  <c r="Z805" i="8" s="1"/>
  <c r="V806" i="8"/>
  <c r="Y806" i="8" s="1"/>
  <c r="V807" i="8"/>
  <c r="Y807" i="8" s="1"/>
  <c r="V808" i="8"/>
  <c r="Y808" i="8" s="1"/>
  <c r="V809" i="8"/>
  <c r="V810" i="8"/>
  <c r="Y810" i="8" s="1"/>
  <c r="V811" i="8"/>
  <c r="V812" i="8"/>
  <c r="Z812" i="8" s="1"/>
  <c r="V813" i="8"/>
  <c r="Z813" i="8" s="1"/>
  <c r="V814" i="8"/>
  <c r="Y814" i="8" s="1"/>
  <c r="V815" i="8"/>
  <c r="Y815" i="8" s="1"/>
  <c r="V816" i="8"/>
  <c r="V817" i="8"/>
  <c r="Y817" i="8" s="1"/>
  <c r="V818" i="8"/>
  <c r="V819" i="8"/>
  <c r="V820" i="8"/>
  <c r="Z820" i="8" s="1"/>
  <c r="V821" i="8"/>
  <c r="Z821" i="8" s="1"/>
  <c r="V822" i="8"/>
  <c r="Y822" i="8" s="1"/>
  <c r="V823" i="8"/>
  <c r="Y823" i="8" s="1"/>
  <c r="V824" i="8"/>
  <c r="Y824" i="8" s="1"/>
  <c r="V825" i="8"/>
  <c r="V826" i="8"/>
  <c r="Y826" i="8" s="1"/>
  <c r="V827" i="8"/>
  <c r="V828" i="8"/>
  <c r="Z828" i="8" s="1"/>
  <c r="V829" i="8"/>
  <c r="Z829" i="8" s="1"/>
  <c r="V830" i="8"/>
  <c r="Y830" i="8" s="1"/>
  <c r="V831" i="8"/>
  <c r="Y831" i="8" s="1"/>
  <c r="V832" i="8"/>
  <c r="V833" i="8"/>
  <c r="Y833" i="8" s="1"/>
  <c r="V834" i="8"/>
  <c r="V835" i="8"/>
  <c r="V836" i="8"/>
  <c r="Z836" i="8" s="1"/>
  <c r="V837" i="8"/>
  <c r="Z837" i="8" s="1"/>
  <c r="V838" i="8"/>
  <c r="Y838" i="8" s="1"/>
  <c r="V839" i="8"/>
  <c r="Y839" i="8" s="1"/>
  <c r="V840" i="8"/>
  <c r="Y840" i="8" s="1"/>
  <c r="V841" i="8"/>
  <c r="V842" i="8"/>
  <c r="Y842" i="8" s="1"/>
  <c r="V843" i="8"/>
  <c r="V844" i="8"/>
  <c r="Z844" i="8" s="1"/>
  <c r="V845" i="8"/>
  <c r="Z845" i="8" s="1"/>
  <c r="V846" i="8"/>
  <c r="Y846" i="8" s="1"/>
  <c r="V847" i="8"/>
  <c r="Z847" i="8" s="1"/>
  <c r="V848" i="8"/>
  <c r="V849" i="8"/>
  <c r="Y849" i="8" s="1"/>
  <c r="V850" i="8"/>
  <c r="V851" i="8"/>
  <c r="V852" i="8"/>
  <c r="Z852" i="8" s="1"/>
  <c r="V853" i="8"/>
  <c r="Z853" i="8" s="1"/>
  <c r="V854" i="8"/>
  <c r="Z854" i="8" s="1"/>
  <c r="V855" i="8"/>
  <c r="Y855" i="8" s="1"/>
  <c r="V856" i="8"/>
  <c r="Y856" i="8" s="1"/>
  <c r="V857" i="8"/>
  <c r="V858" i="8"/>
  <c r="Y858" i="8" s="1"/>
  <c r="V859" i="8"/>
  <c r="V860" i="8"/>
  <c r="Z860" i="8" s="1"/>
  <c r="V861" i="8"/>
  <c r="Z861" i="8" s="1"/>
  <c r="V862" i="8"/>
  <c r="Y862" i="8" s="1"/>
  <c r="V863" i="8"/>
  <c r="Z863" i="8" s="1"/>
  <c r="V864" i="8"/>
  <c r="V865" i="8"/>
  <c r="Y865" i="8" s="1"/>
  <c r="V866" i="8"/>
  <c r="Z866" i="8" s="1"/>
  <c r="V867" i="8"/>
  <c r="V868" i="8"/>
  <c r="Y868" i="8" s="1"/>
  <c r="V869" i="8"/>
  <c r="Z869" i="8" s="1"/>
  <c r="V870" i="8"/>
  <c r="Z870" i="8" s="1"/>
  <c r="V871" i="8"/>
  <c r="Y871" i="8" s="1"/>
  <c r="V872" i="8"/>
  <c r="Y872" i="8" s="1"/>
  <c r="V873" i="8"/>
  <c r="Y873" i="8" s="1"/>
  <c r="V874" i="8"/>
  <c r="Y874" i="8" s="1"/>
  <c r="V875" i="8"/>
  <c r="V876" i="8"/>
  <c r="Z876" i="8" s="1"/>
  <c r="V877" i="8"/>
  <c r="Y877" i="8" s="1"/>
  <c r="V878" i="8"/>
  <c r="Y878" i="8" s="1"/>
  <c r="V879" i="8"/>
  <c r="Y879" i="8" s="1"/>
  <c r="V880" i="8"/>
  <c r="Z880" i="8" s="1"/>
  <c r="V881" i="8"/>
  <c r="Z881" i="8" s="1"/>
  <c r="V882" i="8"/>
  <c r="Y882" i="8" s="1"/>
  <c r="V883" i="8"/>
  <c r="V884" i="8"/>
  <c r="Z884" i="8" s="1"/>
  <c r="V885" i="8"/>
  <c r="Z885" i="8" s="1"/>
  <c r="V886" i="8"/>
  <c r="Y886" i="8" s="1"/>
  <c r="V887" i="8"/>
  <c r="Y887" i="8" s="1"/>
  <c r="V888" i="8"/>
  <c r="Z888" i="8" s="1"/>
  <c r="V889" i="8"/>
  <c r="Z889" i="8" s="1"/>
  <c r="V890" i="8"/>
  <c r="Y890" i="8" s="1"/>
  <c r="V891" i="8"/>
  <c r="V892" i="8"/>
  <c r="Z892" i="8" s="1"/>
  <c r="V893" i="8"/>
  <c r="Z893" i="8" s="1"/>
  <c r="V894" i="8"/>
  <c r="Y894" i="8" s="1"/>
  <c r="V895" i="8"/>
  <c r="Y895" i="8" s="1"/>
  <c r="V896" i="8"/>
  <c r="Y896" i="8" s="1"/>
  <c r="V897" i="8"/>
  <c r="Z897" i="8" s="1"/>
  <c r="V898" i="8"/>
  <c r="Z898" i="8" s="1"/>
  <c r="V899" i="8"/>
  <c r="V900" i="8"/>
  <c r="Y900" i="8" s="1"/>
  <c r="V901" i="8"/>
  <c r="Z901" i="8" s="1"/>
  <c r="V902" i="8"/>
  <c r="Y902" i="8" s="1"/>
  <c r="V903" i="8"/>
  <c r="Z903" i="8" s="1"/>
  <c r="V904" i="8"/>
  <c r="Y904" i="8" s="1"/>
  <c r="V905" i="8"/>
  <c r="Y905" i="8" s="1"/>
  <c r="V906" i="8"/>
  <c r="Y906" i="8" s="1"/>
  <c r="V907" i="8"/>
  <c r="V908" i="8"/>
  <c r="Z908" i="8" s="1"/>
  <c r="V909" i="8"/>
  <c r="Y909" i="8" s="1"/>
  <c r="V910" i="8"/>
  <c r="Z910" i="8" s="1"/>
  <c r="V911" i="8"/>
  <c r="Z911" i="8" s="1"/>
  <c r="V912" i="8"/>
  <c r="Y912" i="8" s="1"/>
  <c r="V913" i="8"/>
  <c r="Y913" i="8" s="1"/>
  <c r="V914" i="8"/>
  <c r="Y914" i="8" s="1"/>
  <c r="V915" i="8"/>
  <c r="V916" i="8"/>
  <c r="Y916" i="8" s="1"/>
  <c r="V917" i="8"/>
  <c r="Z917" i="8" s="1"/>
  <c r="V918" i="8"/>
  <c r="Z918" i="8" s="1"/>
  <c r="V919" i="8"/>
  <c r="Y919" i="8" s="1"/>
  <c r="V920" i="8"/>
  <c r="Y920" i="8" s="1"/>
  <c r="V921" i="8"/>
  <c r="Y921" i="8" s="1"/>
  <c r="V922" i="8"/>
  <c r="Y922" i="8" s="1"/>
  <c r="V923" i="8"/>
  <c r="V924" i="8"/>
  <c r="Z924" i="8" s="1"/>
  <c r="V925" i="8"/>
  <c r="Z925" i="8" s="1"/>
  <c r="V926" i="8"/>
  <c r="Y926" i="8" s="1"/>
  <c r="V927" i="8"/>
  <c r="Y927" i="8" s="1"/>
  <c r="V928" i="8"/>
  <c r="Y928" i="8" s="1"/>
  <c r="V929" i="8"/>
  <c r="Y929" i="8" s="1"/>
  <c r="V930" i="8"/>
  <c r="Y930" i="8" s="1"/>
  <c r="V931" i="8"/>
  <c r="V932" i="8"/>
  <c r="Y932" i="8" s="1"/>
  <c r="V933" i="8"/>
  <c r="Z933" i="8" s="1"/>
  <c r="V934" i="8"/>
  <c r="Y934" i="8" s="1"/>
  <c r="V935" i="8"/>
  <c r="Y935" i="8" s="1"/>
  <c r="V936" i="8"/>
  <c r="Y936" i="8" s="1"/>
  <c r="V937" i="8"/>
  <c r="Z937" i="8" s="1"/>
  <c r="V938" i="8"/>
  <c r="Y938" i="8" s="1"/>
  <c r="V939" i="8"/>
  <c r="V940" i="8"/>
  <c r="Z940" i="8" s="1"/>
  <c r="V941" i="8"/>
  <c r="Y941" i="8" s="1"/>
  <c r="V942" i="8"/>
  <c r="Y942" i="8" s="1"/>
  <c r="V943" i="8"/>
  <c r="Y943" i="8" s="1"/>
  <c r="V944" i="8"/>
  <c r="Z944" i="8" s="1"/>
  <c r="V945" i="8"/>
  <c r="Z945" i="8" s="1"/>
  <c r="V946" i="8"/>
  <c r="Z946" i="8" s="1"/>
  <c r="V947" i="8"/>
  <c r="V948" i="8"/>
  <c r="Z948" i="8" s="1"/>
  <c r="V949" i="8"/>
  <c r="Z949" i="8" s="1"/>
  <c r="V950" i="8"/>
  <c r="Y950" i="8" s="1"/>
  <c r="V951" i="8"/>
  <c r="Y951" i="8" s="1"/>
  <c r="V952" i="8"/>
  <c r="Z952" i="8" s="1"/>
  <c r="V953" i="8"/>
  <c r="Y953" i="8" s="1"/>
  <c r="V954" i="8"/>
  <c r="Y954" i="8" s="1"/>
  <c r="V955" i="8"/>
  <c r="V956" i="8"/>
  <c r="Z956" i="8" s="1"/>
  <c r="V957" i="8"/>
  <c r="Z957" i="8" s="1"/>
  <c r="V958" i="8"/>
  <c r="Y958" i="8" s="1"/>
  <c r="V959" i="8"/>
  <c r="Y959" i="8" s="1"/>
  <c r="V960" i="8"/>
  <c r="Y960" i="8" s="1"/>
  <c r="V961" i="8"/>
  <c r="Y961" i="8" s="1"/>
  <c r="V962" i="8"/>
  <c r="Y962" i="8" s="1"/>
  <c r="V963" i="8"/>
  <c r="V964" i="8"/>
  <c r="Y964" i="8" s="1"/>
  <c r="V965" i="8"/>
  <c r="Z965" i="8" s="1"/>
  <c r="V966" i="8"/>
  <c r="Y966" i="8" s="1"/>
  <c r="V967" i="8"/>
  <c r="Z967" i="8" s="1"/>
  <c r="V968" i="8"/>
  <c r="Y968" i="8" s="1"/>
  <c r="V969" i="8"/>
  <c r="Y969" i="8" s="1"/>
  <c r="V970" i="8"/>
  <c r="Y970" i="8" s="1"/>
  <c r="V971" i="8"/>
  <c r="V972" i="8"/>
  <c r="Z972" i="8" s="1"/>
  <c r="V973" i="8"/>
  <c r="Y973" i="8" s="1"/>
  <c r="V974" i="8"/>
  <c r="Z974" i="8" s="1"/>
  <c r="V975" i="8"/>
  <c r="Y975" i="8" s="1"/>
  <c r="V976" i="8"/>
  <c r="Y976" i="8" s="1"/>
  <c r="V977" i="8"/>
  <c r="Y977" i="8" s="1"/>
  <c r="V978" i="8"/>
  <c r="Z978" i="8" s="1"/>
  <c r="V979" i="8"/>
  <c r="V980" i="8"/>
  <c r="Z980" i="8" s="1"/>
  <c r="V981" i="8"/>
  <c r="Z981" i="8" s="1"/>
  <c r="V982" i="8"/>
  <c r="Z982" i="8" s="1"/>
  <c r="V983" i="8"/>
  <c r="Z983" i="8" s="1"/>
  <c r="V984" i="8"/>
  <c r="Y984" i="8" s="1"/>
  <c r="V985" i="8"/>
  <c r="Y985" i="8" s="1"/>
  <c r="V986" i="8"/>
  <c r="Y986" i="8" s="1"/>
  <c r="V987" i="8"/>
  <c r="V988" i="8"/>
  <c r="Z988" i="8" s="1"/>
  <c r="V989" i="8"/>
  <c r="Y989" i="8" s="1"/>
  <c r="V990" i="8"/>
  <c r="Y990" i="8" s="1"/>
  <c r="V991" i="8"/>
  <c r="Z991" i="8" s="1"/>
  <c r="V992" i="8"/>
  <c r="Y992" i="8" s="1"/>
  <c r="V993" i="8"/>
  <c r="Y993" i="8" s="1"/>
  <c r="V994" i="8"/>
  <c r="Y994" i="8" s="1"/>
  <c r="V995" i="8"/>
  <c r="V996" i="8"/>
  <c r="Z996" i="8" s="1"/>
  <c r="V997" i="8"/>
  <c r="Z997" i="8" s="1"/>
  <c r="V998" i="8"/>
  <c r="Y998" i="8" s="1"/>
  <c r="V999" i="8"/>
  <c r="Y999" i="8" s="1"/>
  <c r="V1000" i="8"/>
  <c r="Y1000" i="8" s="1"/>
  <c r="V1001" i="8"/>
  <c r="Z1001" i="8" s="1"/>
  <c r="V1002" i="8"/>
  <c r="Y1002" i="8" s="1"/>
  <c r="V1003" i="8"/>
  <c r="V1004" i="8"/>
  <c r="Z1004" i="8" s="1"/>
  <c r="V1005" i="8"/>
  <c r="Y1005" i="8" s="1"/>
  <c r="V1006" i="8"/>
  <c r="Z1006" i="8" s="1"/>
  <c r="V1007" i="8"/>
  <c r="Y1007" i="8" s="1"/>
  <c r="V1008" i="8"/>
  <c r="Z1008" i="8" s="1"/>
  <c r="V9" i="8"/>
  <c r="Z9" i="8" s="1"/>
  <c r="E10" i="8"/>
  <c r="C10" i="8"/>
  <c r="D10" i="8"/>
  <c r="E11" i="8"/>
  <c r="D11" i="8"/>
  <c r="C11" i="8"/>
  <c r="E5" i="8"/>
  <c r="D5" i="8"/>
  <c r="C5" i="8"/>
  <c r="I867" i="7"/>
  <c r="J384" i="17" s="1"/>
  <c r="C837" i="31" l="1"/>
  <c r="C832" i="31"/>
  <c r="C828" i="31"/>
  <c r="C823" i="31"/>
  <c r="C840" i="31"/>
  <c r="C830" i="31"/>
  <c r="C821" i="31"/>
  <c r="C833" i="31"/>
  <c r="C824" i="31"/>
  <c r="C841" i="31"/>
  <c r="C836" i="31"/>
  <c r="C831" i="31"/>
  <c r="C827" i="31"/>
  <c r="C822" i="31"/>
  <c r="C835" i="31"/>
  <c r="C825" i="31"/>
  <c r="C838" i="31"/>
  <c r="C829" i="31"/>
  <c r="C820" i="31"/>
  <c r="C819" i="31"/>
  <c r="J819" i="31" s="1"/>
  <c r="J841" i="17"/>
  <c r="J828" i="17"/>
  <c r="J836" i="17"/>
  <c r="J806" i="17"/>
  <c r="C824" i="17"/>
  <c r="J827" i="17"/>
  <c r="C828" i="17"/>
  <c r="J796" i="17"/>
  <c r="J821" i="17"/>
  <c r="J840" i="17"/>
  <c r="J279" i="17"/>
  <c r="J822" i="17"/>
  <c r="C822" i="17"/>
  <c r="C841" i="17"/>
  <c r="J809" i="17"/>
  <c r="J829" i="17"/>
  <c r="J268" i="17"/>
  <c r="C820" i="17"/>
  <c r="J280" i="17"/>
  <c r="C835" i="17"/>
  <c r="J803" i="17"/>
  <c r="J823" i="17"/>
  <c r="J267" i="17"/>
  <c r="J291" i="17"/>
  <c r="J310" i="17"/>
  <c r="J303" i="17"/>
  <c r="J298" i="17"/>
  <c r="J297" i="17"/>
  <c r="C811" i="17"/>
  <c r="C798" i="17"/>
  <c r="C804" i="17"/>
  <c r="C810" i="17"/>
  <c r="C793" i="17"/>
  <c r="C794" i="17"/>
  <c r="C803" i="17"/>
  <c r="C809" i="17"/>
  <c r="C792" i="17"/>
  <c r="C797" i="17"/>
  <c r="C833" i="17"/>
  <c r="J271" i="17"/>
  <c r="C832" i="17"/>
  <c r="J801" i="17"/>
  <c r="J825" i="17"/>
  <c r="J265" i="17"/>
  <c r="J284" i="17"/>
  <c r="J831" i="17"/>
  <c r="C827" i="17"/>
  <c r="J795" i="17"/>
  <c r="J814" i="17"/>
  <c r="J833" i="17"/>
  <c r="J273" i="17"/>
  <c r="C838" i="17"/>
  <c r="C821" i="17"/>
  <c r="C840" i="17"/>
  <c r="J808" i="17"/>
  <c r="J832" i="17"/>
  <c r="J272" i="17"/>
  <c r="J295" i="17"/>
  <c r="J290" i="17"/>
  <c r="J308" i="17"/>
  <c r="J302" i="17"/>
  <c r="J301" i="17"/>
  <c r="C813" i="17"/>
  <c r="C795" i="17"/>
  <c r="C814" i="17"/>
  <c r="C801" i="17"/>
  <c r="C802" i="17"/>
  <c r="J811" i="17"/>
  <c r="C823" i="17"/>
  <c r="J792" i="17"/>
  <c r="J810" i="17"/>
  <c r="J835" i="17"/>
  <c r="J274" i="17"/>
  <c r="J797" i="17"/>
  <c r="J275" i="17"/>
  <c r="C836" i="17"/>
  <c r="J804" i="17"/>
  <c r="J824" i="17"/>
  <c r="J264" i="17"/>
  <c r="J283" i="17"/>
  <c r="J262" i="17"/>
  <c r="C830" i="17"/>
  <c r="J798" i="17"/>
  <c r="J819" i="17"/>
  <c r="J263" i="17"/>
  <c r="J281" i="17"/>
  <c r="J305" i="17"/>
  <c r="J299" i="17"/>
  <c r="J293" i="17"/>
  <c r="J292" i="17"/>
  <c r="J311" i="17"/>
  <c r="J802" i="17"/>
  <c r="C819" i="17"/>
  <c r="C837" i="17"/>
  <c r="J805" i="17"/>
  <c r="J830" i="17"/>
  <c r="J270" i="17"/>
  <c r="C829" i="17"/>
  <c r="J266" i="17"/>
  <c r="C831" i="17"/>
  <c r="J800" i="17"/>
  <c r="J820" i="17"/>
  <c r="J838" i="17"/>
  <c r="J278" i="17"/>
  <c r="J793" i="17"/>
  <c r="C825" i="17"/>
  <c r="J794" i="17"/>
  <c r="J813" i="17"/>
  <c r="J837" i="17"/>
  <c r="J276" i="17"/>
  <c r="J300" i="17"/>
  <c r="J294" i="17"/>
  <c r="J289" i="17"/>
  <c r="J307" i="17"/>
  <c r="J306" i="17"/>
  <c r="C808" i="17"/>
  <c r="C800" i="17"/>
  <c r="C796" i="17"/>
  <c r="C805" i="17"/>
  <c r="C806" i="17"/>
  <c r="C382" i="17"/>
  <c r="C386" i="17"/>
  <c r="C395" i="17"/>
  <c r="C390" i="17"/>
  <c r="C394" i="17"/>
  <c r="C378" i="17"/>
  <c r="C388" i="17"/>
  <c r="C380" i="17"/>
  <c r="C384" i="17"/>
  <c r="C400" i="17"/>
  <c r="C383" i="17"/>
  <c r="C381" i="17"/>
  <c r="C397" i="17"/>
  <c r="J382" i="17"/>
  <c r="C379" i="17"/>
  <c r="C389" i="17"/>
  <c r="J386" i="17"/>
  <c r="C399" i="17"/>
  <c r="J395" i="17"/>
  <c r="C387" i="17"/>
  <c r="J389" i="17"/>
  <c r="C392" i="17"/>
  <c r="J392" i="17"/>
  <c r="J397" i="17"/>
  <c r="J400" i="17"/>
  <c r="J379" i="17"/>
  <c r="C396" i="17"/>
  <c r="J391" i="17"/>
  <c r="J399" i="17"/>
  <c r="J396" i="17"/>
  <c r="J394" i="17"/>
  <c r="J387" i="17"/>
  <c r="J383" i="17"/>
  <c r="J390" i="17"/>
  <c r="C391" i="17"/>
  <c r="J388" i="17"/>
  <c r="J378" i="17"/>
  <c r="J380" i="17"/>
  <c r="J381" i="17"/>
  <c r="J494" i="17"/>
  <c r="J494" i="31" s="1"/>
  <c r="O42" i="29" s="1"/>
  <c r="J490" i="17"/>
  <c r="J490" i="31" s="1"/>
  <c r="J500" i="17"/>
  <c r="J500" i="31" s="1"/>
  <c r="J501" i="17"/>
  <c r="J498" i="17"/>
  <c r="J499" i="17"/>
  <c r="J499" i="31" s="1"/>
  <c r="J509" i="17"/>
  <c r="J502" i="17"/>
  <c r="J493" i="17"/>
  <c r="J493" i="31" s="1"/>
  <c r="O41" i="29" s="1"/>
  <c r="J503" i="17"/>
  <c r="J506" i="17"/>
  <c r="J512" i="17"/>
  <c r="J512" i="31" s="1"/>
  <c r="J495" i="17"/>
  <c r="J495" i="31" s="1"/>
  <c r="O43" i="29" s="1"/>
  <c r="J508" i="17"/>
  <c r="J492" i="17"/>
  <c r="J492" i="31" s="1"/>
  <c r="O40" i="29" s="1"/>
  <c r="J511" i="17"/>
  <c r="J511" i="31" s="1"/>
  <c r="J507" i="17"/>
  <c r="J504" i="17"/>
  <c r="J504" i="31" s="1"/>
  <c r="J491" i="17"/>
  <c r="J491" i="31" s="1"/>
  <c r="O39" i="29" s="1"/>
  <c r="J496" i="17"/>
  <c r="J496" i="31" s="1"/>
  <c r="O44" i="29" s="1"/>
  <c r="J358" i="17"/>
  <c r="K46" i="4" s="1"/>
  <c r="J322" i="17"/>
  <c r="J330" i="17"/>
  <c r="J46" i="4" s="1"/>
  <c r="J352" i="17"/>
  <c r="J371" i="17"/>
  <c r="J323" i="17"/>
  <c r="J354" i="17"/>
  <c r="J333" i="17"/>
  <c r="J49" i="4" s="1"/>
  <c r="J355" i="17"/>
  <c r="J344" i="17"/>
  <c r="J350" i="17"/>
  <c r="J368" i="17"/>
  <c r="K56" i="4" s="1"/>
  <c r="J351" i="17"/>
  <c r="J362" i="17"/>
  <c r="K50" i="4" s="1"/>
  <c r="J327" i="17"/>
  <c r="J331" i="17"/>
  <c r="J334" i="17"/>
  <c r="J50" i="4" s="1"/>
  <c r="J356" i="17"/>
  <c r="J332" i="17"/>
  <c r="J359" i="17"/>
  <c r="J326" i="17"/>
  <c r="J338" i="17"/>
  <c r="J54" i="4" s="1"/>
  <c r="J360" i="17"/>
  <c r="J367" i="17"/>
  <c r="K55" i="4" s="1"/>
  <c r="J336" i="17"/>
  <c r="J335" i="17"/>
  <c r="J51" i="4" s="1"/>
  <c r="J339" i="17"/>
  <c r="J55" i="4" s="1"/>
  <c r="J361" i="17"/>
  <c r="K49" i="4" s="1"/>
  <c r="J341" i="17"/>
  <c r="J57" i="4" s="1"/>
  <c r="J363" i="17"/>
  <c r="K51" i="4" s="1"/>
  <c r="J340" i="17"/>
  <c r="J56" i="4" s="1"/>
  <c r="J324" i="17"/>
  <c r="J343" i="17"/>
  <c r="J364" i="17"/>
  <c r="J372" i="17"/>
  <c r="J353" i="17"/>
  <c r="J325" i="17"/>
  <c r="J366" i="17"/>
  <c r="K54" i="4" s="1"/>
  <c r="J328" i="17"/>
  <c r="J369" i="17"/>
  <c r="K57" i="4" s="1"/>
  <c r="C588" i="17"/>
  <c r="C588" i="31" s="1"/>
  <c r="C579" i="17"/>
  <c r="C579" i="31" s="1"/>
  <c r="C566" i="17"/>
  <c r="C566" i="31" s="1"/>
  <c r="C556" i="17"/>
  <c r="C556" i="31" s="1"/>
  <c r="C547" i="17"/>
  <c r="C547" i="31" s="1"/>
  <c r="C587" i="17"/>
  <c r="C587" i="31" s="1"/>
  <c r="C577" i="17"/>
  <c r="C577" i="31" s="1"/>
  <c r="C565" i="17"/>
  <c r="C565" i="31" s="1"/>
  <c r="C555" i="17"/>
  <c r="C555" i="31" s="1"/>
  <c r="C546" i="17"/>
  <c r="C546" i="31" s="1"/>
  <c r="C585" i="17"/>
  <c r="C585" i="31" s="1"/>
  <c r="C576" i="17"/>
  <c r="C576" i="31" s="1"/>
  <c r="C563" i="17"/>
  <c r="C563" i="31" s="1"/>
  <c r="C554" i="17"/>
  <c r="C554" i="31" s="1"/>
  <c r="C545" i="17"/>
  <c r="C545" i="31" s="1"/>
  <c r="C571" i="17"/>
  <c r="C571" i="31" s="1"/>
  <c r="C584" i="17"/>
  <c r="C584" i="31" s="1"/>
  <c r="C575" i="17"/>
  <c r="C575" i="31" s="1"/>
  <c r="C562" i="17"/>
  <c r="C553" i="17"/>
  <c r="C553" i="31" s="1"/>
  <c r="C544" i="17"/>
  <c r="C544" i="31" s="1"/>
  <c r="C548" i="17"/>
  <c r="C548" i="31" s="1"/>
  <c r="C593" i="17"/>
  <c r="C593" i="31" s="1"/>
  <c r="C583" i="17"/>
  <c r="C583" i="31" s="1"/>
  <c r="C574" i="17"/>
  <c r="C574" i="31" s="1"/>
  <c r="C561" i="17"/>
  <c r="C561" i="31" s="1"/>
  <c r="C552" i="17"/>
  <c r="C552" i="31" s="1"/>
  <c r="C557" i="17"/>
  <c r="C592" i="17"/>
  <c r="C592" i="31" s="1"/>
  <c r="C582" i="17"/>
  <c r="C582" i="31" s="1"/>
  <c r="C573" i="17"/>
  <c r="C573" i="31" s="1"/>
  <c r="C560" i="17"/>
  <c r="C560" i="31" s="1"/>
  <c r="C550" i="17"/>
  <c r="C550" i="31" s="1"/>
  <c r="C589" i="17"/>
  <c r="C589" i="31" s="1"/>
  <c r="C590" i="17"/>
  <c r="C590" i="31" s="1"/>
  <c r="C581" i="17"/>
  <c r="C581" i="31" s="1"/>
  <c r="C572" i="17"/>
  <c r="C572" i="31" s="1"/>
  <c r="C558" i="17"/>
  <c r="C549" i="17"/>
  <c r="C549" i="31" s="1"/>
  <c r="C580" i="17"/>
  <c r="C580" i="31" s="1"/>
  <c r="I619" i="7"/>
  <c r="J619" i="7" s="1"/>
  <c r="F633" i="7"/>
  <c r="H633" i="7" s="1"/>
  <c r="H591" i="7"/>
  <c r="J591" i="7" s="1"/>
  <c r="C530" i="17"/>
  <c r="C530" i="31" s="1"/>
  <c r="C521" i="17"/>
  <c r="C508" i="17"/>
  <c r="C508" i="31" s="1"/>
  <c r="O27" i="29" s="1"/>
  <c r="C499" i="17"/>
  <c r="C499" i="31" s="1"/>
  <c r="C531" i="17"/>
  <c r="C529" i="17"/>
  <c r="C520" i="17"/>
  <c r="C507" i="17"/>
  <c r="C507" i="31" s="1"/>
  <c r="O26" i="29" s="1"/>
  <c r="C527" i="17"/>
  <c r="C504" i="17"/>
  <c r="C504" i="31" s="1"/>
  <c r="C526" i="17"/>
  <c r="C503" i="17"/>
  <c r="C503" i="31" s="1"/>
  <c r="O22" i="29" s="1"/>
  <c r="C494" i="17"/>
  <c r="C494" i="31" s="1"/>
  <c r="O13" i="29" s="1"/>
  <c r="C525" i="17"/>
  <c r="C493" i="17"/>
  <c r="C493" i="31" s="1"/>
  <c r="C492" i="17"/>
  <c r="C492" i="31" s="1"/>
  <c r="O11" i="29" s="1"/>
  <c r="C533" i="17"/>
  <c r="C498" i="17"/>
  <c r="C498" i="31" s="1"/>
  <c r="C517" i="17"/>
  <c r="C535" i="17"/>
  <c r="C535" i="31" s="1"/>
  <c r="C502" i="17"/>
  <c r="C502" i="31" s="1"/>
  <c r="O21" i="29" s="1"/>
  <c r="C490" i="17"/>
  <c r="C490" i="31" s="1"/>
  <c r="C500" i="17"/>
  <c r="C500" i="31" s="1"/>
  <c r="C539" i="17"/>
  <c r="C539" i="31" s="1"/>
  <c r="C528" i="17"/>
  <c r="C519" i="17"/>
  <c r="C506" i="17"/>
  <c r="C506" i="31" s="1"/>
  <c r="O25" i="29" s="1"/>
  <c r="C496" i="17"/>
  <c r="C496" i="31" s="1"/>
  <c r="O15" i="29" s="1"/>
  <c r="C538" i="17"/>
  <c r="C538" i="31" s="1"/>
  <c r="C518" i="17"/>
  <c r="C495" i="17"/>
  <c r="C495" i="31" s="1"/>
  <c r="O14" i="29" s="1"/>
  <c r="C536" i="17"/>
  <c r="C512" i="17"/>
  <c r="C512" i="31" s="1"/>
  <c r="C522" i="17"/>
  <c r="C522" i="31" s="1"/>
  <c r="C511" i="17"/>
  <c r="C511" i="31" s="1"/>
  <c r="C491" i="17"/>
  <c r="C491" i="31" s="1"/>
  <c r="O10" i="29" s="1"/>
  <c r="C534" i="17"/>
  <c r="C523" i="17"/>
  <c r="C501" i="17"/>
  <c r="C501" i="31" s="1"/>
  <c r="O20" i="29" s="1"/>
  <c r="C509" i="17"/>
  <c r="C509" i="31" s="1"/>
  <c r="O28" i="29" s="1"/>
  <c r="F605" i="7"/>
  <c r="I605" i="7" s="1"/>
  <c r="C310" i="17"/>
  <c r="C300" i="17"/>
  <c r="C291" i="17"/>
  <c r="C278" i="17"/>
  <c r="C268" i="17"/>
  <c r="C308" i="17"/>
  <c r="C267" i="17"/>
  <c r="C307" i="17"/>
  <c r="C298" i="17"/>
  <c r="C275" i="17"/>
  <c r="C306" i="17"/>
  <c r="C297" i="17"/>
  <c r="C284" i="17"/>
  <c r="C274" i="17"/>
  <c r="C265" i="17"/>
  <c r="C292" i="17"/>
  <c r="C299" i="17"/>
  <c r="C289" i="17"/>
  <c r="C266" i="17"/>
  <c r="C305" i="17"/>
  <c r="C295" i="17"/>
  <c r="C283" i="17"/>
  <c r="C273" i="17"/>
  <c r="C264" i="17"/>
  <c r="C302" i="17"/>
  <c r="C280" i="17"/>
  <c r="C262" i="17"/>
  <c r="C301" i="17"/>
  <c r="C270" i="17"/>
  <c r="C276" i="17"/>
  <c r="C303" i="17"/>
  <c r="C294" i="17"/>
  <c r="C281" i="17"/>
  <c r="C272" i="17"/>
  <c r="C263" i="17"/>
  <c r="C293" i="17"/>
  <c r="C271" i="17"/>
  <c r="C311" i="17"/>
  <c r="C279" i="17"/>
  <c r="C290" i="17"/>
  <c r="D15" i="8"/>
  <c r="E15" i="8"/>
  <c r="S44" i="18"/>
  <c r="DZ104" i="3"/>
  <c r="DZ103" i="3"/>
  <c r="AH103" i="3"/>
  <c r="AJ103" i="3" s="1"/>
  <c r="AH104" i="3"/>
  <c r="AJ104" i="3" s="1"/>
  <c r="DZ101" i="3"/>
  <c r="DZ102" i="3"/>
  <c r="AH101" i="3"/>
  <c r="AJ101" i="3" s="1"/>
  <c r="AH102" i="3"/>
  <c r="AJ102" i="3" s="1"/>
  <c r="Y980" i="8"/>
  <c r="Z970" i="8"/>
  <c r="Y788" i="8"/>
  <c r="Z632" i="8"/>
  <c r="Y957" i="8"/>
  <c r="Y628" i="8"/>
  <c r="Z932" i="8"/>
  <c r="Z604" i="8"/>
  <c r="Y1006" i="8"/>
  <c r="Y925" i="8"/>
  <c r="Y596" i="8"/>
  <c r="Y702" i="8"/>
  <c r="Z964" i="8"/>
  <c r="Z1005" i="8"/>
  <c r="Z909" i="8"/>
  <c r="Z476" i="8"/>
  <c r="Y1004" i="8"/>
  <c r="Y790" i="8"/>
  <c r="Z380" i="8"/>
  <c r="Z712" i="8"/>
  <c r="Z920" i="8"/>
  <c r="Z785" i="8"/>
  <c r="Y1001" i="8"/>
  <c r="Y854" i="8"/>
  <c r="Z776" i="8"/>
  <c r="Y697" i="8"/>
  <c r="Y996" i="8"/>
  <c r="Y952" i="8"/>
  <c r="Z904" i="8"/>
  <c r="Y852" i="8"/>
  <c r="Z744" i="8"/>
  <c r="Y692" i="8"/>
  <c r="Z513" i="8"/>
  <c r="Z368" i="8"/>
  <c r="Z392" i="8"/>
  <c r="Z993" i="8"/>
  <c r="Y948" i="8"/>
  <c r="Y897" i="8"/>
  <c r="Z840" i="8"/>
  <c r="Z676" i="8"/>
  <c r="Y509" i="8"/>
  <c r="Z288" i="8"/>
  <c r="Y881" i="8"/>
  <c r="Y880" i="8"/>
  <c r="Z465" i="8"/>
  <c r="Y982" i="8"/>
  <c r="Y940" i="8"/>
  <c r="Y893" i="8"/>
  <c r="Z808" i="8"/>
  <c r="Y726" i="8"/>
  <c r="Z504" i="8"/>
  <c r="Z266" i="8"/>
  <c r="Z721" i="8"/>
  <c r="Z872" i="8"/>
  <c r="Z936" i="8"/>
  <c r="Y889" i="8"/>
  <c r="Y724" i="8"/>
  <c r="Y660" i="8"/>
  <c r="Z485" i="8"/>
  <c r="Y180" i="8"/>
  <c r="Z992" i="8"/>
  <c r="Y967" i="8"/>
  <c r="Z951" i="8"/>
  <c r="Z902" i="8"/>
  <c r="Y888" i="8"/>
  <c r="Z878" i="8"/>
  <c r="Y870" i="8"/>
  <c r="Z849" i="8"/>
  <c r="Y829" i="8"/>
  <c r="Z806" i="8"/>
  <c r="Y765" i="8"/>
  <c r="Z742" i="8"/>
  <c r="Y669" i="8"/>
  <c r="Z623" i="8"/>
  <c r="Z582" i="8"/>
  <c r="Y550" i="8"/>
  <c r="Y991" i="8"/>
  <c r="Y978" i="8"/>
  <c r="Z966" i="8"/>
  <c r="Y949" i="8"/>
  <c r="Y933" i="8"/>
  <c r="Y918" i="8"/>
  <c r="Z886" i="8"/>
  <c r="Z868" i="8"/>
  <c r="Y845" i="8"/>
  <c r="Z822" i="8"/>
  <c r="Y804" i="8"/>
  <c r="Y781" i="8"/>
  <c r="Z758" i="8"/>
  <c r="Y740" i="8"/>
  <c r="Y717" i="8"/>
  <c r="Z686" i="8"/>
  <c r="Z668" i="8"/>
  <c r="Z577" i="8"/>
  <c r="Z549" i="8"/>
  <c r="Y500" i="8"/>
  <c r="Z455" i="8"/>
  <c r="Z351" i="8"/>
  <c r="Z230" i="8"/>
  <c r="Z831" i="8"/>
  <c r="Z767" i="8"/>
  <c r="Z975" i="8"/>
  <c r="Z614" i="8"/>
  <c r="Z1000" i="8"/>
  <c r="Y988" i="8"/>
  <c r="Z962" i="8"/>
  <c r="Y944" i="8"/>
  <c r="Z928" i="8"/>
  <c r="Z912" i="8"/>
  <c r="Z896" i="8"/>
  <c r="Y885" i="8"/>
  <c r="Y876" i="8"/>
  <c r="Z862" i="8"/>
  <c r="Y820" i="8"/>
  <c r="Y799" i="8"/>
  <c r="Y756" i="8"/>
  <c r="Y735" i="8"/>
  <c r="Y684" i="8"/>
  <c r="Z646" i="8"/>
  <c r="Z568" i="8"/>
  <c r="Z540" i="8"/>
  <c r="Y495" i="8"/>
  <c r="Z429" i="8"/>
  <c r="Z309" i="8"/>
  <c r="Y158" i="8"/>
  <c r="Z990" i="8"/>
  <c r="Z877" i="8"/>
  <c r="Y573" i="8"/>
  <c r="Y1008" i="8"/>
  <c r="Z998" i="8"/>
  <c r="Z985" i="8"/>
  <c r="Y974" i="8"/>
  <c r="Z959" i="8"/>
  <c r="Z941" i="8"/>
  <c r="Z894" i="8"/>
  <c r="Y884" i="8"/>
  <c r="Z873" i="8"/>
  <c r="Y861" i="8"/>
  <c r="Z838" i="8"/>
  <c r="Z817" i="8"/>
  <c r="Y797" i="8"/>
  <c r="Z774" i="8"/>
  <c r="Z753" i="8"/>
  <c r="Y733" i="8"/>
  <c r="Z710" i="8"/>
  <c r="Z681" i="8"/>
  <c r="Z641" i="8"/>
  <c r="Z613" i="8"/>
  <c r="Y564" i="8"/>
  <c r="Y532" i="8"/>
  <c r="Z486" i="8"/>
  <c r="Z413" i="8"/>
  <c r="Y104" i="8"/>
  <c r="Y559" i="8"/>
  <c r="Z278" i="8"/>
  <c r="Y917" i="8"/>
  <c r="Y863" i="8"/>
  <c r="Y541" i="8"/>
  <c r="Y983" i="8"/>
  <c r="Y972" i="8"/>
  <c r="Z958" i="8"/>
  <c r="Y910" i="8"/>
  <c r="Y836" i="8"/>
  <c r="Y813" i="8"/>
  <c r="Y772" i="8"/>
  <c r="Y749" i="8"/>
  <c r="Y637" i="8"/>
  <c r="Y605" i="8"/>
  <c r="Z518" i="8"/>
  <c r="Z408" i="8"/>
  <c r="Z308" i="8"/>
  <c r="Y57" i="8"/>
  <c r="Y995" i="8"/>
  <c r="Z995" i="8"/>
  <c r="Y963" i="8"/>
  <c r="Z963" i="8"/>
  <c r="Y931" i="8"/>
  <c r="Z931" i="8"/>
  <c r="Y907" i="8"/>
  <c r="Z907" i="8"/>
  <c r="Y875" i="8"/>
  <c r="Z875" i="8"/>
  <c r="Y843" i="8"/>
  <c r="Z843" i="8"/>
  <c r="Y811" i="8"/>
  <c r="Z811" i="8"/>
  <c r="Y779" i="8"/>
  <c r="Z779" i="8"/>
  <c r="Y747" i="8"/>
  <c r="Z747" i="8"/>
  <c r="Y715" i="8"/>
  <c r="Z715" i="8"/>
  <c r="Z691" i="8"/>
  <c r="Y691" i="8"/>
  <c r="Y667" i="8"/>
  <c r="Z667" i="8"/>
  <c r="Y651" i="8"/>
  <c r="Z651" i="8"/>
  <c r="Z643" i="8"/>
  <c r="Y643" i="8"/>
  <c r="Z627" i="8"/>
  <c r="Y627" i="8"/>
  <c r="Y619" i="8"/>
  <c r="Z619" i="8"/>
  <c r="Z611" i="8"/>
  <c r="Y611" i="8"/>
  <c r="Y603" i="8"/>
  <c r="Z603" i="8"/>
  <c r="Z595" i="8"/>
  <c r="Y595" i="8"/>
  <c r="Y587" i="8"/>
  <c r="Z587" i="8"/>
  <c r="Z579" i="8"/>
  <c r="Y579" i="8"/>
  <c r="Y571" i="8"/>
  <c r="Z571" i="8"/>
  <c r="Y555" i="8"/>
  <c r="Z555" i="8"/>
  <c r="Z531" i="8"/>
  <c r="Y531" i="8"/>
  <c r="Y523" i="8"/>
  <c r="Z523" i="8"/>
  <c r="Z515" i="8"/>
  <c r="Y515" i="8"/>
  <c r="Y507" i="8"/>
  <c r="Z507" i="8"/>
  <c r="Z499" i="8"/>
  <c r="Y499" i="8"/>
  <c r="Y491" i="8"/>
  <c r="Z491" i="8"/>
  <c r="Z483" i="8"/>
  <c r="Y483" i="8"/>
  <c r="Y475" i="8"/>
  <c r="Z475" i="8"/>
  <c r="Y467" i="8"/>
  <c r="Z467" i="8"/>
  <c r="Y459" i="8"/>
  <c r="Z459" i="8"/>
  <c r="Y451" i="8"/>
  <c r="Z451" i="8"/>
  <c r="Y443" i="8"/>
  <c r="Z443" i="8"/>
  <c r="Y435" i="8"/>
  <c r="Z435" i="8"/>
  <c r="Y427" i="8"/>
  <c r="Z427" i="8"/>
  <c r="Y419" i="8"/>
  <c r="Z419" i="8"/>
  <c r="Z411" i="8"/>
  <c r="Y411" i="8"/>
  <c r="Z403" i="8"/>
  <c r="Y403" i="8"/>
  <c r="Y395" i="8"/>
  <c r="Z395" i="8"/>
  <c r="Z387" i="8"/>
  <c r="Y387" i="8"/>
  <c r="Z379" i="8"/>
  <c r="Y379" i="8"/>
  <c r="Z371" i="8"/>
  <c r="Y371" i="8"/>
  <c r="Y363" i="8"/>
  <c r="Z363" i="8"/>
  <c r="Z355" i="8"/>
  <c r="Y355" i="8"/>
  <c r="Y347" i="8"/>
  <c r="Z347" i="8"/>
  <c r="Z339" i="8"/>
  <c r="Y339" i="8"/>
  <c r="Y331" i="8"/>
  <c r="Z331" i="8"/>
  <c r="Z323" i="8"/>
  <c r="Y323" i="8"/>
  <c r="Y315" i="8"/>
  <c r="Z315" i="8"/>
  <c r="Z307" i="8"/>
  <c r="Y307" i="8"/>
  <c r="Z299" i="8"/>
  <c r="Y299" i="8"/>
  <c r="Z291" i="8"/>
  <c r="Y291" i="8"/>
  <c r="Y283" i="8"/>
  <c r="Z283" i="8"/>
  <c r="Y275" i="8"/>
  <c r="Z275" i="8"/>
  <c r="Y267" i="8"/>
  <c r="Z267" i="8"/>
  <c r="Z259" i="8"/>
  <c r="Y259" i="8"/>
  <c r="Y251" i="8"/>
  <c r="Z251" i="8"/>
  <c r="Y243" i="8"/>
  <c r="Z243" i="8"/>
  <c r="Y235" i="8"/>
  <c r="Z235" i="8"/>
  <c r="Y227" i="8"/>
  <c r="Z227" i="8"/>
  <c r="Y219" i="8"/>
  <c r="Z219" i="8"/>
  <c r="Z211" i="8"/>
  <c r="Y211" i="8"/>
  <c r="Y203" i="8"/>
  <c r="Z203" i="8"/>
  <c r="Z195" i="8"/>
  <c r="Y195" i="8"/>
  <c r="Y187" i="8"/>
  <c r="Z187" i="8"/>
  <c r="Z179" i="8"/>
  <c r="Y179" i="8"/>
  <c r="Z171" i="8"/>
  <c r="Y171" i="8"/>
  <c r="Y163" i="8"/>
  <c r="Z163" i="8"/>
  <c r="Z155" i="8"/>
  <c r="Y155" i="8"/>
  <c r="Y147" i="8"/>
  <c r="Z147" i="8"/>
  <c r="Y139" i="8"/>
  <c r="Z139" i="8"/>
  <c r="Z131" i="8"/>
  <c r="Y131" i="8"/>
  <c r="Y123" i="8"/>
  <c r="Z123" i="8"/>
  <c r="Y115" i="8"/>
  <c r="Z115" i="8"/>
  <c r="Y107" i="8"/>
  <c r="Z107" i="8"/>
  <c r="Z99" i="8"/>
  <c r="Y99" i="8"/>
  <c r="Z91" i="8"/>
  <c r="Y91" i="8"/>
  <c r="Y83" i="8"/>
  <c r="Z83" i="8"/>
  <c r="Y75" i="8"/>
  <c r="Z75" i="8"/>
  <c r="Y67" i="8"/>
  <c r="Z67" i="8"/>
  <c r="Y59" i="8"/>
  <c r="Z59" i="8"/>
  <c r="Z51" i="8"/>
  <c r="Y51" i="8"/>
  <c r="Z43" i="8"/>
  <c r="Y43" i="8"/>
  <c r="Y35" i="8"/>
  <c r="Z35" i="8"/>
  <c r="Y27" i="8"/>
  <c r="Z27" i="8"/>
  <c r="Y19" i="8"/>
  <c r="Z19" i="8"/>
  <c r="Y11" i="8"/>
  <c r="Z11" i="8"/>
  <c r="Z971" i="8"/>
  <c r="Y971" i="8"/>
  <c r="Y939" i="8"/>
  <c r="Z939" i="8"/>
  <c r="Y899" i="8"/>
  <c r="Z899" i="8"/>
  <c r="Y867" i="8"/>
  <c r="Z867" i="8"/>
  <c r="Y819" i="8"/>
  <c r="Z819" i="8"/>
  <c r="Y787" i="8"/>
  <c r="Z787" i="8"/>
  <c r="Y755" i="8"/>
  <c r="Z755" i="8"/>
  <c r="Y731" i="8"/>
  <c r="Z731" i="8"/>
  <c r="Y683" i="8"/>
  <c r="Z683" i="8"/>
  <c r="Z563" i="8"/>
  <c r="Y563" i="8"/>
  <c r="Y1003" i="8"/>
  <c r="Z1003" i="8"/>
  <c r="Y979" i="8"/>
  <c r="Z979" i="8"/>
  <c r="Y947" i="8"/>
  <c r="Z947" i="8"/>
  <c r="Y915" i="8"/>
  <c r="Z915" i="8"/>
  <c r="Z891" i="8"/>
  <c r="Y891" i="8"/>
  <c r="Y859" i="8"/>
  <c r="Z859" i="8"/>
  <c r="Y827" i="8"/>
  <c r="Z827" i="8"/>
  <c r="Y795" i="8"/>
  <c r="Z795" i="8"/>
  <c r="Y763" i="8"/>
  <c r="Z763" i="8"/>
  <c r="Y723" i="8"/>
  <c r="Z723" i="8"/>
  <c r="Y699" i="8"/>
  <c r="Z699" i="8"/>
  <c r="Z675" i="8"/>
  <c r="Y675" i="8"/>
  <c r="Y635" i="8"/>
  <c r="Z635" i="8"/>
  <c r="Y539" i="8"/>
  <c r="Z539" i="8"/>
  <c r="Y987" i="8"/>
  <c r="Z987" i="8"/>
  <c r="Y955" i="8"/>
  <c r="Z955" i="8"/>
  <c r="Z923" i="8"/>
  <c r="Y923" i="8"/>
  <c r="Y883" i="8"/>
  <c r="Z883" i="8"/>
  <c r="Y851" i="8"/>
  <c r="Z851" i="8"/>
  <c r="Y835" i="8"/>
  <c r="Z835" i="8"/>
  <c r="Y803" i="8"/>
  <c r="Z803" i="8"/>
  <c r="Y771" i="8"/>
  <c r="Z771" i="8"/>
  <c r="Y739" i="8"/>
  <c r="Z739" i="8"/>
  <c r="Z707" i="8"/>
  <c r="Y707" i="8"/>
  <c r="Z659" i="8"/>
  <c r="Y659" i="8"/>
  <c r="Z547" i="8"/>
  <c r="Y547" i="8"/>
  <c r="Y834" i="8"/>
  <c r="Z834" i="8"/>
  <c r="Y786" i="8"/>
  <c r="Z786" i="8"/>
  <c r="Z682" i="8"/>
  <c r="Y682" i="8"/>
  <c r="Z666" i="8"/>
  <c r="Y666" i="8"/>
  <c r="Z634" i="8"/>
  <c r="Y634" i="8"/>
  <c r="Z602" i="8"/>
  <c r="Y602" i="8"/>
  <c r="Y530" i="8"/>
  <c r="Z530" i="8"/>
  <c r="Z506" i="8"/>
  <c r="Y506" i="8"/>
  <c r="Y482" i="8"/>
  <c r="Z482" i="8"/>
  <c r="Y458" i="8"/>
  <c r="Z458" i="8"/>
  <c r="Y426" i="8"/>
  <c r="Z426" i="8"/>
  <c r="Y410" i="8"/>
  <c r="Z410" i="8"/>
  <c r="Y378" i="8"/>
  <c r="Z378" i="8"/>
  <c r="Y354" i="8"/>
  <c r="Z354" i="8"/>
  <c r="Y330" i="8"/>
  <c r="Z330" i="8"/>
  <c r="Y298" i="8"/>
  <c r="Z298" i="8"/>
  <c r="Y282" i="8"/>
  <c r="Z282" i="8"/>
  <c r="Y250" i="8"/>
  <c r="Z250" i="8"/>
  <c r="Y226" i="8"/>
  <c r="Z226" i="8"/>
  <c r="Y194" i="8"/>
  <c r="Z194" i="8"/>
  <c r="Z162" i="8"/>
  <c r="Y162" i="8"/>
  <c r="Z130" i="8"/>
  <c r="Y130" i="8"/>
  <c r="Y42" i="8"/>
  <c r="Z42" i="8"/>
  <c r="Z10" i="8"/>
  <c r="Y10" i="8"/>
  <c r="Z434" i="8"/>
  <c r="Z242" i="8"/>
  <c r="Y857" i="8"/>
  <c r="Z857" i="8"/>
  <c r="Y841" i="8"/>
  <c r="Z841" i="8"/>
  <c r="Y825" i="8"/>
  <c r="Z825" i="8"/>
  <c r="Y809" i="8"/>
  <c r="Z809" i="8"/>
  <c r="Y793" i="8"/>
  <c r="Z793" i="8"/>
  <c r="Y777" i="8"/>
  <c r="Z777" i="8"/>
  <c r="Y761" i="8"/>
  <c r="Z761" i="8"/>
  <c r="Y745" i="8"/>
  <c r="Z745" i="8"/>
  <c r="Y729" i="8"/>
  <c r="Z729" i="8"/>
  <c r="Y713" i="8"/>
  <c r="Z713" i="8"/>
  <c r="Y705" i="8"/>
  <c r="Z705" i="8"/>
  <c r="Y665" i="8"/>
  <c r="Z665" i="8"/>
  <c r="Y657" i="8"/>
  <c r="Z657" i="8"/>
  <c r="Y649" i="8"/>
  <c r="Z649" i="8"/>
  <c r="Y633" i="8"/>
  <c r="Z633" i="8"/>
  <c r="Y625" i="8"/>
  <c r="Z625" i="8"/>
  <c r="Y617" i="8"/>
  <c r="Z617" i="8"/>
  <c r="Y601" i="8"/>
  <c r="Z601" i="8"/>
  <c r="Y593" i="8"/>
  <c r="Z593" i="8"/>
  <c r="Y585" i="8"/>
  <c r="Z585" i="8"/>
  <c r="Y569" i="8"/>
  <c r="Z569" i="8"/>
  <c r="Y561" i="8"/>
  <c r="Z561" i="8"/>
  <c r="Y553" i="8"/>
  <c r="Z553" i="8"/>
  <c r="Y537" i="8"/>
  <c r="Z537" i="8"/>
  <c r="Y529" i="8"/>
  <c r="Z529" i="8"/>
  <c r="Y521" i="8"/>
  <c r="Z521" i="8"/>
  <c r="Y505" i="8"/>
  <c r="Z505" i="8"/>
  <c r="Y497" i="8"/>
  <c r="Z497" i="8"/>
  <c r="Y489" i="8"/>
  <c r="Z489" i="8"/>
  <c r="Y473" i="8"/>
  <c r="Z473" i="8"/>
  <c r="Z457" i="8"/>
  <c r="Y457" i="8"/>
  <c r="Y441" i="8"/>
  <c r="Z441" i="8"/>
  <c r="Y425" i="8"/>
  <c r="Z425" i="8"/>
  <c r="Y417" i="8"/>
  <c r="Z417" i="8"/>
  <c r="Y409" i="8"/>
  <c r="Z409" i="8"/>
  <c r="Y401" i="8"/>
  <c r="Z401" i="8"/>
  <c r="Y393" i="8"/>
  <c r="Z393" i="8"/>
  <c r="Y385" i="8"/>
  <c r="Z385" i="8"/>
  <c r="Y377" i="8"/>
  <c r="Z377" i="8"/>
  <c r="Y369" i="8"/>
  <c r="Z369" i="8"/>
  <c r="Y353" i="8"/>
  <c r="Z353" i="8"/>
  <c r="Z345" i="8"/>
  <c r="Y345" i="8"/>
  <c r="Y337" i="8"/>
  <c r="Z337" i="8"/>
  <c r="Y321" i="8"/>
  <c r="Z321" i="8"/>
  <c r="Y313" i="8"/>
  <c r="Z313" i="8"/>
  <c r="Y305" i="8"/>
  <c r="Z305" i="8"/>
  <c r="Y297" i="8"/>
  <c r="Z297" i="8"/>
  <c r="Y289" i="8"/>
  <c r="Z289" i="8"/>
  <c r="Y281" i="8"/>
  <c r="Z281" i="8"/>
  <c r="Y273" i="8"/>
  <c r="Z273" i="8"/>
  <c r="Y257" i="8"/>
  <c r="Z257" i="8"/>
  <c r="Y249" i="8"/>
  <c r="Z249" i="8"/>
  <c r="Y241" i="8"/>
  <c r="Z241" i="8"/>
  <c r="Z233" i="8"/>
  <c r="Y233" i="8"/>
  <c r="Z225" i="8"/>
  <c r="Y225" i="8"/>
  <c r="Y209" i="8"/>
  <c r="Z209" i="8"/>
  <c r="Y201" i="8"/>
  <c r="Z201" i="8"/>
  <c r="Y193" i="8"/>
  <c r="Z193" i="8"/>
  <c r="Y185" i="8"/>
  <c r="Z185" i="8"/>
  <c r="Y177" i="8"/>
  <c r="Z177" i="8"/>
  <c r="Z169" i="8"/>
  <c r="Y169" i="8"/>
  <c r="Y161" i="8"/>
  <c r="Z161" i="8"/>
  <c r="Z153" i="8"/>
  <c r="Y153" i="8"/>
  <c r="Z137" i="8"/>
  <c r="Y137" i="8"/>
  <c r="Y129" i="8"/>
  <c r="Z129" i="8"/>
  <c r="Z121" i="8"/>
  <c r="Y121" i="8"/>
  <c r="Z977" i="8"/>
  <c r="Z969" i="8"/>
  <c r="Y946" i="8"/>
  <c r="Z943" i="8"/>
  <c r="Z938" i="8"/>
  <c r="Z935" i="8"/>
  <c r="Z930" i="8"/>
  <c r="Z858" i="8"/>
  <c r="Z826" i="8"/>
  <c r="Z794" i="8"/>
  <c r="Z762" i="8"/>
  <c r="Z730" i="8"/>
  <c r="Y650" i="8"/>
  <c r="Y586" i="8"/>
  <c r="Y522" i="8"/>
  <c r="Z433" i="8"/>
  <c r="Y423" i="8"/>
  <c r="Z402" i="8"/>
  <c r="Z391" i="8"/>
  <c r="Y329" i="8"/>
  <c r="Z287" i="8"/>
  <c r="Y265" i="8"/>
  <c r="Y217" i="8"/>
  <c r="Y864" i="8"/>
  <c r="Z864" i="8"/>
  <c r="Y848" i="8"/>
  <c r="Z848" i="8"/>
  <c r="Y832" i="8"/>
  <c r="Z832" i="8"/>
  <c r="Y816" i="8"/>
  <c r="Z816" i="8"/>
  <c r="Y800" i="8"/>
  <c r="Z800" i="8"/>
  <c r="Y784" i="8"/>
  <c r="Z784" i="8"/>
  <c r="Y768" i="8"/>
  <c r="Z768" i="8"/>
  <c r="Y752" i="8"/>
  <c r="Z752" i="8"/>
  <c r="Y736" i="8"/>
  <c r="Z736" i="8"/>
  <c r="Y720" i="8"/>
  <c r="Z720" i="8"/>
  <c r="Y696" i="8"/>
  <c r="Z696" i="8"/>
  <c r="Y672" i="8"/>
  <c r="Z672" i="8"/>
  <c r="Y656" i="8"/>
  <c r="Z656" i="8"/>
  <c r="Y648" i="8"/>
  <c r="Z648" i="8"/>
  <c r="Y640" i="8"/>
  <c r="Z640" i="8"/>
  <c r="Y624" i="8"/>
  <c r="Z624" i="8"/>
  <c r="Y616" i="8"/>
  <c r="Z616" i="8"/>
  <c r="Y608" i="8"/>
  <c r="Z608" i="8"/>
  <c r="Y592" i="8"/>
  <c r="Z592" i="8"/>
  <c r="Y584" i="8"/>
  <c r="Z584" i="8"/>
  <c r="Y576" i="8"/>
  <c r="Z576" i="8"/>
  <c r="Y560" i="8"/>
  <c r="Z560" i="8"/>
  <c r="Y552" i="8"/>
  <c r="Z552" i="8"/>
  <c r="Y544" i="8"/>
  <c r="Z544" i="8"/>
  <c r="Y528" i="8"/>
  <c r="Z528" i="8"/>
  <c r="Y520" i="8"/>
  <c r="Z520" i="8"/>
  <c r="Y512" i="8"/>
  <c r="Z512" i="8"/>
  <c r="Y496" i="8"/>
  <c r="Z496" i="8"/>
  <c r="Y488" i="8"/>
  <c r="Z488" i="8"/>
  <c r="Y480" i="8"/>
  <c r="Z480" i="8"/>
  <c r="Y472" i="8"/>
  <c r="Z472" i="8"/>
  <c r="Y464" i="8"/>
  <c r="Z464" i="8"/>
  <c r="Y456" i="8"/>
  <c r="Z456" i="8"/>
  <c r="Y448" i="8"/>
  <c r="Z448" i="8"/>
  <c r="Y440" i="8"/>
  <c r="Z440" i="8"/>
  <c r="Y432" i="8"/>
  <c r="Z432" i="8"/>
  <c r="Y424" i="8"/>
  <c r="Z424" i="8"/>
  <c r="Y400" i="8"/>
  <c r="Z400" i="8"/>
  <c r="Y384" i="8"/>
  <c r="Z384" i="8"/>
  <c r="Y376" i="8"/>
  <c r="Z376" i="8"/>
  <c r="Y360" i="8"/>
  <c r="Z360" i="8"/>
  <c r="Y352" i="8"/>
  <c r="Z352" i="8"/>
  <c r="Y344" i="8"/>
  <c r="Z344" i="8"/>
  <c r="Y336" i="8"/>
  <c r="Z336" i="8"/>
  <c r="Y328" i="8"/>
  <c r="Z328" i="8"/>
  <c r="Y320" i="8"/>
  <c r="Z320" i="8"/>
  <c r="Y312" i="8"/>
  <c r="Z312" i="8"/>
  <c r="Y296" i="8"/>
  <c r="Z296" i="8"/>
  <c r="Y280" i="8"/>
  <c r="Z280" i="8"/>
  <c r="Y264" i="8"/>
  <c r="Z264" i="8"/>
  <c r="Y256" i="8"/>
  <c r="Z256" i="8"/>
  <c r="Y240" i="8"/>
  <c r="Z240" i="8"/>
  <c r="Y232" i="8"/>
  <c r="Z232" i="8"/>
  <c r="Y224" i="8"/>
  <c r="Z224" i="8"/>
  <c r="Y216" i="8"/>
  <c r="Z216" i="8"/>
  <c r="Y208" i="8"/>
  <c r="Z208" i="8"/>
  <c r="Z192" i="8"/>
  <c r="Y192" i="8"/>
  <c r="Y184" i="8"/>
  <c r="Z184" i="8"/>
  <c r="Y176" i="8"/>
  <c r="Z176" i="8"/>
  <c r="Y168" i="8"/>
  <c r="Z168" i="8"/>
  <c r="Y160" i="8"/>
  <c r="Z160" i="8"/>
  <c r="Y152" i="8"/>
  <c r="Z152" i="8"/>
  <c r="Y144" i="8"/>
  <c r="Z144" i="8"/>
  <c r="Y136" i="8"/>
  <c r="Z136" i="8"/>
  <c r="Y128" i="8"/>
  <c r="Z128" i="8"/>
  <c r="Y120" i="8"/>
  <c r="Z120" i="8"/>
  <c r="Y112" i="8"/>
  <c r="Z112" i="8"/>
  <c r="Y96" i="8"/>
  <c r="Z96" i="8"/>
  <c r="Z88" i="8"/>
  <c r="Y88" i="8"/>
  <c r="Y80" i="8"/>
  <c r="Z80" i="8"/>
  <c r="Y72" i="8"/>
  <c r="Z72" i="8"/>
  <c r="Y64" i="8"/>
  <c r="Z64" i="8"/>
  <c r="Z56" i="8"/>
  <c r="Y56" i="8"/>
  <c r="Y48" i="8"/>
  <c r="Z48" i="8"/>
  <c r="Y40" i="8"/>
  <c r="Z40" i="8"/>
  <c r="Y32" i="8"/>
  <c r="Z32" i="8"/>
  <c r="Y24" i="8"/>
  <c r="Z24" i="8"/>
  <c r="Y16" i="8"/>
  <c r="Z16" i="8"/>
  <c r="Z961" i="8"/>
  <c r="Y956" i="8"/>
  <c r="Z953" i="8"/>
  <c r="Z927" i="8"/>
  <c r="Z922" i="8"/>
  <c r="Z919" i="8"/>
  <c r="Z914" i="8"/>
  <c r="Y901" i="8"/>
  <c r="Y869" i="8"/>
  <c r="Z865" i="8"/>
  <c r="Y853" i="8"/>
  <c r="Y844" i="8"/>
  <c r="Z839" i="8"/>
  <c r="Z830" i="8"/>
  <c r="Y821" i="8"/>
  <c r="Y812" i="8"/>
  <c r="Z807" i="8"/>
  <c r="Z798" i="8"/>
  <c r="Y789" i="8"/>
  <c r="Y780" i="8"/>
  <c r="Z775" i="8"/>
  <c r="Z766" i="8"/>
  <c r="Y757" i="8"/>
  <c r="Y748" i="8"/>
  <c r="Z743" i="8"/>
  <c r="Z734" i="8"/>
  <c r="Y725" i="8"/>
  <c r="Y716" i="8"/>
  <c r="Z711" i="8"/>
  <c r="Z706" i="8"/>
  <c r="Y701" i="8"/>
  <c r="Z685" i="8"/>
  <c r="Z680" i="8"/>
  <c r="Z639" i="8"/>
  <c r="Z630" i="8"/>
  <c r="Y621" i="8"/>
  <c r="Y612" i="8"/>
  <c r="Z575" i="8"/>
  <c r="Z566" i="8"/>
  <c r="Y557" i="8"/>
  <c r="Y548" i="8"/>
  <c r="Z511" i="8"/>
  <c r="Z502" i="8"/>
  <c r="Y493" i="8"/>
  <c r="Y484" i="8"/>
  <c r="Y463" i="8"/>
  <c r="Z442" i="8"/>
  <c r="Z421" i="8"/>
  <c r="Z389" i="8"/>
  <c r="Y325" i="8"/>
  <c r="Z304" i="8"/>
  <c r="Y145" i="8"/>
  <c r="Y82" i="8"/>
  <c r="Y738" i="8"/>
  <c r="Z738" i="8"/>
  <c r="Y674" i="8"/>
  <c r="Z674" i="8"/>
  <c r="Y642" i="8"/>
  <c r="Z642" i="8"/>
  <c r="Y562" i="8"/>
  <c r="Z562" i="8"/>
  <c r="Y498" i="8"/>
  <c r="Z498" i="8"/>
  <c r="Y466" i="8"/>
  <c r="Z466" i="8"/>
  <c r="Y418" i="8"/>
  <c r="Z418" i="8"/>
  <c r="Y394" i="8"/>
  <c r="Z394" i="8"/>
  <c r="Y362" i="8"/>
  <c r="Z362" i="8"/>
  <c r="Y322" i="8"/>
  <c r="Z322" i="8"/>
  <c r="Y290" i="8"/>
  <c r="Z290" i="8"/>
  <c r="Y258" i="8"/>
  <c r="Z258" i="8"/>
  <c r="Y138" i="8"/>
  <c r="Z138" i="8"/>
  <c r="Z90" i="8"/>
  <c r="Y90" i="8"/>
  <c r="Z34" i="8"/>
  <c r="Y34" i="8"/>
  <c r="Z954" i="8"/>
  <c r="Y866" i="8"/>
  <c r="Y687" i="8"/>
  <c r="Z687" i="8"/>
  <c r="Y663" i="8"/>
  <c r="Z663" i="8"/>
  <c r="Y647" i="8"/>
  <c r="Z647" i="8"/>
  <c r="Y599" i="8"/>
  <c r="Z599" i="8"/>
  <c r="Y535" i="8"/>
  <c r="Z535" i="8"/>
  <c r="Y519" i="8"/>
  <c r="Z519" i="8"/>
  <c r="Z479" i="8"/>
  <c r="Y479" i="8"/>
  <c r="Y367" i="8"/>
  <c r="Z367" i="8"/>
  <c r="Y343" i="8"/>
  <c r="Z343" i="8"/>
  <c r="Z319" i="8"/>
  <c r="Y319" i="8"/>
  <c r="Z303" i="8"/>
  <c r="Y303" i="8"/>
  <c r="Y279" i="8"/>
  <c r="Z279" i="8"/>
  <c r="Y255" i="8"/>
  <c r="Z255" i="8"/>
  <c r="Z223" i="8"/>
  <c r="Y223" i="8"/>
  <c r="Y207" i="8"/>
  <c r="Z207" i="8"/>
  <c r="Y191" i="8"/>
  <c r="Z191" i="8"/>
  <c r="Y167" i="8"/>
  <c r="Z167" i="8"/>
  <c r="Y143" i="8"/>
  <c r="Z143" i="8"/>
  <c r="Y119" i="8"/>
  <c r="Z119" i="8"/>
  <c r="Y95" i="8"/>
  <c r="Z95" i="8"/>
  <c r="Y71" i="8"/>
  <c r="Z71" i="8"/>
  <c r="Y47" i="8"/>
  <c r="Z47" i="8"/>
  <c r="Y23" i="8"/>
  <c r="Z23" i="8"/>
  <c r="Z815" i="8"/>
  <c r="Z719" i="8"/>
  <c r="Z689" i="8"/>
  <c r="Z591" i="8"/>
  <c r="Z527" i="8"/>
  <c r="Z481" i="8"/>
  <c r="Y471" i="8"/>
  <c r="Z450" i="8"/>
  <c r="Z58" i="8"/>
  <c r="Y670" i="8"/>
  <c r="Z670" i="8"/>
  <c r="Y654" i="8"/>
  <c r="Z654" i="8"/>
  <c r="Y638" i="8"/>
  <c r="Z638" i="8"/>
  <c r="Y622" i="8"/>
  <c r="Z622" i="8"/>
  <c r="Y606" i="8"/>
  <c r="Z606" i="8"/>
  <c r="Y590" i="8"/>
  <c r="Z590" i="8"/>
  <c r="Y574" i="8"/>
  <c r="Z574" i="8"/>
  <c r="Y558" i="8"/>
  <c r="Z558" i="8"/>
  <c r="Y542" i="8"/>
  <c r="Z542" i="8"/>
  <c r="Y526" i="8"/>
  <c r="Z526" i="8"/>
  <c r="Y510" i="8"/>
  <c r="Z510" i="8"/>
  <c r="Y494" i="8"/>
  <c r="Z494" i="8"/>
  <c r="Y478" i="8"/>
  <c r="Z478" i="8"/>
  <c r="Y470" i="8"/>
  <c r="Z470" i="8"/>
  <c r="Y462" i="8"/>
  <c r="Z462" i="8"/>
  <c r="Y454" i="8"/>
  <c r="Z454" i="8"/>
  <c r="Y446" i="8"/>
  <c r="Z446" i="8"/>
  <c r="Y438" i="8"/>
  <c r="Z438" i="8"/>
  <c r="Y430" i="8"/>
  <c r="Z430" i="8"/>
  <c r="Y422" i="8"/>
  <c r="Z422" i="8"/>
  <c r="Y414" i="8"/>
  <c r="Z414" i="8"/>
  <c r="Y406" i="8"/>
  <c r="Z406" i="8"/>
  <c r="Y398" i="8"/>
  <c r="Z398" i="8"/>
  <c r="Y390" i="8"/>
  <c r="Z390" i="8"/>
  <c r="Y382" i="8"/>
  <c r="Z382" i="8"/>
  <c r="Y374" i="8"/>
  <c r="Z374" i="8"/>
  <c r="Y366" i="8"/>
  <c r="Z366" i="8"/>
  <c r="Y358" i="8"/>
  <c r="Z358" i="8"/>
  <c r="Y350" i="8"/>
  <c r="Z350" i="8"/>
  <c r="Y342" i="8"/>
  <c r="Z342" i="8"/>
  <c r="Y334" i="8"/>
  <c r="Z334" i="8"/>
  <c r="Y326" i="8"/>
  <c r="Z326" i="8"/>
  <c r="Y318" i="8"/>
  <c r="Z318" i="8"/>
  <c r="Y310" i="8"/>
  <c r="Z310" i="8"/>
  <c r="Y302" i="8"/>
  <c r="Z302" i="8"/>
  <c r="Y294" i="8"/>
  <c r="Z294" i="8"/>
  <c r="Y286" i="8"/>
  <c r="Z286" i="8"/>
  <c r="Y270" i="8"/>
  <c r="Z270" i="8"/>
  <c r="Y262" i="8"/>
  <c r="Z262" i="8"/>
  <c r="Y254" i="8"/>
  <c r="Z254" i="8"/>
  <c r="Y246" i="8"/>
  <c r="Z246" i="8"/>
  <c r="Y238" i="8"/>
  <c r="Z238" i="8"/>
  <c r="Y222" i="8"/>
  <c r="Z222" i="8"/>
  <c r="Y214" i="8"/>
  <c r="Z214" i="8"/>
  <c r="Y198" i="8"/>
  <c r="Z198" i="8"/>
  <c r="Y190" i="8"/>
  <c r="Z190" i="8"/>
  <c r="Z182" i="8"/>
  <c r="Y182" i="8"/>
  <c r="Y174" i="8"/>
  <c r="Z174" i="8"/>
  <c r="Y166" i="8"/>
  <c r="Z166" i="8"/>
  <c r="Z150" i="8"/>
  <c r="Y150" i="8"/>
  <c r="Y142" i="8"/>
  <c r="Z142" i="8"/>
  <c r="Y134" i="8"/>
  <c r="Z134" i="8"/>
  <c r="Y126" i="8"/>
  <c r="Z126" i="8"/>
  <c r="Y118" i="8"/>
  <c r="Z118" i="8"/>
  <c r="Y110" i="8"/>
  <c r="Z110" i="8"/>
  <c r="Y102" i="8"/>
  <c r="Z102" i="8"/>
  <c r="Y94" i="8"/>
  <c r="Z94" i="8"/>
  <c r="Y86" i="8"/>
  <c r="Z86" i="8"/>
  <c r="Z78" i="8"/>
  <c r="Y78" i="8"/>
  <c r="Z70" i="8"/>
  <c r="Y70" i="8"/>
  <c r="Y62" i="8"/>
  <c r="Z62" i="8"/>
  <c r="Y54" i="8"/>
  <c r="Z54" i="8"/>
  <c r="Y46" i="8"/>
  <c r="Z46" i="8"/>
  <c r="Y38" i="8"/>
  <c r="Z38" i="8"/>
  <c r="Z30" i="8"/>
  <c r="Y30" i="8"/>
  <c r="Z22" i="8"/>
  <c r="Y22" i="8"/>
  <c r="Y14" i="8"/>
  <c r="Z14" i="8"/>
  <c r="Y997" i="8"/>
  <c r="Z989" i="8"/>
  <c r="Z984" i="8"/>
  <c r="Z976" i="8"/>
  <c r="Z950" i="8"/>
  <c r="Y945" i="8"/>
  <c r="Z942" i="8"/>
  <c r="Y937" i="8"/>
  <c r="Z929" i="8"/>
  <c r="Y924" i="8"/>
  <c r="Z921" i="8"/>
  <c r="Z916" i="8"/>
  <c r="Y911" i="8"/>
  <c r="Y903" i="8"/>
  <c r="Y898" i="8"/>
  <c r="Z895" i="8"/>
  <c r="Z890" i="8"/>
  <c r="Z887" i="8"/>
  <c r="Z882" i="8"/>
  <c r="Z856" i="8"/>
  <c r="Y847" i="8"/>
  <c r="Z833" i="8"/>
  <c r="Z824" i="8"/>
  <c r="Z801" i="8"/>
  <c r="Z792" i="8"/>
  <c r="Y783" i="8"/>
  <c r="Z769" i="8"/>
  <c r="Z760" i="8"/>
  <c r="Y751" i="8"/>
  <c r="Z737" i="8"/>
  <c r="Z728" i="8"/>
  <c r="Z694" i="8"/>
  <c r="Z673" i="8"/>
  <c r="Z664" i="8"/>
  <c r="Y655" i="8"/>
  <c r="Z609" i="8"/>
  <c r="Z600" i="8"/>
  <c r="Z545" i="8"/>
  <c r="Z536" i="8"/>
  <c r="Z460" i="8"/>
  <c r="Z439" i="8"/>
  <c r="Z386" i="8"/>
  <c r="Z361" i="8"/>
  <c r="Z206" i="8"/>
  <c r="Y850" i="8"/>
  <c r="Z850" i="8"/>
  <c r="Y818" i="8"/>
  <c r="Z818" i="8"/>
  <c r="Y754" i="8"/>
  <c r="Z754" i="8"/>
  <c r="Y722" i="8"/>
  <c r="Z722" i="8"/>
  <c r="Y690" i="8"/>
  <c r="Z690" i="8"/>
  <c r="Y626" i="8"/>
  <c r="Z626" i="8"/>
  <c r="Y610" i="8"/>
  <c r="Z610" i="8"/>
  <c r="Y578" i="8"/>
  <c r="Z578" i="8"/>
  <c r="Z538" i="8"/>
  <c r="Y538" i="8"/>
  <c r="Y346" i="8"/>
  <c r="Z346" i="8"/>
  <c r="Y314" i="8"/>
  <c r="Z314" i="8"/>
  <c r="Y210" i="8"/>
  <c r="Z210" i="8"/>
  <c r="Y186" i="8"/>
  <c r="Z186" i="8"/>
  <c r="Y154" i="8"/>
  <c r="Z154" i="8"/>
  <c r="Y122" i="8"/>
  <c r="Z122" i="8"/>
  <c r="Y106" i="8"/>
  <c r="Z106" i="8"/>
  <c r="Y74" i="8"/>
  <c r="Z74" i="8"/>
  <c r="Z50" i="8"/>
  <c r="Y50" i="8"/>
  <c r="Z18" i="8"/>
  <c r="Y18" i="8"/>
  <c r="Y703" i="8"/>
  <c r="Z703" i="8"/>
  <c r="Y631" i="8"/>
  <c r="Z631" i="8"/>
  <c r="Y615" i="8"/>
  <c r="Z615" i="8"/>
  <c r="Y567" i="8"/>
  <c r="Z567" i="8"/>
  <c r="Y551" i="8"/>
  <c r="Z551" i="8"/>
  <c r="Y503" i="8"/>
  <c r="Z503" i="8"/>
  <c r="Y375" i="8"/>
  <c r="Z375" i="8"/>
  <c r="Y327" i="8"/>
  <c r="Z327" i="8"/>
  <c r="Y263" i="8"/>
  <c r="Z263" i="8"/>
  <c r="Y239" i="8"/>
  <c r="Z239" i="8"/>
  <c r="Y215" i="8"/>
  <c r="Z215" i="8"/>
  <c r="Y183" i="8"/>
  <c r="Z183" i="8"/>
  <c r="Y159" i="8"/>
  <c r="Z159" i="8"/>
  <c r="Y135" i="8"/>
  <c r="Z135" i="8"/>
  <c r="Z111" i="8"/>
  <c r="Y111" i="8"/>
  <c r="Y87" i="8"/>
  <c r="Z87" i="8"/>
  <c r="Y63" i="8"/>
  <c r="Z63" i="8"/>
  <c r="Y39" i="8"/>
  <c r="Z39" i="8"/>
  <c r="Y15" i="8"/>
  <c r="Z15" i="8"/>
  <c r="Y661" i="8"/>
  <c r="Z661" i="8"/>
  <c r="Y629" i="8"/>
  <c r="Z629" i="8"/>
  <c r="Y597" i="8"/>
  <c r="Z597" i="8"/>
  <c r="Y565" i="8"/>
  <c r="Z565" i="8"/>
  <c r="Y533" i="8"/>
  <c r="Z533" i="8"/>
  <c r="Y501" i="8"/>
  <c r="Z501" i="8"/>
  <c r="Y477" i="8"/>
  <c r="Z477" i="8"/>
  <c r="Y469" i="8"/>
  <c r="Z469" i="8"/>
  <c r="Y461" i="8"/>
  <c r="Z461" i="8"/>
  <c r="Y453" i="8"/>
  <c r="Z453" i="8"/>
  <c r="Y445" i="8"/>
  <c r="Z445" i="8"/>
  <c r="Y405" i="8"/>
  <c r="Z405" i="8"/>
  <c r="Y397" i="8"/>
  <c r="Z397" i="8"/>
  <c r="Y381" i="8"/>
  <c r="Z381" i="8"/>
  <c r="Y365" i="8"/>
  <c r="Z365" i="8"/>
  <c r="Y357" i="8"/>
  <c r="Z357" i="8"/>
  <c r="Y349" i="8"/>
  <c r="Z349" i="8"/>
  <c r="Y341" i="8"/>
  <c r="Z341" i="8"/>
  <c r="Z333" i="8"/>
  <c r="Y333" i="8"/>
  <c r="Y317" i="8"/>
  <c r="Z317" i="8"/>
  <c r="Y301" i="8"/>
  <c r="Z301" i="8"/>
  <c r="Y293" i="8"/>
  <c r="Z293" i="8"/>
  <c r="Z285" i="8"/>
  <c r="Y285" i="8"/>
  <c r="Z277" i="8"/>
  <c r="Y277" i="8"/>
  <c r="Z269" i="8"/>
  <c r="Y269" i="8"/>
  <c r="Y261" i="8"/>
  <c r="Z261" i="8"/>
  <c r="Z253" i="8"/>
  <c r="Y253" i="8"/>
  <c r="Y245" i="8"/>
  <c r="Z245" i="8"/>
  <c r="Z237" i="8"/>
  <c r="Y237" i="8"/>
  <c r="Z221" i="8"/>
  <c r="Y221" i="8"/>
  <c r="Y213" i="8"/>
  <c r="Z213" i="8"/>
  <c r="Z197" i="8"/>
  <c r="Y197" i="8"/>
  <c r="Z189" i="8"/>
  <c r="Y189" i="8"/>
  <c r="Y181" i="8"/>
  <c r="Z181" i="8"/>
  <c r="Y173" i="8"/>
  <c r="Z173" i="8"/>
  <c r="Y165" i="8"/>
  <c r="Z165" i="8"/>
  <c r="Z157" i="8"/>
  <c r="Y157" i="8"/>
  <c r="Y149" i="8"/>
  <c r="Z149" i="8"/>
  <c r="Y141" i="8"/>
  <c r="Z141" i="8"/>
  <c r="Y133" i="8"/>
  <c r="Z133" i="8"/>
  <c r="Y125" i="8"/>
  <c r="Z125" i="8"/>
  <c r="Z117" i="8"/>
  <c r="Y117" i="8"/>
  <c r="Y109" i="8"/>
  <c r="Z109" i="8"/>
  <c r="Y101" i="8"/>
  <c r="Z101" i="8"/>
  <c r="Y93" i="8"/>
  <c r="Z93" i="8"/>
  <c r="Z85" i="8"/>
  <c r="Y85" i="8"/>
  <c r="Z77" i="8"/>
  <c r="Y77" i="8"/>
  <c r="Y69" i="8"/>
  <c r="Z69" i="8"/>
  <c r="Y61" i="8"/>
  <c r="Z61" i="8"/>
  <c r="Y53" i="8"/>
  <c r="Z53" i="8"/>
  <c r="Y45" i="8"/>
  <c r="Z45" i="8"/>
  <c r="Y37" i="8"/>
  <c r="Z37" i="8"/>
  <c r="Y29" i="8"/>
  <c r="Z29" i="8"/>
  <c r="Y21" i="8"/>
  <c r="Z21" i="8"/>
  <c r="Z1007" i="8"/>
  <c r="Z1002" i="8"/>
  <c r="Z999" i="8"/>
  <c r="Z994" i="8"/>
  <c r="Y981" i="8"/>
  <c r="Z973" i="8"/>
  <c r="Z968" i="8"/>
  <c r="Z960" i="8"/>
  <c r="Z934" i="8"/>
  <c r="Z926" i="8"/>
  <c r="Z913" i="8"/>
  <c r="Y908" i="8"/>
  <c r="Z905" i="8"/>
  <c r="Z900" i="8"/>
  <c r="Z879" i="8"/>
  <c r="Z874" i="8"/>
  <c r="Z871" i="8"/>
  <c r="Z842" i="8"/>
  <c r="Z810" i="8"/>
  <c r="Z778" i="8"/>
  <c r="Z746" i="8"/>
  <c r="Z714" i="8"/>
  <c r="Z709" i="8"/>
  <c r="Z704" i="8"/>
  <c r="Z678" i="8"/>
  <c r="Z645" i="8"/>
  <c r="Z636" i="8"/>
  <c r="Y618" i="8"/>
  <c r="Z581" i="8"/>
  <c r="Z572" i="8"/>
  <c r="Y554" i="8"/>
  <c r="Z517" i="8"/>
  <c r="Z508" i="8"/>
  <c r="Y490" i="8"/>
  <c r="Y449" i="8"/>
  <c r="Z428" i="8"/>
  <c r="Z407" i="8"/>
  <c r="Z373" i="8"/>
  <c r="Y229" i="8"/>
  <c r="Y205" i="8"/>
  <c r="Y178" i="8"/>
  <c r="Y802" i="8"/>
  <c r="Z802" i="8"/>
  <c r="Y770" i="8"/>
  <c r="Z770" i="8"/>
  <c r="Z698" i="8"/>
  <c r="Y698" i="8"/>
  <c r="Y658" i="8"/>
  <c r="Z658" i="8"/>
  <c r="Y594" i="8"/>
  <c r="Z594" i="8"/>
  <c r="Z570" i="8"/>
  <c r="Y570" i="8"/>
  <c r="Y546" i="8"/>
  <c r="Z546" i="8"/>
  <c r="Y514" i="8"/>
  <c r="Z514" i="8"/>
  <c r="Y474" i="8"/>
  <c r="Z474" i="8"/>
  <c r="Y370" i="8"/>
  <c r="Z370" i="8"/>
  <c r="Y338" i="8"/>
  <c r="Z338" i="8"/>
  <c r="Y306" i="8"/>
  <c r="Z306" i="8"/>
  <c r="Y274" i="8"/>
  <c r="Z274" i="8"/>
  <c r="Y234" i="8"/>
  <c r="Z234" i="8"/>
  <c r="Y202" i="8"/>
  <c r="Z202" i="8"/>
  <c r="Y170" i="8"/>
  <c r="Z170" i="8"/>
  <c r="Z146" i="8"/>
  <c r="Y146" i="8"/>
  <c r="Z114" i="8"/>
  <c r="Y114" i="8"/>
  <c r="Z98" i="8"/>
  <c r="Y98" i="8"/>
  <c r="Z66" i="8"/>
  <c r="Y66" i="8"/>
  <c r="Y26" i="8"/>
  <c r="Z26" i="8"/>
  <c r="Z218" i="8"/>
  <c r="Y695" i="8"/>
  <c r="Z695" i="8"/>
  <c r="Y679" i="8"/>
  <c r="Z679" i="8"/>
  <c r="Y583" i="8"/>
  <c r="Z583" i="8"/>
  <c r="Y487" i="8"/>
  <c r="Z487" i="8"/>
  <c r="Z447" i="8"/>
  <c r="Y447" i="8"/>
  <c r="Z431" i="8"/>
  <c r="Y431" i="8"/>
  <c r="Z415" i="8"/>
  <c r="Y415" i="8"/>
  <c r="Z399" i="8"/>
  <c r="Y399" i="8"/>
  <c r="Y383" i="8"/>
  <c r="Z383" i="8"/>
  <c r="Z359" i="8"/>
  <c r="Y359" i="8"/>
  <c r="Y335" i="8"/>
  <c r="Z335" i="8"/>
  <c r="Z311" i="8"/>
  <c r="Y311" i="8"/>
  <c r="Y295" i="8"/>
  <c r="Z295" i="8"/>
  <c r="Z271" i="8"/>
  <c r="Y271" i="8"/>
  <c r="Z247" i="8"/>
  <c r="Y247" i="8"/>
  <c r="Y231" i="8"/>
  <c r="Z231" i="8"/>
  <c r="Y199" i="8"/>
  <c r="Z199" i="8"/>
  <c r="Z175" i="8"/>
  <c r="Y175" i="8"/>
  <c r="Y151" i="8"/>
  <c r="Z151" i="8"/>
  <c r="Y127" i="8"/>
  <c r="Z127" i="8"/>
  <c r="Y103" i="8"/>
  <c r="Z103" i="8"/>
  <c r="Y79" i="8"/>
  <c r="Z79" i="8"/>
  <c r="Y55" i="8"/>
  <c r="Z55" i="8"/>
  <c r="Z31" i="8"/>
  <c r="Y31" i="8"/>
  <c r="Z906" i="8"/>
  <c r="Y708" i="8"/>
  <c r="Z708" i="8"/>
  <c r="Y700" i="8"/>
  <c r="Z700" i="8"/>
  <c r="Y652" i="8"/>
  <c r="Z652" i="8"/>
  <c r="Y620" i="8"/>
  <c r="Z620" i="8"/>
  <c r="Y588" i="8"/>
  <c r="Z588" i="8"/>
  <c r="Y556" i="8"/>
  <c r="Z556" i="8"/>
  <c r="Y524" i="8"/>
  <c r="Z524" i="8"/>
  <c r="Y492" i="8"/>
  <c r="Z492" i="8"/>
  <c r="Y468" i="8"/>
  <c r="Z468" i="8"/>
  <c r="Y452" i="8"/>
  <c r="Z452" i="8"/>
  <c r="Y444" i="8"/>
  <c r="Z444" i="8"/>
  <c r="Y436" i="8"/>
  <c r="Z436" i="8"/>
  <c r="Y420" i="8"/>
  <c r="Z420" i="8"/>
  <c r="Y412" i="8"/>
  <c r="Z412" i="8"/>
  <c r="Y404" i="8"/>
  <c r="Z404" i="8"/>
  <c r="Y396" i="8"/>
  <c r="Z396" i="8"/>
  <c r="Y388" i="8"/>
  <c r="Z388" i="8"/>
  <c r="Y372" i="8"/>
  <c r="Z372" i="8"/>
  <c r="Y364" i="8"/>
  <c r="Z364" i="8"/>
  <c r="Y356" i="8"/>
  <c r="Z356" i="8"/>
  <c r="Y348" i="8"/>
  <c r="Z348" i="8"/>
  <c r="Y340" i="8"/>
  <c r="Z340" i="8"/>
  <c r="Y332" i="8"/>
  <c r="Z332" i="8"/>
  <c r="Y324" i="8"/>
  <c r="Z324" i="8"/>
  <c r="Y316" i="8"/>
  <c r="Z316" i="8"/>
  <c r="Y300" i="8"/>
  <c r="Z300" i="8"/>
  <c r="Y292" i="8"/>
  <c r="Z292" i="8"/>
  <c r="Y284" i="8"/>
  <c r="Z284" i="8"/>
  <c r="Y276" i="8"/>
  <c r="Z276" i="8"/>
  <c r="Y268" i="8"/>
  <c r="Z268" i="8"/>
  <c r="Y260" i="8"/>
  <c r="Z260" i="8"/>
  <c r="Y252" i="8"/>
  <c r="Z252" i="8"/>
  <c r="Y244" i="8"/>
  <c r="Z244" i="8"/>
  <c r="Y236" i="8"/>
  <c r="Z236" i="8"/>
  <c r="Y228" i="8"/>
  <c r="Z228" i="8"/>
  <c r="Y220" i="8"/>
  <c r="Z220" i="8"/>
  <c r="Y212" i="8"/>
  <c r="Z212" i="8"/>
  <c r="Y204" i="8"/>
  <c r="Z204" i="8"/>
  <c r="Y196" i="8"/>
  <c r="Z196" i="8"/>
  <c r="Z188" i="8"/>
  <c r="Y188" i="8"/>
  <c r="Y164" i="8"/>
  <c r="Z164" i="8"/>
  <c r="Y156" i="8"/>
  <c r="Z156" i="8"/>
  <c r="Y148" i="8"/>
  <c r="Z148" i="8"/>
  <c r="Y140" i="8"/>
  <c r="Z140" i="8"/>
  <c r="Y132" i="8"/>
  <c r="Z132" i="8"/>
  <c r="Z124" i="8"/>
  <c r="Y124" i="8"/>
  <c r="Z116" i="8"/>
  <c r="Y116" i="8"/>
  <c r="Y108" i="8"/>
  <c r="Z108" i="8"/>
  <c r="Y100" i="8"/>
  <c r="Z100" i="8"/>
  <c r="Y92" i="8"/>
  <c r="Z92" i="8"/>
  <c r="Y84" i="8"/>
  <c r="Z84" i="8"/>
  <c r="Y76" i="8"/>
  <c r="Z76" i="8"/>
  <c r="Y68" i="8"/>
  <c r="Z68" i="8"/>
  <c r="Y60" i="8"/>
  <c r="Z60" i="8"/>
  <c r="Y52" i="8"/>
  <c r="Z52" i="8"/>
  <c r="Z44" i="8"/>
  <c r="Y44" i="8"/>
  <c r="Z36" i="8"/>
  <c r="Y36" i="8"/>
  <c r="Z28" i="8"/>
  <c r="Y28" i="8"/>
  <c r="Y20" i="8"/>
  <c r="Z20" i="8"/>
  <c r="Y12" i="8"/>
  <c r="Z12" i="8"/>
  <c r="Z986" i="8"/>
  <c r="Y965" i="8"/>
  <c r="Y892" i="8"/>
  <c r="Y860" i="8"/>
  <c r="Z855" i="8"/>
  <c r="Z846" i="8"/>
  <c r="Y837" i="8"/>
  <c r="Y828" i="8"/>
  <c r="Z823" i="8"/>
  <c r="Z814" i="8"/>
  <c r="Y805" i="8"/>
  <c r="Y796" i="8"/>
  <c r="Z791" i="8"/>
  <c r="Z782" i="8"/>
  <c r="Y773" i="8"/>
  <c r="Y764" i="8"/>
  <c r="Z759" i="8"/>
  <c r="Z750" i="8"/>
  <c r="Y741" i="8"/>
  <c r="Y732" i="8"/>
  <c r="Z727" i="8"/>
  <c r="Z718" i="8"/>
  <c r="Y693" i="8"/>
  <c r="Y688" i="8"/>
  <c r="Z677" i="8"/>
  <c r="Z671" i="8"/>
  <c r="Z662" i="8"/>
  <c r="Y653" i="8"/>
  <c r="Y644" i="8"/>
  <c r="Z607" i="8"/>
  <c r="Z598" i="8"/>
  <c r="Y589" i="8"/>
  <c r="Y580" i="8"/>
  <c r="Z543" i="8"/>
  <c r="Z534" i="8"/>
  <c r="Y525" i="8"/>
  <c r="Y516" i="8"/>
  <c r="Y437" i="8"/>
  <c r="Z416" i="8"/>
  <c r="Z272" i="8"/>
  <c r="Z248" i="8"/>
  <c r="Z200" i="8"/>
  <c r="Z172" i="8"/>
  <c r="Y113" i="8"/>
  <c r="Z113" i="8"/>
  <c r="Z105" i="8"/>
  <c r="Y105" i="8"/>
  <c r="Y97" i="8"/>
  <c r="Z97" i="8"/>
  <c r="Z89" i="8"/>
  <c r="Y89" i="8"/>
  <c r="Y81" i="8"/>
  <c r="Z81" i="8"/>
  <c r="Z73" i="8"/>
  <c r="Y73" i="8"/>
  <c r="Z65" i="8"/>
  <c r="Y65" i="8"/>
  <c r="Z49" i="8"/>
  <c r="Y49" i="8"/>
  <c r="Z41" i="8"/>
  <c r="Y41" i="8"/>
  <c r="Z25" i="8"/>
  <c r="Y25" i="8"/>
  <c r="Z17" i="8"/>
  <c r="Y17" i="8"/>
  <c r="Z33" i="8"/>
  <c r="Y13" i="8"/>
  <c r="Z13" i="8"/>
  <c r="Y9" i="8"/>
  <c r="I633" i="7" l="1"/>
  <c r="P27" i="29"/>
  <c r="P56" i="29"/>
  <c r="R28" i="29"/>
  <c r="R57" i="29"/>
  <c r="R40" i="29"/>
  <c r="R11" i="29"/>
  <c r="Q46" i="29"/>
  <c r="Q17" i="29"/>
  <c r="R14" i="29"/>
  <c r="R43" i="29"/>
  <c r="Q41" i="29"/>
  <c r="Q12" i="29"/>
  <c r="R26" i="29"/>
  <c r="R55" i="29"/>
  <c r="R27" i="29"/>
  <c r="R56" i="29"/>
  <c r="R49" i="29"/>
  <c r="R20" i="29"/>
  <c r="Q55" i="29"/>
  <c r="Q26" i="29"/>
  <c r="Q13" i="29"/>
  <c r="Q42" i="29"/>
  <c r="Q10" i="29"/>
  <c r="Q39" i="29"/>
  <c r="R44" i="29"/>
  <c r="R15" i="29"/>
  <c r="Q50" i="29"/>
  <c r="Q21" i="29"/>
  <c r="P43" i="29"/>
  <c r="P14" i="29"/>
  <c r="R10" i="29"/>
  <c r="R39" i="29"/>
  <c r="Q44" i="29"/>
  <c r="Q15" i="29"/>
  <c r="R41" i="29"/>
  <c r="R12" i="29"/>
  <c r="R13" i="29"/>
  <c r="R42" i="29"/>
  <c r="Q11" i="29"/>
  <c r="Q40" i="29"/>
  <c r="R54" i="29"/>
  <c r="R25" i="29"/>
  <c r="P22" i="29"/>
  <c r="P51" i="29"/>
  <c r="Q54" i="29"/>
  <c r="Q25" i="29"/>
  <c r="R50" i="29"/>
  <c r="R21" i="29"/>
  <c r="R22" i="29"/>
  <c r="R51" i="29"/>
  <c r="Q57" i="29"/>
  <c r="Q28" i="29"/>
  <c r="Q49" i="29"/>
  <c r="Q20" i="29"/>
  <c r="R17" i="29"/>
  <c r="R46" i="29"/>
  <c r="Q43" i="29"/>
  <c r="Q14" i="29"/>
  <c r="O68" i="29"/>
  <c r="O69" i="29"/>
  <c r="O73" i="29"/>
  <c r="O72" i="29"/>
  <c r="O71" i="29"/>
  <c r="J825" i="31"/>
  <c r="AC44" i="29" s="1"/>
  <c r="AC15" i="29"/>
  <c r="J823" i="31"/>
  <c r="AC42" i="29" s="1"/>
  <c r="AC13" i="29"/>
  <c r="AC51" i="23"/>
  <c r="M51" i="23"/>
  <c r="M51" i="24"/>
  <c r="AC51" i="24"/>
  <c r="AC51" i="4"/>
  <c r="M49" i="23"/>
  <c r="AC49" i="24"/>
  <c r="AC49" i="23"/>
  <c r="AC49" i="4"/>
  <c r="M49" i="24"/>
  <c r="AC56" i="24"/>
  <c r="AC56" i="23"/>
  <c r="M56" i="23"/>
  <c r="M56" i="24"/>
  <c r="AC56" i="4"/>
  <c r="AC55" i="4"/>
  <c r="AC55" i="23"/>
  <c r="M55" i="23"/>
  <c r="M55" i="24"/>
  <c r="AC55" i="24"/>
  <c r="J820" i="31"/>
  <c r="AC39" i="29" s="1"/>
  <c r="AC10" i="29"/>
  <c r="J835" i="31"/>
  <c r="AC54" i="29" s="1"/>
  <c r="AC25" i="29"/>
  <c r="J836" i="31"/>
  <c r="AC55" i="29" s="1"/>
  <c r="AC26" i="29"/>
  <c r="J821" i="31"/>
  <c r="AC40" i="29" s="1"/>
  <c r="AC11" i="29"/>
  <c r="J828" i="31"/>
  <c r="J831" i="31"/>
  <c r="AC50" i="29" s="1"/>
  <c r="AC21" i="29"/>
  <c r="AC57" i="24"/>
  <c r="AC57" i="4"/>
  <c r="AC57" i="23"/>
  <c r="M57" i="23"/>
  <c r="M57" i="24"/>
  <c r="J829" i="31"/>
  <c r="J822" i="31"/>
  <c r="AC41" i="29" s="1"/>
  <c r="AC12" i="29"/>
  <c r="J841" i="31"/>
  <c r="J830" i="31"/>
  <c r="AC49" i="29" s="1"/>
  <c r="AC20" i="29"/>
  <c r="J832" i="31"/>
  <c r="AC51" i="29" s="1"/>
  <c r="AC22" i="29"/>
  <c r="M54" i="23"/>
  <c r="AC54" i="23"/>
  <c r="AC54" i="4"/>
  <c r="AC54" i="24"/>
  <c r="M54" i="24"/>
  <c r="J833" i="31"/>
  <c r="M46" i="24"/>
  <c r="AC46" i="4"/>
  <c r="AC46" i="24"/>
  <c r="AC46" i="23"/>
  <c r="M46" i="23"/>
  <c r="AC50" i="24"/>
  <c r="AC50" i="23"/>
  <c r="M50" i="24"/>
  <c r="AC50" i="4"/>
  <c r="M50" i="23"/>
  <c r="J838" i="31"/>
  <c r="AC57" i="29" s="1"/>
  <c r="AC28" i="29"/>
  <c r="J827" i="31"/>
  <c r="AC46" i="29" s="1"/>
  <c r="AC17" i="29"/>
  <c r="J824" i="31"/>
  <c r="AC43" i="29" s="1"/>
  <c r="AC14" i="29"/>
  <c r="J840" i="31"/>
  <c r="J837" i="31"/>
  <c r="AC56" i="29" s="1"/>
  <c r="AC27" i="29"/>
  <c r="AC26" i="24"/>
  <c r="M26" i="24"/>
  <c r="AC26" i="23"/>
  <c r="M26" i="23"/>
  <c r="AC20" i="23"/>
  <c r="M20" i="23"/>
  <c r="AC20" i="24"/>
  <c r="M20" i="24"/>
  <c r="M25" i="24"/>
  <c r="AC25" i="24"/>
  <c r="AC27" i="24"/>
  <c r="AC21" i="24"/>
  <c r="M21" i="24"/>
  <c r="AC21" i="23"/>
  <c r="M21" i="23"/>
  <c r="AC22" i="23"/>
  <c r="AC22" i="24"/>
  <c r="M22" i="23"/>
  <c r="M22" i="24"/>
  <c r="AC28" i="24"/>
  <c r="M17" i="24"/>
  <c r="AC17" i="23"/>
  <c r="AC17" i="24"/>
  <c r="M17" i="23"/>
  <c r="C528" i="31"/>
  <c r="C525" i="31"/>
  <c r="C521" i="31"/>
  <c r="C533" i="31"/>
  <c r="C527" i="31"/>
  <c r="C523" i="31"/>
  <c r="C518" i="31"/>
  <c r="C519" i="31"/>
  <c r="C517" i="31"/>
  <c r="C520" i="31"/>
  <c r="G76" i="24"/>
  <c r="N76" i="24" s="1"/>
  <c r="G80" i="24"/>
  <c r="N80" i="24" s="1"/>
  <c r="G81" i="24"/>
  <c r="N81" i="24" s="1"/>
  <c r="G75" i="24"/>
  <c r="N75" i="24" s="1"/>
  <c r="G77" i="24"/>
  <c r="AA77" i="24" s="1"/>
  <c r="J506" i="31"/>
  <c r="O54" i="29" s="1"/>
  <c r="O83" i="29" s="1"/>
  <c r="O54" i="4"/>
  <c r="J509" i="31"/>
  <c r="O57" i="29" s="1"/>
  <c r="O86" i="29" s="1"/>
  <c r="O57" i="4"/>
  <c r="J508" i="31"/>
  <c r="O56" i="29" s="1"/>
  <c r="O85" i="29" s="1"/>
  <c r="O56" i="4"/>
  <c r="J503" i="31"/>
  <c r="O51" i="29" s="1"/>
  <c r="O80" i="29" s="1"/>
  <c r="O51" i="4"/>
  <c r="J507" i="31"/>
  <c r="O55" i="29" s="1"/>
  <c r="O84" i="29" s="1"/>
  <c r="O55" i="4"/>
  <c r="J498" i="31"/>
  <c r="O46" i="29" s="1"/>
  <c r="O46" i="4"/>
  <c r="J502" i="31"/>
  <c r="O50" i="29" s="1"/>
  <c r="O79" i="29" s="1"/>
  <c r="O50" i="4"/>
  <c r="J501" i="31"/>
  <c r="O49" i="29" s="1"/>
  <c r="O78" i="29" s="1"/>
  <c r="O49" i="4"/>
  <c r="C534" i="31"/>
  <c r="C536" i="31"/>
  <c r="O81" i="24"/>
  <c r="C562" i="31"/>
  <c r="O77" i="24"/>
  <c r="C558" i="31"/>
  <c r="O76" i="24"/>
  <c r="C557" i="31"/>
  <c r="N78" i="23"/>
  <c r="C529" i="31"/>
  <c r="N75" i="23"/>
  <c r="C526" i="31"/>
  <c r="N80" i="23"/>
  <c r="C531" i="31"/>
  <c r="O12" i="29"/>
  <c r="O70" i="29" s="1"/>
  <c r="O17" i="29"/>
  <c r="O80" i="24"/>
  <c r="O80" i="23"/>
  <c r="O75" i="24"/>
  <c r="O75" i="23"/>
  <c r="J633" i="7"/>
  <c r="O22" i="23"/>
  <c r="O22" i="4"/>
  <c r="O20" i="4"/>
  <c r="O20" i="23"/>
  <c r="H605" i="7"/>
  <c r="J605" i="7" s="1"/>
  <c r="O21" i="4"/>
  <c r="O21" i="23"/>
  <c r="N79" i="24"/>
  <c r="N79" i="23"/>
  <c r="O17" i="4"/>
  <c r="O17" i="23"/>
  <c r="F78" i="24"/>
  <c r="G78" i="24"/>
  <c r="O79" i="23"/>
  <c r="O79" i="24"/>
  <c r="ES101" i="3"/>
  <c r="ER101" i="3"/>
  <c r="ES102" i="3"/>
  <c r="ER102" i="3"/>
  <c r="ES103" i="3"/>
  <c r="ER103" i="3"/>
  <c r="ES104" i="3"/>
  <c r="ER104" i="3"/>
  <c r="Z5" i="8"/>
  <c r="Y5" i="8"/>
  <c r="I923" i="7"/>
  <c r="I916" i="7"/>
  <c r="I915" i="7"/>
  <c r="I893" i="7"/>
  <c r="I892" i="7"/>
  <c r="I887" i="7"/>
  <c r="I886" i="7"/>
  <c r="I879" i="7"/>
  <c r="I878" i="7"/>
  <c r="I877" i="7"/>
  <c r="I875" i="7"/>
  <c r="I874" i="7"/>
  <c r="I873" i="7"/>
  <c r="I870" i="7"/>
  <c r="I871" i="7"/>
  <c r="I869" i="7"/>
  <c r="P21" i="29" l="1"/>
  <c r="P50" i="29"/>
  <c r="P11" i="29"/>
  <c r="P40" i="29"/>
  <c r="P54" i="29"/>
  <c r="P25" i="29"/>
  <c r="P39" i="29"/>
  <c r="P10" i="29"/>
  <c r="P13" i="29"/>
  <c r="P42" i="29"/>
  <c r="P44" i="29"/>
  <c r="P15" i="29"/>
  <c r="P57" i="29"/>
  <c r="P28" i="29"/>
  <c r="P41" i="29"/>
  <c r="P12" i="29"/>
  <c r="P46" i="29"/>
  <c r="P17" i="29"/>
  <c r="P55" i="29"/>
  <c r="P26" i="29"/>
  <c r="P49" i="29"/>
  <c r="P20" i="29"/>
  <c r="Q22" i="29"/>
  <c r="Q51" i="29"/>
  <c r="Q56" i="29"/>
  <c r="Q27" i="29"/>
  <c r="AC85" i="24"/>
  <c r="M75" i="23"/>
  <c r="AC75" i="23"/>
  <c r="AC78" i="24"/>
  <c r="M78" i="23"/>
  <c r="M84" i="23"/>
  <c r="C444" i="17"/>
  <c r="C441" i="17"/>
  <c r="C445" i="17"/>
  <c r="C447" i="17"/>
  <c r="C446" i="17"/>
  <c r="C442" i="17"/>
  <c r="C443" i="17"/>
  <c r="AC83" i="24"/>
  <c r="M80" i="23"/>
  <c r="AC86" i="24"/>
  <c r="AC80" i="23"/>
  <c r="AC75" i="24"/>
  <c r="M84" i="24"/>
  <c r="AC79" i="23"/>
  <c r="AC80" i="24"/>
  <c r="AC78" i="23"/>
  <c r="M75" i="24"/>
  <c r="AC84" i="24"/>
  <c r="M78" i="24"/>
  <c r="M80" i="24"/>
  <c r="AC84" i="23"/>
  <c r="AC69" i="29"/>
  <c r="AC84" i="29"/>
  <c r="AC83" i="29"/>
  <c r="AC68" i="29"/>
  <c r="M79" i="24"/>
  <c r="M83" i="24"/>
  <c r="AC75" i="29"/>
  <c r="AC78" i="29"/>
  <c r="AC70" i="29"/>
  <c r="AC71" i="29"/>
  <c r="AC79" i="24"/>
  <c r="M79" i="23"/>
  <c r="AC85" i="29"/>
  <c r="AC72" i="29"/>
  <c r="AC86" i="29"/>
  <c r="AC80" i="29"/>
  <c r="AC79" i="29"/>
  <c r="AC73" i="29"/>
  <c r="N77" i="24"/>
  <c r="AA76" i="24"/>
  <c r="O80" i="4"/>
  <c r="V80" i="24"/>
  <c r="AA80" i="24"/>
  <c r="R81" i="24"/>
  <c r="AA81" i="24"/>
  <c r="O79" i="4"/>
  <c r="O78" i="4"/>
  <c r="O75" i="29"/>
  <c r="AA75" i="24"/>
  <c r="O75" i="4"/>
  <c r="J248" i="17"/>
  <c r="J243" i="17"/>
  <c r="J235" i="17"/>
  <c r="J244" i="17"/>
  <c r="J242" i="17"/>
  <c r="J251" i="17"/>
  <c r="J236" i="17"/>
  <c r="J247" i="17"/>
  <c r="J246" i="17"/>
  <c r="J245" i="17"/>
  <c r="J255" i="17"/>
  <c r="J238" i="17"/>
  <c r="J237" i="17"/>
  <c r="J252" i="17"/>
  <c r="J250" i="17"/>
  <c r="J256" i="17"/>
  <c r="J239" i="17"/>
  <c r="J240" i="17"/>
  <c r="J253" i="17"/>
  <c r="C755" i="17"/>
  <c r="C749" i="17"/>
  <c r="C757" i="17"/>
  <c r="C739" i="17"/>
  <c r="C747" i="17"/>
  <c r="C750" i="17"/>
  <c r="C744" i="17"/>
  <c r="C756" i="17"/>
  <c r="C752" i="17"/>
  <c r="C738" i="17"/>
  <c r="C746" i="17"/>
  <c r="C759" i="17"/>
  <c r="C740" i="17"/>
  <c r="C742" i="17"/>
  <c r="C748" i="17"/>
  <c r="C760" i="17"/>
  <c r="C741" i="17"/>
  <c r="C754" i="17"/>
  <c r="C743" i="17"/>
  <c r="C751" i="17"/>
  <c r="J178" i="17"/>
  <c r="J200" i="17"/>
  <c r="J184" i="17"/>
  <c r="J179" i="17"/>
  <c r="J182" i="17"/>
  <c r="J199" i="17"/>
  <c r="J180" i="17"/>
  <c r="J183" i="17"/>
  <c r="J181" i="17"/>
  <c r="C777" i="17"/>
  <c r="C774" i="17"/>
  <c r="C771" i="17"/>
  <c r="C769" i="17"/>
  <c r="C779" i="17"/>
  <c r="C773" i="17"/>
  <c r="C786" i="17"/>
  <c r="C767" i="17"/>
  <c r="C775" i="17"/>
  <c r="C783" i="17"/>
  <c r="C787" i="17"/>
  <c r="C768" i="17"/>
  <c r="C781" i="17"/>
  <c r="C770" i="17"/>
  <c r="C782" i="17"/>
  <c r="C776" i="17"/>
  <c r="C778" i="17"/>
  <c r="C784" i="17"/>
  <c r="C766" i="17"/>
  <c r="J219" i="17"/>
  <c r="J228" i="17"/>
  <c r="J212" i="17"/>
  <c r="J210" i="17"/>
  <c r="J223" i="17"/>
  <c r="J208" i="17"/>
  <c r="J225" i="17"/>
  <c r="J224" i="17"/>
  <c r="J214" i="17"/>
  <c r="J211" i="17"/>
  <c r="J215" i="17"/>
  <c r="J227" i="17"/>
  <c r="J207" i="17"/>
  <c r="J220" i="17"/>
  <c r="J217" i="17"/>
  <c r="J222" i="17"/>
  <c r="J216" i="17"/>
  <c r="J218" i="17"/>
  <c r="J209" i="17"/>
  <c r="R70" i="29"/>
  <c r="R75" i="29"/>
  <c r="Q86" i="29"/>
  <c r="R86" i="29"/>
  <c r="R79" i="29"/>
  <c r="R73" i="29"/>
  <c r="R72" i="29"/>
  <c r="R84" i="29"/>
  <c r="R78" i="29"/>
  <c r="Q78" i="29"/>
  <c r="R83" i="29"/>
  <c r="R68" i="29"/>
  <c r="R69" i="29"/>
  <c r="R85" i="29"/>
  <c r="R80" i="29"/>
  <c r="R71" i="29"/>
  <c r="Q84" i="29"/>
  <c r="Q83" i="29"/>
  <c r="Q75" i="29"/>
  <c r="Q79" i="29"/>
  <c r="Q71" i="29"/>
  <c r="Q72" i="29"/>
  <c r="Q68" i="29"/>
  <c r="Q69" i="29"/>
  <c r="Q73" i="29"/>
  <c r="Q70" i="29"/>
  <c r="P85" i="29"/>
  <c r="P72" i="29"/>
  <c r="P80" i="29"/>
  <c r="C352" i="17"/>
  <c r="C372" i="17"/>
  <c r="C364" i="17"/>
  <c r="C366" i="17"/>
  <c r="K25" i="4" s="1"/>
  <c r="K83" i="4" s="1"/>
  <c r="C353" i="17"/>
  <c r="C355" i="17"/>
  <c r="C351" i="17"/>
  <c r="C356" i="17"/>
  <c r="C362" i="17"/>
  <c r="C360" i="17"/>
  <c r="C371" i="17"/>
  <c r="C368" i="17"/>
  <c r="C367" i="17"/>
  <c r="K26" i="4" s="1"/>
  <c r="K84" i="4" s="1"/>
  <c r="C354" i="17"/>
  <c r="C361" i="17"/>
  <c r="C359" i="17"/>
  <c r="C358" i="17"/>
  <c r="C363" i="17"/>
  <c r="C369" i="17"/>
  <c r="AA78" i="24"/>
  <c r="N78" i="24"/>
  <c r="C335" i="17"/>
  <c r="C344" i="17"/>
  <c r="C340" i="17"/>
  <c r="C336" i="17"/>
  <c r="C338" i="17"/>
  <c r="J25" i="4" s="1"/>
  <c r="J83" i="4" s="1"/>
  <c r="C334" i="17"/>
  <c r="C330" i="17"/>
  <c r="C331" i="17"/>
  <c r="C339" i="17"/>
  <c r="J26" i="4" s="1"/>
  <c r="J84" i="4" s="1"/>
  <c r="C341" i="17"/>
  <c r="C343" i="17"/>
  <c r="C332" i="17"/>
  <c r="C333" i="17"/>
  <c r="U78" i="24"/>
  <c r="C83" i="17"/>
  <c r="K83" i="17" s="1"/>
  <c r="C64" i="17"/>
  <c r="K64" i="17" s="1"/>
  <c r="C67" i="17"/>
  <c r="K67" i="17" s="1"/>
  <c r="C79" i="17"/>
  <c r="K79" i="17" s="1"/>
  <c r="C71" i="17"/>
  <c r="K71" i="17" s="1"/>
  <c r="C78" i="17"/>
  <c r="K78" i="17" s="1"/>
  <c r="C82" i="17"/>
  <c r="K82" i="17" s="1"/>
  <c r="C63" i="17"/>
  <c r="K63" i="17" s="1"/>
  <c r="C70" i="17"/>
  <c r="K70" i="17" s="1"/>
  <c r="C62" i="17"/>
  <c r="K62" i="17" s="1"/>
  <c r="C73" i="17"/>
  <c r="K73" i="17" s="1"/>
  <c r="C77" i="17"/>
  <c r="K77" i="17" s="1"/>
  <c r="C66" i="17"/>
  <c r="K66" i="17" s="1"/>
  <c r="C80" i="17"/>
  <c r="K80" i="17" s="1"/>
  <c r="C69" i="17"/>
  <c r="K69" i="17" s="1"/>
  <c r="C74" i="17"/>
  <c r="K74" i="17" s="1"/>
  <c r="C72" i="17"/>
  <c r="K72" i="17" s="1"/>
  <c r="C75" i="17"/>
  <c r="K75" i="17" s="1"/>
  <c r="C65" i="17"/>
  <c r="K65" i="17" s="1"/>
  <c r="C105" i="17"/>
  <c r="K105" i="17" s="1"/>
  <c r="C109" i="17"/>
  <c r="K109" i="17" s="1"/>
  <c r="C90" i="17"/>
  <c r="K90" i="17" s="1"/>
  <c r="C93" i="17"/>
  <c r="K93" i="17" s="1"/>
  <c r="C106" i="17"/>
  <c r="K106" i="17" s="1"/>
  <c r="C100" i="17"/>
  <c r="K100" i="17" s="1"/>
  <c r="C104" i="17"/>
  <c r="K104" i="17" s="1"/>
  <c r="C107" i="17"/>
  <c r="K107" i="17" s="1"/>
  <c r="C89" i="17"/>
  <c r="K89" i="17" s="1"/>
  <c r="C97" i="17"/>
  <c r="K97" i="17" s="1"/>
  <c r="C96" i="17"/>
  <c r="K96" i="17" s="1"/>
  <c r="C92" i="17"/>
  <c r="K92" i="17" s="1"/>
  <c r="C99" i="17"/>
  <c r="K99" i="17" s="1"/>
  <c r="C102" i="17"/>
  <c r="K102" i="17" s="1"/>
  <c r="C110" i="17"/>
  <c r="K110" i="17" s="1"/>
  <c r="C91" i="17"/>
  <c r="K91" i="17" s="1"/>
  <c r="C94" i="17"/>
  <c r="K94" i="17" s="1"/>
  <c r="C101" i="17"/>
  <c r="K101" i="17" s="1"/>
  <c r="C98" i="17"/>
  <c r="K98" i="17" s="1"/>
  <c r="C56" i="17"/>
  <c r="K56" i="17" s="1"/>
  <c r="C37" i="17"/>
  <c r="K37" i="17" s="1"/>
  <c r="C45" i="17"/>
  <c r="K45" i="17" s="1"/>
  <c r="C38" i="17"/>
  <c r="K38" i="17" s="1"/>
  <c r="C51" i="17"/>
  <c r="K51" i="17" s="1"/>
  <c r="C40" i="17"/>
  <c r="K40" i="17" s="1"/>
  <c r="C39" i="17"/>
  <c r="K39" i="17" s="1"/>
  <c r="C47" i="17"/>
  <c r="K47" i="17" s="1"/>
  <c r="C46" i="17"/>
  <c r="K46" i="17" s="1"/>
  <c r="C36" i="17"/>
  <c r="K36" i="17" s="1"/>
  <c r="C35" i="17"/>
  <c r="K35" i="17" s="1"/>
  <c r="C43" i="17"/>
  <c r="K43" i="17" s="1"/>
  <c r="C42" i="17"/>
  <c r="K42" i="17" s="1"/>
  <c r="C50" i="17"/>
  <c r="K50" i="17" s="1"/>
  <c r="C34" i="17"/>
  <c r="K34" i="17" s="1"/>
  <c r="C44" i="17"/>
  <c r="K44" i="17" s="1"/>
  <c r="C52" i="17"/>
  <c r="K52" i="17" s="1"/>
  <c r="C476" i="17"/>
  <c r="C472" i="17"/>
  <c r="C471" i="17"/>
  <c r="C474" i="17"/>
  <c r="C473" i="17"/>
  <c r="C477" i="17"/>
  <c r="C470" i="17"/>
  <c r="C469" i="17"/>
  <c r="C468" i="17"/>
  <c r="O25" i="4"/>
  <c r="O83" i="4" s="1"/>
  <c r="O26" i="4"/>
  <c r="O84" i="4" s="1"/>
  <c r="P71" i="29" l="1"/>
  <c r="P78" i="29"/>
  <c r="P84" i="29"/>
  <c r="P73" i="29"/>
  <c r="P86" i="29"/>
  <c r="P83" i="29"/>
  <c r="P68" i="29"/>
  <c r="P69" i="29"/>
  <c r="P70" i="29"/>
  <c r="P75" i="29"/>
  <c r="N426" i="7"/>
  <c r="C427" i="7"/>
  <c r="N427" i="7"/>
  <c r="N430" i="7"/>
  <c r="C428" i="7"/>
  <c r="N428" i="7"/>
  <c r="N425" i="7"/>
  <c r="N433" i="7"/>
  <c r="N424" i="7"/>
  <c r="C429" i="7"/>
  <c r="N429" i="7"/>
  <c r="N432" i="7"/>
  <c r="C425" i="7"/>
  <c r="D415" i="17"/>
  <c r="C430" i="7"/>
  <c r="D420" i="17"/>
  <c r="C426" i="7"/>
  <c r="D416" i="17"/>
  <c r="C433" i="7"/>
  <c r="D423" i="17"/>
  <c r="C424" i="7"/>
  <c r="D414" i="17"/>
  <c r="C432" i="7"/>
  <c r="D422" i="17"/>
  <c r="AC21" i="4"/>
  <c r="AC79" i="4" s="1"/>
  <c r="Q85" i="29"/>
  <c r="Q80" i="29"/>
  <c r="P79" i="29"/>
  <c r="J20" i="4"/>
  <c r="J78" i="4" s="1"/>
  <c r="J20" i="23"/>
  <c r="J78" i="23" s="1"/>
  <c r="J17" i="23"/>
  <c r="J75" i="23" s="1"/>
  <c r="J17" i="4"/>
  <c r="J75" i="4" s="1"/>
  <c r="J21" i="4"/>
  <c r="J79" i="4" s="1"/>
  <c r="J21" i="23"/>
  <c r="J79" i="23" s="1"/>
  <c r="K20" i="23"/>
  <c r="K78" i="23" s="1"/>
  <c r="K20" i="4"/>
  <c r="K78" i="4" s="1"/>
  <c r="K22" i="23"/>
  <c r="K80" i="23" s="1"/>
  <c r="K22" i="4"/>
  <c r="K80" i="4" s="1"/>
  <c r="K17" i="23"/>
  <c r="K75" i="23" s="1"/>
  <c r="K17" i="4"/>
  <c r="K75" i="4" s="1"/>
  <c r="J22" i="4"/>
  <c r="J80" i="4" s="1"/>
  <c r="J22" i="23"/>
  <c r="J80" i="23" s="1"/>
  <c r="K21" i="4"/>
  <c r="K79" i="4" s="1"/>
  <c r="K21" i="23"/>
  <c r="K79" i="23" s="1"/>
  <c r="F76" i="24"/>
  <c r="E80" i="24"/>
  <c r="F77" i="24"/>
  <c r="F75" i="24"/>
  <c r="F81" i="24"/>
  <c r="F80" i="24"/>
  <c r="W79" i="23"/>
  <c r="W79" i="24"/>
  <c r="W75" i="23"/>
  <c r="W75" i="24"/>
  <c r="W78" i="23"/>
  <c r="W78" i="24"/>
  <c r="V75" i="24"/>
  <c r="V75" i="23"/>
  <c r="V78" i="24"/>
  <c r="V78" i="23"/>
  <c r="V79" i="23"/>
  <c r="V79" i="24"/>
  <c r="V76" i="24"/>
  <c r="V77" i="24"/>
  <c r="V81" i="24"/>
  <c r="F79" i="24"/>
  <c r="G84" i="24"/>
  <c r="K84" i="24"/>
  <c r="G83" i="24"/>
  <c r="K83" i="24"/>
  <c r="H83" i="24"/>
  <c r="H759" i="7"/>
  <c r="S432" i="7" l="1"/>
  <c r="T432" i="7"/>
  <c r="S433" i="7"/>
  <c r="T433" i="7"/>
  <c r="S430" i="7"/>
  <c r="T430" i="7"/>
  <c r="H432" i="7"/>
  <c r="I432" i="7"/>
  <c r="H433" i="7"/>
  <c r="J433" i="7" s="1"/>
  <c r="G423" i="17" s="1"/>
  <c r="C423" i="17" s="1"/>
  <c r="M26" i="4" s="1"/>
  <c r="I433" i="7"/>
  <c r="H430" i="7"/>
  <c r="I430" i="7"/>
  <c r="S429" i="7"/>
  <c r="T429" i="7"/>
  <c r="S425" i="7"/>
  <c r="T425" i="7"/>
  <c r="S427" i="7"/>
  <c r="U427" i="7" s="1"/>
  <c r="N417" i="17" s="1"/>
  <c r="J417" i="17" s="1"/>
  <c r="M49" i="4" s="1"/>
  <c r="T427" i="7"/>
  <c r="H429" i="7"/>
  <c r="I429" i="7"/>
  <c r="S428" i="7"/>
  <c r="T428" i="7"/>
  <c r="H427" i="7"/>
  <c r="I427" i="7"/>
  <c r="H424" i="7"/>
  <c r="J424" i="7" s="1"/>
  <c r="G414" i="17" s="1"/>
  <c r="C414" i="17" s="1"/>
  <c r="M17" i="4" s="1"/>
  <c r="I424" i="7"/>
  <c r="H426" i="7"/>
  <c r="I426" i="7"/>
  <c r="H425" i="7"/>
  <c r="I425" i="7"/>
  <c r="S424" i="7"/>
  <c r="T424" i="7"/>
  <c r="H428" i="7"/>
  <c r="J428" i="7" s="1"/>
  <c r="G418" i="17" s="1"/>
  <c r="I428" i="7"/>
  <c r="S426" i="7"/>
  <c r="T426" i="7"/>
  <c r="D422" i="31"/>
  <c r="D423" i="31"/>
  <c r="D420" i="31"/>
  <c r="D414" i="31"/>
  <c r="D416" i="31"/>
  <c r="D415" i="31"/>
  <c r="D419" i="17"/>
  <c r="D418" i="17"/>
  <c r="D417" i="17"/>
  <c r="I759" i="7"/>
  <c r="J759" i="7" s="1"/>
  <c r="G765" i="17" s="1"/>
  <c r="C765" i="17" s="1"/>
  <c r="P80" i="24"/>
  <c r="L80" i="24"/>
  <c r="Q81" i="24"/>
  <c r="H84" i="23"/>
  <c r="R84" i="23"/>
  <c r="N84" i="23"/>
  <c r="G84" i="23"/>
  <c r="AA84" i="23"/>
  <c r="H84" i="24"/>
  <c r="F83" i="24"/>
  <c r="AA84" i="24"/>
  <c r="N84" i="24"/>
  <c r="R84" i="24"/>
  <c r="AA83" i="24"/>
  <c r="N83" i="24"/>
  <c r="R83" i="24"/>
  <c r="C95" i="19"/>
  <c r="E95" i="19" s="1"/>
  <c r="F95" i="19" s="1"/>
  <c r="C74" i="19"/>
  <c r="E74" i="19" s="1"/>
  <c r="F74" i="19" s="1"/>
  <c r="C56" i="19"/>
  <c r="E56" i="19" s="1"/>
  <c r="F56" i="19" s="1"/>
  <c r="C34" i="19"/>
  <c r="E34" i="19" s="1"/>
  <c r="F34" i="19" s="1"/>
  <c r="C111" i="19"/>
  <c r="E111" i="19" s="1"/>
  <c r="F111" i="19" s="1"/>
  <c r="C86" i="19"/>
  <c r="E86" i="19" s="1"/>
  <c r="F86" i="19" s="1"/>
  <c r="C67" i="19"/>
  <c r="E67" i="19" s="1"/>
  <c r="F67" i="19" s="1"/>
  <c r="C44" i="19"/>
  <c r="E44" i="19" s="1"/>
  <c r="F44" i="19" s="1"/>
  <c r="C7" i="19"/>
  <c r="E7" i="19" s="1"/>
  <c r="F7" i="19" s="1"/>
  <c r="C80" i="19"/>
  <c r="E80" i="19" s="1"/>
  <c r="F80" i="19" s="1"/>
  <c r="C42" i="19"/>
  <c r="E42" i="19" s="1"/>
  <c r="F42" i="19" s="1"/>
  <c r="C4" i="19"/>
  <c r="E4" i="19" s="1"/>
  <c r="F4" i="19" s="1"/>
  <c r="H4" i="19" s="1"/>
  <c r="AA4" i="19" s="1"/>
  <c r="J425" i="7" l="1"/>
  <c r="G415" i="17" s="1"/>
  <c r="C415" i="17" s="1"/>
  <c r="U428" i="7"/>
  <c r="N418" i="17" s="1"/>
  <c r="J418" i="17" s="1"/>
  <c r="M50" i="4" s="1"/>
  <c r="U429" i="7"/>
  <c r="N419" i="17" s="1"/>
  <c r="J419" i="17" s="1"/>
  <c r="M51" i="4" s="1"/>
  <c r="U430" i="7"/>
  <c r="N420" i="17" s="1"/>
  <c r="J420" i="17" s="1"/>
  <c r="J430" i="7"/>
  <c r="G420" i="17" s="1"/>
  <c r="C420" i="17" s="1"/>
  <c r="U424" i="7"/>
  <c r="N414" i="17" s="1"/>
  <c r="J414" i="17" s="1"/>
  <c r="M46" i="4" s="1"/>
  <c r="M75" i="4" s="1"/>
  <c r="J426" i="7"/>
  <c r="G416" i="17" s="1"/>
  <c r="C416" i="17" s="1"/>
  <c r="J427" i="7"/>
  <c r="G417" i="17" s="1"/>
  <c r="C417" i="17" s="1"/>
  <c r="M20" i="4" s="1"/>
  <c r="M78" i="4" s="1"/>
  <c r="J429" i="7"/>
  <c r="G419" i="17" s="1"/>
  <c r="C419" i="17" s="1"/>
  <c r="M22" i="4" s="1"/>
  <c r="U426" i="7"/>
  <c r="N416" i="17" s="1"/>
  <c r="J416" i="17" s="1"/>
  <c r="U425" i="7"/>
  <c r="N415" i="17" s="1"/>
  <c r="J415" i="17" s="1"/>
  <c r="J432" i="7"/>
  <c r="G422" i="17" s="1"/>
  <c r="C422" i="17" s="1"/>
  <c r="M25" i="4" s="1"/>
  <c r="U433" i="7"/>
  <c r="N423" i="17" s="1"/>
  <c r="J423" i="17" s="1"/>
  <c r="M55" i="4" s="1"/>
  <c r="M84" i="4" s="1"/>
  <c r="U432" i="7"/>
  <c r="N422" i="17" s="1"/>
  <c r="J422" i="17" s="1"/>
  <c r="M54" i="4" s="1"/>
  <c r="K415" i="31"/>
  <c r="C415" i="31"/>
  <c r="K414" i="31"/>
  <c r="C414" i="31"/>
  <c r="K423" i="31"/>
  <c r="C423" i="31"/>
  <c r="D417" i="31"/>
  <c r="C418" i="17"/>
  <c r="M21" i="4" s="1"/>
  <c r="D418" i="31"/>
  <c r="K416" i="31"/>
  <c r="C416" i="31"/>
  <c r="K420" i="31"/>
  <c r="C420" i="31"/>
  <c r="K422" i="31"/>
  <c r="C422" i="31"/>
  <c r="D419" i="31"/>
  <c r="Q83" i="24"/>
  <c r="C94" i="19"/>
  <c r="E94" i="19" s="1"/>
  <c r="F94" i="19" s="1"/>
  <c r="C76" i="19"/>
  <c r="E76" i="19" s="1"/>
  <c r="F76" i="19" s="1"/>
  <c r="C75" i="19"/>
  <c r="E75" i="19" s="1"/>
  <c r="F75" i="19" s="1"/>
  <c r="C97" i="19"/>
  <c r="E97" i="19" s="1"/>
  <c r="F97" i="19" s="1"/>
  <c r="C104" i="19"/>
  <c r="E104" i="19" s="1"/>
  <c r="F104" i="19" s="1"/>
  <c r="C107" i="19"/>
  <c r="E107" i="19" s="1"/>
  <c r="F107" i="19" s="1"/>
  <c r="C98" i="19"/>
  <c r="E98" i="19" s="1"/>
  <c r="F98" i="19" s="1"/>
  <c r="C109" i="19"/>
  <c r="E109" i="19" s="1"/>
  <c r="F109" i="19" s="1"/>
  <c r="C110" i="19"/>
  <c r="E110" i="19" s="1"/>
  <c r="F110" i="19" s="1"/>
  <c r="C108" i="19"/>
  <c r="E108" i="19" s="1"/>
  <c r="F108" i="19" s="1"/>
  <c r="C36" i="19"/>
  <c r="E36" i="19" s="1"/>
  <c r="F36" i="19" s="1"/>
  <c r="C55" i="19"/>
  <c r="E55" i="19" s="1"/>
  <c r="F55" i="19" s="1"/>
  <c r="C40" i="19"/>
  <c r="E40" i="19" s="1"/>
  <c r="F40" i="19" s="1"/>
  <c r="C64" i="19"/>
  <c r="E64" i="19" s="1"/>
  <c r="F64" i="19" s="1"/>
  <c r="C37" i="19"/>
  <c r="E37" i="19" s="1"/>
  <c r="F37" i="19" s="1"/>
  <c r="C68" i="19"/>
  <c r="E68" i="19" s="1"/>
  <c r="F68" i="19" s="1"/>
  <c r="C65" i="19"/>
  <c r="E65" i="19" s="1"/>
  <c r="F65" i="19" s="1"/>
  <c r="C57" i="19"/>
  <c r="E57" i="19" s="1"/>
  <c r="F57" i="19" s="1"/>
  <c r="C47" i="19"/>
  <c r="E47" i="19" s="1"/>
  <c r="F47" i="19" s="1"/>
  <c r="C54" i="19"/>
  <c r="E54" i="19" s="1"/>
  <c r="F54" i="19" s="1"/>
  <c r="C88" i="19"/>
  <c r="E88" i="19" s="1"/>
  <c r="F88" i="19" s="1"/>
  <c r="C96" i="19"/>
  <c r="E96" i="19" s="1"/>
  <c r="F96" i="19" s="1"/>
  <c r="C58" i="19"/>
  <c r="E58" i="19" s="1"/>
  <c r="F58" i="19" s="1"/>
  <c r="C77" i="19"/>
  <c r="E77" i="19" s="1"/>
  <c r="F77" i="19" s="1"/>
  <c r="C83" i="19"/>
  <c r="E83" i="19" s="1"/>
  <c r="F83" i="19" s="1"/>
  <c r="C8" i="19"/>
  <c r="E8" i="19" s="1"/>
  <c r="F8" i="19" s="1"/>
  <c r="C48" i="19"/>
  <c r="E48" i="19" s="1"/>
  <c r="F48" i="19" s="1"/>
  <c r="C105" i="19"/>
  <c r="E105" i="19" s="1"/>
  <c r="F105" i="19" s="1"/>
  <c r="C84" i="19"/>
  <c r="E84" i="19" s="1"/>
  <c r="F84" i="19" s="1"/>
  <c r="C39" i="19"/>
  <c r="E39" i="19" s="1"/>
  <c r="F39" i="19" s="1"/>
  <c r="C81" i="19"/>
  <c r="E81" i="19" s="1"/>
  <c r="F81" i="19" s="1"/>
  <c r="C6" i="19"/>
  <c r="E6" i="19" s="1"/>
  <c r="F6" i="19" s="1"/>
  <c r="C87" i="19"/>
  <c r="E87" i="19" s="1"/>
  <c r="F87" i="19" s="1"/>
  <c r="C35" i="19"/>
  <c r="E35" i="19" s="1"/>
  <c r="F35" i="19" s="1"/>
  <c r="C41" i="19"/>
  <c r="E41" i="19" s="1"/>
  <c r="F41" i="19" s="1"/>
  <c r="C79" i="19"/>
  <c r="E79" i="19" s="1"/>
  <c r="F79" i="19" s="1"/>
  <c r="C5" i="19"/>
  <c r="E5" i="19" s="1"/>
  <c r="F5" i="19" s="1"/>
  <c r="C106" i="19"/>
  <c r="E106" i="19" s="1"/>
  <c r="F106" i="19" s="1"/>
  <c r="C85" i="19"/>
  <c r="E85" i="19" s="1"/>
  <c r="F85" i="19" s="1"/>
  <c r="C43" i="19"/>
  <c r="E43" i="19" s="1"/>
  <c r="F43" i="19" s="1"/>
  <c r="C38" i="19"/>
  <c r="E38" i="19" s="1"/>
  <c r="F38" i="19" s="1"/>
  <c r="C78" i="19"/>
  <c r="E78" i="19" s="1"/>
  <c r="F78" i="19" s="1"/>
  <c r="C66" i="19"/>
  <c r="E66" i="19" s="1"/>
  <c r="F66" i="19" s="1"/>
  <c r="C45" i="19"/>
  <c r="E45" i="19" s="1"/>
  <c r="F45" i="19" s="1"/>
  <c r="C112" i="19"/>
  <c r="E112" i="19" s="1"/>
  <c r="F112" i="19" s="1"/>
  <c r="C82" i="19"/>
  <c r="E82" i="19" s="1"/>
  <c r="F82" i="19" s="1"/>
  <c r="C46" i="19"/>
  <c r="E46" i="19" s="1"/>
  <c r="F46" i="19" s="1"/>
  <c r="C61" i="19"/>
  <c r="E61" i="19" s="1"/>
  <c r="F61" i="19" s="1"/>
  <c r="C63" i="19"/>
  <c r="E63" i="19" s="1"/>
  <c r="F63" i="19" s="1"/>
  <c r="C60" i="19"/>
  <c r="E60" i="19" s="1"/>
  <c r="F60" i="19" s="1"/>
  <c r="C62" i="19"/>
  <c r="E62" i="19" s="1"/>
  <c r="F62" i="19" s="1"/>
  <c r="C59" i="19"/>
  <c r="E59" i="19" s="1"/>
  <c r="F59" i="19" s="1"/>
  <c r="C52" i="19"/>
  <c r="E52" i="19" s="1"/>
  <c r="F52" i="19" s="1"/>
  <c r="C50" i="19"/>
  <c r="E50" i="19" s="1"/>
  <c r="F50" i="19" s="1"/>
  <c r="C51" i="19"/>
  <c r="E51" i="19" s="1"/>
  <c r="F51" i="19" s="1"/>
  <c r="C53" i="19"/>
  <c r="E53" i="19" s="1"/>
  <c r="F53" i="19" s="1"/>
  <c r="C49" i="19"/>
  <c r="E49" i="19" s="1"/>
  <c r="F49" i="19" s="1"/>
  <c r="C32" i="19"/>
  <c r="E32" i="19" s="1"/>
  <c r="F32" i="19" s="1"/>
  <c r="C31" i="19"/>
  <c r="E31" i="19" s="1"/>
  <c r="F31" i="19" s="1"/>
  <c r="C30" i="19"/>
  <c r="E30" i="19" s="1"/>
  <c r="F30" i="19" s="1"/>
  <c r="C33" i="19"/>
  <c r="E33" i="19" s="1"/>
  <c r="F33" i="19" s="1"/>
  <c r="C29" i="19"/>
  <c r="E29" i="19" s="1"/>
  <c r="F29" i="19" s="1"/>
  <c r="C90" i="19"/>
  <c r="E90" i="19" s="1"/>
  <c r="F90" i="19" s="1"/>
  <c r="C92" i="19"/>
  <c r="E92" i="19" s="1"/>
  <c r="F92" i="19" s="1"/>
  <c r="C93" i="19"/>
  <c r="E93" i="19" s="1"/>
  <c r="F93" i="19" s="1"/>
  <c r="C91" i="19"/>
  <c r="E91" i="19" s="1"/>
  <c r="F91" i="19" s="1"/>
  <c r="C89" i="19"/>
  <c r="E89" i="19" s="1"/>
  <c r="F89" i="19" s="1"/>
  <c r="I5" i="19"/>
  <c r="G5" i="19"/>
  <c r="M4" i="19" s="1"/>
  <c r="C12" i="19"/>
  <c r="E12" i="19" s="1"/>
  <c r="F12" i="19" s="1"/>
  <c r="C10" i="19"/>
  <c r="E10" i="19" s="1"/>
  <c r="F10" i="19" s="1"/>
  <c r="C9" i="19"/>
  <c r="E9" i="19" s="1"/>
  <c r="F9" i="19" s="1"/>
  <c r="C11" i="19"/>
  <c r="E11" i="19" s="1"/>
  <c r="F11" i="19" s="1"/>
  <c r="C13" i="19"/>
  <c r="E13" i="19" s="1"/>
  <c r="F13" i="19" s="1"/>
  <c r="C103" i="19"/>
  <c r="E103" i="19" s="1"/>
  <c r="F103" i="19" s="1"/>
  <c r="C100" i="19"/>
  <c r="E100" i="19" s="1"/>
  <c r="F100" i="19" s="1"/>
  <c r="C102" i="19"/>
  <c r="E102" i="19" s="1"/>
  <c r="F102" i="19" s="1"/>
  <c r="C101" i="19"/>
  <c r="E101" i="19" s="1"/>
  <c r="F101" i="19" s="1"/>
  <c r="C99" i="19"/>
  <c r="E99" i="19" s="1"/>
  <c r="F99" i="19" s="1"/>
  <c r="C25" i="19"/>
  <c r="E25" i="19" s="1"/>
  <c r="F25" i="19" s="1"/>
  <c r="C28" i="19"/>
  <c r="E28" i="19" s="1"/>
  <c r="F28" i="19" s="1"/>
  <c r="C24" i="19"/>
  <c r="E24" i="19" s="1"/>
  <c r="F24" i="19" s="1"/>
  <c r="C26" i="19"/>
  <c r="E26" i="19" s="1"/>
  <c r="F26" i="19" s="1"/>
  <c r="C27" i="19"/>
  <c r="E27" i="19" s="1"/>
  <c r="F27" i="19" s="1"/>
  <c r="C16" i="19"/>
  <c r="E16" i="19" s="1"/>
  <c r="F16" i="19" s="1"/>
  <c r="C14" i="19"/>
  <c r="E14" i="19" s="1"/>
  <c r="F14" i="19" s="1"/>
  <c r="C18" i="19"/>
  <c r="E18" i="19" s="1"/>
  <c r="F18" i="19" s="1"/>
  <c r="C15" i="19"/>
  <c r="E15" i="19" s="1"/>
  <c r="F15" i="19" s="1"/>
  <c r="C17" i="19"/>
  <c r="E17" i="19" s="1"/>
  <c r="F17" i="19" s="1"/>
  <c r="C71" i="19"/>
  <c r="E71" i="19" s="1"/>
  <c r="F71" i="19" s="1"/>
  <c r="C69" i="19"/>
  <c r="E69" i="19" s="1"/>
  <c r="F69" i="19" s="1"/>
  <c r="C73" i="19"/>
  <c r="E73" i="19" s="1"/>
  <c r="F73" i="19" s="1"/>
  <c r="C72" i="19"/>
  <c r="E72" i="19" s="1"/>
  <c r="F72" i="19" s="1"/>
  <c r="C70" i="19"/>
  <c r="E70" i="19" s="1"/>
  <c r="F70" i="19" s="1"/>
  <c r="C20" i="19"/>
  <c r="E20" i="19" s="1"/>
  <c r="F20" i="19" s="1"/>
  <c r="C22" i="19"/>
  <c r="E22" i="19" s="1"/>
  <c r="F22" i="19" s="1"/>
  <c r="C19" i="19"/>
  <c r="E19" i="19" s="1"/>
  <c r="F19" i="19" s="1"/>
  <c r="C21" i="19"/>
  <c r="E21" i="19" s="1"/>
  <c r="F21" i="19" s="1"/>
  <c r="C23" i="19"/>
  <c r="E23" i="19" s="1"/>
  <c r="F23" i="19" s="1"/>
  <c r="CG9" i="3"/>
  <c r="CS9" i="3" s="1"/>
  <c r="CG10" i="3"/>
  <c r="CS10" i="3" s="1"/>
  <c r="CG11" i="3"/>
  <c r="CS11" i="3" s="1"/>
  <c r="CG12" i="3"/>
  <c r="CS12" i="3" s="1"/>
  <c r="CG13" i="3"/>
  <c r="CS13" i="3" s="1"/>
  <c r="CG14" i="3"/>
  <c r="CS14" i="3" s="1"/>
  <c r="CG16" i="3"/>
  <c r="CS16" i="3" s="1"/>
  <c r="CG17" i="3"/>
  <c r="CS17" i="3" s="1"/>
  <c r="CG18" i="3"/>
  <c r="CS18" i="3" s="1"/>
  <c r="CG19" i="3"/>
  <c r="CS19" i="3" s="1"/>
  <c r="CG20" i="3"/>
  <c r="CS20" i="3" s="1"/>
  <c r="CG21" i="3"/>
  <c r="CS21" i="3" s="1"/>
  <c r="CG22" i="3"/>
  <c r="CS22" i="3" s="1"/>
  <c r="CG23" i="3"/>
  <c r="CS23" i="3" s="1"/>
  <c r="CG24" i="3"/>
  <c r="CS24" i="3" s="1"/>
  <c r="CG25" i="3"/>
  <c r="CS25" i="3" s="1"/>
  <c r="CG26" i="3"/>
  <c r="CS26" i="3" s="1"/>
  <c r="CG27" i="3"/>
  <c r="CS27" i="3" s="1"/>
  <c r="CG28" i="3"/>
  <c r="CS28" i="3" s="1"/>
  <c r="CG29" i="3"/>
  <c r="CS29" i="3" s="1"/>
  <c r="CG30" i="3"/>
  <c r="CS30" i="3" s="1"/>
  <c r="CG31" i="3"/>
  <c r="CS31" i="3" s="1"/>
  <c r="CG32" i="3"/>
  <c r="CS32" i="3" s="1"/>
  <c r="CG33" i="3"/>
  <c r="CS33" i="3" s="1"/>
  <c r="CG34" i="3"/>
  <c r="CS34" i="3" s="1"/>
  <c r="CG35" i="3"/>
  <c r="CS35" i="3" s="1"/>
  <c r="CG36" i="3"/>
  <c r="CS36" i="3" s="1"/>
  <c r="CG37" i="3"/>
  <c r="CS37" i="3" s="1"/>
  <c r="CG38" i="3"/>
  <c r="CS38" i="3" s="1"/>
  <c r="CG39" i="3"/>
  <c r="CS39" i="3" s="1"/>
  <c r="CG40" i="3"/>
  <c r="CS40" i="3" s="1"/>
  <c r="CG41" i="3"/>
  <c r="CS41" i="3" s="1"/>
  <c r="CG42" i="3"/>
  <c r="CS42" i="3" s="1"/>
  <c r="CG43" i="3"/>
  <c r="CS43" i="3" s="1"/>
  <c r="CG44" i="3"/>
  <c r="CS44" i="3" s="1"/>
  <c r="CG45" i="3"/>
  <c r="CS45" i="3" s="1"/>
  <c r="CG46" i="3"/>
  <c r="CS46" i="3" s="1"/>
  <c r="CG47" i="3"/>
  <c r="CS47" i="3" s="1"/>
  <c r="CG48" i="3"/>
  <c r="CS48" i="3" s="1"/>
  <c r="CG49" i="3"/>
  <c r="CS49" i="3" s="1"/>
  <c r="CG50" i="3"/>
  <c r="CS50" i="3" s="1"/>
  <c r="CG51" i="3"/>
  <c r="CS51" i="3" s="1"/>
  <c r="CG52" i="3"/>
  <c r="CS52" i="3" s="1"/>
  <c r="CG53" i="3"/>
  <c r="CS53" i="3" s="1"/>
  <c r="CG54" i="3"/>
  <c r="CS54" i="3" s="1"/>
  <c r="CG55" i="3"/>
  <c r="CS55" i="3" s="1"/>
  <c r="CG56" i="3"/>
  <c r="CS56" i="3" s="1"/>
  <c r="CG57" i="3"/>
  <c r="CS57" i="3" s="1"/>
  <c r="CG58" i="3"/>
  <c r="CS58" i="3" s="1"/>
  <c r="CG59" i="3"/>
  <c r="CS59" i="3" s="1"/>
  <c r="CG60" i="3"/>
  <c r="CS60" i="3" s="1"/>
  <c r="CG61" i="3"/>
  <c r="CS61" i="3" s="1"/>
  <c r="CG62" i="3"/>
  <c r="CS62" i="3" s="1"/>
  <c r="CG63" i="3"/>
  <c r="CS63" i="3" s="1"/>
  <c r="CG64" i="3"/>
  <c r="CS64" i="3" s="1"/>
  <c r="CG65" i="3"/>
  <c r="CS65" i="3" s="1"/>
  <c r="CG66" i="3"/>
  <c r="CS66" i="3" s="1"/>
  <c r="CG67" i="3"/>
  <c r="CS67" i="3" s="1"/>
  <c r="CG68" i="3"/>
  <c r="CS68" i="3" s="1"/>
  <c r="CG69" i="3"/>
  <c r="CS69" i="3" s="1"/>
  <c r="CG70" i="3"/>
  <c r="CS70" i="3" s="1"/>
  <c r="CG71" i="3"/>
  <c r="CS71" i="3" s="1"/>
  <c r="CG72" i="3"/>
  <c r="CS72" i="3" s="1"/>
  <c r="CG73" i="3"/>
  <c r="CS73" i="3" s="1"/>
  <c r="CG74" i="3"/>
  <c r="CS74" i="3" s="1"/>
  <c r="CG75" i="3"/>
  <c r="CS75" i="3" s="1"/>
  <c r="CG76" i="3"/>
  <c r="CS76" i="3" s="1"/>
  <c r="CG77" i="3"/>
  <c r="CS77" i="3" s="1"/>
  <c r="CG78" i="3"/>
  <c r="CS78" i="3" s="1"/>
  <c r="CG79" i="3"/>
  <c r="CS79" i="3" s="1"/>
  <c r="CG80" i="3"/>
  <c r="CS80" i="3" s="1"/>
  <c r="CG81" i="3"/>
  <c r="CS81" i="3" s="1"/>
  <c r="CG82" i="3"/>
  <c r="CS82" i="3" s="1"/>
  <c r="CG83" i="3"/>
  <c r="CS83" i="3" s="1"/>
  <c r="CG84" i="3"/>
  <c r="CS84" i="3" s="1"/>
  <c r="CG85" i="3"/>
  <c r="CS85" i="3" s="1"/>
  <c r="CG86" i="3"/>
  <c r="CS86" i="3" s="1"/>
  <c r="CG87" i="3"/>
  <c r="CS87" i="3" s="1"/>
  <c r="CG88" i="3"/>
  <c r="CS88" i="3" s="1"/>
  <c r="CG89" i="3"/>
  <c r="CS89" i="3" s="1"/>
  <c r="CG90" i="3"/>
  <c r="CS90" i="3" s="1"/>
  <c r="CG91" i="3"/>
  <c r="CS91" i="3" s="1"/>
  <c r="CG92" i="3"/>
  <c r="CS92" i="3" s="1"/>
  <c r="CG93" i="3"/>
  <c r="CS93" i="3" s="1"/>
  <c r="CG94" i="3"/>
  <c r="CS94" i="3" s="1"/>
  <c r="CG95" i="3"/>
  <c r="CS95" i="3" s="1"/>
  <c r="CG96" i="3"/>
  <c r="CS96" i="3" s="1"/>
  <c r="CG97" i="3"/>
  <c r="CS97" i="3" s="1"/>
  <c r="CG98" i="3"/>
  <c r="CS98" i="3" s="1"/>
  <c r="CG99" i="3"/>
  <c r="CS99" i="3" s="1"/>
  <c r="CG100" i="3"/>
  <c r="CS100" i="3" s="1"/>
  <c r="CG105" i="3"/>
  <c r="CS105" i="3" s="1"/>
  <c r="CG106" i="3"/>
  <c r="CS106" i="3" s="1"/>
  <c r="CG107" i="3"/>
  <c r="CS107" i="3" s="1"/>
  <c r="CG108" i="3"/>
  <c r="CS108" i="3" s="1"/>
  <c r="CG109" i="3"/>
  <c r="CS109" i="3" s="1"/>
  <c r="CG110" i="3"/>
  <c r="CS110" i="3" s="1"/>
  <c r="CG111" i="3"/>
  <c r="CS111" i="3" s="1"/>
  <c r="CG112" i="3"/>
  <c r="CS112" i="3" s="1"/>
  <c r="CG113" i="3"/>
  <c r="CS113" i="3" s="1"/>
  <c r="CG114" i="3"/>
  <c r="CS114" i="3" s="1"/>
  <c r="CG115" i="3"/>
  <c r="CS115" i="3" s="1"/>
  <c r="CG116" i="3"/>
  <c r="CS116" i="3" s="1"/>
  <c r="CG117" i="3"/>
  <c r="CS117" i="3" s="1"/>
  <c r="CG118" i="3"/>
  <c r="CS118" i="3" s="1"/>
  <c r="CG119" i="3"/>
  <c r="CS119" i="3" s="1"/>
  <c r="CG120" i="3"/>
  <c r="CS120" i="3" s="1"/>
  <c r="CG121" i="3"/>
  <c r="CS121" i="3" s="1"/>
  <c r="CG122" i="3"/>
  <c r="CS122" i="3" s="1"/>
  <c r="CG123" i="3"/>
  <c r="CS123" i="3" s="1"/>
  <c r="CG124" i="3"/>
  <c r="CS124" i="3" s="1"/>
  <c r="CG125" i="3"/>
  <c r="CS125" i="3" s="1"/>
  <c r="CG126" i="3"/>
  <c r="CS126" i="3" s="1"/>
  <c r="CG127" i="3"/>
  <c r="CS127" i="3" s="1"/>
  <c r="CG128" i="3"/>
  <c r="CS128" i="3" s="1"/>
  <c r="CG129" i="3"/>
  <c r="CS129" i="3" s="1"/>
  <c r="CG130" i="3"/>
  <c r="CS130" i="3" s="1"/>
  <c r="CG131" i="3"/>
  <c r="CS131" i="3" s="1"/>
  <c r="CG132" i="3"/>
  <c r="CS132" i="3" s="1"/>
  <c r="CG133" i="3"/>
  <c r="CS133" i="3" s="1"/>
  <c r="CG134" i="3"/>
  <c r="CS134" i="3" s="1"/>
  <c r="CG135" i="3"/>
  <c r="CS135" i="3" s="1"/>
  <c r="CG136" i="3"/>
  <c r="CS136" i="3" s="1"/>
  <c r="CG137" i="3"/>
  <c r="CS137" i="3" s="1"/>
  <c r="CG138" i="3"/>
  <c r="CS138" i="3" s="1"/>
  <c r="CG139" i="3"/>
  <c r="CS139" i="3" s="1"/>
  <c r="CG140" i="3"/>
  <c r="CS140" i="3" s="1"/>
  <c r="CG141" i="3"/>
  <c r="CS141" i="3" s="1"/>
  <c r="CG142" i="3"/>
  <c r="CS142" i="3" s="1"/>
  <c r="CG143" i="3"/>
  <c r="CS143" i="3" s="1"/>
  <c r="CG144" i="3"/>
  <c r="CS144" i="3" s="1"/>
  <c r="CG145" i="3"/>
  <c r="CS145" i="3" s="1"/>
  <c r="CG146" i="3"/>
  <c r="CS146" i="3" s="1"/>
  <c r="CG147" i="3"/>
  <c r="CS147" i="3" s="1"/>
  <c r="CG148" i="3"/>
  <c r="CS148" i="3" s="1"/>
  <c r="CG149" i="3"/>
  <c r="CS149" i="3" s="1"/>
  <c r="CG150" i="3"/>
  <c r="CS150" i="3" s="1"/>
  <c r="CG151" i="3"/>
  <c r="CS151" i="3" s="1"/>
  <c r="CG152" i="3"/>
  <c r="CS152" i="3" s="1"/>
  <c r="CG153" i="3"/>
  <c r="CS153" i="3" s="1"/>
  <c r="CG154" i="3"/>
  <c r="CS154" i="3" s="1"/>
  <c r="CG155" i="3"/>
  <c r="CS155" i="3" s="1"/>
  <c r="CG156" i="3"/>
  <c r="CS156" i="3" s="1"/>
  <c r="CG157" i="3"/>
  <c r="CS157" i="3" s="1"/>
  <c r="CG158" i="3"/>
  <c r="CS158" i="3" s="1"/>
  <c r="CG159" i="3"/>
  <c r="CS159" i="3" s="1"/>
  <c r="CG160" i="3"/>
  <c r="CS160" i="3" s="1"/>
  <c r="CG161" i="3"/>
  <c r="CG162" i="3"/>
  <c r="CS162" i="3" s="1"/>
  <c r="CG163" i="3"/>
  <c r="CS163" i="3" s="1"/>
  <c r="CG164" i="3"/>
  <c r="CS164" i="3" s="1"/>
  <c r="CG165" i="3"/>
  <c r="CS165" i="3" s="1"/>
  <c r="CG166" i="3"/>
  <c r="CS166" i="3" s="1"/>
  <c r="CG167" i="3"/>
  <c r="CS167" i="3" s="1"/>
  <c r="CG168" i="3"/>
  <c r="CS168" i="3" s="1"/>
  <c r="CG169" i="3"/>
  <c r="CS169" i="3" s="1"/>
  <c r="CG170" i="3"/>
  <c r="CS170" i="3" s="1"/>
  <c r="CG171" i="3"/>
  <c r="CS171" i="3" s="1"/>
  <c r="CG172" i="3"/>
  <c r="CS172" i="3" s="1"/>
  <c r="CG173" i="3"/>
  <c r="CS173" i="3" s="1"/>
  <c r="CG174" i="3"/>
  <c r="CS174" i="3" s="1"/>
  <c r="CG175" i="3"/>
  <c r="CS175" i="3" s="1"/>
  <c r="CG176" i="3"/>
  <c r="CS176" i="3" s="1"/>
  <c r="CG177" i="3"/>
  <c r="CS177" i="3" s="1"/>
  <c r="CG178" i="3"/>
  <c r="CS178" i="3" s="1"/>
  <c r="CG179" i="3"/>
  <c r="CS179" i="3" s="1"/>
  <c r="CG180" i="3"/>
  <c r="CS180" i="3" s="1"/>
  <c r="CG181" i="3"/>
  <c r="CS181" i="3" s="1"/>
  <c r="CG182" i="3"/>
  <c r="CS182" i="3" s="1"/>
  <c r="CG183" i="3"/>
  <c r="CS183" i="3" s="1"/>
  <c r="CG184" i="3"/>
  <c r="CS184" i="3" s="1"/>
  <c r="CG185" i="3"/>
  <c r="CS185" i="3" s="1"/>
  <c r="CG186" i="3"/>
  <c r="CS186" i="3" s="1"/>
  <c r="CG187" i="3"/>
  <c r="CS187" i="3" s="1"/>
  <c r="CG188" i="3"/>
  <c r="CS188" i="3" s="1"/>
  <c r="CG189" i="3"/>
  <c r="CS189" i="3" s="1"/>
  <c r="CG190" i="3"/>
  <c r="CS190" i="3" s="1"/>
  <c r="CG191" i="3"/>
  <c r="CS191" i="3" s="1"/>
  <c r="CG192" i="3"/>
  <c r="CS192" i="3" s="1"/>
  <c r="CG193" i="3"/>
  <c r="CS193" i="3" s="1"/>
  <c r="CG194" i="3"/>
  <c r="CS194" i="3" s="1"/>
  <c r="CG195" i="3"/>
  <c r="CS195" i="3" s="1"/>
  <c r="CG8" i="3"/>
  <c r="CS8" i="3" s="1"/>
  <c r="DE14" i="3"/>
  <c r="DH14" i="3" s="1"/>
  <c r="DI14" i="3" s="1"/>
  <c r="DJ14" i="3" s="1"/>
  <c r="DH15" i="3"/>
  <c r="DI15" i="3" s="1"/>
  <c r="DJ15" i="3" s="1"/>
  <c r="DE16" i="3"/>
  <c r="DH16" i="3" s="1"/>
  <c r="DI16" i="3" s="1"/>
  <c r="DJ16" i="3" s="1"/>
  <c r="DE17" i="3"/>
  <c r="DH17" i="3" s="1"/>
  <c r="DI17" i="3" s="1"/>
  <c r="DJ17" i="3" s="1"/>
  <c r="DE18" i="3"/>
  <c r="DH18" i="3" s="1"/>
  <c r="DI18" i="3" s="1"/>
  <c r="DJ18" i="3" s="1"/>
  <c r="DE19" i="3"/>
  <c r="DH19" i="3" s="1"/>
  <c r="DI19" i="3" s="1"/>
  <c r="DJ19" i="3" s="1"/>
  <c r="DE20" i="3"/>
  <c r="DH20" i="3" s="1"/>
  <c r="DI20" i="3" s="1"/>
  <c r="DJ20" i="3" s="1"/>
  <c r="DH21" i="3"/>
  <c r="DI21" i="3" s="1"/>
  <c r="DJ21" i="3" s="1"/>
  <c r="DE22" i="3"/>
  <c r="DH22" i="3" s="1"/>
  <c r="DI22" i="3" s="1"/>
  <c r="DJ22" i="3" s="1"/>
  <c r="DE23" i="3"/>
  <c r="DH23" i="3" s="1"/>
  <c r="DI23" i="3" s="1"/>
  <c r="DJ23" i="3" s="1"/>
  <c r="DE24" i="3"/>
  <c r="DH24" i="3" s="1"/>
  <c r="DI24" i="3" s="1"/>
  <c r="DJ24" i="3" s="1"/>
  <c r="DE25" i="3"/>
  <c r="DH25" i="3" s="1"/>
  <c r="DI25" i="3" s="1"/>
  <c r="DJ25" i="3" s="1"/>
  <c r="DE26" i="3"/>
  <c r="DH26" i="3" s="1"/>
  <c r="DI26" i="3" s="1"/>
  <c r="DJ26" i="3" s="1"/>
  <c r="DE27" i="3"/>
  <c r="DH27" i="3" s="1"/>
  <c r="DI27" i="3" s="1"/>
  <c r="DJ27" i="3" s="1"/>
  <c r="DE28" i="3"/>
  <c r="DH28" i="3" s="1"/>
  <c r="DI28" i="3" s="1"/>
  <c r="DJ28" i="3" s="1"/>
  <c r="DE29" i="3"/>
  <c r="DH29" i="3" s="1"/>
  <c r="DI29" i="3" s="1"/>
  <c r="DJ29" i="3" s="1"/>
  <c r="DE30" i="3"/>
  <c r="DH30" i="3" s="1"/>
  <c r="DI30" i="3" s="1"/>
  <c r="DJ30" i="3" s="1"/>
  <c r="DE31" i="3"/>
  <c r="DH31" i="3" s="1"/>
  <c r="DI31" i="3" s="1"/>
  <c r="DJ31" i="3" s="1"/>
  <c r="DE32" i="3"/>
  <c r="DH32" i="3" s="1"/>
  <c r="DI32" i="3" s="1"/>
  <c r="DJ32" i="3" s="1"/>
  <c r="DE33" i="3"/>
  <c r="DH33" i="3" s="1"/>
  <c r="DI33" i="3" s="1"/>
  <c r="DJ33" i="3" s="1"/>
  <c r="DE34" i="3"/>
  <c r="DH34" i="3" s="1"/>
  <c r="DI34" i="3" s="1"/>
  <c r="DJ34" i="3" s="1"/>
  <c r="DE35" i="3"/>
  <c r="DH35" i="3" s="1"/>
  <c r="DI35" i="3" s="1"/>
  <c r="DJ35" i="3" s="1"/>
  <c r="DE36" i="3"/>
  <c r="DH36" i="3" s="1"/>
  <c r="DI36" i="3" s="1"/>
  <c r="DJ36" i="3" s="1"/>
  <c r="DE37" i="3"/>
  <c r="DH37" i="3" s="1"/>
  <c r="DI37" i="3" s="1"/>
  <c r="DJ37" i="3" s="1"/>
  <c r="DE38" i="3"/>
  <c r="DH38" i="3" s="1"/>
  <c r="DI38" i="3" s="1"/>
  <c r="DJ38" i="3" s="1"/>
  <c r="DE39" i="3"/>
  <c r="DH39" i="3" s="1"/>
  <c r="DI39" i="3" s="1"/>
  <c r="DJ39" i="3" s="1"/>
  <c r="DE40" i="3"/>
  <c r="DH40" i="3" s="1"/>
  <c r="DI40" i="3" s="1"/>
  <c r="DJ40" i="3" s="1"/>
  <c r="DE41" i="3"/>
  <c r="DH41" i="3" s="1"/>
  <c r="DI41" i="3" s="1"/>
  <c r="DJ41" i="3" s="1"/>
  <c r="DE42" i="3"/>
  <c r="DH42" i="3" s="1"/>
  <c r="DI42" i="3" s="1"/>
  <c r="DJ42" i="3" s="1"/>
  <c r="DE43" i="3"/>
  <c r="DH43" i="3" s="1"/>
  <c r="DI43" i="3" s="1"/>
  <c r="DJ43" i="3" s="1"/>
  <c r="DE44" i="3"/>
  <c r="DH44" i="3" s="1"/>
  <c r="DI44" i="3" s="1"/>
  <c r="DJ44" i="3" s="1"/>
  <c r="DE45" i="3"/>
  <c r="DH45" i="3" s="1"/>
  <c r="DI45" i="3" s="1"/>
  <c r="DJ45" i="3" s="1"/>
  <c r="DE46" i="3"/>
  <c r="DH46" i="3" s="1"/>
  <c r="DI46" i="3" s="1"/>
  <c r="DJ46" i="3" s="1"/>
  <c r="DE47" i="3"/>
  <c r="DH47" i="3" s="1"/>
  <c r="DI47" i="3" s="1"/>
  <c r="DJ47" i="3" s="1"/>
  <c r="DE48" i="3"/>
  <c r="DH48" i="3" s="1"/>
  <c r="DI48" i="3" s="1"/>
  <c r="DJ48" i="3" s="1"/>
  <c r="DE49" i="3"/>
  <c r="DH49" i="3" s="1"/>
  <c r="DI49" i="3" s="1"/>
  <c r="DJ49" i="3" s="1"/>
  <c r="DE50" i="3"/>
  <c r="DH50" i="3" s="1"/>
  <c r="DI50" i="3" s="1"/>
  <c r="DJ50" i="3" s="1"/>
  <c r="DE51" i="3"/>
  <c r="DH51" i="3" s="1"/>
  <c r="DI51" i="3" s="1"/>
  <c r="DJ51" i="3" s="1"/>
  <c r="DE52" i="3"/>
  <c r="DH52" i="3" s="1"/>
  <c r="DI52" i="3" s="1"/>
  <c r="DJ52" i="3" s="1"/>
  <c r="DE53" i="3"/>
  <c r="DH53" i="3" s="1"/>
  <c r="DI53" i="3" s="1"/>
  <c r="DJ53" i="3" s="1"/>
  <c r="DE54" i="3"/>
  <c r="DH54" i="3" s="1"/>
  <c r="DI54" i="3" s="1"/>
  <c r="DJ54" i="3" s="1"/>
  <c r="DE55" i="3"/>
  <c r="DH55" i="3" s="1"/>
  <c r="DI55" i="3" s="1"/>
  <c r="DJ55" i="3" s="1"/>
  <c r="DE56" i="3"/>
  <c r="DH56" i="3" s="1"/>
  <c r="DI56" i="3" s="1"/>
  <c r="DJ56" i="3" s="1"/>
  <c r="DE57" i="3"/>
  <c r="DH57" i="3" s="1"/>
  <c r="DI57" i="3" s="1"/>
  <c r="DJ57" i="3" s="1"/>
  <c r="DE58" i="3"/>
  <c r="DH58" i="3" s="1"/>
  <c r="DI58" i="3" s="1"/>
  <c r="DJ58" i="3" s="1"/>
  <c r="DE59" i="3"/>
  <c r="DH59" i="3" s="1"/>
  <c r="DI59" i="3" s="1"/>
  <c r="DJ59" i="3" s="1"/>
  <c r="DE60" i="3"/>
  <c r="DH60" i="3" s="1"/>
  <c r="DI60" i="3" s="1"/>
  <c r="DJ60" i="3" s="1"/>
  <c r="DE61" i="3"/>
  <c r="DH61" i="3" s="1"/>
  <c r="DI61" i="3" s="1"/>
  <c r="DJ61" i="3" s="1"/>
  <c r="DE62" i="3"/>
  <c r="DH62" i="3" s="1"/>
  <c r="DI62" i="3" s="1"/>
  <c r="DJ62" i="3" s="1"/>
  <c r="DE63" i="3"/>
  <c r="DH63" i="3" s="1"/>
  <c r="DI63" i="3" s="1"/>
  <c r="DJ63" i="3" s="1"/>
  <c r="DE64" i="3"/>
  <c r="DH64" i="3" s="1"/>
  <c r="DI64" i="3" s="1"/>
  <c r="DJ64" i="3" s="1"/>
  <c r="DE65" i="3"/>
  <c r="DH65" i="3" s="1"/>
  <c r="DI65" i="3" s="1"/>
  <c r="DJ65" i="3" s="1"/>
  <c r="DE66" i="3"/>
  <c r="DH66" i="3" s="1"/>
  <c r="DI66" i="3" s="1"/>
  <c r="DJ66" i="3" s="1"/>
  <c r="DE67" i="3"/>
  <c r="DH67" i="3" s="1"/>
  <c r="DI67" i="3" s="1"/>
  <c r="DJ67" i="3" s="1"/>
  <c r="DE68" i="3"/>
  <c r="DH68" i="3" s="1"/>
  <c r="DI68" i="3" s="1"/>
  <c r="DJ68" i="3" s="1"/>
  <c r="DE69" i="3"/>
  <c r="DH69" i="3" s="1"/>
  <c r="DI69" i="3" s="1"/>
  <c r="DJ69" i="3" s="1"/>
  <c r="DE70" i="3"/>
  <c r="DH70" i="3" s="1"/>
  <c r="DI70" i="3" s="1"/>
  <c r="DJ70" i="3" s="1"/>
  <c r="DE71" i="3"/>
  <c r="DH71" i="3" s="1"/>
  <c r="DI71" i="3" s="1"/>
  <c r="DJ71" i="3" s="1"/>
  <c r="DE72" i="3"/>
  <c r="DH72" i="3" s="1"/>
  <c r="DI72" i="3" s="1"/>
  <c r="DJ72" i="3" s="1"/>
  <c r="DE73" i="3"/>
  <c r="DH73" i="3" s="1"/>
  <c r="DI73" i="3" s="1"/>
  <c r="DJ73" i="3" s="1"/>
  <c r="DE74" i="3"/>
  <c r="DH74" i="3" s="1"/>
  <c r="DI74" i="3" s="1"/>
  <c r="DJ74" i="3" s="1"/>
  <c r="DE75" i="3"/>
  <c r="DH75" i="3" s="1"/>
  <c r="DI75" i="3" s="1"/>
  <c r="DJ75" i="3" s="1"/>
  <c r="DE76" i="3"/>
  <c r="DH76" i="3" s="1"/>
  <c r="DI76" i="3" s="1"/>
  <c r="DJ76" i="3" s="1"/>
  <c r="DE77" i="3"/>
  <c r="DH77" i="3" s="1"/>
  <c r="DI77" i="3" s="1"/>
  <c r="DJ77" i="3" s="1"/>
  <c r="DE78" i="3"/>
  <c r="DH78" i="3" s="1"/>
  <c r="DI78" i="3" s="1"/>
  <c r="DJ78" i="3" s="1"/>
  <c r="DE79" i="3"/>
  <c r="DH79" i="3" s="1"/>
  <c r="DI79" i="3" s="1"/>
  <c r="DJ79" i="3" s="1"/>
  <c r="DE80" i="3"/>
  <c r="DH80" i="3" s="1"/>
  <c r="DI80" i="3" s="1"/>
  <c r="DJ80" i="3" s="1"/>
  <c r="DE81" i="3"/>
  <c r="DH81" i="3" s="1"/>
  <c r="DI81" i="3" s="1"/>
  <c r="DJ81" i="3" s="1"/>
  <c r="DE82" i="3"/>
  <c r="DH82" i="3" s="1"/>
  <c r="DI82" i="3" s="1"/>
  <c r="DJ82" i="3" s="1"/>
  <c r="DE83" i="3"/>
  <c r="DH83" i="3" s="1"/>
  <c r="DI83" i="3" s="1"/>
  <c r="DJ83" i="3" s="1"/>
  <c r="DE84" i="3"/>
  <c r="DH84" i="3" s="1"/>
  <c r="DI84" i="3" s="1"/>
  <c r="DJ84" i="3" s="1"/>
  <c r="DE85" i="3"/>
  <c r="DH85" i="3" s="1"/>
  <c r="DI85" i="3" s="1"/>
  <c r="DJ85" i="3" s="1"/>
  <c r="DE86" i="3"/>
  <c r="DH86" i="3" s="1"/>
  <c r="DI86" i="3" s="1"/>
  <c r="DJ86" i="3" s="1"/>
  <c r="DE87" i="3"/>
  <c r="DH87" i="3" s="1"/>
  <c r="DI87" i="3" s="1"/>
  <c r="DJ87" i="3" s="1"/>
  <c r="DE88" i="3"/>
  <c r="DH88" i="3" s="1"/>
  <c r="DI88" i="3" s="1"/>
  <c r="DJ88" i="3" s="1"/>
  <c r="DE89" i="3"/>
  <c r="DH89" i="3" s="1"/>
  <c r="DI89" i="3" s="1"/>
  <c r="DJ89" i="3" s="1"/>
  <c r="DE90" i="3"/>
  <c r="DH90" i="3" s="1"/>
  <c r="DI90" i="3" s="1"/>
  <c r="DJ90" i="3" s="1"/>
  <c r="DE91" i="3"/>
  <c r="DH91" i="3" s="1"/>
  <c r="DI91" i="3" s="1"/>
  <c r="DJ91" i="3" s="1"/>
  <c r="DE92" i="3"/>
  <c r="DH92" i="3" s="1"/>
  <c r="DI92" i="3" s="1"/>
  <c r="DJ92" i="3" s="1"/>
  <c r="DE93" i="3"/>
  <c r="DH93" i="3" s="1"/>
  <c r="DI93" i="3" s="1"/>
  <c r="DJ93" i="3" s="1"/>
  <c r="DE94" i="3"/>
  <c r="DH94" i="3" s="1"/>
  <c r="DI94" i="3" s="1"/>
  <c r="DJ94" i="3" s="1"/>
  <c r="DE95" i="3"/>
  <c r="DH95" i="3" s="1"/>
  <c r="DI95" i="3" s="1"/>
  <c r="DJ95" i="3" s="1"/>
  <c r="DE96" i="3"/>
  <c r="DH96" i="3" s="1"/>
  <c r="DI96" i="3" s="1"/>
  <c r="DJ96" i="3" s="1"/>
  <c r="DE97" i="3"/>
  <c r="DH97" i="3" s="1"/>
  <c r="DI97" i="3" s="1"/>
  <c r="DJ97" i="3" s="1"/>
  <c r="DE98" i="3"/>
  <c r="DH98" i="3" s="1"/>
  <c r="DI98" i="3" s="1"/>
  <c r="DJ98" i="3" s="1"/>
  <c r="DE99" i="3"/>
  <c r="DH99" i="3" s="1"/>
  <c r="DI99" i="3" s="1"/>
  <c r="DJ99" i="3" s="1"/>
  <c r="DE100" i="3"/>
  <c r="DH100" i="3" s="1"/>
  <c r="DI100" i="3" s="1"/>
  <c r="DJ100" i="3" s="1"/>
  <c r="DE105" i="3"/>
  <c r="DH105" i="3" s="1"/>
  <c r="DI105" i="3" s="1"/>
  <c r="DJ105" i="3" s="1"/>
  <c r="DE106" i="3"/>
  <c r="DH106" i="3" s="1"/>
  <c r="DI106" i="3" s="1"/>
  <c r="DJ106" i="3" s="1"/>
  <c r="DE107" i="3"/>
  <c r="DH107" i="3" s="1"/>
  <c r="DI107" i="3" s="1"/>
  <c r="DJ107" i="3" s="1"/>
  <c r="DE108" i="3"/>
  <c r="DH108" i="3" s="1"/>
  <c r="DI108" i="3" s="1"/>
  <c r="DJ108" i="3" s="1"/>
  <c r="DE109" i="3"/>
  <c r="DH109" i="3" s="1"/>
  <c r="DI109" i="3" s="1"/>
  <c r="DJ109" i="3" s="1"/>
  <c r="DE110" i="3"/>
  <c r="DH110" i="3" s="1"/>
  <c r="DI110" i="3" s="1"/>
  <c r="DJ110" i="3" s="1"/>
  <c r="DE111" i="3"/>
  <c r="DH111" i="3" s="1"/>
  <c r="DI111" i="3" s="1"/>
  <c r="DJ111" i="3" s="1"/>
  <c r="DE112" i="3"/>
  <c r="DH112" i="3" s="1"/>
  <c r="DI112" i="3" s="1"/>
  <c r="DJ112" i="3" s="1"/>
  <c r="DE113" i="3"/>
  <c r="DH113" i="3" s="1"/>
  <c r="DI113" i="3" s="1"/>
  <c r="DJ113" i="3" s="1"/>
  <c r="DE114" i="3"/>
  <c r="DH114" i="3" s="1"/>
  <c r="DI114" i="3" s="1"/>
  <c r="DJ114" i="3" s="1"/>
  <c r="DE115" i="3"/>
  <c r="DH115" i="3" s="1"/>
  <c r="DI115" i="3" s="1"/>
  <c r="DJ115" i="3" s="1"/>
  <c r="DE116" i="3"/>
  <c r="DH116" i="3" s="1"/>
  <c r="DI116" i="3" s="1"/>
  <c r="DJ116" i="3" s="1"/>
  <c r="DE117" i="3"/>
  <c r="DH117" i="3" s="1"/>
  <c r="DI117" i="3" s="1"/>
  <c r="DJ117" i="3" s="1"/>
  <c r="DE118" i="3"/>
  <c r="DH118" i="3" s="1"/>
  <c r="DI118" i="3" s="1"/>
  <c r="DJ118" i="3" s="1"/>
  <c r="DE119" i="3"/>
  <c r="DH119" i="3" s="1"/>
  <c r="DI119" i="3" s="1"/>
  <c r="DJ119" i="3" s="1"/>
  <c r="DE120" i="3"/>
  <c r="DH120" i="3" s="1"/>
  <c r="DI120" i="3" s="1"/>
  <c r="DJ120" i="3" s="1"/>
  <c r="DE121" i="3"/>
  <c r="DH121" i="3" s="1"/>
  <c r="DI121" i="3" s="1"/>
  <c r="DJ121" i="3" s="1"/>
  <c r="DE122" i="3"/>
  <c r="DH122" i="3" s="1"/>
  <c r="DI122" i="3" s="1"/>
  <c r="DJ122" i="3" s="1"/>
  <c r="DE123" i="3"/>
  <c r="DH123" i="3" s="1"/>
  <c r="DI123" i="3" s="1"/>
  <c r="DJ123" i="3" s="1"/>
  <c r="DE124" i="3"/>
  <c r="DH124" i="3" s="1"/>
  <c r="DI124" i="3" s="1"/>
  <c r="DJ124" i="3" s="1"/>
  <c r="DE125" i="3"/>
  <c r="DH125" i="3" s="1"/>
  <c r="DI125" i="3" s="1"/>
  <c r="DJ125" i="3" s="1"/>
  <c r="DE126" i="3"/>
  <c r="DH126" i="3" s="1"/>
  <c r="DI126" i="3" s="1"/>
  <c r="DJ126" i="3" s="1"/>
  <c r="DE127" i="3"/>
  <c r="DH127" i="3" s="1"/>
  <c r="DI127" i="3" s="1"/>
  <c r="DJ127" i="3" s="1"/>
  <c r="DE128" i="3"/>
  <c r="DH128" i="3" s="1"/>
  <c r="DI128" i="3" s="1"/>
  <c r="DJ128" i="3" s="1"/>
  <c r="DE129" i="3"/>
  <c r="DH129" i="3" s="1"/>
  <c r="DI129" i="3" s="1"/>
  <c r="DJ129" i="3" s="1"/>
  <c r="DE130" i="3"/>
  <c r="DH130" i="3" s="1"/>
  <c r="DI130" i="3" s="1"/>
  <c r="DJ130" i="3" s="1"/>
  <c r="DE131" i="3"/>
  <c r="DH131" i="3" s="1"/>
  <c r="DI131" i="3" s="1"/>
  <c r="DJ131" i="3" s="1"/>
  <c r="DE132" i="3"/>
  <c r="DH132" i="3" s="1"/>
  <c r="DI132" i="3" s="1"/>
  <c r="DJ132" i="3" s="1"/>
  <c r="DE133" i="3"/>
  <c r="DH133" i="3" s="1"/>
  <c r="DI133" i="3" s="1"/>
  <c r="DJ133" i="3" s="1"/>
  <c r="DE134" i="3"/>
  <c r="DH134" i="3" s="1"/>
  <c r="DI134" i="3" s="1"/>
  <c r="DJ134" i="3" s="1"/>
  <c r="DE135" i="3"/>
  <c r="DH135" i="3" s="1"/>
  <c r="DI135" i="3" s="1"/>
  <c r="DJ135" i="3" s="1"/>
  <c r="DE136" i="3"/>
  <c r="DH136" i="3" s="1"/>
  <c r="DI136" i="3" s="1"/>
  <c r="DJ136" i="3" s="1"/>
  <c r="DE137" i="3"/>
  <c r="DH137" i="3" s="1"/>
  <c r="DI137" i="3" s="1"/>
  <c r="DJ137" i="3" s="1"/>
  <c r="DE138" i="3"/>
  <c r="DH138" i="3" s="1"/>
  <c r="DI138" i="3" s="1"/>
  <c r="DJ138" i="3" s="1"/>
  <c r="DE139" i="3"/>
  <c r="DH139" i="3" s="1"/>
  <c r="DI139" i="3" s="1"/>
  <c r="DJ139" i="3" s="1"/>
  <c r="DE140" i="3"/>
  <c r="DH140" i="3" s="1"/>
  <c r="DI140" i="3" s="1"/>
  <c r="DJ140" i="3" s="1"/>
  <c r="DE141" i="3"/>
  <c r="DH141" i="3" s="1"/>
  <c r="DI141" i="3" s="1"/>
  <c r="DJ141" i="3" s="1"/>
  <c r="DE142" i="3"/>
  <c r="DH142" i="3" s="1"/>
  <c r="DI142" i="3" s="1"/>
  <c r="DJ142" i="3" s="1"/>
  <c r="DE143" i="3"/>
  <c r="DH143" i="3" s="1"/>
  <c r="DI143" i="3" s="1"/>
  <c r="DJ143" i="3" s="1"/>
  <c r="DE144" i="3"/>
  <c r="DH144" i="3" s="1"/>
  <c r="DI144" i="3" s="1"/>
  <c r="DJ144" i="3" s="1"/>
  <c r="DE145" i="3"/>
  <c r="DH145" i="3" s="1"/>
  <c r="DI145" i="3" s="1"/>
  <c r="DJ145" i="3" s="1"/>
  <c r="DE146" i="3"/>
  <c r="DH146" i="3" s="1"/>
  <c r="DI146" i="3" s="1"/>
  <c r="DJ146" i="3" s="1"/>
  <c r="DE147" i="3"/>
  <c r="DH147" i="3" s="1"/>
  <c r="DI147" i="3" s="1"/>
  <c r="DJ147" i="3" s="1"/>
  <c r="DE148" i="3"/>
  <c r="DH148" i="3" s="1"/>
  <c r="DI148" i="3" s="1"/>
  <c r="DJ148" i="3" s="1"/>
  <c r="DE149" i="3"/>
  <c r="DH149" i="3" s="1"/>
  <c r="DI149" i="3" s="1"/>
  <c r="DJ149" i="3" s="1"/>
  <c r="DE150" i="3"/>
  <c r="DH150" i="3" s="1"/>
  <c r="DI150" i="3" s="1"/>
  <c r="DJ150" i="3" s="1"/>
  <c r="DE151" i="3"/>
  <c r="DH151" i="3" s="1"/>
  <c r="DI151" i="3" s="1"/>
  <c r="DJ151" i="3" s="1"/>
  <c r="DE152" i="3"/>
  <c r="DH152" i="3" s="1"/>
  <c r="DI152" i="3" s="1"/>
  <c r="DJ152" i="3" s="1"/>
  <c r="DE153" i="3"/>
  <c r="DH153" i="3" s="1"/>
  <c r="DI153" i="3" s="1"/>
  <c r="DJ153" i="3" s="1"/>
  <c r="DE154" i="3"/>
  <c r="DH154" i="3" s="1"/>
  <c r="DI154" i="3" s="1"/>
  <c r="DJ154" i="3" s="1"/>
  <c r="DE155" i="3"/>
  <c r="DH155" i="3" s="1"/>
  <c r="DI155" i="3" s="1"/>
  <c r="DJ155" i="3" s="1"/>
  <c r="DE156" i="3"/>
  <c r="DH156" i="3" s="1"/>
  <c r="DI156" i="3" s="1"/>
  <c r="DJ156" i="3" s="1"/>
  <c r="DE157" i="3"/>
  <c r="DH157" i="3" s="1"/>
  <c r="DI157" i="3" s="1"/>
  <c r="DJ157" i="3" s="1"/>
  <c r="DE158" i="3"/>
  <c r="DH158" i="3" s="1"/>
  <c r="DI158" i="3" s="1"/>
  <c r="DJ158" i="3" s="1"/>
  <c r="DE159" i="3"/>
  <c r="DH159" i="3" s="1"/>
  <c r="DI159" i="3" s="1"/>
  <c r="DJ159" i="3" s="1"/>
  <c r="DE160" i="3"/>
  <c r="DH160" i="3" s="1"/>
  <c r="DI160" i="3" s="1"/>
  <c r="DJ160" i="3" s="1"/>
  <c r="DE161" i="3"/>
  <c r="DH161" i="3" s="1"/>
  <c r="DI161" i="3" s="1"/>
  <c r="DE162" i="3"/>
  <c r="DH162" i="3" s="1"/>
  <c r="DI162" i="3" s="1"/>
  <c r="DJ162" i="3" s="1"/>
  <c r="DE163" i="3"/>
  <c r="DH163" i="3" s="1"/>
  <c r="DI163" i="3" s="1"/>
  <c r="DJ163" i="3" s="1"/>
  <c r="DE165" i="3"/>
  <c r="DH165" i="3" s="1"/>
  <c r="DI165" i="3" s="1"/>
  <c r="DJ165" i="3" s="1"/>
  <c r="DE166" i="3"/>
  <c r="DH166" i="3" s="1"/>
  <c r="DI166" i="3" s="1"/>
  <c r="DJ166" i="3" s="1"/>
  <c r="DE167" i="3"/>
  <c r="DH167" i="3" s="1"/>
  <c r="DI167" i="3" s="1"/>
  <c r="DJ167" i="3" s="1"/>
  <c r="DE168" i="3"/>
  <c r="DH168" i="3" s="1"/>
  <c r="DI168" i="3" s="1"/>
  <c r="DJ168" i="3" s="1"/>
  <c r="DE169" i="3"/>
  <c r="DH169" i="3" s="1"/>
  <c r="DI169" i="3" s="1"/>
  <c r="DJ169" i="3" s="1"/>
  <c r="DE170" i="3"/>
  <c r="DH170" i="3" s="1"/>
  <c r="DI170" i="3" s="1"/>
  <c r="DJ170" i="3" s="1"/>
  <c r="DE171" i="3"/>
  <c r="DH171" i="3" s="1"/>
  <c r="DI171" i="3" s="1"/>
  <c r="DJ171" i="3" s="1"/>
  <c r="DE172" i="3"/>
  <c r="DH172" i="3" s="1"/>
  <c r="DI172" i="3" s="1"/>
  <c r="DJ172" i="3" s="1"/>
  <c r="DE173" i="3"/>
  <c r="DH173" i="3" s="1"/>
  <c r="DI173" i="3" s="1"/>
  <c r="DJ173" i="3" s="1"/>
  <c r="DE174" i="3"/>
  <c r="DH174" i="3" s="1"/>
  <c r="DI174" i="3" s="1"/>
  <c r="DJ174" i="3" s="1"/>
  <c r="DE175" i="3"/>
  <c r="DH175" i="3" s="1"/>
  <c r="DI175" i="3" s="1"/>
  <c r="DJ175" i="3" s="1"/>
  <c r="DE176" i="3"/>
  <c r="DH176" i="3" s="1"/>
  <c r="DI176" i="3" s="1"/>
  <c r="DJ176" i="3" s="1"/>
  <c r="DE177" i="3"/>
  <c r="DH177" i="3" s="1"/>
  <c r="DI177" i="3" s="1"/>
  <c r="DJ177" i="3" s="1"/>
  <c r="DE178" i="3"/>
  <c r="DH178" i="3" s="1"/>
  <c r="DI178" i="3" s="1"/>
  <c r="DJ178" i="3" s="1"/>
  <c r="DE179" i="3"/>
  <c r="DH179" i="3" s="1"/>
  <c r="DI179" i="3" s="1"/>
  <c r="DJ179" i="3" s="1"/>
  <c r="DE180" i="3"/>
  <c r="DH180" i="3" s="1"/>
  <c r="DI180" i="3" s="1"/>
  <c r="DJ180" i="3" s="1"/>
  <c r="DE181" i="3"/>
  <c r="DH181" i="3" s="1"/>
  <c r="DI181" i="3" s="1"/>
  <c r="DJ181" i="3" s="1"/>
  <c r="DE182" i="3"/>
  <c r="DH182" i="3" s="1"/>
  <c r="DI182" i="3" s="1"/>
  <c r="DJ182" i="3" s="1"/>
  <c r="DE183" i="3"/>
  <c r="DH183" i="3" s="1"/>
  <c r="DI183" i="3" s="1"/>
  <c r="DJ183" i="3" s="1"/>
  <c r="DE184" i="3"/>
  <c r="DH184" i="3" s="1"/>
  <c r="DI184" i="3" s="1"/>
  <c r="DJ184" i="3" s="1"/>
  <c r="DE185" i="3"/>
  <c r="DH185" i="3" s="1"/>
  <c r="DI185" i="3" s="1"/>
  <c r="DJ185" i="3" s="1"/>
  <c r="DE186" i="3"/>
  <c r="DH186" i="3" s="1"/>
  <c r="DI186" i="3" s="1"/>
  <c r="DJ186" i="3" s="1"/>
  <c r="DE187" i="3"/>
  <c r="DH187" i="3" s="1"/>
  <c r="DI187" i="3" s="1"/>
  <c r="DJ187" i="3" s="1"/>
  <c r="DE188" i="3"/>
  <c r="DH188" i="3" s="1"/>
  <c r="DI188" i="3" s="1"/>
  <c r="DJ188" i="3" s="1"/>
  <c r="DE189" i="3"/>
  <c r="DH189" i="3" s="1"/>
  <c r="DI189" i="3" s="1"/>
  <c r="DJ189" i="3" s="1"/>
  <c r="DE190" i="3"/>
  <c r="DH190" i="3" s="1"/>
  <c r="DI190" i="3" s="1"/>
  <c r="DJ190" i="3" s="1"/>
  <c r="DE191" i="3"/>
  <c r="DH191" i="3" s="1"/>
  <c r="DI191" i="3" s="1"/>
  <c r="DJ191" i="3" s="1"/>
  <c r="DE192" i="3"/>
  <c r="DH192" i="3" s="1"/>
  <c r="DI192" i="3" s="1"/>
  <c r="DJ192" i="3" s="1"/>
  <c r="DE193" i="3"/>
  <c r="DH193" i="3" s="1"/>
  <c r="DI193" i="3" s="1"/>
  <c r="DJ193" i="3" s="1"/>
  <c r="DE194" i="3"/>
  <c r="DH194" i="3" s="1"/>
  <c r="DI194" i="3" s="1"/>
  <c r="DJ194" i="3" s="1"/>
  <c r="DE195" i="3"/>
  <c r="DH195" i="3" s="1"/>
  <c r="DI195" i="3" s="1"/>
  <c r="DJ195" i="3" s="1"/>
  <c r="DE10" i="3"/>
  <c r="DH10" i="3" s="1"/>
  <c r="DI10" i="3" s="1"/>
  <c r="DJ10" i="3" s="1"/>
  <c r="DE11" i="3"/>
  <c r="DH11" i="3" s="1"/>
  <c r="DI11" i="3" s="1"/>
  <c r="DJ11" i="3" s="1"/>
  <c r="DE12" i="3"/>
  <c r="DH12" i="3" s="1"/>
  <c r="DI12" i="3" s="1"/>
  <c r="DJ12" i="3" s="1"/>
  <c r="DX11" i="3"/>
  <c r="DY11" i="3" s="1"/>
  <c r="DX12" i="3"/>
  <c r="DY12" i="3" s="1"/>
  <c r="DX13" i="3"/>
  <c r="DY13" i="3" s="1"/>
  <c r="DX14" i="3"/>
  <c r="DY14" i="3" s="1"/>
  <c r="DX15" i="3"/>
  <c r="DY15" i="3" s="1"/>
  <c r="DX16" i="3"/>
  <c r="DY16" i="3" s="1"/>
  <c r="DX17" i="3"/>
  <c r="DY17" i="3" s="1"/>
  <c r="DX18" i="3"/>
  <c r="DY18" i="3" s="1"/>
  <c r="DX19" i="3"/>
  <c r="DY19" i="3" s="1"/>
  <c r="DX20" i="3"/>
  <c r="DY20" i="3" s="1"/>
  <c r="DX21" i="3"/>
  <c r="DY21" i="3" s="1"/>
  <c r="DX22" i="3"/>
  <c r="DY22" i="3" s="1"/>
  <c r="DX23" i="3"/>
  <c r="DY23" i="3" s="1"/>
  <c r="DX24" i="3"/>
  <c r="DY24" i="3" s="1"/>
  <c r="DX25" i="3"/>
  <c r="DY25" i="3" s="1"/>
  <c r="DX26" i="3"/>
  <c r="DY26" i="3" s="1"/>
  <c r="DX27" i="3"/>
  <c r="DY27" i="3" s="1"/>
  <c r="DX28" i="3"/>
  <c r="DY28" i="3" s="1"/>
  <c r="DX29" i="3"/>
  <c r="DY29" i="3" s="1"/>
  <c r="DX30" i="3"/>
  <c r="DY30" i="3" s="1"/>
  <c r="DX31" i="3"/>
  <c r="DY31" i="3" s="1"/>
  <c r="DX32" i="3"/>
  <c r="DY32" i="3" s="1"/>
  <c r="DX33" i="3"/>
  <c r="DY33" i="3" s="1"/>
  <c r="DX34" i="3"/>
  <c r="DY34" i="3" s="1"/>
  <c r="DX35" i="3"/>
  <c r="DY35" i="3" s="1"/>
  <c r="DX36" i="3"/>
  <c r="DY36" i="3" s="1"/>
  <c r="DX37" i="3"/>
  <c r="DY37" i="3" s="1"/>
  <c r="DX38" i="3"/>
  <c r="DY38" i="3" s="1"/>
  <c r="DX39" i="3"/>
  <c r="DY39" i="3" s="1"/>
  <c r="DX40" i="3"/>
  <c r="DY40" i="3" s="1"/>
  <c r="DX41" i="3"/>
  <c r="DY41" i="3" s="1"/>
  <c r="DX42" i="3"/>
  <c r="DY42" i="3" s="1"/>
  <c r="DX43" i="3"/>
  <c r="DY43" i="3" s="1"/>
  <c r="DX44" i="3"/>
  <c r="DY44" i="3" s="1"/>
  <c r="DX45" i="3"/>
  <c r="DY45" i="3" s="1"/>
  <c r="DX46" i="3"/>
  <c r="DY46" i="3" s="1"/>
  <c r="DX47" i="3"/>
  <c r="DY47" i="3" s="1"/>
  <c r="DX48" i="3"/>
  <c r="DY48" i="3" s="1"/>
  <c r="DX49" i="3"/>
  <c r="DY49" i="3" s="1"/>
  <c r="DX50" i="3"/>
  <c r="DY50" i="3" s="1"/>
  <c r="DX51" i="3"/>
  <c r="DY51" i="3" s="1"/>
  <c r="DX52" i="3"/>
  <c r="DY52" i="3" s="1"/>
  <c r="DX53" i="3"/>
  <c r="DY53" i="3" s="1"/>
  <c r="DX54" i="3"/>
  <c r="DY54" i="3" s="1"/>
  <c r="DX55" i="3"/>
  <c r="DY55" i="3" s="1"/>
  <c r="DX56" i="3"/>
  <c r="DY56" i="3" s="1"/>
  <c r="DX57" i="3"/>
  <c r="DY57" i="3" s="1"/>
  <c r="DX58" i="3"/>
  <c r="DY58" i="3" s="1"/>
  <c r="DX59" i="3"/>
  <c r="DY59" i="3" s="1"/>
  <c r="DX60" i="3"/>
  <c r="DY60" i="3" s="1"/>
  <c r="DX61" i="3"/>
  <c r="DY61" i="3" s="1"/>
  <c r="DX62" i="3"/>
  <c r="DY62" i="3" s="1"/>
  <c r="DX63" i="3"/>
  <c r="DY63" i="3" s="1"/>
  <c r="DX64" i="3"/>
  <c r="DY64" i="3" s="1"/>
  <c r="DX65" i="3"/>
  <c r="DY65" i="3" s="1"/>
  <c r="DX66" i="3"/>
  <c r="DY66" i="3" s="1"/>
  <c r="DX67" i="3"/>
  <c r="DY67" i="3" s="1"/>
  <c r="DX68" i="3"/>
  <c r="DY68" i="3" s="1"/>
  <c r="DX69" i="3"/>
  <c r="DY69" i="3" s="1"/>
  <c r="DX70" i="3"/>
  <c r="DY70" i="3" s="1"/>
  <c r="DX71" i="3"/>
  <c r="DY71" i="3" s="1"/>
  <c r="DX72" i="3"/>
  <c r="DY72" i="3" s="1"/>
  <c r="DX73" i="3"/>
  <c r="DY73" i="3" s="1"/>
  <c r="DX74" i="3"/>
  <c r="DY74" i="3" s="1"/>
  <c r="DX75" i="3"/>
  <c r="DY75" i="3" s="1"/>
  <c r="DX76" i="3"/>
  <c r="DY76" i="3" s="1"/>
  <c r="DX77" i="3"/>
  <c r="DY77" i="3" s="1"/>
  <c r="DX78" i="3"/>
  <c r="DY78" i="3" s="1"/>
  <c r="DX79" i="3"/>
  <c r="DY79" i="3" s="1"/>
  <c r="DX80" i="3"/>
  <c r="DY80" i="3" s="1"/>
  <c r="DX81" i="3"/>
  <c r="DY81" i="3" s="1"/>
  <c r="DX82" i="3"/>
  <c r="DY82" i="3" s="1"/>
  <c r="DX83" i="3"/>
  <c r="DY83" i="3" s="1"/>
  <c r="DX84" i="3"/>
  <c r="DY84" i="3" s="1"/>
  <c r="DX85" i="3"/>
  <c r="DY85" i="3" s="1"/>
  <c r="DX86" i="3"/>
  <c r="DY86" i="3" s="1"/>
  <c r="DX87" i="3"/>
  <c r="DY87" i="3" s="1"/>
  <c r="DX88" i="3"/>
  <c r="DY88" i="3" s="1"/>
  <c r="DX89" i="3"/>
  <c r="DY89" i="3" s="1"/>
  <c r="DX90" i="3"/>
  <c r="DY90" i="3" s="1"/>
  <c r="DX91" i="3"/>
  <c r="DY91" i="3" s="1"/>
  <c r="DX92" i="3"/>
  <c r="DY92" i="3" s="1"/>
  <c r="DX93" i="3"/>
  <c r="DY93" i="3" s="1"/>
  <c r="DX94" i="3"/>
  <c r="DY94" i="3" s="1"/>
  <c r="DX95" i="3"/>
  <c r="DY95" i="3" s="1"/>
  <c r="DX96" i="3"/>
  <c r="DY96" i="3" s="1"/>
  <c r="DX97" i="3"/>
  <c r="DY97" i="3" s="1"/>
  <c r="DX98" i="3"/>
  <c r="DY98" i="3" s="1"/>
  <c r="DX99" i="3"/>
  <c r="DY99" i="3" s="1"/>
  <c r="DX100" i="3"/>
  <c r="DY100" i="3" s="1"/>
  <c r="DX105" i="3"/>
  <c r="DY105" i="3" s="1"/>
  <c r="DX106" i="3"/>
  <c r="DY106" i="3" s="1"/>
  <c r="DX107" i="3"/>
  <c r="DY107" i="3" s="1"/>
  <c r="DX108" i="3"/>
  <c r="DY108" i="3" s="1"/>
  <c r="DX109" i="3"/>
  <c r="DY109" i="3" s="1"/>
  <c r="DX110" i="3"/>
  <c r="DY110" i="3" s="1"/>
  <c r="DX111" i="3"/>
  <c r="DY111" i="3" s="1"/>
  <c r="DX112" i="3"/>
  <c r="DY112" i="3" s="1"/>
  <c r="DX113" i="3"/>
  <c r="DY113" i="3" s="1"/>
  <c r="DX114" i="3"/>
  <c r="DY114" i="3" s="1"/>
  <c r="DX115" i="3"/>
  <c r="DY115" i="3" s="1"/>
  <c r="DX116" i="3"/>
  <c r="DY116" i="3" s="1"/>
  <c r="DX117" i="3"/>
  <c r="DY117" i="3" s="1"/>
  <c r="DX118" i="3"/>
  <c r="DY118" i="3" s="1"/>
  <c r="DX119" i="3"/>
  <c r="DY119" i="3" s="1"/>
  <c r="DX120" i="3"/>
  <c r="DY120" i="3" s="1"/>
  <c r="DX121" i="3"/>
  <c r="DY121" i="3" s="1"/>
  <c r="DX122" i="3"/>
  <c r="DY122" i="3" s="1"/>
  <c r="DX123" i="3"/>
  <c r="DY123" i="3" s="1"/>
  <c r="DX124" i="3"/>
  <c r="DY124" i="3" s="1"/>
  <c r="DX125" i="3"/>
  <c r="DY125" i="3" s="1"/>
  <c r="DX126" i="3"/>
  <c r="DY126" i="3" s="1"/>
  <c r="DX127" i="3"/>
  <c r="DY127" i="3" s="1"/>
  <c r="DX128" i="3"/>
  <c r="DY128" i="3" s="1"/>
  <c r="DX129" i="3"/>
  <c r="DY129" i="3" s="1"/>
  <c r="DX130" i="3"/>
  <c r="DY130" i="3" s="1"/>
  <c r="DX131" i="3"/>
  <c r="DY131" i="3" s="1"/>
  <c r="DX132" i="3"/>
  <c r="DY132" i="3" s="1"/>
  <c r="DX133" i="3"/>
  <c r="DY133" i="3" s="1"/>
  <c r="DX134" i="3"/>
  <c r="DY134" i="3" s="1"/>
  <c r="DX135" i="3"/>
  <c r="DY135" i="3" s="1"/>
  <c r="DX136" i="3"/>
  <c r="DY136" i="3" s="1"/>
  <c r="DX137" i="3"/>
  <c r="DY137" i="3" s="1"/>
  <c r="DX138" i="3"/>
  <c r="DY138" i="3" s="1"/>
  <c r="DX139" i="3"/>
  <c r="DY139" i="3" s="1"/>
  <c r="DX140" i="3"/>
  <c r="DY140" i="3" s="1"/>
  <c r="DX141" i="3"/>
  <c r="DY141" i="3" s="1"/>
  <c r="DX142" i="3"/>
  <c r="DY142" i="3" s="1"/>
  <c r="DX143" i="3"/>
  <c r="DY143" i="3" s="1"/>
  <c r="DX144" i="3"/>
  <c r="DY144" i="3" s="1"/>
  <c r="DX145" i="3"/>
  <c r="DY145" i="3" s="1"/>
  <c r="DX146" i="3"/>
  <c r="DY146" i="3" s="1"/>
  <c r="DX147" i="3"/>
  <c r="DY147" i="3" s="1"/>
  <c r="DX148" i="3"/>
  <c r="DY148" i="3" s="1"/>
  <c r="DX149" i="3"/>
  <c r="DY149" i="3" s="1"/>
  <c r="DX150" i="3"/>
  <c r="DY150" i="3" s="1"/>
  <c r="DX151" i="3"/>
  <c r="DY151" i="3" s="1"/>
  <c r="DX152" i="3"/>
  <c r="DY152" i="3" s="1"/>
  <c r="DX153" i="3"/>
  <c r="DY153" i="3" s="1"/>
  <c r="DX154" i="3"/>
  <c r="DY154" i="3" s="1"/>
  <c r="DX155" i="3"/>
  <c r="DY155" i="3" s="1"/>
  <c r="DX156" i="3"/>
  <c r="DY156" i="3" s="1"/>
  <c r="DX157" i="3"/>
  <c r="DY157" i="3" s="1"/>
  <c r="DX158" i="3"/>
  <c r="DY158" i="3" s="1"/>
  <c r="DX159" i="3"/>
  <c r="DY159" i="3" s="1"/>
  <c r="DX160" i="3"/>
  <c r="DY160" i="3" s="1"/>
  <c r="DX161" i="3"/>
  <c r="DY161" i="3" s="1"/>
  <c r="DX162" i="3"/>
  <c r="DY162" i="3" s="1"/>
  <c r="DX163" i="3"/>
  <c r="DY163" i="3" s="1"/>
  <c r="DX164" i="3"/>
  <c r="DY164" i="3" s="1"/>
  <c r="DX165" i="3"/>
  <c r="DY165" i="3" s="1"/>
  <c r="DX166" i="3"/>
  <c r="DY166" i="3" s="1"/>
  <c r="DX167" i="3"/>
  <c r="DY167" i="3" s="1"/>
  <c r="DX168" i="3"/>
  <c r="DY168" i="3" s="1"/>
  <c r="DX169" i="3"/>
  <c r="DY169" i="3" s="1"/>
  <c r="DX170" i="3"/>
  <c r="DY170" i="3" s="1"/>
  <c r="DX171" i="3"/>
  <c r="DY171" i="3" s="1"/>
  <c r="DX172" i="3"/>
  <c r="DY172" i="3" s="1"/>
  <c r="DX173" i="3"/>
  <c r="DY173" i="3" s="1"/>
  <c r="DX174" i="3"/>
  <c r="DY174" i="3" s="1"/>
  <c r="DX175" i="3"/>
  <c r="DY175" i="3" s="1"/>
  <c r="DX176" i="3"/>
  <c r="DY176" i="3" s="1"/>
  <c r="DX177" i="3"/>
  <c r="DY177" i="3" s="1"/>
  <c r="DX178" i="3"/>
  <c r="DY178" i="3" s="1"/>
  <c r="DX179" i="3"/>
  <c r="DY179" i="3" s="1"/>
  <c r="DX180" i="3"/>
  <c r="DY180" i="3" s="1"/>
  <c r="DX181" i="3"/>
  <c r="DY181" i="3" s="1"/>
  <c r="DX182" i="3"/>
  <c r="DY182" i="3" s="1"/>
  <c r="DX183" i="3"/>
  <c r="DY183" i="3" s="1"/>
  <c r="DX184" i="3"/>
  <c r="DY184" i="3" s="1"/>
  <c r="DX185" i="3"/>
  <c r="DY185" i="3" s="1"/>
  <c r="DX186" i="3"/>
  <c r="DY186" i="3" s="1"/>
  <c r="DX187" i="3"/>
  <c r="DY187" i="3" s="1"/>
  <c r="DX188" i="3"/>
  <c r="DY188" i="3" s="1"/>
  <c r="DX189" i="3"/>
  <c r="DY189" i="3" s="1"/>
  <c r="DX190" i="3"/>
  <c r="DY190" i="3" s="1"/>
  <c r="DX191" i="3"/>
  <c r="DY191" i="3" s="1"/>
  <c r="DX192" i="3"/>
  <c r="DY192" i="3" s="1"/>
  <c r="DX193" i="3"/>
  <c r="DY193" i="3" s="1"/>
  <c r="DX194" i="3"/>
  <c r="DY194" i="3" s="1"/>
  <c r="DX195" i="3"/>
  <c r="DY195" i="3" s="1"/>
  <c r="DX9" i="3"/>
  <c r="DY9" i="3" s="1"/>
  <c r="DX10" i="3"/>
  <c r="DY10" i="3" s="1"/>
  <c r="DX8" i="3"/>
  <c r="DY8" i="3" s="1"/>
  <c r="EO9" i="3"/>
  <c r="EO10" i="3"/>
  <c r="EO13" i="3"/>
  <c r="EO14" i="3"/>
  <c r="EO15" i="3"/>
  <c r="EO16" i="3"/>
  <c r="EO17" i="3"/>
  <c r="EO18" i="3"/>
  <c r="EO19" i="3"/>
  <c r="EO20" i="3"/>
  <c r="EO21" i="3"/>
  <c r="EO22" i="3"/>
  <c r="EO23" i="3"/>
  <c r="EO24" i="3"/>
  <c r="EO25" i="3"/>
  <c r="EO26" i="3"/>
  <c r="EO27" i="3"/>
  <c r="EO28" i="3"/>
  <c r="EO29" i="3"/>
  <c r="EO30" i="3"/>
  <c r="EO31" i="3"/>
  <c r="EO32" i="3"/>
  <c r="EO33" i="3"/>
  <c r="EO34" i="3"/>
  <c r="EO37" i="3"/>
  <c r="EO38" i="3"/>
  <c r="EO39" i="3"/>
  <c r="EO36" i="3"/>
  <c r="EO42" i="3"/>
  <c r="EO43" i="3"/>
  <c r="EO44" i="3"/>
  <c r="EO46" i="3"/>
  <c r="EO47" i="3"/>
  <c r="EO49" i="3"/>
  <c r="EO50" i="3"/>
  <c r="EO52" i="3"/>
  <c r="EO53" i="3"/>
  <c r="EO56" i="3"/>
  <c r="EO58" i="3"/>
  <c r="EO59" i="3"/>
  <c r="EO60" i="3"/>
  <c r="EO61" i="3"/>
  <c r="EO64" i="3"/>
  <c r="EO65" i="3"/>
  <c r="EO66" i="3"/>
  <c r="EO67" i="3"/>
  <c r="EO68" i="3"/>
  <c r="EO69" i="3"/>
  <c r="EO70" i="3"/>
  <c r="EO71" i="3"/>
  <c r="EO72" i="3"/>
  <c r="EO73" i="3"/>
  <c r="EO74" i="3"/>
  <c r="EO76" i="3"/>
  <c r="EO81" i="3"/>
  <c r="EO82" i="3"/>
  <c r="EO83" i="3"/>
  <c r="EO84" i="3"/>
  <c r="EO85" i="3"/>
  <c r="EO86" i="3"/>
  <c r="EO88" i="3"/>
  <c r="EO89" i="3"/>
  <c r="EO90" i="3"/>
  <c r="EO91" i="3"/>
  <c r="EO92" i="3"/>
  <c r="EO93" i="3"/>
  <c r="EO94" i="3"/>
  <c r="EO142" i="3"/>
  <c r="EO97" i="3"/>
  <c r="EO98" i="3"/>
  <c r="EO100" i="3"/>
  <c r="EO105" i="3"/>
  <c r="EO106" i="3"/>
  <c r="EO173" i="3"/>
  <c r="EO107" i="3"/>
  <c r="EO108" i="3"/>
  <c r="EO109" i="3"/>
  <c r="EO110" i="3"/>
  <c r="EO111" i="3"/>
  <c r="EO112" i="3"/>
  <c r="EO113" i="3"/>
  <c r="EO114" i="3"/>
  <c r="EO115" i="3"/>
  <c r="EO116" i="3"/>
  <c r="EO143" i="3"/>
  <c r="EO118" i="3"/>
  <c r="EO119" i="3"/>
  <c r="EO120" i="3"/>
  <c r="EO121" i="3"/>
  <c r="EO123" i="3"/>
  <c r="EO124" i="3"/>
  <c r="EO125" i="3"/>
  <c r="EO126" i="3"/>
  <c r="EO127" i="3"/>
  <c r="EO128" i="3"/>
  <c r="EO129" i="3"/>
  <c r="EO131" i="3"/>
  <c r="EO165" i="3"/>
  <c r="EO132" i="3"/>
  <c r="EO133" i="3"/>
  <c r="EO134" i="3"/>
  <c r="EO136" i="3"/>
  <c r="EO137" i="3"/>
  <c r="EO138" i="3"/>
  <c r="EO139" i="3"/>
  <c r="EO140" i="3"/>
  <c r="EO141" i="3"/>
  <c r="EO144" i="3"/>
  <c r="EO145" i="3"/>
  <c r="EO146" i="3"/>
  <c r="EO147" i="3"/>
  <c r="EO149" i="3"/>
  <c r="EO150" i="3"/>
  <c r="EO151" i="3"/>
  <c r="EO152" i="3"/>
  <c r="EO153" i="3"/>
  <c r="EO154" i="3"/>
  <c r="EO156" i="3"/>
  <c r="EO157" i="3"/>
  <c r="EO158" i="3"/>
  <c r="EO159" i="3"/>
  <c r="EO161" i="3"/>
  <c r="EO162" i="3"/>
  <c r="EO163" i="3"/>
  <c r="EO164" i="3"/>
  <c r="EO167" i="3"/>
  <c r="EO169" i="3"/>
  <c r="EO170" i="3"/>
  <c r="EO171" i="3"/>
  <c r="EO172" i="3"/>
  <c r="EO186" i="3"/>
  <c r="EO174" i="3"/>
  <c r="EO178" i="3"/>
  <c r="EO179" i="3"/>
  <c r="EO180" i="3"/>
  <c r="EO182" i="3"/>
  <c r="EO183" i="3"/>
  <c r="EO184" i="3"/>
  <c r="EO185" i="3"/>
  <c r="EO187" i="3"/>
  <c r="EO188" i="3"/>
  <c r="EO189" i="3"/>
  <c r="EO190" i="3"/>
  <c r="EO191" i="3"/>
  <c r="EO192" i="3"/>
  <c r="EO193" i="3"/>
  <c r="EO194" i="3"/>
  <c r="EO195" i="3"/>
  <c r="EO8" i="3"/>
  <c r="Z12" i="3"/>
  <c r="AA12" i="3"/>
  <c r="AB12" i="3"/>
  <c r="AC12" i="3"/>
  <c r="AD12" i="3"/>
  <c r="AE12" i="3"/>
  <c r="AF12" i="3"/>
  <c r="AG12" i="3"/>
  <c r="AK12" i="3"/>
  <c r="Z14" i="3"/>
  <c r="AA14" i="3"/>
  <c r="AB14" i="3"/>
  <c r="AC14" i="3"/>
  <c r="AD14" i="3"/>
  <c r="AE14" i="3"/>
  <c r="AF14" i="3"/>
  <c r="AG14" i="3"/>
  <c r="AK14" i="3"/>
  <c r="Z15" i="3"/>
  <c r="AA15" i="3"/>
  <c r="AB15" i="3"/>
  <c r="AC15" i="3"/>
  <c r="AD15" i="3"/>
  <c r="AE15" i="3"/>
  <c r="AF15" i="3"/>
  <c r="AG15" i="3"/>
  <c r="AK15" i="3"/>
  <c r="Z17" i="3"/>
  <c r="AA17" i="3"/>
  <c r="AB17" i="3"/>
  <c r="AC17" i="3"/>
  <c r="AD17" i="3"/>
  <c r="AE17" i="3"/>
  <c r="AF17" i="3"/>
  <c r="AG17" i="3"/>
  <c r="AK17" i="3"/>
  <c r="DH13" i="3"/>
  <c r="DI13" i="3" s="1"/>
  <c r="DJ13" i="3" s="1"/>
  <c r="M79" i="4" l="1"/>
  <c r="M80" i="4"/>
  <c r="M83" i="4"/>
  <c r="J422" i="31"/>
  <c r="M54" i="29" s="1"/>
  <c r="M25" i="29"/>
  <c r="J416" i="31"/>
  <c r="K417" i="31"/>
  <c r="C417" i="31"/>
  <c r="J414" i="31"/>
  <c r="M46" i="29" s="1"/>
  <c r="M17" i="29"/>
  <c r="K419" i="31"/>
  <c r="C419" i="31"/>
  <c r="J420" i="31"/>
  <c r="K418" i="31"/>
  <c r="C418" i="31"/>
  <c r="J423" i="31"/>
  <c r="M55" i="29" s="1"/>
  <c r="M26" i="29"/>
  <c r="J415" i="31"/>
  <c r="DJ161" i="3"/>
  <c r="CS161" i="3"/>
  <c r="J4" i="19"/>
  <c r="S4" i="19" s="1"/>
  <c r="V4" i="19" s="1"/>
  <c r="H5" i="19"/>
  <c r="AA5" i="19" s="1"/>
  <c r="DZ35" i="3"/>
  <c r="DZ83" i="3"/>
  <c r="DZ163" i="3"/>
  <c r="DZ155" i="3"/>
  <c r="DZ147" i="3"/>
  <c r="DZ99" i="3"/>
  <c r="DZ177" i="3"/>
  <c r="DZ145" i="3"/>
  <c r="DZ171" i="3"/>
  <c r="DZ107" i="3"/>
  <c r="DZ75" i="3"/>
  <c r="DZ43" i="3"/>
  <c r="DZ148" i="3"/>
  <c r="DZ116" i="3"/>
  <c r="DZ84" i="3"/>
  <c r="DZ44" i="3"/>
  <c r="DZ12" i="3"/>
  <c r="DZ139" i="3"/>
  <c r="DZ81" i="3"/>
  <c r="DZ131" i="3"/>
  <c r="DZ67" i="3"/>
  <c r="DZ195" i="3"/>
  <c r="DZ113" i="3"/>
  <c r="DZ17" i="3"/>
  <c r="DZ52" i="3"/>
  <c r="DZ193" i="3"/>
  <c r="DZ185" i="3"/>
  <c r="DZ169" i="3"/>
  <c r="DZ161" i="3"/>
  <c r="DZ153" i="3"/>
  <c r="DZ137" i="3"/>
  <c r="DZ129" i="3"/>
  <c r="DZ121" i="3"/>
  <c r="DZ105" i="3"/>
  <c r="DZ97" i="3"/>
  <c r="DZ89" i="3"/>
  <c r="DZ73" i="3"/>
  <c r="DZ65" i="3"/>
  <c r="DZ57" i="3"/>
  <c r="DZ49" i="3"/>
  <c r="DZ41" i="3"/>
  <c r="DZ33" i="3"/>
  <c r="DZ25" i="3"/>
  <c r="DZ188" i="3"/>
  <c r="DZ180" i="3"/>
  <c r="DZ172" i="3"/>
  <c r="DZ164" i="3"/>
  <c r="DZ156" i="3"/>
  <c r="DZ140" i="3"/>
  <c r="DZ132" i="3"/>
  <c r="DZ124" i="3"/>
  <c r="DZ108" i="3"/>
  <c r="DZ100" i="3"/>
  <c r="DZ92" i="3"/>
  <c r="DZ76" i="3"/>
  <c r="DZ68" i="3"/>
  <c r="DZ60" i="3"/>
  <c r="DZ36" i="3"/>
  <c r="DZ28" i="3"/>
  <c r="DZ20" i="3"/>
  <c r="DZ187" i="3"/>
  <c r="DZ179" i="3"/>
  <c r="DZ123" i="3"/>
  <c r="DZ115" i="3"/>
  <c r="DZ91" i="3"/>
  <c r="DZ59" i="3"/>
  <c r="DZ51" i="3"/>
  <c r="DZ27" i="3"/>
  <c r="DZ19" i="3"/>
  <c r="DZ11" i="3"/>
  <c r="DZ194" i="3"/>
  <c r="DZ186" i="3"/>
  <c r="DZ178" i="3"/>
  <c r="DZ170" i="3"/>
  <c r="DZ162" i="3"/>
  <c r="DZ154" i="3"/>
  <c r="DZ146" i="3"/>
  <c r="DZ138" i="3"/>
  <c r="DZ130" i="3"/>
  <c r="DZ122" i="3"/>
  <c r="DZ114" i="3"/>
  <c r="DZ106" i="3"/>
  <c r="DZ98" i="3"/>
  <c r="DZ90" i="3"/>
  <c r="DZ82" i="3"/>
  <c r="DZ74" i="3"/>
  <c r="DZ66" i="3"/>
  <c r="DZ58" i="3"/>
  <c r="DZ50" i="3"/>
  <c r="DZ42" i="3"/>
  <c r="DZ34" i="3"/>
  <c r="DZ26" i="3"/>
  <c r="DZ18" i="3"/>
  <c r="DZ184" i="3"/>
  <c r="DZ160" i="3"/>
  <c r="DZ144" i="3"/>
  <c r="DZ120" i="3"/>
  <c r="DZ96" i="3"/>
  <c r="DZ64" i="3"/>
  <c r="DZ40" i="3"/>
  <c r="DZ16" i="3"/>
  <c r="DZ191" i="3"/>
  <c r="DZ183" i="3"/>
  <c r="DZ175" i="3"/>
  <c r="DZ167" i="3"/>
  <c r="DZ159" i="3"/>
  <c r="DZ151" i="3"/>
  <c r="DZ143" i="3"/>
  <c r="DZ135" i="3"/>
  <c r="DZ127" i="3"/>
  <c r="DZ119" i="3"/>
  <c r="DZ111" i="3"/>
  <c r="DZ95" i="3"/>
  <c r="DZ87" i="3"/>
  <c r="DZ79" i="3"/>
  <c r="DZ71" i="3"/>
  <c r="DZ63" i="3"/>
  <c r="DZ55" i="3"/>
  <c r="DZ47" i="3"/>
  <c r="DZ39" i="3"/>
  <c r="DZ31" i="3"/>
  <c r="DZ23" i="3"/>
  <c r="DZ15" i="3"/>
  <c r="DZ176" i="3"/>
  <c r="DZ152" i="3"/>
  <c r="DZ128" i="3"/>
  <c r="DZ80" i="3"/>
  <c r="DZ48" i="3"/>
  <c r="DZ24" i="3"/>
  <c r="DZ190" i="3"/>
  <c r="DZ182" i="3"/>
  <c r="DZ174" i="3"/>
  <c r="DZ166" i="3"/>
  <c r="DZ158" i="3"/>
  <c r="DZ150" i="3"/>
  <c r="DZ142" i="3"/>
  <c r="DZ134" i="3"/>
  <c r="DZ126" i="3"/>
  <c r="DZ118" i="3"/>
  <c r="DZ110" i="3"/>
  <c r="DZ94" i="3"/>
  <c r="DZ86" i="3"/>
  <c r="DZ78" i="3"/>
  <c r="DZ70" i="3"/>
  <c r="DZ62" i="3"/>
  <c r="DZ54" i="3"/>
  <c r="DZ46" i="3"/>
  <c r="DZ38" i="3"/>
  <c r="DZ30" i="3"/>
  <c r="DZ22" i="3"/>
  <c r="DZ14" i="3"/>
  <c r="DZ192" i="3"/>
  <c r="DZ168" i="3"/>
  <c r="DZ136" i="3"/>
  <c r="DZ112" i="3"/>
  <c r="DZ88" i="3"/>
  <c r="DZ72" i="3"/>
  <c r="DZ56" i="3"/>
  <c r="DZ32" i="3"/>
  <c r="DZ189" i="3"/>
  <c r="DZ181" i="3"/>
  <c r="DZ173" i="3"/>
  <c r="DZ165" i="3"/>
  <c r="DZ157" i="3"/>
  <c r="DZ149" i="3"/>
  <c r="DZ141" i="3"/>
  <c r="DZ133" i="3"/>
  <c r="DZ125" i="3"/>
  <c r="DZ117" i="3"/>
  <c r="DZ109" i="3"/>
  <c r="DZ93" i="3"/>
  <c r="DZ85" i="3"/>
  <c r="DZ77" i="3"/>
  <c r="DZ69" i="3"/>
  <c r="DZ61" i="3"/>
  <c r="DZ53" i="3"/>
  <c r="DZ45" i="3"/>
  <c r="DZ37" i="3"/>
  <c r="DZ29" i="3"/>
  <c r="DZ21" i="3"/>
  <c r="DZ13" i="3"/>
  <c r="DZ10" i="3"/>
  <c r="DZ9" i="3"/>
  <c r="DZ8" i="3"/>
  <c r="AH12" i="3"/>
  <c r="AJ12" i="3" s="1"/>
  <c r="AH14" i="3"/>
  <c r="AJ14" i="3" s="1"/>
  <c r="AH15" i="3"/>
  <c r="AJ15" i="3" s="1"/>
  <c r="AH17" i="3"/>
  <c r="AJ17" i="3" s="1"/>
  <c r="Z10" i="3"/>
  <c r="AA10" i="3"/>
  <c r="AB10" i="3"/>
  <c r="AC10" i="3"/>
  <c r="AD10" i="3"/>
  <c r="AE10" i="3"/>
  <c r="AF10" i="3"/>
  <c r="AG10" i="3"/>
  <c r="Z11" i="3"/>
  <c r="AA11" i="3"/>
  <c r="AB11" i="3"/>
  <c r="AC11" i="3"/>
  <c r="AD11" i="3"/>
  <c r="AE11" i="3"/>
  <c r="AF11" i="3"/>
  <c r="AG11" i="3"/>
  <c r="Z13" i="3"/>
  <c r="AA13" i="3"/>
  <c r="AB13" i="3"/>
  <c r="AC13" i="3"/>
  <c r="AD13" i="3"/>
  <c r="AE13" i="3"/>
  <c r="AF13" i="3"/>
  <c r="AG13" i="3"/>
  <c r="Z16" i="3"/>
  <c r="AA16" i="3"/>
  <c r="AB16" i="3"/>
  <c r="AC16" i="3"/>
  <c r="AD16" i="3"/>
  <c r="AE16" i="3"/>
  <c r="AF16" i="3"/>
  <c r="AG16" i="3"/>
  <c r="Z18" i="3"/>
  <c r="AA18" i="3"/>
  <c r="AB18" i="3"/>
  <c r="AC18" i="3"/>
  <c r="AD18" i="3"/>
  <c r="AE18" i="3"/>
  <c r="AF18" i="3"/>
  <c r="AG18" i="3"/>
  <c r="Z19" i="3"/>
  <c r="AA19" i="3"/>
  <c r="AB19" i="3"/>
  <c r="AC19" i="3"/>
  <c r="AD19" i="3"/>
  <c r="AE19" i="3"/>
  <c r="AF19" i="3"/>
  <c r="AG19" i="3"/>
  <c r="Z20" i="3"/>
  <c r="AA20" i="3"/>
  <c r="AB20" i="3"/>
  <c r="AC20" i="3"/>
  <c r="AD20" i="3"/>
  <c r="AE20" i="3"/>
  <c r="AF20" i="3"/>
  <c r="AG20" i="3"/>
  <c r="Z21" i="3"/>
  <c r="AA21" i="3"/>
  <c r="AB21" i="3"/>
  <c r="AC21" i="3"/>
  <c r="AD21" i="3"/>
  <c r="AE21" i="3"/>
  <c r="AF21" i="3"/>
  <c r="AG21" i="3"/>
  <c r="Z22" i="3"/>
  <c r="AA22" i="3"/>
  <c r="AB22" i="3"/>
  <c r="AC22" i="3"/>
  <c r="AD22" i="3"/>
  <c r="AE22" i="3"/>
  <c r="AF22" i="3"/>
  <c r="AG22" i="3"/>
  <c r="Z23" i="3"/>
  <c r="AA23" i="3"/>
  <c r="AB23" i="3"/>
  <c r="AC23" i="3"/>
  <c r="AD23" i="3"/>
  <c r="AE23" i="3"/>
  <c r="AF23" i="3"/>
  <c r="AG23" i="3"/>
  <c r="Z24" i="3"/>
  <c r="AA24" i="3"/>
  <c r="AB24" i="3"/>
  <c r="AC24" i="3"/>
  <c r="AD24" i="3"/>
  <c r="AE24" i="3"/>
  <c r="AF24" i="3"/>
  <c r="AG24" i="3"/>
  <c r="Z25" i="3"/>
  <c r="AA25" i="3"/>
  <c r="AB25" i="3"/>
  <c r="AC25" i="3"/>
  <c r="AD25" i="3"/>
  <c r="AE25" i="3"/>
  <c r="AF25" i="3"/>
  <c r="AG25" i="3"/>
  <c r="Z26" i="3"/>
  <c r="AA26" i="3"/>
  <c r="AB26" i="3"/>
  <c r="AC26" i="3"/>
  <c r="AD26" i="3"/>
  <c r="AE26" i="3"/>
  <c r="AF26" i="3"/>
  <c r="AG26" i="3"/>
  <c r="Z27" i="3"/>
  <c r="AA27" i="3"/>
  <c r="AB27" i="3"/>
  <c r="AC27" i="3"/>
  <c r="AD27" i="3"/>
  <c r="AE27" i="3"/>
  <c r="AF27" i="3"/>
  <c r="AG27" i="3"/>
  <c r="Z28" i="3"/>
  <c r="AA28" i="3"/>
  <c r="AB28" i="3"/>
  <c r="AC28" i="3"/>
  <c r="AD28" i="3"/>
  <c r="AE28" i="3"/>
  <c r="AF28" i="3"/>
  <c r="AG28" i="3"/>
  <c r="Z29" i="3"/>
  <c r="AA29" i="3"/>
  <c r="AB29" i="3"/>
  <c r="AC29" i="3"/>
  <c r="AD29" i="3"/>
  <c r="AE29" i="3"/>
  <c r="AF29" i="3"/>
  <c r="AG29" i="3"/>
  <c r="Z30" i="3"/>
  <c r="AA30" i="3"/>
  <c r="AB30" i="3"/>
  <c r="AC30" i="3"/>
  <c r="AD30" i="3"/>
  <c r="AE30" i="3"/>
  <c r="AF30" i="3"/>
  <c r="AG30" i="3"/>
  <c r="Z31" i="3"/>
  <c r="AA31" i="3"/>
  <c r="AB31" i="3"/>
  <c r="AC31" i="3"/>
  <c r="AD31" i="3"/>
  <c r="AE31" i="3"/>
  <c r="AF31" i="3"/>
  <c r="AG31" i="3"/>
  <c r="Z32" i="3"/>
  <c r="AA32" i="3"/>
  <c r="AB32" i="3"/>
  <c r="AC32" i="3"/>
  <c r="AD32" i="3"/>
  <c r="AE32" i="3"/>
  <c r="AF32" i="3"/>
  <c r="AG32" i="3"/>
  <c r="Z33" i="3"/>
  <c r="AA33" i="3"/>
  <c r="AB33" i="3"/>
  <c r="AC33" i="3"/>
  <c r="AD33" i="3"/>
  <c r="AE33" i="3"/>
  <c r="AF33" i="3"/>
  <c r="AG33" i="3"/>
  <c r="Z34" i="3"/>
  <c r="AA34" i="3"/>
  <c r="AB34" i="3"/>
  <c r="AC34" i="3"/>
  <c r="AD34" i="3"/>
  <c r="AE34" i="3"/>
  <c r="AF34" i="3"/>
  <c r="AG34" i="3"/>
  <c r="Z35" i="3"/>
  <c r="AA35" i="3"/>
  <c r="AB35" i="3"/>
  <c r="AC35" i="3"/>
  <c r="AD35" i="3"/>
  <c r="AE35" i="3"/>
  <c r="AF35" i="3"/>
  <c r="AG35" i="3"/>
  <c r="Z36" i="3"/>
  <c r="AA36" i="3"/>
  <c r="AB36" i="3"/>
  <c r="AC36" i="3"/>
  <c r="AD36" i="3"/>
  <c r="AE36" i="3"/>
  <c r="AF36" i="3"/>
  <c r="AG36" i="3"/>
  <c r="Z37" i="3"/>
  <c r="AA37" i="3"/>
  <c r="AB37" i="3"/>
  <c r="AC37" i="3"/>
  <c r="AD37" i="3"/>
  <c r="AE37" i="3"/>
  <c r="AF37" i="3"/>
  <c r="AG37" i="3"/>
  <c r="Z38" i="3"/>
  <c r="AA38" i="3"/>
  <c r="AB38" i="3"/>
  <c r="AC38" i="3"/>
  <c r="AD38" i="3"/>
  <c r="AE38" i="3"/>
  <c r="AF38" i="3"/>
  <c r="AG38" i="3"/>
  <c r="Z39" i="3"/>
  <c r="AA39" i="3"/>
  <c r="AB39" i="3"/>
  <c r="AC39" i="3"/>
  <c r="AD39" i="3"/>
  <c r="AE39" i="3"/>
  <c r="AF39" i="3"/>
  <c r="AG39" i="3"/>
  <c r="Z40" i="3"/>
  <c r="AA40" i="3"/>
  <c r="AB40" i="3"/>
  <c r="AC40" i="3"/>
  <c r="AD40" i="3"/>
  <c r="AE40" i="3"/>
  <c r="AF40" i="3"/>
  <c r="AG40" i="3"/>
  <c r="Z41" i="3"/>
  <c r="AA41" i="3"/>
  <c r="AB41" i="3"/>
  <c r="AC41" i="3"/>
  <c r="AD41" i="3"/>
  <c r="AE41" i="3"/>
  <c r="AF41" i="3"/>
  <c r="AG41" i="3"/>
  <c r="Z42" i="3"/>
  <c r="AA42" i="3"/>
  <c r="AB42" i="3"/>
  <c r="AC42" i="3"/>
  <c r="AD42" i="3"/>
  <c r="AE42" i="3"/>
  <c r="AF42" i="3"/>
  <c r="AG42" i="3"/>
  <c r="Z43" i="3"/>
  <c r="AA43" i="3"/>
  <c r="AB43" i="3"/>
  <c r="AC43" i="3"/>
  <c r="AD43" i="3"/>
  <c r="AE43" i="3"/>
  <c r="AF43" i="3"/>
  <c r="AG43" i="3"/>
  <c r="Z44" i="3"/>
  <c r="AA44" i="3"/>
  <c r="AB44" i="3"/>
  <c r="AC44" i="3"/>
  <c r="AD44" i="3"/>
  <c r="AE44" i="3"/>
  <c r="AF44" i="3"/>
  <c r="AG44" i="3"/>
  <c r="Z45" i="3"/>
  <c r="AA45" i="3"/>
  <c r="AB45" i="3"/>
  <c r="AC45" i="3"/>
  <c r="AD45" i="3"/>
  <c r="AE45" i="3"/>
  <c r="AF45" i="3"/>
  <c r="AG45" i="3"/>
  <c r="Z46" i="3"/>
  <c r="AA46" i="3"/>
  <c r="AB46" i="3"/>
  <c r="AC46" i="3"/>
  <c r="AD46" i="3"/>
  <c r="AE46" i="3"/>
  <c r="AF46" i="3"/>
  <c r="AG46" i="3"/>
  <c r="Z47" i="3"/>
  <c r="AA47" i="3"/>
  <c r="AB47" i="3"/>
  <c r="AC47" i="3"/>
  <c r="AD47" i="3"/>
  <c r="AE47" i="3"/>
  <c r="AF47" i="3"/>
  <c r="AG47" i="3"/>
  <c r="Z48" i="3"/>
  <c r="AA48" i="3"/>
  <c r="AB48" i="3"/>
  <c r="AC48" i="3"/>
  <c r="AD48" i="3"/>
  <c r="AE48" i="3"/>
  <c r="AF48" i="3"/>
  <c r="AG48" i="3"/>
  <c r="Z49" i="3"/>
  <c r="AA49" i="3"/>
  <c r="AB49" i="3"/>
  <c r="AC49" i="3"/>
  <c r="AD49" i="3"/>
  <c r="AE49" i="3"/>
  <c r="AF49" i="3"/>
  <c r="AG49" i="3"/>
  <c r="Z50" i="3"/>
  <c r="AA50" i="3"/>
  <c r="AB50" i="3"/>
  <c r="AC50" i="3"/>
  <c r="AD50" i="3"/>
  <c r="AE50" i="3"/>
  <c r="AF50" i="3"/>
  <c r="AG50" i="3"/>
  <c r="Z51" i="3"/>
  <c r="AA51" i="3"/>
  <c r="AB51" i="3"/>
  <c r="AC51" i="3"/>
  <c r="AD51" i="3"/>
  <c r="AE51" i="3"/>
  <c r="AF51" i="3"/>
  <c r="AG51" i="3"/>
  <c r="Z52" i="3"/>
  <c r="AA52" i="3"/>
  <c r="AB52" i="3"/>
  <c r="AC52" i="3"/>
  <c r="AD52" i="3"/>
  <c r="AE52" i="3"/>
  <c r="AF52" i="3"/>
  <c r="AG52" i="3"/>
  <c r="Z53" i="3"/>
  <c r="AA53" i="3"/>
  <c r="AB53" i="3"/>
  <c r="AC53" i="3"/>
  <c r="AD53" i="3"/>
  <c r="AE53" i="3"/>
  <c r="AF53" i="3"/>
  <c r="AG53" i="3"/>
  <c r="Z54" i="3"/>
  <c r="AA54" i="3"/>
  <c r="AB54" i="3"/>
  <c r="AC54" i="3"/>
  <c r="AD54" i="3"/>
  <c r="AE54" i="3"/>
  <c r="AF54" i="3"/>
  <c r="AG54" i="3"/>
  <c r="Z55" i="3"/>
  <c r="AA55" i="3"/>
  <c r="AB55" i="3"/>
  <c r="AC55" i="3"/>
  <c r="AD55" i="3"/>
  <c r="AE55" i="3"/>
  <c r="AF55" i="3"/>
  <c r="AG55" i="3"/>
  <c r="Z56" i="3"/>
  <c r="AA56" i="3"/>
  <c r="AB56" i="3"/>
  <c r="AC56" i="3"/>
  <c r="AD56" i="3"/>
  <c r="AE56" i="3"/>
  <c r="AF56" i="3"/>
  <c r="AG56" i="3"/>
  <c r="Z57" i="3"/>
  <c r="AA57" i="3"/>
  <c r="AB57" i="3"/>
  <c r="AC57" i="3"/>
  <c r="AD57" i="3"/>
  <c r="AE57" i="3"/>
  <c r="AF57" i="3"/>
  <c r="AG57" i="3"/>
  <c r="Z58" i="3"/>
  <c r="AA58" i="3"/>
  <c r="AB58" i="3"/>
  <c r="AC58" i="3"/>
  <c r="AD58" i="3"/>
  <c r="AE58" i="3"/>
  <c r="AF58" i="3"/>
  <c r="AG58" i="3"/>
  <c r="Z59" i="3"/>
  <c r="AA59" i="3"/>
  <c r="AB59" i="3"/>
  <c r="AC59" i="3"/>
  <c r="AD59" i="3"/>
  <c r="AE59" i="3"/>
  <c r="AF59" i="3"/>
  <c r="AG59" i="3"/>
  <c r="Z60" i="3"/>
  <c r="AA60" i="3"/>
  <c r="AB60" i="3"/>
  <c r="AC60" i="3"/>
  <c r="AD60" i="3"/>
  <c r="AE60" i="3"/>
  <c r="AF60" i="3"/>
  <c r="AG60" i="3"/>
  <c r="Z61" i="3"/>
  <c r="AA61" i="3"/>
  <c r="AB61" i="3"/>
  <c r="AC61" i="3"/>
  <c r="AD61" i="3"/>
  <c r="AE61" i="3"/>
  <c r="AF61" i="3"/>
  <c r="AG61" i="3"/>
  <c r="Z62" i="3"/>
  <c r="AA62" i="3"/>
  <c r="AB62" i="3"/>
  <c r="AC62" i="3"/>
  <c r="AD62" i="3"/>
  <c r="AE62" i="3"/>
  <c r="AF62" i="3"/>
  <c r="AG62" i="3"/>
  <c r="Z63" i="3"/>
  <c r="AA63" i="3"/>
  <c r="AB63" i="3"/>
  <c r="AC63" i="3"/>
  <c r="AD63" i="3"/>
  <c r="AE63" i="3"/>
  <c r="AF63" i="3"/>
  <c r="AG63" i="3"/>
  <c r="Z64" i="3"/>
  <c r="AA64" i="3"/>
  <c r="AB64" i="3"/>
  <c r="AC64" i="3"/>
  <c r="AD64" i="3"/>
  <c r="AE64" i="3"/>
  <c r="AF64" i="3"/>
  <c r="AG64" i="3"/>
  <c r="Z65" i="3"/>
  <c r="AA65" i="3"/>
  <c r="AB65" i="3"/>
  <c r="AC65" i="3"/>
  <c r="AD65" i="3"/>
  <c r="AE65" i="3"/>
  <c r="AF65" i="3"/>
  <c r="AG65" i="3"/>
  <c r="Z66" i="3"/>
  <c r="AA66" i="3"/>
  <c r="AB66" i="3"/>
  <c r="AC66" i="3"/>
  <c r="AD66" i="3"/>
  <c r="AE66" i="3"/>
  <c r="AF66" i="3"/>
  <c r="AG66" i="3"/>
  <c r="Z67" i="3"/>
  <c r="AA67" i="3"/>
  <c r="AB67" i="3"/>
  <c r="AC67" i="3"/>
  <c r="AD67" i="3"/>
  <c r="AE67" i="3"/>
  <c r="AF67" i="3"/>
  <c r="AG67" i="3"/>
  <c r="Z68" i="3"/>
  <c r="AA68" i="3"/>
  <c r="AB68" i="3"/>
  <c r="AC68" i="3"/>
  <c r="AD68" i="3"/>
  <c r="AE68" i="3"/>
  <c r="AF68" i="3"/>
  <c r="AG68" i="3"/>
  <c r="Z69" i="3"/>
  <c r="AA69" i="3"/>
  <c r="AB69" i="3"/>
  <c r="AC69" i="3"/>
  <c r="AD69" i="3"/>
  <c r="AE69" i="3"/>
  <c r="AF69" i="3"/>
  <c r="AG69" i="3"/>
  <c r="Z70" i="3"/>
  <c r="AA70" i="3"/>
  <c r="AB70" i="3"/>
  <c r="AC70" i="3"/>
  <c r="AD70" i="3"/>
  <c r="AE70" i="3"/>
  <c r="AF70" i="3"/>
  <c r="AG70" i="3"/>
  <c r="Z71" i="3"/>
  <c r="AA71" i="3"/>
  <c r="AB71" i="3"/>
  <c r="AC71" i="3"/>
  <c r="AD71" i="3"/>
  <c r="AE71" i="3"/>
  <c r="AF71" i="3"/>
  <c r="AG71" i="3"/>
  <c r="Z72" i="3"/>
  <c r="AA72" i="3"/>
  <c r="AB72" i="3"/>
  <c r="AC72" i="3"/>
  <c r="AD72" i="3"/>
  <c r="AE72" i="3"/>
  <c r="AF72" i="3"/>
  <c r="AG72" i="3"/>
  <c r="Z73" i="3"/>
  <c r="AA73" i="3"/>
  <c r="AB73" i="3"/>
  <c r="AC73" i="3"/>
  <c r="AD73" i="3"/>
  <c r="AE73" i="3"/>
  <c r="AF73" i="3"/>
  <c r="AG73" i="3"/>
  <c r="Z74" i="3"/>
  <c r="AA74" i="3"/>
  <c r="AB74" i="3"/>
  <c r="AC74" i="3"/>
  <c r="AD74" i="3"/>
  <c r="AE74" i="3"/>
  <c r="AF74" i="3"/>
  <c r="AG74" i="3"/>
  <c r="Z75" i="3"/>
  <c r="AA75" i="3"/>
  <c r="AB75" i="3"/>
  <c r="AC75" i="3"/>
  <c r="AD75" i="3"/>
  <c r="AE75" i="3"/>
  <c r="AF75" i="3"/>
  <c r="AG75" i="3"/>
  <c r="Z76" i="3"/>
  <c r="AA76" i="3"/>
  <c r="AB76" i="3"/>
  <c r="AC76" i="3"/>
  <c r="AD76" i="3"/>
  <c r="AE76" i="3"/>
  <c r="AF76" i="3"/>
  <c r="AG76" i="3"/>
  <c r="Z77" i="3"/>
  <c r="AA77" i="3"/>
  <c r="AB77" i="3"/>
  <c r="AC77" i="3"/>
  <c r="AD77" i="3"/>
  <c r="AE77" i="3"/>
  <c r="AF77" i="3"/>
  <c r="AG77" i="3"/>
  <c r="Z78" i="3"/>
  <c r="AA78" i="3"/>
  <c r="AB78" i="3"/>
  <c r="AC78" i="3"/>
  <c r="AD78" i="3"/>
  <c r="AE78" i="3"/>
  <c r="AF78" i="3"/>
  <c r="AG78" i="3"/>
  <c r="Z79" i="3"/>
  <c r="AA79" i="3"/>
  <c r="AB79" i="3"/>
  <c r="AC79" i="3"/>
  <c r="AD79" i="3"/>
  <c r="AE79" i="3"/>
  <c r="AF79" i="3"/>
  <c r="AG79" i="3"/>
  <c r="Z80" i="3"/>
  <c r="AA80" i="3"/>
  <c r="AB80" i="3"/>
  <c r="AC80" i="3"/>
  <c r="AD80" i="3"/>
  <c r="AE80" i="3"/>
  <c r="AF80" i="3"/>
  <c r="AG80" i="3"/>
  <c r="Z81" i="3"/>
  <c r="AA81" i="3"/>
  <c r="AB81" i="3"/>
  <c r="AC81" i="3"/>
  <c r="AD81" i="3"/>
  <c r="AE81" i="3"/>
  <c r="AF81" i="3"/>
  <c r="AG81" i="3"/>
  <c r="Z82" i="3"/>
  <c r="AA82" i="3"/>
  <c r="AB82" i="3"/>
  <c r="AC82" i="3"/>
  <c r="AD82" i="3"/>
  <c r="AE82" i="3"/>
  <c r="AF82" i="3"/>
  <c r="AG82" i="3"/>
  <c r="Z83" i="3"/>
  <c r="AA83" i="3"/>
  <c r="AB83" i="3"/>
  <c r="AC83" i="3"/>
  <c r="AD83" i="3"/>
  <c r="AE83" i="3"/>
  <c r="AF83" i="3"/>
  <c r="AG83" i="3"/>
  <c r="Z84" i="3"/>
  <c r="AA84" i="3"/>
  <c r="AB84" i="3"/>
  <c r="AC84" i="3"/>
  <c r="AD84" i="3"/>
  <c r="AE84" i="3"/>
  <c r="AF84" i="3"/>
  <c r="AG84" i="3"/>
  <c r="Z85" i="3"/>
  <c r="AA85" i="3"/>
  <c r="AB85" i="3"/>
  <c r="AC85" i="3"/>
  <c r="AD85" i="3"/>
  <c r="AE85" i="3"/>
  <c r="AF85" i="3"/>
  <c r="AG85" i="3"/>
  <c r="Z86" i="3"/>
  <c r="AA86" i="3"/>
  <c r="AB86" i="3"/>
  <c r="AC86" i="3"/>
  <c r="AD86" i="3"/>
  <c r="AE86" i="3"/>
  <c r="AF86" i="3"/>
  <c r="AG86" i="3"/>
  <c r="Z87" i="3"/>
  <c r="AA87" i="3"/>
  <c r="AB87" i="3"/>
  <c r="AC87" i="3"/>
  <c r="AD87" i="3"/>
  <c r="AE87" i="3"/>
  <c r="AF87" i="3"/>
  <c r="AG87" i="3"/>
  <c r="Z88" i="3"/>
  <c r="AA88" i="3"/>
  <c r="AB88" i="3"/>
  <c r="AC88" i="3"/>
  <c r="AD88" i="3"/>
  <c r="AE88" i="3"/>
  <c r="AF88" i="3"/>
  <c r="AG88" i="3"/>
  <c r="Z89" i="3"/>
  <c r="AA89" i="3"/>
  <c r="AB89" i="3"/>
  <c r="AC89" i="3"/>
  <c r="AD89" i="3"/>
  <c r="AE89" i="3"/>
  <c r="AF89" i="3"/>
  <c r="AG89" i="3"/>
  <c r="Z90" i="3"/>
  <c r="AA90" i="3"/>
  <c r="AB90" i="3"/>
  <c r="AC90" i="3"/>
  <c r="AD90" i="3"/>
  <c r="AE90" i="3"/>
  <c r="AF90" i="3"/>
  <c r="AG90" i="3"/>
  <c r="Z91" i="3"/>
  <c r="AA91" i="3"/>
  <c r="AB91" i="3"/>
  <c r="AC91" i="3"/>
  <c r="AD91" i="3"/>
  <c r="AE91" i="3"/>
  <c r="AF91" i="3"/>
  <c r="AG91" i="3"/>
  <c r="Z92" i="3"/>
  <c r="AA92" i="3"/>
  <c r="AB92" i="3"/>
  <c r="AC92" i="3"/>
  <c r="AD92" i="3"/>
  <c r="AE92" i="3"/>
  <c r="AF92" i="3"/>
  <c r="AG92" i="3"/>
  <c r="Z93" i="3"/>
  <c r="AA93" i="3"/>
  <c r="AB93" i="3"/>
  <c r="AC93" i="3"/>
  <c r="AD93" i="3"/>
  <c r="AE93" i="3"/>
  <c r="AF93" i="3"/>
  <c r="AG93" i="3"/>
  <c r="Z94" i="3"/>
  <c r="AA94" i="3"/>
  <c r="AB94" i="3"/>
  <c r="AC94" i="3"/>
  <c r="AD94" i="3"/>
  <c r="AE94" i="3"/>
  <c r="AF94" i="3"/>
  <c r="AG94" i="3"/>
  <c r="Z95" i="3"/>
  <c r="AA95" i="3"/>
  <c r="AB95" i="3"/>
  <c r="AC95" i="3"/>
  <c r="AD95" i="3"/>
  <c r="AE95" i="3"/>
  <c r="AF95" i="3"/>
  <c r="AG95" i="3"/>
  <c r="Z96" i="3"/>
  <c r="AA96" i="3"/>
  <c r="AB96" i="3"/>
  <c r="AC96" i="3"/>
  <c r="AD96" i="3"/>
  <c r="AE96" i="3"/>
  <c r="AF96" i="3"/>
  <c r="AG96" i="3"/>
  <c r="Z97" i="3"/>
  <c r="AA97" i="3"/>
  <c r="AB97" i="3"/>
  <c r="AC97" i="3"/>
  <c r="AD97" i="3"/>
  <c r="AE97" i="3"/>
  <c r="AF97" i="3"/>
  <c r="AG97" i="3"/>
  <c r="Z98" i="3"/>
  <c r="AA98" i="3"/>
  <c r="AB98" i="3"/>
  <c r="AC98" i="3"/>
  <c r="AD98" i="3"/>
  <c r="AE98" i="3"/>
  <c r="AF98" i="3"/>
  <c r="AG98" i="3"/>
  <c r="Z99" i="3"/>
  <c r="AA99" i="3"/>
  <c r="AB99" i="3"/>
  <c r="AC99" i="3"/>
  <c r="AD99" i="3"/>
  <c r="AE99" i="3"/>
  <c r="AF99" i="3"/>
  <c r="AG99" i="3"/>
  <c r="Z100" i="3"/>
  <c r="AA100" i="3"/>
  <c r="AB100" i="3"/>
  <c r="AC100" i="3"/>
  <c r="AD100" i="3"/>
  <c r="AE100" i="3"/>
  <c r="AF100" i="3"/>
  <c r="AG100" i="3"/>
  <c r="Z105" i="3"/>
  <c r="AA105" i="3"/>
  <c r="AB105" i="3"/>
  <c r="AC105" i="3"/>
  <c r="AD105" i="3"/>
  <c r="AE105" i="3"/>
  <c r="AF105" i="3"/>
  <c r="AG105" i="3"/>
  <c r="Z106" i="3"/>
  <c r="AA106" i="3"/>
  <c r="AB106" i="3"/>
  <c r="AC106" i="3"/>
  <c r="AD106" i="3"/>
  <c r="AE106" i="3"/>
  <c r="AF106" i="3"/>
  <c r="AG106" i="3"/>
  <c r="Z107" i="3"/>
  <c r="AA107" i="3"/>
  <c r="AB107" i="3"/>
  <c r="AC107" i="3"/>
  <c r="AD107" i="3"/>
  <c r="AE107" i="3"/>
  <c r="AF107" i="3"/>
  <c r="AG107" i="3"/>
  <c r="Z108" i="3"/>
  <c r="AA108" i="3"/>
  <c r="AB108" i="3"/>
  <c r="AC108" i="3"/>
  <c r="AD108" i="3"/>
  <c r="AE108" i="3"/>
  <c r="AF108" i="3"/>
  <c r="AG108" i="3"/>
  <c r="Z109" i="3"/>
  <c r="AA109" i="3"/>
  <c r="AB109" i="3"/>
  <c r="AC109" i="3"/>
  <c r="AD109" i="3"/>
  <c r="AE109" i="3"/>
  <c r="AF109" i="3"/>
  <c r="AG109" i="3"/>
  <c r="Z110" i="3"/>
  <c r="AA110" i="3"/>
  <c r="AB110" i="3"/>
  <c r="AC110" i="3"/>
  <c r="AD110" i="3"/>
  <c r="AE110" i="3"/>
  <c r="AF110" i="3"/>
  <c r="AG110" i="3"/>
  <c r="Z111" i="3"/>
  <c r="AA111" i="3"/>
  <c r="AB111" i="3"/>
  <c r="AC111" i="3"/>
  <c r="AD111" i="3"/>
  <c r="AE111" i="3"/>
  <c r="AF111" i="3"/>
  <c r="AG111" i="3"/>
  <c r="Z112" i="3"/>
  <c r="AA112" i="3"/>
  <c r="AB112" i="3"/>
  <c r="AC112" i="3"/>
  <c r="AD112" i="3"/>
  <c r="AE112" i="3"/>
  <c r="AF112" i="3"/>
  <c r="AG112" i="3"/>
  <c r="Z113" i="3"/>
  <c r="AA113" i="3"/>
  <c r="AB113" i="3"/>
  <c r="AC113" i="3"/>
  <c r="AD113" i="3"/>
  <c r="AE113" i="3"/>
  <c r="AF113" i="3"/>
  <c r="AG113" i="3"/>
  <c r="Z114" i="3"/>
  <c r="AA114" i="3"/>
  <c r="AB114" i="3"/>
  <c r="AC114" i="3"/>
  <c r="AD114" i="3"/>
  <c r="AE114" i="3"/>
  <c r="AF114" i="3"/>
  <c r="AG114" i="3"/>
  <c r="Z115" i="3"/>
  <c r="AA115" i="3"/>
  <c r="AB115" i="3"/>
  <c r="AC115" i="3"/>
  <c r="AD115" i="3"/>
  <c r="AE115" i="3"/>
  <c r="AF115" i="3"/>
  <c r="AG115" i="3"/>
  <c r="Z116" i="3"/>
  <c r="AA116" i="3"/>
  <c r="AB116" i="3"/>
  <c r="AC116" i="3"/>
  <c r="AD116" i="3"/>
  <c r="AE116" i="3"/>
  <c r="AF116" i="3"/>
  <c r="AG116" i="3"/>
  <c r="Z117" i="3"/>
  <c r="AA117" i="3"/>
  <c r="AB117" i="3"/>
  <c r="AC117" i="3"/>
  <c r="AD117" i="3"/>
  <c r="AE117" i="3"/>
  <c r="AF117" i="3"/>
  <c r="AG117" i="3"/>
  <c r="Z118" i="3"/>
  <c r="AA118" i="3"/>
  <c r="AB118" i="3"/>
  <c r="AC118" i="3"/>
  <c r="AD118" i="3"/>
  <c r="AE118" i="3"/>
  <c r="AF118" i="3"/>
  <c r="AG118" i="3"/>
  <c r="Z119" i="3"/>
  <c r="AA119" i="3"/>
  <c r="AB119" i="3"/>
  <c r="AC119" i="3"/>
  <c r="AD119" i="3"/>
  <c r="AE119" i="3"/>
  <c r="AF119" i="3"/>
  <c r="AG119" i="3"/>
  <c r="Z120" i="3"/>
  <c r="AA120" i="3"/>
  <c r="AB120" i="3"/>
  <c r="AC120" i="3"/>
  <c r="AD120" i="3"/>
  <c r="AE120" i="3"/>
  <c r="AF120" i="3"/>
  <c r="AG120" i="3"/>
  <c r="Z121" i="3"/>
  <c r="AA121" i="3"/>
  <c r="AB121" i="3"/>
  <c r="AC121" i="3"/>
  <c r="AD121" i="3"/>
  <c r="AE121" i="3"/>
  <c r="AF121" i="3"/>
  <c r="AG121" i="3"/>
  <c r="Z122" i="3"/>
  <c r="AA122" i="3"/>
  <c r="AB122" i="3"/>
  <c r="AC122" i="3"/>
  <c r="AD122" i="3"/>
  <c r="AE122" i="3"/>
  <c r="AF122" i="3"/>
  <c r="AG122" i="3"/>
  <c r="Z123" i="3"/>
  <c r="AA123" i="3"/>
  <c r="AB123" i="3"/>
  <c r="AC123" i="3"/>
  <c r="AD123" i="3"/>
  <c r="AE123" i="3"/>
  <c r="AF123" i="3"/>
  <c r="AG123" i="3"/>
  <c r="Z124" i="3"/>
  <c r="AA124" i="3"/>
  <c r="AB124" i="3"/>
  <c r="AC124" i="3"/>
  <c r="AD124" i="3"/>
  <c r="AE124" i="3"/>
  <c r="AF124" i="3"/>
  <c r="AG124" i="3"/>
  <c r="Z125" i="3"/>
  <c r="AA125" i="3"/>
  <c r="AB125" i="3"/>
  <c r="AC125" i="3"/>
  <c r="AD125" i="3"/>
  <c r="AE125" i="3"/>
  <c r="AF125" i="3"/>
  <c r="AG125" i="3"/>
  <c r="Z126" i="3"/>
  <c r="AA126" i="3"/>
  <c r="AB126" i="3"/>
  <c r="AC126" i="3"/>
  <c r="AD126" i="3"/>
  <c r="AE126" i="3"/>
  <c r="AF126" i="3"/>
  <c r="AG126" i="3"/>
  <c r="Z127" i="3"/>
  <c r="AA127" i="3"/>
  <c r="AB127" i="3"/>
  <c r="AC127" i="3"/>
  <c r="AD127" i="3"/>
  <c r="AE127" i="3"/>
  <c r="AF127" i="3"/>
  <c r="AG127" i="3"/>
  <c r="Z128" i="3"/>
  <c r="AA128" i="3"/>
  <c r="AB128" i="3"/>
  <c r="AC128" i="3"/>
  <c r="AD128" i="3"/>
  <c r="AE128" i="3"/>
  <c r="AF128" i="3"/>
  <c r="AG128" i="3"/>
  <c r="Z129" i="3"/>
  <c r="AA129" i="3"/>
  <c r="AB129" i="3"/>
  <c r="AC129" i="3"/>
  <c r="AD129" i="3"/>
  <c r="AE129" i="3"/>
  <c r="AF129" i="3"/>
  <c r="AG129" i="3"/>
  <c r="Z130" i="3"/>
  <c r="AA130" i="3"/>
  <c r="AB130" i="3"/>
  <c r="AC130" i="3"/>
  <c r="AD130" i="3"/>
  <c r="AE130" i="3"/>
  <c r="AF130" i="3"/>
  <c r="AG130" i="3"/>
  <c r="Z131" i="3"/>
  <c r="AA131" i="3"/>
  <c r="AB131" i="3"/>
  <c r="AC131" i="3"/>
  <c r="AD131" i="3"/>
  <c r="AE131" i="3"/>
  <c r="AF131" i="3"/>
  <c r="AG131" i="3"/>
  <c r="Z132" i="3"/>
  <c r="AA132" i="3"/>
  <c r="AB132" i="3"/>
  <c r="AC132" i="3"/>
  <c r="AD132" i="3"/>
  <c r="AE132" i="3"/>
  <c r="AF132" i="3"/>
  <c r="AG132" i="3"/>
  <c r="Z133" i="3"/>
  <c r="AA133" i="3"/>
  <c r="AB133" i="3"/>
  <c r="AC133" i="3"/>
  <c r="AD133" i="3"/>
  <c r="AE133" i="3"/>
  <c r="AF133" i="3"/>
  <c r="AG133" i="3"/>
  <c r="Z134" i="3"/>
  <c r="AA134" i="3"/>
  <c r="AB134" i="3"/>
  <c r="AC134" i="3"/>
  <c r="AD134" i="3"/>
  <c r="AE134" i="3"/>
  <c r="AF134" i="3"/>
  <c r="AG134" i="3"/>
  <c r="Z135" i="3"/>
  <c r="AA135" i="3"/>
  <c r="AB135" i="3"/>
  <c r="AC135" i="3"/>
  <c r="AD135" i="3"/>
  <c r="AE135" i="3"/>
  <c r="AF135" i="3"/>
  <c r="AG135" i="3"/>
  <c r="Z136" i="3"/>
  <c r="AA136" i="3"/>
  <c r="AB136" i="3"/>
  <c r="AC136" i="3"/>
  <c r="AD136" i="3"/>
  <c r="AE136" i="3"/>
  <c r="AF136" i="3"/>
  <c r="AG136" i="3"/>
  <c r="Z137" i="3"/>
  <c r="AA137" i="3"/>
  <c r="AB137" i="3"/>
  <c r="AC137" i="3"/>
  <c r="AD137" i="3"/>
  <c r="AE137" i="3"/>
  <c r="AF137" i="3"/>
  <c r="AG137" i="3"/>
  <c r="Z138" i="3"/>
  <c r="AA138" i="3"/>
  <c r="AB138" i="3"/>
  <c r="AC138" i="3"/>
  <c r="AD138" i="3"/>
  <c r="AE138" i="3"/>
  <c r="AF138" i="3"/>
  <c r="AG138" i="3"/>
  <c r="Z139" i="3"/>
  <c r="AA139" i="3"/>
  <c r="AB139" i="3"/>
  <c r="AC139" i="3"/>
  <c r="AD139" i="3"/>
  <c r="AE139" i="3"/>
  <c r="AF139" i="3"/>
  <c r="AG139" i="3"/>
  <c r="Z140" i="3"/>
  <c r="AA140" i="3"/>
  <c r="AB140" i="3"/>
  <c r="AC140" i="3"/>
  <c r="AD140" i="3"/>
  <c r="AE140" i="3"/>
  <c r="AF140" i="3"/>
  <c r="AG140" i="3"/>
  <c r="Z141" i="3"/>
  <c r="AA141" i="3"/>
  <c r="AB141" i="3"/>
  <c r="AC141" i="3"/>
  <c r="AD141" i="3"/>
  <c r="AE141" i="3"/>
  <c r="AF141" i="3"/>
  <c r="AG141" i="3"/>
  <c r="Z142" i="3"/>
  <c r="AA142" i="3"/>
  <c r="AB142" i="3"/>
  <c r="AC142" i="3"/>
  <c r="AD142" i="3"/>
  <c r="AE142" i="3"/>
  <c r="AF142" i="3"/>
  <c r="AG142" i="3"/>
  <c r="Z143" i="3"/>
  <c r="AA143" i="3"/>
  <c r="AB143" i="3"/>
  <c r="AC143" i="3"/>
  <c r="AD143" i="3"/>
  <c r="AE143" i="3"/>
  <c r="AF143" i="3"/>
  <c r="AG143" i="3"/>
  <c r="Z144" i="3"/>
  <c r="AA144" i="3"/>
  <c r="AB144" i="3"/>
  <c r="AC144" i="3"/>
  <c r="AD144" i="3"/>
  <c r="AE144" i="3"/>
  <c r="AF144" i="3"/>
  <c r="AG144" i="3"/>
  <c r="Z145" i="3"/>
  <c r="AA145" i="3"/>
  <c r="AB145" i="3"/>
  <c r="AC145" i="3"/>
  <c r="AD145" i="3"/>
  <c r="AE145" i="3"/>
  <c r="AF145" i="3"/>
  <c r="AG145" i="3"/>
  <c r="Z146" i="3"/>
  <c r="AA146" i="3"/>
  <c r="AB146" i="3"/>
  <c r="AC146" i="3"/>
  <c r="AD146" i="3"/>
  <c r="AE146" i="3"/>
  <c r="AF146" i="3"/>
  <c r="AG146" i="3"/>
  <c r="Z147" i="3"/>
  <c r="AA147" i="3"/>
  <c r="AB147" i="3"/>
  <c r="AC147" i="3"/>
  <c r="AD147" i="3"/>
  <c r="AE147" i="3"/>
  <c r="AF147" i="3"/>
  <c r="AG147" i="3"/>
  <c r="Z148" i="3"/>
  <c r="AA148" i="3"/>
  <c r="AB148" i="3"/>
  <c r="AC148" i="3"/>
  <c r="AD148" i="3"/>
  <c r="AE148" i="3"/>
  <c r="AF148" i="3"/>
  <c r="AG148" i="3"/>
  <c r="Z149" i="3"/>
  <c r="AA149" i="3"/>
  <c r="AB149" i="3"/>
  <c r="AC149" i="3"/>
  <c r="AD149" i="3"/>
  <c r="AE149" i="3"/>
  <c r="AF149" i="3"/>
  <c r="AG149" i="3"/>
  <c r="Z150" i="3"/>
  <c r="AA150" i="3"/>
  <c r="AB150" i="3"/>
  <c r="AC150" i="3"/>
  <c r="AD150" i="3"/>
  <c r="AE150" i="3"/>
  <c r="AF150" i="3"/>
  <c r="AG150" i="3"/>
  <c r="Z151" i="3"/>
  <c r="AA151" i="3"/>
  <c r="AB151" i="3"/>
  <c r="AC151" i="3"/>
  <c r="AD151" i="3"/>
  <c r="AE151" i="3"/>
  <c r="AF151" i="3"/>
  <c r="AG151" i="3"/>
  <c r="Z152" i="3"/>
  <c r="AA152" i="3"/>
  <c r="AB152" i="3"/>
  <c r="AC152" i="3"/>
  <c r="AD152" i="3"/>
  <c r="AE152" i="3"/>
  <c r="AF152" i="3"/>
  <c r="AG152" i="3"/>
  <c r="Z153" i="3"/>
  <c r="AA153" i="3"/>
  <c r="AB153" i="3"/>
  <c r="AC153" i="3"/>
  <c r="AD153" i="3"/>
  <c r="AE153" i="3"/>
  <c r="AF153" i="3"/>
  <c r="AG153" i="3"/>
  <c r="Z154" i="3"/>
  <c r="AA154" i="3"/>
  <c r="AB154" i="3"/>
  <c r="AC154" i="3"/>
  <c r="AD154" i="3"/>
  <c r="AE154" i="3"/>
  <c r="AF154" i="3"/>
  <c r="AG154" i="3"/>
  <c r="Z155" i="3"/>
  <c r="AA155" i="3"/>
  <c r="AB155" i="3"/>
  <c r="AC155" i="3"/>
  <c r="AD155" i="3"/>
  <c r="AE155" i="3"/>
  <c r="AF155" i="3"/>
  <c r="AG155" i="3"/>
  <c r="Z156" i="3"/>
  <c r="AA156" i="3"/>
  <c r="AB156" i="3"/>
  <c r="AC156" i="3"/>
  <c r="AD156" i="3"/>
  <c r="AE156" i="3"/>
  <c r="AF156" i="3"/>
  <c r="AG156" i="3"/>
  <c r="Z157" i="3"/>
  <c r="AA157" i="3"/>
  <c r="AB157" i="3"/>
  <c r="AC157" i="3"/>
  <c r="AD157" i="3"/>
  <c r="AE157" i="3"/>
  <c r="AF157" i="3"/>
  <c r="AG157" i="3"/>
  <c r="Z158" i="3"/>
  <c r="AA158" i="3"/>
  <c r="AB158" i="3"/>
  <c r="AC158" i="3"/>
  <c r="AD158" i="3"/>
  <c r="AE158" i="3"/>
  <c r="AF158" i="3"/>
  <c r="AG158" i="3"/>
  <c r="Z159" i="3"/>
  <c r="AA159" i="3"/>
  <c r="AB159" i="3"/>
  <c r="AC159" i="3"/>
  <c r="AD159" i="3"/>
  <c r="AE159" i="3"/>
  <c r="AF159" i="3"/>
  <c r="AG159" i="3"/>
  <c r="Z160" i="3"/>
  <c r="AA160" i="3"/>
  <c r="AB160" i="3"/>
  <c r="AC160" i="3"/>
  <c r="AD160" i="3"/>
  <c r="AE160" i="3"/>
  <c r="AF160" i="3"/>
  <c r="AG160" i="3"/>
  <c r="AB161" i="3"/>
  <c r="K38" i="2" s="1"/>
  <c r="H66" i="2" s="1"/>
  <c r="AC161" i="3"/>
  <c r="K39" i="2" s="1"/>
  <c r="H67" i="2" s="1"/>
  <c r="AD161" i="3"/>
  <c r="AE161" i="3"/>
  <c r="AF161" i="3"/>
  <c r="AG161" i="3"/>
  <c r="K43" i="2" s="1"/>
  <c r="H71" i="2" s="1"/>
  <c r="Z162" i="3"/>
  <c r="AA162" i="3"/>
  <c r="AB162" i="3"/>
  <c r="AC162" i="3"/>
  <c r="AD162" i="3"/>
  <c r="AE162" i="3"/>
  <c r="AF162" i="3"/>
  <c r="AG162" i="3"/>
  <c r="Z163" i="3"/>
  <c r="AA163" i="3"/>
  <c r="AB163" i="3"/>
  <c r="AC163" i="3"/>
  <c r="AD163" i="3"/>
  <c r="AE163" i="3"/>
  <c r="AF163" i="3"/>
  <c r="AG163" i="3"/>
  <c r="Z164" i="3"/>
  <c r="AA164" i="3"/>
  <c r="AB164" i="3"/>
  <c r="AC164" i="3"/>
  <c r="AD164" i="3"/>
  <c r="AE164" i="3"/>
  <c r="AF164" i="3"/>
  <c r="AG164" i="3"/>
  <c r="Z165" i="3"/>
  <c r="AA165" i="3"/>
  <c r="AB165" i="3"/>
  <c r="AC165" i="3"/>
  <c r="AD165" i="3"/>
  <c r="AE165" i="3"/>
  <c r="AF165" i="3"/>
  <c r="AG165" i="3"/>
  <c r="Z166" i="3"/>
  <c r="AA166" i="3"/>
  <c r="AB166" i="3"/>
  <c r="AC166" i="3"/>
  <c r="AD166" i="3"/>
  <c r="AE166" i="3"/>
  <c r="AF166" i="3"/>
  <c r="AG166" i="3"/>
  <c r="Z167" i="3"/>
  <c r="AA167" i="3"/>
  <c r="AB167" i="3"/>
  <c r="AC167" i="3"/>
  <c r="AD167" i="3"/>
  <c r="AE167" i="3"/>
  <c r="AF167" i="3"/>
  <c r="AG167" i="3"/>
  <c r="Z168" i="3"/>
  <c r="AA168" i="3"/>
  <c r="AB168" i="3"/>
  <c r="AC168" i="3"/>
  <c r="AD168" i="3"/>
  <c r="AE168" i="3"/>
  <c r="AF168" i="3"/>
  <c r="AG168" i="3"/>
  <c r="Z169" i="3"/>
  <c r="AA169" i="3"/>
  <c r="AB169" i="3"/>
  <c r="AC169" i="3"/>
  <c r="AD169" i="3"/>
  <c r="AE169" i="3"/>
  <c r="AF169" i="3"/>
  <c r="AG169" i="3"/>
  <c r="Z170" i="3"/>
  <c r="AA170" i="3"/>
  <c r="AB170" i="3"/>
  <c r="AC170" i="3"/>
  <c r="AD170" i="3"/>
  <c r="AE170" i="3"/>
  <c r="AF170" i="3"/>
  <c r="AG170" i="3"/>
  <c r="Z171" i="3"/>
  <c r="AA171" i="3"/>
  <c r="AB171" i="3"/>
  <c r="AC171" i="3"/>
  <c r="AD171" i="3"/>
  <c r="AE171" i="3"/>
  <c r="AF171" i="3"/>
  <c r="AG171" i="3"/>
  <c r="Z172" i="3"/>
  <c r="AA172" i="3"/>
  <c r="AB172" i="3"/>
  <c r="AC172" i="3"/>
  <c r="AD172" i="3"/>
  <c r="AE172" i="3"/>
  <c r="AF172" i="3"/>
  <c r="AG172" i="3"/>
  <c r="Z173" i="3"/>
  <c r="AA173" i="3"/>
  <c r="AB173" i="3"/>
  <c r="AC173" i="3"/>
  <c r="AD173" i="3"/>
  <c r="AE173" i="3"/>
  <c r="AF173" i="3"/>
  <c r="AG173" i="3"/>
  <c r="Z174" i="3"/>
  <c r="AA174" i="3"/>
  <c r="AB174" i="3"/>
  <c r="AC174" i="3"/>
  <c r="AD174" i="3"/>
  <c r="AE174" i="3"/>
  <c r="AF174" i="3"/>
  <c r="AG174" i="3"/>
  <c r="Z175" i="3"/>
  <c r="AA175" i="3"/>
  <c r="AB175" i="3"/>
  <c r="AC175" i="3"/>
  <c r="AD175" i="3"/>
  <c r="AE175" i="3"/>
  <c r="AF175" i="3"/>
  <c r="AG175" i="3"/>
  <c r="Z176" i="3"/>
  <c r="AA176" i="3"/>
  <c r="AB176" i="3"/>
  <c r="AC176" i="3"/>
  <c r="AD176" i="3"/>
  <c r="AE176" i="3"/>
  <c r="AF176" i="3"/>
  <c r="AG176" i="3"/>
  <c r="Z177" i="3"/>
  <c r="AA177" i="3"/>
  <c r="AB177" i="3"/>
  <c r="AC177" i="3"/>
  <c r="AD177" i="3"/>
  <c r="AE177" i="3"/>
  <c r="AF177" i="3"/>
  <c r="AG177" i="3"/>
  <c r="Z178" i="3"/>
  <c r="AA178" i="3"/>
  <c r="AB178" i="3"/>
  <c r="AC178" i="3"/>
  <c r="AD178" i="3"/>
  <c r="AE178" i="3"/>
  <c r="AF178" i="3"/>
  <c r="AG178" i="3"/>
  <c r="Z179" i="3"/>
  <c r="AA179" i="3"/>
  <c r="AB179" i="3"/>
  <c r="AC179" i="3"/>
  <c r="AD179" i="3"/>
  <c r="AE179" i="3"/>
  <c r="AF179" i="3"/>
  <c r="AG179" i="3"/>
  <c r="Z180" i="3"/>
  <c r="AA180" i="3"/>
  <c r="AB180" i="3"/>
  <c r="AC180" i="3"/>
  <c r="AD180" i="3"/>
  <c r="AE180" i="3"/>
  <c r="AF180" i="3"/>
  <c r="AG180" i="3"/>
  <c r="Z181" i="3"/>
  <c r="AA181" i="3"/>
  <c r="AB181" i="3"/>
  <c r="AC181" i="3"/>
  <c r="AD181" i="3"/>
  <c r="AE181" i="3"/>
  <c r="AF181" i="3"/>
  <c r="AG181" i="3"/>
  <c r="Z182" i="3"/>
  <c r="AA182" i="3"/>
  <c r="AB182" i="3"/>
  <c r="AC182" i="3"/>
  <c r="AD182" i="3"/>
  <c r="AE182" i="3"/>
  <c r="AF182" i="3"/>
  <c r="AG182" i="3"/>
  <c r="Z183" i="3"/>
  <c r="AA183" i="3"/>
  <c r="AB183" i="3"/>
  <c r="AC183" i="3"/>
  <c r="AD183" i="3"/>
  <c r="AE183" i="3"/>
  <c r="AF183" i="3"/>
  <c r="AG183" i="3"/>
  <c r="Z184" i="3"/>
  <c r="AA184" i="3"/>
  <c r="AB184" i="3"/>
  <c r="AC184" i="3"/>
  <c r="AD184" i="3"/>
  <c r="AE184" i="3"/>
  <c r="AF184" i="3"/>
  <c r="AG184" i="3"/>
  <c r="Z185" i="3"/>
  <c r="AA185" i="3"/>
  <c r="AB185" i="3"/>
  <c r="AC185" i="3"/>
  <c r="AD185" i="3"/>
  <c r="AE185" i="3"/>
  <c r="AF185" i="3"/>
  <c r="AG185" i="3"/>
  <c r="Z186" i="3"/>
  <c r="AA186" i="3"/>
  <c r="AB186" i="3"/>
  <c r="AC186" i="3"/>
  <c r="AD186" i="3"/>
  <c r="AE186" i="3"/>
  <c r="AF186" i="3"/>
  <c r="AG186" i="3"/>
  <c r="Z187" i="3"/>
  <c r="AA187" i="3"/>
  <c r="AB187" i="3"/>
  <c r="AC187" i="3"/>
  <c r="AD187" i="3"/>
  <c r="AE187" i="3"/>
  <c r="AF187" i="3"/>
  <c r="AG187" i="3"/>
  <c r="Z188" i="3"/>
  <c r="AA188" i="3"/>
  <c r="AB188" i="3"/>
  <c r="AC188" i="3"/>
  <c r="AD188" i="3"/>
  <c r="AE188" i="3"/>
  <c r="AF188" i="3"/>
  <c r="AG188" i="3"/>
  <c r="Z189" i="3"/>
  <c r="AA189" i="3"/>
  <c r="AB189" i="3"/>
  <c r="AC189" i="3"/>
  <c r="AD189" i="3"/>
  <c r="AE189" i="3"/>
  <c r="AF189" i="3"/>
  <c r="AG189" i="3"/>
  <c r="Z190" i="3"/>
  <c r="AA190" i="3"/>
  <c r="AB190" i="3"/>
  <c r="AC190" i="3"/>
  <c r="AD190" i="3"/>
  <c r="AE190" i="3"/>
  <c r="AF190" i="3"/>
  <c r="AG190" i="3"/>
  <c r="Z191" i="3"/>
  <c r="AA191" i="3"/>
  <c r="AB191" i="3"/>
  <c r="AC191" i="3"/>
  <c r="AD191" i="3"/>
  <c r="AE191" i="3"/>
  <c r="AF191" i="3"/>
  <c r="AG191" i="3"/>
  <c r="Z192" i="3"/>
  <c r="AA192" i="3"/>
  <c r="AB192" i="3"/>
  <c r="AC192" i="3"/>
  <c r="AD192" i="3"/>
  <c r="AE192" i="3"/>
  <c r="AF192" i="3"/>
  <c r="AG192" i="3"/>
  <c r="Z193" i="3"/>
  <c r="AA193" i="3"/>
  <c r="AB193" i="3"/>
  <c r="AC193" i="3"/>
  <c r="AD193" i="3"/>
  <c r="AE193" i="3"/>
  <c r="AF193" i="3"/>
  <c r="AG193" i="3"/>
  <c r="Z194" i="3"/>
  <c r="AA194" i="3"/>
  <c r="AB194" i="3"/>
  <c r="AC194" i="3"/>
  <c r="AD194" i="3"/>
  <c r="AE194" i="3"/>
  <c r="AF194" i="3"/>
  <c r="AG194" i="3"/>
  <c r="Z195" i="3"/>
  <c r="AA195" i="3"/>
  <c r="AB195" i="3"/>
  <c r="AC195" i="3"/>
  <c r="AD195" i="3"/>
  <c r="AE195" i="3"/>
  <c r="AF195" i="3"/>
  <c r="AG195" i="3"/>
  <c r="Z8" i="3"/>
  <c r="AA8" i="3"/>
  <c r="AB8" i="3"/>
  <c r="AC8" i="3"/>
  <c r="AD8" i="3"/>
  <c r="AE8" i="3"/>
  <c r="AF8" i="3"/>
  <c r="AG8" i="3"/>
  <c r="AG9" i="3"/>
  <c r="AF9" i="3"/>
  <c r="AE9" i="3"/>
  <c r="AD9" i="3"/>
  <c r="AC9" i="3"/>
  <c r="AB9" i="3"/>
  <c r="AA9" i="3"/>
  <c r="Z9" i="3"/>
  <c r="D40" i="15"/>
  <c r="D41" i="15"/>
  <c r="D42" i="15"/>
  <c r="D43" i="15"/>
  <c r="D25" i="15"/>
  <c r="F33" i="15"/>
  <c r="F34" i="15"/>
  <c r="F50" i="15" s="1"/>
  <c r="F35" i="15"/>
  <c r="F51" i="15" s="1"/>
  <c r="F36" i="15"/>
  <c r="F52" i="15" s="1"/>
  <c r="F67" i="15" s="1"/>
  <c r="F37" i="15"/>
  <c r="F53" i="15" s="1"/>
  <c r="F68" i="15" s="1"/>
  <c r="F38" i="15"/>
  <c r="F39" i="15"/>
  <c r="F40" i="15"/>
  <c r="F41" i="15"/>
  <c r="F42" i="15"/>
  <c r="F43" i="15"/>
  <c r="F59" i="15" s="1"/>
  <c r="F74" i="15" s="1"/>
  <c r="F32" i="15"/>
  <c r="F48" i="15" s="1"/>
  <c r="D33" i="15"/>
  <c r="D34" i="15"/>
  <c r="D35" i="15"/>
  <c r="D36" i="15"/>
  <c r="D37" i="15"/>
  <c r="D38" i="15"/>
  <c r="D39" i="15"/>
  <c r="D32" i="15"/>
  <c r="AK9" i="3"/>
  <c r="AK10" i="3"/>
  <c r="AK11" i="3"/>
  <c r="AK13" i="3"/>
  <c r="AK16" i="3"/>
  <c r="AK18" i="3"/>
  <c r="AK19" i="3"/>
  <c r="AK20" i="3"/>
  <c r="AK21" i="3"/>
  <c r="AK22" i="3"/>
  <c r="AK23" i="3"/>
  <c r="AK24" i="3"/>
  <c r="AK25" i="3"/>
  <c r="AK26" i="3"/>
  <c r="AK27" i="3"/>
  <c r="AK28" i="3"/>
  <c r="AK29" i="3"/>
  <c r="AK30" i="3"/>
  <c r="AK31" i="3"/>
  <c r="AK32" i="3"/>
  <c r="AK33" i="3"/>
  <c r="AK34" i="3"/>
  <c r="AK35" i="3"/>
  <c r="AK36" i="3"/>
  <c r="AK37" i="3"/>
  <c r="AK38" i="3"/>
  <c r="AK39" i="3"/>
  <c r="AK40" i="3"/>
  <c r="AK41" i="3"/>
  <c r="AK42" i="3"/>
  <c r="AK43" i="3"/>
  <c r="AK44" i="3"/>
  <c r="AK45" i="3"/>
  <c r="AK46" i="3"/>
  <c r="AK47" i="3"/>
  <c r="AK48" i="3"/>
  <c r="AK49" i="3"/>
  <c r="AK50" i="3"/>
  <c r="AK51" i="3"/>
  <c r="AK52" i="3"/>
  <c r="AK53" i="3"/>
  <c r="AK54" i="3"/>
  <c r="AK55" i="3"/>
  <c r="AK56" i="3"/>
  <c r="AK57" i="3"/>
  <c r="AK58" i="3"/>
  <c r="AK59" i="3"/>
  <c r="AK60" i="3"/>
  <c r="AK61" i="3"/>
  <c r="AK62" i="3"/>
  <c r="AK63" i="3"/>
  <c r="AK64" i="3"/>
  <c r="AK65" i="3"/>
  <c r="AK66" i="3"/>
  <c r="AK67" i="3"/>
  <c r="AK68" i="3"/>
  <c r="AK69" i="3"/>
  <c r="AK70" i="3"/>
  <c r="AK71" i="3"/>
  <c r="AK72" i="3"/>
  <c r="AK73" i="3"/>
  <c r="AK74" i="3"/>
  <c r="AK75" i="3"/>
  <c r="AK76" i="3"/>
  <c r="AK77" i="3"/>
  <c r="AK78" i="3"/>
  <c r="AK79" i="3"/>
  <c r="AK80" i="3"/>
  <c r="AK81" i="3"/>
  <c r="AK82" i="3"/>
  <c r="AK83" i="3"/>
  <c r="AK84" i="3"/>
  <c r="AK85" i="3"/>
  <c r="AK86" i="3"/>
  <c r="AK87" i="3"/>
  <c r="AK88" i="3"/>
  <c r="AK89" i="3"/>
  <c r="AK90" i="3"/>
  <c r="AK91" i="3"/>
  <c r="AK92" i="3"/>
  <c r="AK93" i="3"/>
  <c r="AK94" i="3"/>
  <c r="AK95" i="3"/>
  <c r="AK96" i="3"/>
  <c r="AK97" i="3"/>
  <c r="AK98" i="3"/>
  <c r="AK99" i="3"/>
  <c r="AK100" i="3"/>
  <c r="AK105" i="3"/>
  <c r="AK106" i="3"/>
  <c r="AK107" i="3"/>
  <c r="AK108" i="3"/>
  <c r="AK109" i="3"/>
  <c r="AK110" i="3"/>
  <c r="AK111" i="3"/>
  <c r="AK112" i="3"/>
  <c r="AK113" i="3"/>
  <c r="AK114" i="3"/>
  <c r="AK115" i="3"/>
  <c r="AK116" i="3"/>
  <c r="AK117" i="3"/>
  <c r="AK118" i="3"/>
  <c r="AK119" i="3"/>
  <c r="AK120" i="3"/>
  <c r="AK121" i="3"/>
  <c r="AK122" i="3"/>
  <c r="AK123" i="3"/>
  <c r="AK124" i="3"/>
  <c r="AK125" i="3"/>
  <c r="AK126" i="3"/>
  <c r="AK127" i="3"/>
  <c r="AK128" i="3"/>
  <c r="AK129" i="3"/>
  <c r="AK130" i="3"/>
  <c r="AK131" i="3"/>
  <c r="AK132" i="3"/>
  <c r="AK133" i="3"/>
  <c r="AK134" i="3"/>
  <c r="AK135" i="3"/>
  <c r="AK136" i="3"/>
  <c r="AK137" i="3"/>
  <c r="AK138" i="3"/>
  <c r="AK139" i="3"/>
  <c r="AK140" i="3"/>
  <c r="AK141" i="3"/>
  <c r="AK142" i="3"/>
  <c r="AK143" i="3"/>
  <c r="AK144" i="3"/>
  <c r="AK145" i="3"/>
  <c r="AK146" i="3"/>
  <c r="AK147" i="3"/>
  <c r="AK148" i="3"/>
  <c r="AK149" i="3"/>
  <c r="AK150" i="3"/>
  <c r="AK151" i="3"/>
  <c r="AK152" i="3"/>
  <c r="AK153" i="3"/>
  <c r="AK154" i="3"/>
  <c r="AK155" i="3"/>
  <c r="AK156" i="3"/>
  <c r="AK157" i="3"/>
  <c r="AK158" i="3"/>
  <c r="AK159" i="3"/>
  <c r="AK160" i="3"/>
  <c r="AK161" i="3"/>
  <c r="AK162" i="3"/>
  <c r="AK163" i="3"/>
  <c r="AK164" i="3"/>
  <c r="AK165" i="3"/>
  <c r="AK166" i="3"/>
  <c r="AK167" i="3"/>
  <c r="AK168" i="3"/>
  <c r="AK169" i="3"/>
  <c r="AK170" i="3"/>
  <c r="AK171" i="3"/>
  <c r="AK172" i="3"/>
  <c r="AK173" i="3"/>
  <c r="AK174" i="3"/>
  <c r="AK175" i="3"/>
  <c r="AK176" i="3"/>
  <c r="AK177" i="3"/>
  <c r="AK178" i="3"/>
  <c r="AK179" i="3"/>
  <c r="AK180" i="3"/>
  <c r="AK181" i="3"/>
  <c r="AK182" i="3"/>
  <c r="AK183" i="3"/>
  <c r="AK184" i="3"/>
  <c r="AK185" i="3"/>
  <c r="AK186" i="3"/>
  <c r="AK187" i="3"/>
  <c r="AK188" i="3"/>
  <c r="AK189" i="3"/>
  <c r="AK190" i="3"/>
  <c r="AK191" i="3"/>
  <c r="AK192" i="3"/>
  <c r="AK193" i="3"/>
  <c r="AK194" i="3"/>
  <c r="AK195" i="3"/>
  <c r="AK8" i="3"/>
  <c r="W10" i="8"/>
  <c r="W11" i="8"/>
  <c r="W12" i="8"/>
  <c r="W13" i="8"/>
  <c r="W14"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W48" i="8"/>
  <c r="W49" i="8"/>
  <c r="W50" i="8"/>
  <c r="W51" i="8"/>
  <c r="W52" i="8"/>
  <c r="W53" i="8"/>
  <c r="W54" i="8"/>
  <c r="W55" i="8"/>
  <c r="W56" i="8"/>
  <c r="W57" i="8"/>
  <c r="W58" i="8"/>
  <c r="W59" i="8"/>
  <c r="W60" i="8"/>
  <c r="W61" i="8"/>
  <c r="W62" i="8"/>
  <c r="W63" i="8"/>
  <c r="W64" i="8"/>
  <c r="W65" i="8"/>
  <c r="W66" i="8"/>
  <c r="W67" i="8"/>
  <c r="W68" i="8"/>
  <c r="W69" i="8"/>
  <c r="W70" i="8"/>
  <c r="W71" i="8"/>
  <c r="W72" i="8"/>
  <c r="W73" i="8"/>
  <c r="W74" i="8"/>
  <c r="W75" i="8"/>
  <c r="W76" i="8"/>
  <c r="W77" i="8"/>
  <c r="W78" i="8"/>
  <c r="W79" i="8"/>
  <c r="W80" i="8"/>
  <c r="W81" i="8"/>
  <c r="W82" i="8"/>
  <c r="W83" i="8"/>
  <c r="W84" i="8"/>
  <c r="W85" i="8"/>
  <c r="W86" i="8"/>
  <c r="W87" i="8"/>
  <c r="W88" i="8"/>
  <c r="W89" i="8"/>
  <c r="W90" i="8"/>
  <c r="W91" i="8"/>
  <c r="W92" i="8"/>
  <c r="W93" i="8"/>
  <c r="W94" i="8"/>
  <c r="W95" i="8"/>
  <c r="W96" i="8"/>
  <c r="W97" i="8"/>
  <c r="W98" i="8"/>
  <c r="W99" i="8"/>
  <c r="W100" i="8"/>
  <c r="W101" i="8"/>
  <c r="W102" i="8"/>
  <c r="W103" i="8"/>
  <c r="W104" i="8"/>
  <c r="W105" i="8"/>
  <c r="W106" i="8"/>
  <c r="W107" i="8"/>
  <c r="W108" i="8"/>
  <c r="W109" i="8"/>
  <c r="W110" i="8"/>
  <c r="W111" i="8"/>
  <c r="W112" i="8"/>
  <c r="W113" i="8"/>
  <c r="W114" i="8"/>
  <c r="W115" i="8"/>
  <c r="W116" i="8"/>
  <c r="W117" i="8"/>
  <c r="W118" i="8"/>
  <c r="W119" i="8"/>
  <c r="W120" i="8"/>
  <c r="W121" i="8"/>
  <c r="W122" i="8"/>
  <c r="W123" i="8"/>
  <c r="W124" i="8"/>
  <c r="W125" i="8"/>
  <c r="W126" i="8"/>
  <c r="W127" i="8"/>
  <c r="W128" i="8"/>
  <c r="W129" i="8"/>
  <c r="W130" i="8"/>
  <c r="W131" i="8"/>
  <c r="W132" i="8"/>
  <c r="W133" i="8"/>
  <c r="W134" i="8"/>
  <c r="W135" i="8"/>
  <c r="W136" i="8"/>
  <c r="W137" i="8"/>
  <c r="W138" i="8"/>
  <c r="W139" i="8"/>
  <c r="W140" i="8"/>
  <c r="W141" i="8"/>
  <c r="W142" i="8"/>
  <c r="W143" i="8"/>
  <c r="W144" i="8"/>
  <c r="W145" i="8"/>
  <c r="W146" i="8"/>
  <c r="W147" i="8"/>
  <c r="W148" i="8"/>
  <c r="W149" i="8"/>
  <c r="W150" i="8"/>
  <c r="W151" i="8"/>
  <c r="W152" i="8"/>
  <c r="W153" i="8"/>
  <c r="W154" i="8"/>
  <c r="W155" i="8"/>
  <c r="W156" i="8"/>
  <c r="W157" i="8"/>
  <c r="W158" i="8"/>
  <c r="W159" i="8"/>
  <c r="W160" i="8"/>
  <c r="W161" i="8"/>
  <c r="W162" i="8"/>
  <c r="W163" i="8"/>
  <c r="W164" i="8"/>
  <c r="W165" i="8"/>
  <c r="W166" i="8"/>
  <c r="W167" i="8"/>
  <c r="W168" i="8"/>
  <c r="W169" i="8"/>
  <c r="W170" i="8"/>
  <c r="W171" i="8"/>
  <c r="W172" i="8"/>
  <c r="W173" i="8"/>
  <c r="W174" i="8"/>
  <c r="W175" i="8"/>
  <c r="W176" i="8"/>
  <c r="W177" i="8"/>
  <c r="W178" i="8"/>
  <c r="W179" i="8"/>
  <c r="W180" i="8"/>
  <c r="W181" i="8"/>
  <c r="W182" i="8"/>
  <c r="W183" i="8"/>
  <c r="W184" i="8"/>
  <c r="W185" i="8"/>
  <c r="W186" i="8"/>
  <c r="W187" i="8"/>
  <c r="W188" i="8"/>
  <c r="W189" i="8"/>
  <c r="W190" i="8"/>
  <c r="W191" i="8"/>
  <c r="W192" i="8"/>
  <c r="W193" i="8"/>
  <c r="W194" i="8"/>
  <c r="W195" i="8"/>
  <c r="W196" i="8"/>
  <c r="W197" i="8"/>
  <c r="W198" i="8"/>
  <c r="W199" i="8"/>
  <c r="W200" i="8"/>
  <c r="W201" i="8"/>
  <c r="W202" i="8"/>
  <c r="W203" i="8"/>
  <c r="W204" i="8"/>
  <c r="W205" i="8"/>
  <c r="W206" i="8"/>
  <c r="W207" i="8"/>
  <c r="W208" i="8"/>
  <c r="W209" i="8"/>
  <c r="W210" i="8"/>
  <c r="W211" i="8"/>
  <c r="W212" i="8"/>
  <c r="W213" i="8"/>
  <c r="W214" i="8"/>
  <c r="W215" i="8"/>
  <c r="W216" i="8"/>
  <c r="W217" i="8"/>
  <c r="W218" i="8"/>
  <c r="W219" i="8"/>
  <c r="W220" i="8"/>
  <c r="W221" i="8"/>
  <c r="W222" i="8"/>
  <c r="W223" i="8"/>
  <c r="W224" i="8"/>
  <c r="W225" i="8"/>
  <c r="W226" i="8"/>
  <c r="W227" i="8"/>
  <c r="W228" i="8"/>
  <c r="W229" i="8"/>
  <c r="W230" i="8"/>
  <c r="W231" i="8"/>
  <c r="W232" i="8"/>
  <c r="W233" i="8"/>
  <c r="W234" i="8"/>
  <c r="W235" i="8"/>
  <c r="W236" i="8"/>
  <c r="W237" i="8"/>
  <c r="W238" i="8"/>
  <c r="W239" i="8"/>
  <c r="W240" i="8"/>
  <c r="W241" i="8"/>
  <c r="W242" i="8"/>
  <c r="W243" i="8"/>
  <c r="W244" i="8"/>
  <c r="W245" i="8"/>
  <c r="W246" i="8"/>
  <c r="W247" i="8"/>
  <c r="W248" i="8"/>
  <c r="W249" i="8"/>
  <c r="W250" i="8"/>
  <c r="W251" i="8"/>
  <c r="W252" i="8"/>
  <c r="W253" i="8"/>
  <c r="W254" i="8"/>
  <c r="W255" i="8"/>
  <c r="W256" i="8"/>
  <c r="W257" i="8"/>
  <c r="W258" i="8"/>
  <c r="W259" i="8"/>
  <c r="W260" i="8"/>
  <c r="W261" i="8"/>
  <c r="W262" i="8"/>
  <c r="W263" i="8"/>
  <c r="W264" i="8"/>
  <c r="W265" i="8"/>
  <c r="W266" i="8"/>
  <c r="W267" i="8"/>
  <c r="W268" i="8"/>
  <c r="W269" i="8"/>
  <c r="W270" i="8"/>
  <c r="W271" i="8"/>
  <c r="W272" i="8"/>
  <c r="W273" i="8"/>
  <c r="W274" i="8"/>
  <c r="W275" i="8"/>
  <c r="W276" i="8"/>
  <c r="W277" i="8"/>
  <c r="W278" i="8"/>
  <c r="W279" i="8"/>
  <c r="W280" i="8"/>
  <c r="W281" i="8"/>
  <c r="W282" i="8"/>
  <c r="W283" i="8"/>
  <c r="W284" i="8"/>
  <c r="W285" i="8"/>
  <c r="W286" i="8"/>
  <c r="W287" i="8"/>
  <c r="W288" i="8"/>
  <c r="W289" i="8"/>
  <c r="W290" i="8"/>
  <c r="W291" i="8"/>
  <c r="W292" i="8"/>
  <c r="W293" i="8"/>
  <c r="W294" i="8"/>
  <c r="W295" i="8"/>
  <c r="W296" i="8"/>
  <c r="W297" i="8"/>
  <c r="W298" i="8"/>
  <c r="W299" i="8"/>
  <c r="W300" i="8"/>
  <c r="W301" i="8"/>
  <c r="W302" i="8"/>
  <c r="W303" i="8"/>
  <c r="W304" i="8"/>
  <c r="W305" i="8"/>
  <c r="W306" i="8"/>
  <c r="W307" i="8"/>
  <c r="W308" i="8"/>
  <c r="W309" i="8"/>
  <c r="W310" i="8"/>
  <c r="W311" i="8"/>
  <c r="W312" i="8"/>
  <c r="W313" i="8"/>
  <c r="W314" i="8"/>
  <c r="W315" i="8"/>
  <c r="W316" i="8"/>
  <c r="W317" i="8"/>
  <c r="W318" i="8"/>
  <c r="W319" i="8"/>
  <c r="W320" i="8"/>
  <c r="W321" i="8"/>
  <c r="W322" i="8"/>
  <c r="W323" i="8"/>
  <c r="W324" i="8"/>
  <c r="W325" i="8"/>
  <c r="W326" i="8"/>
  <c r="W327" i="8"/>
  <c r="W328" i="8"/>
  <c r="W329" i="8"/>
  <c r="W330" i="8"/>
  <c r="W331" i="8"/>
  <c r="W332" i="8"/>
  <c r="W333" i="8"/>
  <c r="W334" i="8"/>
  <c r="W335" i="8"/>
  <c r="W336" i="8"/>
  <c r="W337" i="8"/>
  <c r="W338" i="8"/>
  <c r="W339" i="8"/>
  <c r="W340" i="8"/>
  <c r="W341" i="8"/>
  <c r="W342" i="8"/>
  <c r="W343" i="8"/>
  <c r="W344" i="8"/>
  <c r="W345" i="8"/>
  <c r="W346" i="8"/>
  <c r="W347" i="8"/>
  <c r="W348" i="8"/>
  <c r="W349" i="8"/>
  <c r="W350" i="8"/>
  <c r="W351" i="8"/>
  <c r="W352" i="8"/>
  <c r="W353" i="8"/>
  <c r="W354" i="8"/>
  <c r="W355" i="8"/>
  <c r="W356" i="8"/>
  <c r="W357" i="8"/>
  <c r="W358" i="8"/>
  <c r="W359" i="8"/>
  <c r="W360" i="8"/>
  <c r="W361" i="8"/>
  <c r="W362" i="8"/>
  <c r="W363" i="8"/>
  <c r="W364" i="8"/>
  <c r="W365" i="8"/>
  <c r="W366" i="8"/>
  <c r="W367" i="8"/>
  <c r="W368" i="8"/>
  <c r="W369" i="8"/>
  <c r="W370" i="8"/>
  <c r="W371" i="8"/>
  <c r="W372" i="8"/>
  <c r="W373" i="8"/>
  <c r="W374" i="8"/>
  <c r="W375" i="8"/>
  <c r="W376" i="8"/>
  <c r="W377" i="8"/>
  <c r="W378" i="8"/>
  <c r="W379" i="8"/>
  <c r="W380" i="8"/>
  <c r="W381" i="8"/>
  <c r="W382" i="8"/>
  <c r="W383" i="8"/>
  <c r="W384" i="8"/>
  <c r="W385" i="8"/>
  <c r="W386" i="8"/>
  <c r="W387" i="8"/>
  <c r="W388" i="8"/>
  <c r="W389" i="8"/>
  <c r="W390" i="8"/>
  <c r="W391" i="8"/>
  <c r="W392" i="8"/>
  <c r="W393" i="8"/>
  <c r="W394" i="8"/>
  <c r="W395" i="8"/>
  <c r="W396" i="8"/>
  <c r="W397" i="8"/>
  <c r="W398" i="8"/>
  <c r="W399" i="8"/>
  <c r="W400" i="8"/>
  <c r="W401" i="8"/>
  <c r="W402" i="8"/>
  <c r="W403" i="8"/>
  <c r="W404" i="8"/>
  <c r="W405" i="8"/>
  <c r="W406" i="8"/>
  <c r="W407" i="8"/>
  <c r="W408" i="8"/>
  <c r="W409" i="8"/>
  <c r="W410" i="8"/>
  <c r="W411" i="8"/>
  <c r="W412" i="8"/>
  <c r="W413" i="8"/>
  <c r="W414" i="8"/>
  <c r="W415" i="8"/>
  <c r="W416" i="8"/>
  <c r="W417" i="8"/>
  <c r="W418" i="8"/>
  <c r="W419" i="8"/>
  <c r="W420" i="8"/>
  <c r="W421" i="8"/>
  <c r="W422" i="8"/>
  <c r="W423" i="8"/>
  <c r="W424" i="8"/>
  <c r="W425" i="8"/>
  <c r="W426" i="8"/>
  <c r="W427" i="8"/>
  <c r="W428" i="8"/>
  <c r="W429" i="8"/>
  <c r="W430" i="8"/>
  <c r="W431" i="8"/>
  <c r="W432" i="8"/>
  <c r="W433" i="8"/>
  <c r="W434" i="8"/>
  <c r="W435" i="8"/>
  <c r="W436" i="8"/>
  <c r="W437" i="8"/>
  <c r="W438" i="8"/>
  <c r="W439" i="8"/>
  <c r="W440" i="8"/>
  <c r="W441" i="8"/>
  <c r="W442" i="8"/>
  <c r="W443" i="8"/>
  <c r="W444" i="8"/>
  <c r="W445" i="8"/>
  <c r="W446" i="8"/>
  <c r="W447" i="8"/>
  <c r="W448" i="8"/>
  <c r="W449" i="8"/>
  <c r="W450" i="8"/>
  <c r="W451" i="8"/>
  <c r="W452" i="8"/>
  <c r="W453" i="8"/>
  <c r="W454" i="8"/>
  <c r="W455" i="8"/>
  <c r="W456" i="8"/>
  <c r="W457" i="8"/>
  <c r="W458" i="8"/>
  <c r="W459" i="8"/>
  <c r="W460" i="8"/>
  <c r="W461" i="8"/>
  <c r="W462" i="8"/>
  <c r="W463" i="8"/>
  <c r="W464" i="8"/>
  <c r="W465" i="8"/>
  <c r="W466" i="8"/>
  <c r="W467" i="8"/>
  <c r="W468" i="8"/>
  <c r="W469" i="8"/>
  <c r="W470" i="8"/>
  <c r="W471" i="8"/>
  <c r="W472" i="8"/>
  <c r="W473" i="8"/>
  <c r="W474" i="8"/>
  <c r="W475" i="8"/>
  <c r="W476" i="8"/>
  <c r="W477" i="8"/>
  <c r="W478" i="8"/>
  <c r="W479" i="8"/>
  <c r="W480" i="8"/>
  <c r="W481" i="8"/>
  <c r="W482" i="8"/>
  <c r="W483" i="8"/>
  <c r="W484" i="8"/>
  <c r="W485" i="8"/>
  <c r="W486" i="8"/>
  <c r="W487" i="8"/>
  <c r="W488" i="8"/>
  <c r="W489" i="8"/>
  <c r="W490" i="8"/>
  <c r="W491" i="8"/>
  <c r="W492" i="8"/>
  <c r="W493" i="8"/>
  <c r="W494" i="8"/>
  <c r="W495" i="8"/>
  <c r="W496" i="8"/>
  <c r="W497" i="8"/>
  <c r="W498" i="8"/>
  <c r="W499" i="8"/>
  <c r="W500" i="8"/>
  <c r="W501" i="8"/>
  <c r="W502" i="8"/>
  <c r="W503" i="8"/>
  <c r="W504" i="8"/>
  <c r="W505" i="8"/>
  <c r="W506" i="8"/>
  <c r="W507" i="8"/>
  <c r="W508" i="8"/>
  <c r="W509" i="8"/>
  <c r="W510" i="8"/>
  <c r="W511" i="8"/>
  <c r="W512" i="8"/>
  <c r="W513" i="8"/>
  <c r="W514" i="8"/>
  <c r="W515" i="8"/>
  <c r="W516" i="8"/>
  <c r="W517" i="8"/>
  <c r="W518" i="8"/>
  <c r="W519" i="8"/>
  <c r="W520" i="8"/>
  <c r="W521" i="8"/>
  <c r="W522" i="8"/>
  <c r="W523" i="8"/>
  <c r="W524" i="8"/>
  <c r="W525" i="8"/>
  <c r="W526" i="8"/>
  <c r="W527" i="8"/>
  <c r="W528" i="8"/>
  <c r="W529" i="8"/>
  <c r="W530" i="8"/>
  <c r="W531" i="8"/>
  <c r="W532" i="8"/>
  <c r="W533" i="8"/>
  <c r="W534" i="8"/>
  <c r="W535" i="8"/>
  <c r="W536" i="8"/>
  <c r="W537" i="8"/>
  <c r="W538" i="8"/>
  <c r="W539" i="8"/>
  <c r="W540" i="8"/>
  <c r="W541" i="8"/>
  <c r="W542" i="8"/>
  <c r="W543" i="8"/>
  <c r="W544" i="8"/>
  <c r="W545" i="8"/>
  <c r="W546" i="8"/>
  <c r="W547" i="8"/>
  <c r="W548" i="8"/>
  <c r="W549" i="8"/>
  <c r="W550" i="8"/>
  <c r="W551" i="8"/>
  <c r="W552" i="8"/>
  <c r="W553" i="8"/>
  <c r="W554" i="8"/>
  <c r="W555" i="8"/>
  <c r="W556" i="8"/>
  <c r="W557" i="8"/>
  <c r="W558" i="8"/>
  <c r="W559" i="8"/>
  <c r="W560" i="8"/>
  <c r="W561" i="8"/>
  <c r="W562" i="8"/>
  <c r="W563" i="8"/>
  <c r="W564" i="8"/>
  <c r="W565" i="8"/>
  <c r="W566" i="8"/>
  <c r="W567" i="8"/>
  <c r="W568" i="8"/>
  <c r="W569" i="8"/>
  <c r="W570" i="8"/>
  <c r="W571" i="8"/>
  <c r="W572" i="8"/>
  <c r="W573" i="8"/>
  <c r="W574" i="8"/>
  <c r="W575" i="8"/>
  <c r="W576" i="8"/>
  <c r="W577" i="8"/>
  <c r="W578" i="8"/>
  <c r="W579" i="8"/>
  <c r="W580" i="8"/>
  <c r="W581" i="8"/>
  <c r="W582" i="8"/>
  <c r="W583" i="8"/>
  <c r="W584" i="8"/>
  <c r="W585" i="8"/>
  <c r="W586" i="8"/>
  <c r="W587" i="8"/>
  <c r="W588" i="8"/>
  <c r="W589" i="8"/>
  <c r="W590" i="8"/>
  <c r="W591" i="8"/>
  <c r="W592" i="8"/>
  <c r="W593" i="8"/>
  <c r="W594" i="8"/>
  <c r="W595" i="8"/>
  <c r="W596" i="8"/>
  <c r="W597" i="8"/>
  <c r="W598" i="8"/>
  <c r="W599" i="8"/>
  <c r="W600" i="8"/>
  <c r="W601" i="8"/>
  <c r="W602" i="8"/>
  <c r="W603" i="8"/>
  <c r="W604" i="8"/>
  <c r="W605" i="8"/>
  <c r="W606" i="8"/>
  <c r="W607" i="8"/>
  <c r="W608" i="8"/>
  <c r="W609" i="8"/>
  <c r="W610" i="8"/>
  <c r="W611" i="8"/>
  <c r="W612" i="8"/>
  <c r="W613" i="8"/>
  <c r="W614" i="8"/>
  <c r="W615" i="8"/>
  <c r="W616" i="8"/>
  <c r="W617" i="8"/>
  <c r="W618" i="8"/>
  <c r="W619" i="8"/>
  <c r="W620" i="8"/>
  <c r="W621" i="8"/>
  <c r="W622" i="8"/>
  <c r="W623" i="8"/>
  <c r="W624" i="8"/>
  <c r="W625" i="8"/>
  <c r="W626" i="8"/>
  <c r="W627" i="8"/>
  <c r="W628" i="8"/>
  <c r="W629" i="8"/>
  <c r="W630" i="8"/>
  <c r="W631" i="8"/>
  <c r="W632" i="8"/>
  <c r="W633" i="8"/>
  <c r="W634" i="8"/>
  <c r="W635" i="8"/>
  <c r="W636" i="8"/>
  <c r="W637" i="8"/>
  <c r="W638" i="8"/>
  <c r="W639" i="8"/>
  <c r="W640" i="8"/>
  <c r="W641" i="8"/>
  <c r="W642" i="8"/>
  <c r="W643" i="8"/>
  <c r="W644" i="8"/>
  <c r="W645" i="8"/>
  <c r="W646" i="8"/>
  <c r="W647" i="8"/>
  <c r="W648" i="8"/>
  <c r="W649" i="8"/>
  <c r="W650" i="8"/>
  <c r="W651" i="8"/>
  <c r="W652" i="8"/>
  <c r="W653" i="8"/>
  <c r="W654" i="8"/>
  <c r="W655" i="8"/>
  <c r="W656" i="8"/>
  <c r="W657" i="8"/>
  <c r="W658" i="8"/>
  <c r="W659" i="8"/>
  <c r="W660" i="8"/>
  <c r="W661" i="8"/>
  <c r="W662" i="8"/>
  <c r="W663" i="8"/>
  <c r="W664" i="8"/>
  <c r="W665" i="8"/>
  <c r="W666" i="8"/>
  <c r="W667" i="8"/>
  <c r="W668" i="8"/>
  <c r="W669" i="8"/>
  <c r="W670" i="8"/>
  <c r="W671" i="8"/>
  <c r="W672" i="8"/>
  <c r="W673" i="8"/>
  <c r="W674" i="8"/>
  <c r="W675" i="8"/>
  <c r="W676" i="8"/>
  <c r="W677" i="8"/>
  <c r="W678" i="8"/>
  <c r="W679" i="8"/>
  <c r="W680" i="8"/>
  <c r="W681" i="8"/>
  <c r="W682" i="8"/>
  <c r="W683" i="8"/>
  <c r="W684" i="8"/>
  <c r="W685" i="8"/>
  <c r="W686" i="8"/>
  <c r="W687" i="8"/>
  <c r="W688" i="8"/>
  <c r="W689" i="8"/>
  <c r="W690" i="8"/>
  <c r="W691" i="8"/>
  <c r="W692" i="8"/>
  <c r="W693" i="8"/>
  <c r="W694" i="8"/>
  <c r="W695" i="8"/>
  <c r="W696" i="8"/>
  <c r="W697" i="8"/>
  <c r="W698" i="8"/>
  <c r="W699" i="8"/>
  <c r="W700" i="8"/>
  <c r="W701" i="8"/>
  <c r="W702" i="8"/>
  <c r="W703" i="8"/>
  <c r="W704" i="8"/>
  <c r="W705" i="8"/>
  <c r="W706" i="8"/>
  <c r="W707" i="8"/>
  <c r="W708" i="8"/>
  <c r="W709" i="8"/>
  <c r="W710" i="8"/>
  <c r="W711" i="8"/>
  <c r="W712" i="8"/>
  <c r="W713" i="8"/>
  <c r="W714" i="8"/>
  <c r="W715" i="8"/>
  <c r="W716" i="8"/>
  <c r="W717" i="8"/>
  <c r="W718" i="8"/>
  <c r="W719" i="8"/>
  <c r="W720" i="8"/>
  <c r="W721" i="8"/>
  <c r="W722" i="8"/>
  <c r="W723" i="8"/>
  <c r="W724" i="8"/>
  <c r="W725" i="8"/>
  <c r="W726" i="8"/>
  <c r="W727" i="8"/>
  <c r="W728" i="8"/>
  <c r="W729" i="8"/>
  <c r="W730" i="8"/>
  <c r="W731" i="8"/>
  <c r="W732" i="8"/>
  <c r="W733" i="8"/>
  <c r="W734" i="8"/>
  <c r="W735" i="8"/>
  <c r="W736" i="8"/>
  <c r="W737" i="8"/>
  <c r="W738" i="8"/>
  <c r="W739" i="8"/>
  <c r="W740" i="8"/>
  <c r="W741" i="8"/>
  <c r="W742" i="8"/>
  <c r="W743" i="8"/>
  <c r="W744" i="8"/>
  <c r="W745" i="8"/>
  <c r="W746" i="8"/>
  <c r="W747" i="8"/>
  <c r="W748" i="8"/>
  <c r="W749" i="8"/>
  <c r="W750" i="8"/>
  <c r="W751" i="8"/>
  <c r="W752" i="8"/>
  <c r="W753" i="8"/>
  <c r="W754" i="8"/>
  <c r="W755" i="8"/>
  <c r="W756" i="8"/>
  <c r="W757" i="8"/>
  <c r="W758" i="8"/>
  <c r="W759" i="8"/>
  <c r="W760" i="8"/>
  <c r="W761" i="8"/>
  <c r="W762" i="8"/>
  <c r="W763" i="8"/>
  <c r="W764" i="8"/>
  <c r="W765" i="8"/>
  <c r="W766" i="8"/>
  <c r="W767" i="8"/>
  <c r="W768" i="8"/>
  <c r="W769" i="8"/>
  <c r="W770" i="8"/>
  <c r="W771" i="8"/>
  <c r="W772" i="8"/>
  <c r="W773" i="8"/>
  <c r="W774" i="8"/>
  <c r="W775" i="8"/>
  <c r="W776" i="8"/>
  <c r="W777" i="8"/>
  <c r="W778" i="8"/>
  <c r="W779" i="8"/>
  <c r="W780" i="8"/>
  <c r="W781" i="8"/>
  <c r="W782" i="8"/>
  <c r="W783" i="8"/>
  <c r="W784" i="8"/>
  <c r="W785" i="8"/>
  <c r="W786" i="8"/>
  <c r="W787" i="8"/>
  <c r="W788" i="8"/>
  <c r="W789" i="8"/>
  <c r="W790" i="8"/>
  <c r="W791" i="8"/>
  <c r="W792" i="8"/>
  <c r="W793" i="8"/>
  <c r="W794" i="8"/>
  <c r="W795" i="8"/>
  <c r="W796" i="8"/>
  <c r="W797" i="8"/>
  <c r="W798" i="8"/>
  <c r="W799" i="8"/>
  <c r="W800" i="8"/>
  <c r="W801" i="8"/>
  <c r="W802" i="8"/>
  <c r="W803" i="8"/>
  <c r="W804" i="8"/>
  <c r="W805" i="8"/>
  <c r="W806" i="8"/>
  <c r="W807" i="8"/>
  <c r="W808" i="8"/>
  <c r="W809" i="8"/>
  <c r="W810" i="8"/>
  <c r="W811" i="8"/>
  <c r="W812" i="8"/>
  <c r="W813" i="8"/>
  <c r="W814" i="8"/>
  <c r="W815" i="8"/>
  <c r="W816" i="8"/>
  <c r="W817" i="8"/>
  <c r="W818" i="8"/>
  <c r="W819" i="8"/>
  <c r="W820" i="8"/>
  <c r="W821" i="8"/>
  <c r="W822" i="8"/>
  <c r="W823" i="8"/>
  <c r="W824" i="8"/>
  <c r="W825" i="8"/>
  <c r="W826" i="8"/>
  <c r="W827" i="8"/>
  <c r="W828" i="8"/>
  <c r="W829" i="8"/>
  <c r="W830" i="8"/>
  <c r="W831" i="8"/>
  <c r="W832" i="8"/>
  <c r="W833" i="8"/>
  <c r="W834" i="8"/>
  <c r="W835" i="8"/>
  <c r="W836" i="8"/>
  <c r="W837" i="8"/>
  <c r="W838" i="8"/>
  <c r="W839" i="8"/>
  <c r="W840" i="8"/>
  <c r="W841" i="8"/>
  <c r="W842" i="8"/>
  <c r="W843" i="8"/>
  <c r="W844" i="8"/>
  <c r="W845" i="8"/>
  <c r="W846" i="8"/>
  <c r="W847" i="8"/>
  <c r="W848" i="8"/>
  <c r="W849" i="8"/>
  <c r="W850" i="8"/>
  <c r="W851" i="8"/>
  <c r="W852" i="8"/>
  <c r="W853" i="8"/>
  <c r="W854" i="8"/>
  <c r="W855" i="8"/>
  <c r="W856" i="8"/>
  <c r="W857" i="8"/>
  <c r="W858" i="8"/>
  <c r="W859" i="8"/>
  <c r="W860" i="8"/>
  <c r="W861" i="8"/>
  <c r="W862" i="8"/>
  <c r="W863" i="8"/>
  <c r="W864" i="8"/>
  <c r="W865" i="8"/>
  <c r="W866" i="8"/>
  <c r="W867" i="8"/>
  <c r="W868" i="8"/>
  <c r="W869" i="8"/>
  <c r="W870" i="8"/>
  <c r="W871" i="8"/>
  <c r="W872" i="8"/>
  <c r="W873" i="8"/>
  <c r="W874" i="8"/>
  <c r="W875" i="8"/>
  <c r="W876" i="8"/>
  <c r="W877" i="8"/>
  <c r="W878" i="8"/>
  <c r="W879" i="8"/>
  <c r="W880" i="8"/>
  <c r="W881" i="8"/>
  <c r="W882" i="8"/>
  <c r="W883" i="8"/>
  <c r="W884" i="8"/>
  <c r="W885" i="8"/>
  <c r="W886" i="8"/>
  <c r="W887" i="8"/>
  <c r="W888" i="8"/>
  <c r="W889" i="8"/>
  <c r="W890" i="8"/>
  <c r="W891" i="8"/>
  <c r="W892" i="8"/>
  <c r="W893" i="8"/>
  <c r="W894" i="8"/>
  <c r="W895" i="8"/>
  <c r="W896" i="8"/>
  <c r="W897" i="8"/>
  <c r="W898" i="8"/>
  <c r="W899" i="8"/>
  <c r="W900" i="8"/>
  <c r="W901" i="8"/>
  <c r="W902" i="8"/>
  <c r="W903" i="8"/>
  <c r="W904" i="8"/>
  <c r="W905" i="8"/>
  <c r="W906" i="8"/>
  <c r="W907" i="8"/>
  <c r="W908" i="8"/>
  <c r="W909" i="8"/>
  <c r="W910" i="8"/>
  <c r="W911" i="8"/>
  <c r="W912" i="8"/>
  <c r="W913" i="8"/>
  <c r="W914" i="8"/>
  <c r="W915" i="8"/>
  <c r="W916" i="8"/>
  <c r="W917" i="8"/>
  <c r="W918" i="8"/>
  <c r="W919" i="8"/>
  <c r="W920" i="8"/>
  <c r="W921" i="8"/>
  <c r="W922" i="8"/>
  <c r="W923" i="8"/>
  <c r="W924" i="8"/>
  <c r="W925" i="8"/>
  <c r="W926" i="8"/>
  <c r="W927" i="8"/>
  <c r="W928" i="8"/>
  <c r="W929" i="8"/>
  <c r="W930" i="8"/>
  <c r="W931" i="8"/>
  <c r="W932" i="8"/>
  <c r="W933" i="8"/>
  <c r="W934" i="8"/>
  <c r="W935" i="8"/>
  <c r="W936" i="8"/>
  <c r="W937" i="8"/>
  <c r="W938" i="8"/>
  <c r="W939" i="8"/>
  <c r="W940" i="8"/>
  <c r="W941" i="8"/>
  <c r="W942" i="8"/>
  <c r="W943" i="8"/>
  <c r="W944" i="8"/>
  <c r="W945" i="8"/>
  <c r="W946" i="8"/>
  <c r="W947" i="8"/>
  <c r="W948" i="8"/>
  <c r="W949" i="8"/>
  <c r="W950" i="8"/>
  <c r="W951" i="8"/>
  <c r="W952" i="8"/>
  <c r="W953" i="8"/>
  <c r="W954" i="8"/>
  <c r="W955" i="8"/>
  <c r="W956" i="8"/>
  <c r="W957" i="8"/>
  <c r="W958" i="8"/>
  <c r="W959" i="8"/>
  <c r="W960" i="8"/>
  <c r="W961" i="8"/>
  <c r="W962" i="8"/>
  <c r="W963" i="8"/>
  <c r="W964" i="8"/>
  <c r="W965" i="8"/>
  <c r="W966" i="8"/>
  <c r="W967" i="8"/>
  <c r="W968" i="8"/>
  <c r="W969" i="8"/>
  <c r="W970" i="8"/>
  <c r="W971" i="8"/>
  <c r="W972" i="8"/>
  <c r="W973" i="8"/>
  <c r="W974" i="8"/>
  <c r="W975" i="8"/>
  <c r="W976" i="8"/>
  <c r="W977" i="8"/>
  <c r="W978" i="8"/>
  <c r="W979" i="8"/>
  <c r="W980" i="8"/>
  <c r="W981" i="8"/>
  <c r="W982" i="8"/>
  <c r="W983" i="8"/>
  <c r="W984" i="8"/>
  <c r="W985" i="8"/>
  <c r="W986" i="8"/>
  <c r="W987" i="8"/>
  <c r="W988" i="8"/>
  <c r="W989" i="8"/>
  <c r="W990" i="8"/>
  <c r="W991" i="8"/>
  <c r="W992" i="8"/>
  <c r="W993" i="8"/>
  <c r="W994" i="8"/>
  <c r="W995" i="8"/>
  <c r="W996" i="8"/>
  <c r="W997" i="8"/>
  <c r="W998" i="8"/>
  <c r="W999" i="8"/>
  <c r="W1000" i="8"/>
  <c r="W1001" i="8"/>
  <c r="W1002" i="8"/>
  <c r="W1003" i="8"/>
  <c r="W1004" i="8"/>
  <c r="W1005" i="8"/>
  <c r="W1006" i="8"/>
  <c r="W1007" i="8"/>
  <c r="W1008" i="8"/>
  <c r="W9" i="8"/>
  <c r="C4" i="8"/>
  <c r="C15" i="8" s="1"/>
  <c r="D4" i="8"/>
  <c r="E4" i="8"/>
  <c r="C6" i="8"/>
  <c r="D6" i="8"/>
  <c r="E6" i="8"/>
  <c r="F111" i="6"/>
  <c r="H111" i="6" s="1"/>
  <c r="I111" i="6" s="1"/>
  <c r="F75" i="6"/>
  <c r="H75" i="6" s="1"/>
  <c r="I75" i="6" s="1"/>
  <c r="F71" i="6"/>
  <c r="H71" i="6" s="1"/>
  <c r="I71" i="6" s="1"/>
  <c r="F68" i="6"/>
  <c r="H68" i="6" s="1"/>
  <c r="I68" i="6" s="1"/>
  <c r="F34" i="6"/>
  <c r="H34" i="6" s="1"/>
  <c r="I34" i="6" s="1"/>
  <c r="F30" i="6"/>
  <c r="H30" i="6" s="1"/>
  <c r="I30" i="6" s="1"/>
  <c r="F24" i="6"/>
  <c r="H24" i="6" s="1"/>
  <c r="I24" i="6" s="1"/>
  <c r="F118" i="6"/>
  <c r="F117" i="6"/>
  <c r="H113" i="6"/>
  <c r="I113" i="6" s="1"/>
  <c r="AC113" i="6"/>
  <c r="AC112" i="6"/>
  <c r="AC111" i="6"/>
  <c r="AC110" i="6"/>
  <c r="AC109" i="6"/>
  <c r="AC108" i="6"/>
  <c r="AC107" i="6"/>
  <c r="AC106" i="6"/>
  <c r="AC105" i="6"/>
  <c r="AC104" i="6"/>
  <c r="AC103" i="6"/>
  <c r="AC102" i="6"/>
  <c r="AC101" i="6"/>
  <c r="AC100" i="6"/>
  <c r="AC99" i="6"/>
  <c r="AC98" i="6"/>
  <c r="AC97" i="6"/>
  <c r="AC96" i="6"/>
  <c r="AC95" i="6"/>
  <c r="AC94" i="6"/>
  <c r="AC93" i="6"/>
  <c r="AC92" i="6"/>
  <c r="AC91" i="6"/>
  <c r="AC90" i="6"/>
  <c r="AC89" i="6"/>
  <c r="AC88" i="6"/>
  <c r="AC87" i="6"/>
  <c r="AC86" i="6"/>
  <c r="AC85" i="6"/>
  <c r="AC84" i="6"/>
  <c r="AC83" i="6"/>
  <c r="AC82" i="6"/>
  <c r="AC81" i="6"/>
  <c r="AC80" i="6"/>
  <c r="AC79" i="6"/>
  <c r="AC78" i="6"/>
  <c r="AC77" i="6"/>
  <c r="AC76" i="6"/>
  <c r="AC75" i="6"/>
  <c r="AC74" i="6"/>
  <c r="AC73" i="6"/>
  <c r="AC72" i="6"/>
  <c r="AC71" i="6"/>
  <c r="AC70" i="6"/>
  <c r="AC69" i="6"/>
  <c r="AC68" i="6"/>
  <c r="AC67" i="6"/>
  <c r="AC66" i="6"/>
  <c r="AC65" i="6"/>
  <c r="AC64" i="6"/>
  <c r="AC63" i="6"/>
  <c r="AC62" i="6"/>
  <c r="AC61" i="6"/>
  <c r="AC60" i="6"/>
  <c r="AC59" i="6"/>
  <c r="AC58" i="6"/>
  <c r="AC57" i="6"/>
  <c r="AC56" i="6"/>
  <c r="AC55" i="6"/>
  <c r="AC54" i="6"/>
  <c r="AC53" i="6"/>
  <c r="AC52" i="6"/>
  <c r="AC51"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C12" i="6"/>
  <c r="AC11" i="6"/>
  <c r="AC10" i="6"/>
  <c r="AC9" i="6"/>
  <c r="AC8" i="6"/>
  <c r="AC7" i="6"/>
  <c r="AC6" i="6"/>
  <c r="AC5" i="6"/>
  <c r="M84" i="29" l="1"/>
  <c r="M75" i="29"/>
  <c r="M83" i="29"/>
  <c r="J418" i="31"/>
  <c r="M50" i="29" s="1"/>
  <c r="M21" i="29"/>
  <c r="J419" i="31"/>
  <c r="M51" i="29" s="1"/>
  <c r="M22" i="29"/>
  <c r="J417" i="31"/>
  <c r="M49" i="29" s="1"/>
  <c r="M20" i="29"/>
  <c r="C846" i="17"/>
  <c r="C854" i="17"/>
  <c r="C865" i="17"/>
  <c r="D47" i="29"/>
  <c r="AC47" i="29" s="1"/>
  <c r="D18" i="29"/>
  <c r="C18" i="29"/>
  <c r="C47" i="29"/>
  <c r="D47" i="24"/>
  <c r="AC47" i="24" s="1"/>
  <c r="D18" i="4"/>
  <c r="M18" i="4" s="1"/>
  <c r="D18" i="24"/>
  <c r="AC18" i="24" s="1"/>
  <c r="C18" i="4"/>
  <c r="D47" i="23"/>
  <c r="C47" i="24"/>
  <c r="C47" i="23"/>
  <c r="D47" i="4"/>
  <c r="C18" i="23"/>
  <c r="C18" i="24"/>
  <c r="C47" i="4"/>
  <c r="D18" i="23"/>
  <c r="C864" i="17"/>
  <c r="D23" i="29"/>
  <c r="C23" i="29"/>
  <c r="D52" i="29"/>
  <c r="AC52" i="29" s="1"/>
  <c r="C52" i="29"/>
  <c r="D52" i="24"/>
  <c r="AC52" i="24" s="1"/>
  <c r="D23" i="4"/>
  <c r="M23" i="4" s="1"/>
  <c r="D23" i="24"/>
  <c r="AC23" i="24" s="1"/>
  <c r="C23" i="4"/>
  <c r="C52" i="23"/>
  <c r="C23" i="23"/>
  <c r="C52" i="24"/>
  <c r="D52" i="23"/>
  <c r="D23" i="23"/>
  <c r="C23" i="24"/>
  <c r="C52" i="4"/>
  <c r="D52" i="4"/>
  <c r="D25" i="23"/>
  <c r="C19" i="29"/>
  <c r="C48" i="29"/>
  <c r="D19" i="29"/>
  <c r="D48" i="29"/>
  <c r="AC48" i="29" s="1"/>
  <c r="C48" i="24"/>
  <c r="C19" i="24"/>
  <c r="C19" i="23"/>
  <c r="C48" i="4"/>
  <c r="D48" i="4"/>
  <c r="D19" i="24"/>
  <c r="AC19" i="24" s="1"/>
  <c r="D48" i="23"/>
  <c r="C19" i="4"/>
  <c r="D48" i="24"/>
  <c r="AC48" i="24" s="1"/>
  <c r="D19" i="4"/>
  <c r="M19" i="4" s="1"/>
  <c r="C48" i="23"/>
  <c r="D19" i="23"/>
  <c r="D334" i="7"/>
  <c r="C334" i="7"/>
  <c r="D39" i="23"/>
  <c r="K29" i="2"/>
  <c r="I6" i="19"/>
  <c r="G6" i="19"/>
  <c r="M5" i="19" s="1"/>
  <c r="ES53" i="3"/>
  <c r="ER53" i="3"/>
  <c r="ES125" i="3"/>
  <c r="ER125" i="3"/>
  <c r="ES189" i="3"/>
  <c r="ER189" i="3"/>
  <c r="ES192" i="3"/>
  <c r="ER192" i="3"/>
  <c r="ES70" i="3"/>
  <c r="ER70" i="3"/>
  <c r="ES142" i="3"/>
  <c r="ER142" i="3"/>
  <c r="ES48" i="3"/>
  <c r="ER48" i="3"/>
  <c r="ES39" i="3"/>
  <c r="ER39" i="3"/>
  <c r="ES111" i="3"/>
  <c r="ER111" i="3"/>
  <c r="ES175" i="3"/>
  <c r="ER175" i="3"/>
  <c r="ES144" i="3"/>
  <c r="ER144" i="3"/>
  <c r="ES58" i="3"/>
  <c r="ER58" i="3"/>
  <c r="ES122" i="3"/>
  <c r="ER122" i="3"/>
  <c r="ES186" i="3"/>
  <c r="ER186" i="3"/>
  <c r="ES115" i="3"/>
  <c r="ER115" i="3"/>
  <c r="ES68" i="3"/>
  <c r="ER68" i="3"/>
  <c r="ES156" i="3"/>
  <c r="ER156" i="3"/>
  <c r="ES49" i="3"/>
  <c r="ER49" i="3"/>
  <c r="ES129" i="3"/>
  <c r="ER129" i="3"/>
  <c r="ES17" i="3"/>
  <c r="ER17" i="3"/>
  <c r="ES44" i="3"/>
  <c r="ER44" i="3"/>
  <c r="ES145" i="3"/>
  <c r="ER145" i="3"/>
  <c r="ES61" i="3"/>
  <c r="ER61" i="3"/>
  <c r="ES133" i="3"/>
  <c r="ER133" i="3"/>
  <c r="ES32" i="3"/>
  <c r="ER32" i="3"/>
  <c r="ES14" i="3"/>
  <c r="ER14" i="3"/>
  <c r="ES78" i="3"/>
  <c r="ER78" i="3"/>
  <c r="ES150" i="3"/>
  <c r="ER150" i="3"/>
  <c r="ES80" i="3"/>
  <c r="ER80" i="3"/>
  <c r="ES47" i="3"/>
  <c r="ER47" i="3"/>
  <c r="ES119" i="3"/>
  <c r="ER119" i="3"/>
  <c r="ES183" i="3"/>
  <c r="ER183" i="3"/>
  <c r="ES160" i="3"/>
  <c r="ER160" i="3"/>
  <c r="ES66" i="3"/>
  <c r="ER66" i="3"/>
  <c r="ES130" i="3"/>
  <c r="ER130" i="3"/>
  <c r="ES194" i="3"/>
  <c r="ER194" i="3"/>
  <c r="ES123" i="3"/>
  <c r="ER123" i="3"/>
  <c r="ES76" i="3"/>
  <c r="ER76" i="3"/>
  <c r="ES164" i="3"/>
  <c r="ER164" i="3"/>
  <c r="ES57" i="3"/>
  <c r="ER57" i="3"/>
  <c r="ES137" i="3"/>
  <c r="ER137" i="3"/>
  <c r="ES113" i="3"/>
  <c r="ER113" i="3"/>
  <c r="ES84" i="3"/>
  <c r="ER84" i="3"/>
  <c r="ES177" i="3"/>
  <c r="ER177" i="3"/>
  <c r="ES69" i="3"/>
  <c r="ER69" i="3"/>
  <c r="ES141" i="3"/>
  <c r="ER141" i="3"/>
  <c r="ES56" i="3"/>
  <c r="ER56" i="3"/>
  <c r="ES22" i="3"/>
  <c r="ER22" i="3"/>
  <c r="ES86" i="3"/>
  <c r="ER86" i="3"/>
  <c r="ES158" i="3"/>
  <c r="ER158" i="3"/>
  <c r="ES128" i="3"/>
  <c r="ER128" i="3"/>
  <c r="ES55" i="3"/>
  <c r="ER55" i="3"/>
  <c r="ES127" i="3"/>
  <c r="ER127" i="3"/>
  <c r="ES191" i="3"/>
  <c r="ER191" i="3"/>
  <c r="ES184" i="3"/>
  <c r="ER184" i="3"/>
  <c r="ES74" i="3"/>
  <c r="ER74" i="3"/>
  <c r="ES138" i="3"/>
  <c r="ER138" i="3"/>
  <c r="ES11" i="3"/>
  <c r="ER11" i="3"/>
  <c r="ES179" i="3"/>
  <c r="ER179" i="3"/>
  <c r="ES92" i="3"/>
  <c r="ER92" i="3"/>
  <c r="ES172" i="3"/>
  <c r="ER172" i="3"/>
  <c r="ES65" i="3"/>
  <c r="ER65" i="3"/>
  <c r="ES153" i="3"/>
  <c r="ER153" i="3"/>
  <c r="ES195" i="3"/>
  <c r="ER195" i="3"/>
  <c r="ES116" i="3"/>
  <c r="ER116" i="3"/>
  <c r="ES99" i="3"/>
  <c r="ER99" i="3"/>
  <c r="ES13" i="3"/>
  <c r="ER13" i="3"/>
  <c r="ES77" i="3"/>
  <c r="ER77" i="3"/>
  <c r="ES149" i="3"/>
  <c r="ER149" i="3"/>
  <c r="ES72" i="3"/>
  <c r="ER72" i="3"/>
  <c r="ES30" i="3"/>
  <c r="ER30" i="3"/>
  <c r="ES94" i="3"/>
  <c r="ER94" i="3"/>
  <c r="ES166" i="3"/>
  <c r="ER166" i="3"/>
  <c r="ES152" i="3"/>
  <c r="ER152" i="3"/>
  <c r="ES63" i="3"/>
  <c r="ER63" i="3"/>
  <c r="ES135" i="3"/>
  <c r="ER135" i="3"/>
  <c r="ES16" i="3"/>
  <c r="ER16" i="3"/>
  <c r="ES18" i="3"/>
  <c r="ER18" i="3"/>
  <c r="ES82" i="3"/>
  <c r="ER82" i="3"/>
  <c r="ES146" i="3"/>
  <c r="ER146" i="3"/>
  <c r="ES19" i="3"/>
  <c r="ER19" i="3"/>
  <c r="ES187" i="3"/>
  <c r="ER187" i="3"/>
  <c r="ES100" i="3"/>
  <c r="ER100" i="3"/>
  <c r="ES180" i="3"/>
  <c r="ER180" i="3"/>
  <c r="ES73" i="3"/>
  <c r="ER73" i="3"/>
  <c r="ES161" i="3"/>
  <c r="ER161" i="3"/>
  <c r="ES67" i="3"/>
  <c r="ER67" i="3"/>
  <c r="ES148" i="3"/>
  <c r="ER148" i="3"/>
  <c r="ES147" i="3"/>
  <c r="ER147" i="3"/>
  <c r="ES9" i="3"/>
  <c r="ER9" i="3"/>
  <c r="ES21" i="3"/>
  <c r="ER21" i="3"/>
  <c r="ES85" i="3"/>
  <c r="ER85" i="3"/>
  <c r="ES157" i="3"/>
  <c r="ER157" i="3"/>
  <c r="ES88" i="3"/>
  <c r="ER88" i="3"/>
  <c r="ES38" i="3"/>
  <c r="ER38" i="3"/>
  <c r="ES110" i="3"/>
  <c r="ER110" i="3"/>
  <c r="ES174" i="3"/>
  <c r="ER174" i="3"/>
  <c r="ES176" i="3"/>
  <c r="ER176" i="3"/>
  <c r="ES71" i="3"/>
  <c r="ER71" i="3"/>
  <c r="ES143" i="3"/>
  <c r="ER143" i="3"/>
  <c r="ES40" i="3"/>
  <c r="ER40" i="3"/>
  <c r="ES26" i="3"/>
  <c r="ER26" i="3"/>
  <c r="ES90" i="3"/>
  <c r="ER90" i="3"/>
  <c r="ES154" i="3"/>
  <c r="ER154" i="3"/>
  <c r="ES27" i="3"/>
  <c r="ER27" i="3"/>
  <c r="ES20" i="3"/>
  <c r="ER20" i="3"/>
  <c r="ES108" i="3"/>
  <c r="ER108" i="3"/>
  <c r="ES188" i="3"/>
  <c r="ER188" i="3"/>
  <c r="ES89" i="3"/>
  <c r="ER89" i="3"/>
  <c r="ES169" i="3"/>
  <c r="ER169" i="3"/>
  <c r="ES131" i="3"/>
  <c r="ER131" i="3"/>
  <c r="ES43" i="3"/>
  <c r="ER43" i="3"/>
  <c r="ES155" i="3"/>
  <c r="ER155" i="3"/>
  <c r="ES10" i="3"/>
  <c r="ER10" i="3"/>
  <c r="ES29" i="3"/>
  <c r="ER29" i="3"/>
  <c r="ES93" i="3"/>
  <c r="ER93" i="3"/>
  <c r="ES165" i="3"/>
  <c r="ER165" i="3"/>
  <c r="ES112" i="3"/>
  <c r="ER112" i="3"/>
  <c r="ES46" i="3"/>
  <c r="ER46" i="3"/>
  <c r="ES118" i="3"/>
  <c r="ER118" i="3"/>
  <c r="ES182" i="3"/>
  <c r="ER182" i="3"/>
  <c r="ES15" i="3"/>
  <c r="ER15" i="3"/>
  <c r="ES79" i="3"/>
  <c r="ER79" i="3"/>
  <c r="ES151" i="3"/>
  <c r="ER151" i="3"/>
  <c r="ES64" i="3"/>
  <c r="ER64" i="3"/>
  <c r="ES34" i="3"/>
  <c r="ER34" i="3"/>
  <c r="ES98" i="3"/>
  <c r="ER98" i="3"/>
  <c r="ES162" i="3"/>
  <c r="ER162" i="3"/>
  <c r="ES51" i="3"/>
  <c r="ER51" i="3"/>
  <c r="ES28" i="3"/>
  <c r="ER28" i="3"/>
  <c r="ES124" i="3"/>
  <c r="ER124" i="3"/>
  <c r="ES25" i="3"/>
  <c r="ER25" i="3"/>
  <c r="ES97" i="3"/>
  <c r="ER97" i="3"/>
  <c r="ES185" i="3"/>
  <c r="ER185" i="3"/>
  <c r="ES81" i="3"/>
  <c r="ER81" i="3"/>
  <c r="ES75" i="3"/>
  <c r="ER75" i="3"/>
  <c r="ES163" i="3"/>
  <c r="ER163" i="3"/>
  <c r="ES37" i="3"/>
  <c r="ER37" i="3"/>
  <c r="ES109" i="3"/>
  <c r="ER109" i="3"/>
  <c r="ES173" i="3"/>
  <c r="ER173" i="3"/>
  <c r="ES136" i="3"/>
  <c r="ER136" i="3"/>
  <c r="ES54" i="3"/>
  <c r="ER54" i="3"/>
  <c r="ES126" i="3"/>
  <c r="ER126" i="3"/>
  <c r="ES190" i="3"/>
  <c r="ER190" i="3"/>
  <c r="ES23" i="3"/>
  <c r="ER23" i="3"/>
  <c r="ES87" i="3"/>
  <c r="ER87" i="3"/>
  <c r="ES159" i="3"/>
  <c r="ER159" i="3"/>
  <c r="ES96" i="3"/>
  <c r="ER96" i="3"/>
  <c r="ES42" i="3"/>
  <c r="ER42" i="3"/>
  <c r="ES106" i="3"/>
  <c r="ER106" i="3"/>
  <c r="ES170" i="3"/>
  <c r="ER170" i="3"/>
  <c r="ES59" i="3"/>
  <c r="ER59" i="3"/>
  <c r="ES36" i="3"/>
  <c r="ER36" i="3"/>
  <c r="ES132" i="3"/>
  <c r="ER132" i="3"/>
  <c r="ES33" i="3"/>
  <c r="ER33" i="3"/>
  <c r="ES105" i="3"/>
  <c r="ER105" i="3"/>
  <c r="ES193" i="3"/>
  <c r="ER193" i="3"/>
  <c r="ES139" i="3"/>
  <c r="ER139" i="3"/>
  <c r="ES107" i="3"/>
  <c r="ER107" i="3"/>
  <c r="ES83" i="3"/>
  <c r="ER83" i="3"/>
  <c r="ES45" i="3"/>
  <c r="ER45" i="3"/>
  <c r="ES117" i="3"/>
  <c r="ER117" i="3"/>
  <c r="ES181" i="3"/>
  <c r="ER181" i="3"/>
  <c r="ES168" i="3"/>
  <c r="ER168" i="3"/>
  <c r="ES62" i="3"/>
  <c r="ER62" i="3"/>
  <c r="ES134" i="3"/>
  <c r="ER134" i="3"/>
  <c r="ES24" i="3"/>
  <c r="ER24" i="3"/>
  <c r="ES31" i="3"/>
  <c r="ER31" i="3"/>
  <c r="ES95" i="3"/>
  <c r="ER95" i="3"/>
  <c r="ES167" i="3"/>
  <c r="ER167" i="3"/>
  <c r="ES120" i="3"/>
  <c r="ER120" i="3"/>
  <c r="ES50" i="3"/>
  <c r="ER50" i="3"/>
  <c r="ES114" i="3"/>
  <c r="ER114" i="3"/>
  <c r="ES178" i="3"/>
  <c r="ER178" i="3"/>
  <c r="ES91" i="3"/>
  <c r="ER91" i="3"/>
  <c r="ES60" i="3"/>
  <c r="ER60" i="3"/>
  <c r="ES140" i="3"/>
  <c r="ER140" i="3"/>
  <c r="ES41" i="3"/>
  <c r="ER41" i="3"/>
  <c r="ES121" i="3"/>
  <c r="ER121" i="3"/>
  <c r="ES52" i="3"/>
  <c r="ER52" i="3"/>
  <c r="ES12" i="3"/>
  <c r="ER12" i="3"/>
  <c r="ES171" i="3"/>
  <c r="ER171" i="3"/>
  <c r="ES35" i="3"/>
  <c r="ER35" i="3"/>
  <c r="ES8" i="3"/>
  <c r="ER8" i="3"/>
  <c r="D40" i="23"/>
  <c r="F54" i="15"/>
  <c r="F69" i="15" s="1"/>
  <c r="F66" i="15"/>
  <c r="S50" i="15"/>
  <c r="F65" i="15"/>
  <c r="F57" i="15"/>
  <c r="F72" i="15" s="1"/>
  <c r="F49" i="15"/>
  <c r="F58" i="15"/>
  <c r="F73" i="15" s="1"/>
  <c r="F56" i="15"/>
  <c r="F71" i="15" s="1"/>
  <c r="F55" i="15"/>
  <c r="F70" i="15" s="1"/>
  <c r="D75" i="15"/>
  <c r="D74" i="15"/>
  <c r="D73" i="15"/>
  <c r="D72" i="15"/>
  <c r="D71" i="15"/>
  <c r="D70" i="15"/>
  <c r="D69" i="15"/>
  <c r="D68" i="15"/>
  <c r="D67" i="15"/>
  <c r="D66" i="15"/>
  <c r="D65" i="15"/>
  <c r="D64" i="15"/>
  <c r="S34" i="15"/>
  <c r="S36" i="15"/>
  <c r="S38" i="15"/>
  <c r="S40" i="15"/>
  <c r="S42" i="15"/>
  <c r="AB1002" i="8"/>
  <c r="AA1002" i="8"/>
  <c r="AA978" i="8"/>
  <c r="AB978" i="8"/>
  <c r="AB954" i="8"/>
  <c r="AA954" i="8"/>
  <c r="AB930" i="8"/>
  <c r="AA930" i="8"/>
  <c r="AA906" i="8"/>
  <c r="AB906" i="8"/>
  <c r="AA882" i="8"/>
  <c r="AB882" i="8"/>
  <c r="AA858" i="8"/>
  <c r="AB858" i="8"/>
  <c r="AA834" i="8"/>
  <c r="AB834" i="8"/>
  <c r="AA802" i="8"/>
  <c r="AB802" i="8"/>
  <c r="AA770" i="8"/>
  <c r="AB770" i="8"/>
  <c r="AA738" i="8"/>
  <c r="AB738" i="8"/>
  <c r="AA706" i="8"/>
  <c r="AB706" i="8"/>
  <c r="AA682" i="8"/>
  <c r="AB682" i="8"/>
  <c r="AA658" i="8"/>
  <c r="AB658" i="8"/>
  <c r="AA626" i="8"/>
  <c r="AB626" i="8"/>
  <c r="AA594" i="8"/>
  <c r="AB594" i="8"/>
  <c r="AA562" i="8"/>
  <c r="AB562" i="8"/>
  <c r="AA530" i="8"/>
  <c r="AB530" i="8"/>
  <c r="AA498" i="8"/>
  <c r="AB498" i="8"/>
  <c r="AA466" i="8"/>
  <c r="AB466" i="8"/>
  <c r="AB442" i="8"/>
  <c r="AA442" i="8"/>
  <c r="AA418" i="8"/>
  <c r="AB418" i="8"/>
  <c r="AB394" i="8"/>
  <c r="AA394" i="8"/>
  <c r="AB370" i="8"/>
  <c r="AA370" i="8"/>
  <c r="AA346" i="8"/>
  <c r="AB346" i="8"/>
  <c r="AB322" i="8"/>
  <c r="AA322" i="8"/>
  <c r="AA298" i="8"/>
  <c r="AB298" i="8"/>
  <c r="AA274" i="8"/>
  <c r="AB274" i="8"/>
  <c r="AA250" i="8"/>
  <c r="AB250" i="8"/>
  <c r="AB226" i="8"/>
  <c r="AA226" i="8"/>
  <c r="AB202" i="8"/>
  <c r="AA202" i="8"/>
  <c r="AA178" i="8"/>
  <c r="AB178" i="8"/>
  <c r="AA154" i="8"/>
  <c r="AB154" i="8"/>
  <c r="AA130" i="8"/>
  <c r="AB130" i="8"/>
  <c r="AA98" i="8"/>
  <c r="AB98" i="8"/>
  <c r="AA74" i="8"/>
  <c r="AB74" i="8"/>
  <c r="AA50" i="8"/>
  <c r="AB50" i="8"/>
  <c r="AA18" i="8"/>
  <c r="AB18" i="8"/>
  <c r="AB985" i="8"/>
  <c r="AA985" i="8"/>
  <c r="AB953" i="8"/>
  <c r="AA953" i="8"/>
  <c r="AB921" i="8"/>
  <c r="AA921" i="8"/>
  <c r="AB881" i="8"/>
  <c r="AA881" i="8"/>
  <c r="AB849" i="8"/>
  <c r="AA849" i="8"/>
  <c r="AB809" i="8"/>
  <c r="AA809" i="8"/>
  <c r="AB761" i="8"/>
  <c r="AA761" i="8"/>
  <c r="AB729" i="8"/>
  <c r="AA729" i="8"/>
  <c r="AB681" i="8"/>
  <c r="AA681" i="8"/>
  <c r="AB641" i="8"/>
  <c r="AA641" i="8"/>
  <c r="AB601" i="8"/>
  <c r="AA601" i="8"/>
  <c r="AB569" i="8"/>
  <c r="AA569" i="8"/>
  <c r="AB545" i="8"/>
  <c r="AA545" i="8"/>
  <c r="AB529" i="8"/>
  <c r="AA529" i="8"/>
  <c r="AB513" i="8"/>
  <c r="AA513" i="8"/>
  <c r="AB497" i="8"/>
  <c r="AA497" i="8"/>
  <c r="AA481" i="8"/>
  <c r="AB481" i="8"/>
  <c r="AB473" i="8"/>
  <c r="AA473" i="8"/>
  <c r="AA465" i="8"/>
  <c r="AB465" i="8"/>
  <c r="AA449" i="8"/>
  <c r="AB449" i="8"/>
  <c r="AA433" i="8"/>
  <c r="AB433" i="8"/>
  <c r="AB425" i="8"/>
  <c r="AA425" i="8"/>
  <c r="AA417" i="8"/>
  <c r="AB417" i="8"/>
  <c r="AA409" i="8"/>
  <c r="AB409" i="8"/>
  <c r="AA401" i="8"/>
  <c r="AB401" i="8"/>
  <c r="AA393" i="8"/>
  <c r="AB393" i="8"/>
  <c r="AB385" i="8"/>
  <c r="AA385" i="8"/>
  <c r="AB377" i="8"/>
  <c r="AA377" i="8"/>
  <c r="AA369" i="8"/>
  <c r="AB369" i="8"/>
  <c r="AB361" i="8"/>
  <c r="AA361" i="8"/>
  <c r="AA353" i="8"/>
  <c r="AB353" i="8"/>
  <c r="AA345" i="8"/>
  <c r="AB345" i="8"/>
  <c r="AA337" i="8"/>
  <c r="AB337" i="8"/>
  <c r="AA329" i="8"/>
  <c r="AB329" i="8"/>
  <c r="AB321" i="8"/>
  <c r="AA321" i="8"/>
  <c r="AB313" i="8"/>
  <c r="AA313" i="8"/>
  <c r="AA305" i="8"/>
  <c r="AB305" i="8"/>
  <c r="AB297" i="8"/>
  <c r="AA297" i="8"/>
  <c r="AA289" i="8"/>
  <c r="AB289" i="8"/>
  <c r="AA281" i="8"/>
  <c r="AB281" i="8"/>
  <c r="AB273" i="8"/>
  <c r="AA273" i="8"/>
  <c r="AA265" i="8"/>
  <c r="AB265" i="8"/>
  <c r="AB257" i="8"/>
  <c r="AA257" i="8"/>
  <c r="AA249" i="8"/>
  <c r="AB249" i="8"/>
  <c r="AB241" i="8"/>
  <c r="AA241" i="8"/>
  <c r="AB233" i="8"/>
  <c r="AA233" i="8"/>
  <c r="AB225" i="8"/>
  <c r="AA225" i="8"/>
  <c r="AB201" i="8"/>
  <c r="AA201" i="8"/>
  <c r="AB193" i="8"/>
  <c r="AA193" i="8"/>
  <c r="AB185" i="8"/>
  <c r="AA185" i="8"/>
  <c r="AB177" i="8"/>
  <c r="AA177" i="8"/>
  <c r="AA169" i="8"/>
  <c r="AB169" i="8"/>
  <c r="AB161" i="8"/>
  <c r="AA161" i="8"/>
  <c r="AA153" i="8"/>
  <c r="AB153" i="8"/>
  <c r="AA145" i="8"/>
  <c r="AB145" i="8"/>
  <c r="AA137" i="8"/>
  <c r="AB137" i="8"/>
  <c r="AA129" i="8"/>
  <c r="AB129" i="8"/>
  <c r="AB121" i="8"/>
  <c r="AA121" i="8"/>
  <c r="AB113" i="8"/>
  <c r="AA113" i="8"/>
  <c r="AA105" i="8"/>
  <c r="AB105" i="8"/>
  <c r="AA97" i="8"/>
  <c r="AB97" i="8"/>
  <c r="AA89" i="8"/>
  <c r="AB89" i="8"/>
  <c r="AA81" i="8"/>
  <c r="AB81" i="8"/>
  <c r="AA73" i="8"/>
  <c r="AB73" i="8"/>
  <c r="AA65" i="8"/>
  <c r="AB65" i="8"/>
  <c r="AA57" i="8"/>
  <c r="AB57" i="8"/>
  <c r="AA49" i="8"/>
  <c r="AB49" i="8"/>
  <c r="AB41" i="8"/>
  <c r="AA41" i="8"/>
  <c r="AB33" i="8"/>
  <c r="AA33" i="8"/>
  <c r="AB25" i="8"/>
  <c r="AA25" i="8"/>
  <c r="AA17" i="8"/>
  <c r="AB17" i="8"/>
  <c r="AB1008" i="8"/>
  <c r="AA1008" i="8"/>
  <c r="AA1000" i="8"/>
  <c r="AB1000" i="8"/>
  <c r="AB992" i="8"/>
  <c r="AA992" i="8"/>
  <c r="AA984" i="8"/>
  <c r="AB984" i="8"/>
  <c r="AB976" i="8"/>
  <c r="AA976" i="8"/>
  <c r="AA968" i="8"/>
  <c r="AB968" i="8"/>
  <c r="AB960" i="8"/>
  <c r="AA960" i="8"/>
  <c r="AA952" i="8"/>
  <c r="AB952" i="8"/>
  <c r="AB944" i="8"/>
  <c r="AA944" i="8"/>
  <c r="AA936" i="8"/>
  <c r="AB936" i="8"/>
  <c r="AB928" i="8"/>
  <c r="AA928" i="8"/>
  <c r="AB920" i="8"/>
  <c r="AA920" i="8"/>
  <c r="AB912" i="8"/>
  <c r="AA912" i="8"/>
  <c r="AA904" i="8"/>
  <c r="AB904" i="8"/>
  <c r="AB896" i="8"/>
  <c r="AA896" i="8"/>
  <c r="AB888" i="8"/>
  <c r="AA888" i="8"/>
  <c r="AB880" i="8"/>
  <c r="AA880" i="8"/>
  <c r="AA872" i="8"/>
  <c r="AB872" i="8"/>
  <c r="AB864" i="8"/>
  <c r="AA864" i="8"/>
  <c r="AB856" i="8"/>
  <c r="AA856" i="8"/>
  <c r="AB848" i="8"/>
  <c r="AA848" i="8"/>
  <c r="AB840" i="8"/>
  <c r="AA840" i="8"/>
  <c r="AB832" i="8"/>
  <c r="AA832" i="8"/>
  <c r="AB824" i="8"/>
  <c r="AA824" i="8"/>
  <c r="AB816" i="8"/>
  <c r="AA816" i="8"/>
  <c r="AB808" i="8"/>
  <c r="AA808" i="8"/>
  <c r="AB800" i="8"/>
  <c r="AA800" i="8"/>
  <c r="AB792" i="8"/>
  <c r="AA792" i="8"/>
  <c r="AB784" i="8"/>
  <c r="AA784" i="8"/>
  <c r="AB776" i="8"/>
  <c r="AA776" i="8"/>
  <c r="AB768" i="8"/>
  <c r="AA768" i="8"/>
  <c r="AB760" i="8"/>
  <c r="AA760" i="8"/>
  <c r="AB752" i="8"/>
  <c r="AA752" i="8"/>
  <c r="AB744" i="8"/>
  <c r="AA744" i="8"/>
  <c r="AB736" i="8"/>
  <c r="AA736" i="8"/>
  <c r="AB728" i="8"/>
  <c r="AA728" i="8"/>
  <c r="AB720" i="8"/>
  <c r="AA720" i="8"/>
  <c r="AB712" i="8"/>
  <c r="AA712" i="8"/>
  <c r="AA704" i="8"/>
  <c r="AB704" i="8"/>
  <c r="AA696" i="8"/>
  <c r="AB696" i="8"/>
  <c r="AA688" i="8"/>
  <c r="AB688" i="8"/>
  <c r="AA680" i="8"/>
  <c r="AB680" i="8"/>
  <c r="AA672" i="8"/>
  <c r="AB672" i="8"/>
  <c r="AB664" i="8"/>
  <c r="AA664" i="8"/>
  <c r="AA656" i="8"/>
  <c r="AB656" i="8"/>
  <c r="AB648" i="8"/>
  <c r="AA648" i="8"/>
  <c r="AA640" i="8"/>
  <c r="AB640" i="8"/>
  <c r="AB632" i="8"/>
  <c r="AA632" i="8"/>
  <c r="AA624" i="8"/>
  <c r="AB624" i="8"/>
  <c r="AB616" i="8"/>
  <c r="AA616" i="8"/>
  <c r="AA608" i="8"/>
  <c r="AB608" i="8"/>
  <c r="AB600" i="8"/>
  <c r="AA600" i="8"/>
  <c r="AA592" i="8"/>
  <c r="AB592" i="8"/>
  <c r="AB584" i="8"/>
  <c r="AA584" i="8"/>
  <c r="AA576" i="8"/>
  <c r="AB576" i="8"/>
  <c r="AB568" i="8"/>
  <c r="AA568" i="8"/>
  <c r="AA560" i="8"/>
  <c r="AB560" i="8"/>
  <c r="AB552" i="8"/>
  <c r="AA552" i="8"/>
  <c r="AA544" i="8"/>
  <c r="AB544" i="8"/>
  <c r="AB536" i="8"/>
  <c r="AA536" i="8"/>
  <c r="AA528" i="8"/>
  <c r="AB528" i="8"/>
  <c r="AB520" i="8"/>
  <c r="AA520" i="8"/>
  <c r="AA512" i="8"/>
  <c r="AB512" i="8"/>
  <c r="AB504" i="8"/>
  <c r="AA504" i="8"/>
  <c r="AA496" i="8"/>
  <c r="AB496" i="8"/>
  <c r="AB488" i="8"/>
  <c r="AA488" i="8"/>
  <c r="AB480" i="8"/>
  <c r="AA480" i="8"/>
  <c r="AA472" i="8"/>
  <c r="AB472" i="8"/>
  <c r="AA464" i="8"/>
  <c r="AB464" i="8"/>
  <c r="AA456" i="8"/>
  <c r="AB456" i="8"/>
  <c r="AA448" i="8"/>
  <c r="AB448" i="8"/>
  <c r="AA440" i="8"/>
  <c r="AB440" i="8"/>
  <c r="AA432" i="8"/>
  <c r="AB432" i="8"/>
  <c r="AA424" i="8"/>
  <c r="AB424" i="8"/>
  <c r="AA416" i="8"/>
  <c r="AB416" i="8"/>
  <c r="AA408" i="8"/>
  <c r="AB408" i="8"/>
  <c r="AB400" i="8"/>
  <c r="AA400" i="8"/>
  <c r="AA392" i="8"/>
  <c r="AB392" i="8"/>
  <c r="AA384" i="8"/>
  <c r="AB384" i="8"/>
  <c r="AB376" i="8"/>
  <c r="AA376" i="8"/>
  <c r="AB368" i="8"/>
  <c r="AA368" i="8"/>
  <c r="AB360" i="8"/>
  <c r="AA360" i="8"/>
  <c r="AA352" i="8"/>
  <c r="AB352" i="8"/>
  <c r="AA344" i="8"/>
  <c r="AB344" i="8"/>
  <c r="AA336" i="8"/>
  <c r="AB336" i="8"/>
  <c r="AA328" i="8"/>
  <c r="AB328" i="8"/>
  <c r="AA320" i="8"/>
  <c r="AB320" i="8"/>
  <c r="AA312" i="8"/>
  <c r="AB312" i="8"/>
  <c r="AA304" i="8"/>
  <c r="AB304" i="8"/>
  <c r="AB296" i="8"/>
  <c r="AA296" i="8"/>
  <c r="AB288" i="8"/>
  <c r="AA288" i="8"/>
  <c r="AA280" i="8"/>
  <c r="AB280" i="8"/>
  <c r="AA272" i="8"/>
  <c r="AB272" i="8"/>
  <c r="AB264" i="8"/>
  <c r="AA264" i="8"/>
  <c r="AB256" i="8"/>
  <c r="AA256" i="8"/>
  <c r="AB248" i="8"/>
  <c r="AA248" i="8"/>
  <c r="AA240" i="8"/>
  <c r="AB240" i="8"/>
  <c r="AB232" i="8"/>
  <c r="AA232" i="8"/>
  <c r="AB224" i="8"/>
  <c r="AA224" i="8"/>
  <c r="AB216" i="8"/>
  <c r="AA216" i="8"/>
  <c r="AB208" i="8"/>
  <c r="AA208" i="8"/>
  <c r="AA200" i="8"/>
  <c r="AB200" i="8"/>
  <c r="AA192" i="8"/>
  <c r="AB192" i="8"/>
  <c r="AA184" i="8"/>
  <c r="AB184" i="8"/>
  <c r="AA176" i="8"/>
  <c r="AB176" i="8"/>
  <c r="AA168" i="8"/>
  <c r="AB168" i="8"/>
  <c r="AA160" i="8"/>
  <c r="AB160" i="8"/>
  <c r="AA152" i="8"/>
  <c r="AB152" i="8"/>
  <c r="AA144" i="8"/>
  <c r="AB144" i="8"/>
  <c r="AA136" i="8"/>
  <c r="AB136" i="8"/>
  <c r="AA128" i="8"/>
  <c r="AB128" i="8"/>
  <c r="AA120" i="8"/>
  <c r="AB120" i="8"/>
  <c r="AA112" i="8"/>
  <c r="AB112" i="8"/>
  <c r="AA104" i="8"/>
  <c r="AB104" i="8"/>
  <c r="AA96" i="8"/>
  <c r="AB96" i="8"/>
  <c r="AA88" i="8"/>
  <c r="AB88" i="8"/>
  <c r="AA80" i="8"/>
  <c r="AB80" i="8"/>
  <c r="AA72" i="8"/>
  <c r="AB72" i="8"/>
  <c r="AA64" i="8"/>
  <c r="AB64" i="8"/>
  <c r="AA56" i="8"/>
  <c r="AB56" i="8"/>
  <c r="AA48" i="8"/>
  <c r="AB48" i="8"/>
  <c r="AA40" i="8"/>
  <c r="AB40" i="8"/>
  <c r="AA32" i="8"/>
  <c r="AB32" i="8"/>
  <c r="AA24" i="8"/>
  <c r="AB24" i="8"/>
  <c r="AA16" i="8"/>
  <c r="AB16" i="8"/>
  <c r="AB1007" i="8"/>
  <c r="AA1007" i="8"/>
  <c r="AB999" i="8"/>
  <c r="AA999" i="8"/>
  <c r="AB991" i="8"/>
  <c r="AA991" i="8"/>
  <c r="AB983" i="8"/>
  <c r="AA983" i="8"/>
  <c r="AB975" i="8"/>
  <c r="AA975" i="8"/>
  <c r="AB967" i="8"/>
  <c r="AA967" i="8"/>
  <c r="AB959" i="8"/>
  <c r="AA959" i="8"/>
  <c r="AB951" i="8"/>
  <c r="AA951" i="8"/>
  <c r="AB943" i="8"/>
  <c r="AA943" i="8"/>
  <c r="AB935" i="8"/>
  <c r="AA935" i="8"/>
  <c r="AB927" i="8"/>
  <c r="AA927" i="8"/>
  <c r="AB919" i="8"/>
  <c r="AA919" i="8"/>
  <c r="AB911" i="8"/>
  <c r="AA911" i="8"/>
  <c r="AB903" i="8"/>
  <c r="AA903" i="8"/>
  <c r="AB895" i="8"/>
  <c r="AA895" i="8"/>
  <c r="AB887" i="8"/>
  <c r="AA887" i="8"/>
  <c r="AB879" i="8"/>
  <c r="AA879" i="8"/>
  <c r="AB871" i="8"/>
  <c r="AA871" i="8"/>
  <c r="AB863" i="8"/>
  <c r="AA863" i="8"/>
  <c r="AB855" i="8"/>
  <c r="AA855" i="8"/>
  <c r="AB847" i="8"/>
  <c r="AA847" i="8"/>
  <c r="AB839" i="8"/>
  <c r="AA839" i="8"/>
  <c r="AB831" i="8"/>
  <c r="AA831" i="8"/>
  <c r="AB823" i="8"/>
  <c r="AA823" i="8"/>
  <c r="AB815" i="8"/>
  <c r="AA815" i="8"/>
  <c r="AB807" i="8"/>
  <c r="AA807" i="8"/>
  <c r="AB799" i="8"/>
  <c r="AA799" i="8"/>
  <c r="AB791" i="8"/>
  <c r="AA791" i="8"/>
  <c r="AB783" i="8"/>
  <c r="AA783" i="8"/>
  <c r="AB775" i="8"/>
  <c r="AA775" i="8"/>
  <c r="AB767" i="8"/>
  <c r="AA767" i="8"/>
  <c r="AB759" i="8"/>
  <c r="AA759" i="8"/>
  <c r="AB751" i="8"/>
  <c r="AA751" i="8"/>
  <c r="AB743" i="8"/>
  <c r="AA743" i="8"/>
  <c r="AB735" i="8"/>
  <c r="AA735" i="8"/>
  <c r="AB727" i="8"/>
  <c r="AA727" i="8"/>
  <c r="AB719" i="8"/>
  <c r="AA719" i="8"/>
  <c r="AB711" i="8"/>
  <c r="AA711" i="8"/>
  <c r="AB703" i="8"/>
  <c r="AA703" i="8"/>
  <c r="AB695" i="8"/>
  <c r="AA695" i="8"/>
  <c r="AB687" i="8"/>
  <c r="AA687" i="8"/>
  <c r="AB679" i="8"/>
  <c r="AA679" i="8"/>
  <c r="AB671" i="8"/>
  <c r="AA671" i="8"/>
  <c r="AB663" i="8"/>
  <c r="AA663" i="8"/>
  <c r="AB655" i="8"/>
  <c r="AA655" i="8"/>
  <c r="AB647" i="8"/>
  <c r="AA647" i="8"/>
  <c r="AB639" i="8"/>
  <c r="AA639" i="8"/>
  <c r="AB631" i="8"/>
  <c r="AA631" i="8"/>
  <c r="AB623" i="8"/>
  <c r="AA623" i="8"/>
  <c r="AB615" i="8"/>
  <c r="AA615" i="8"/>
  <c r="AB607" i="8"/>
  <c r="AA607" i="8"/>
  <c r="AB599" i="8"/>
  <c r="AA599" i="8"/>
  <c r="AB591" i="8"/>
  <c r="AA591" i="8"/>
  <c r="AB583" i="8"/>
  <c r="AA583" i="8"/>
  <c r="AB575" i="8"/>
  <c r="AA575" i="8"/>
  <c r="AB567" i="8"/>
  <c r="AA567" i="8"/>
  <c r="AB559" i="8"/>
  <c r="AA559" i="8"/>
  <c r="AB551" i="8"/>
  <c r="AA551" i="8"/>
  <c r="AB543" i="8"/>
  <c r="AA543" i="8"/>
  <c r="AB535" i="8"/>
  <c r="AA535" i="8"/>
  <c r="AB527" i="8"/>
  <c r="AA527" i="8"/>
  <c r="AB519" i="8"/>
  <c r="AA519" i="8"/>
  <c r="AB511" i="8"/>
  <c r="AA511" i="8"/>
  <c r="AB503" i="8"/>
  <c r="AA503" i="8"/>
  <c r="AB495" i="8"/>
  <c r="AA495" i="8"/>
  <c r="AB487" i="8"/>
  <c r="AA487" i="8"/>
  <c r="AA479" i="8"/>
  <c r="AB479" i="8"/>
  <c r="AA471" i="8"/>
  <c r="AB471" i="8"/>
  <c r="AA463" i="8"/>
  <c r="AB463" i="8"/>
  <c r="AA455" i="8"/>
  <c r="AB455" i="8"/>
  <c r="AB447" i="8"/>
  <c r="AA447" i="8"/>
  <c r="AB439" i="8"/>
  <c r="AA439" i="8"/>
  <c r="AA431" i="8"/>
  <c r="AB431" i="8"/>
  <c r="AB423" i="8"/>
  <c r="AA423" i="8"/>
  <c r="AA415" i="8"/>
  <c r="AB415" i="8"/>
  <c r="AA407" i="8"/>
  <c r="AB407" i="8"/>
  <c r="AB399" i="8"/>
  <c r="AA399" i="8"/>
  <c r="AB391" i="8"/>
  <c r="AA391" i="8"/>
  <c r="AB383" i="8"/>
  <c r="AA383" i="8"/>
  <c r="AB375" i="8"/>
  <c r="AA375" i="8"/>
  <c r="AB367" i="8"/>
  <c r="AA367" i="8"/>
  <c r="AB359" i="8"/>
  <c r="AA359" i="8"/>
  <c r="AA351" i="8"/>
  <c r="AB351" i="8"/>
  <c r="AB343" i="8"/>
  <c r="AA343" i="8"/>
  <c r="AB335" i="8"/>
  <c r="AA335" i="8"/>
  <c r="AB327" i="8"/>
  <c r="AA327" i="8"/>
  <c r="AA319" i="8"/>
  <c r="AB319" i="8"/>
  <c r="AB311" i="8"/>
  <c r="AA311" i="8"/>
  <c r="AA303" i="8"/>
  <c r="AB303" i="8"/>
  <c r="AB295" i="8"/>
  <c r="AA295" i="8"/>
  <c r="AB287" i="8"/>
  <c r="AA287" i="8"/>
  <c r="AB279" i="8"/>
  <c r="AA279" i="8"/>
  <c r="AA271" i="8"/>
  <c r="AB271" i="8"/>
  <c r="AA263" i="8"/>
  <c r="AB263" i="8"/>
  <c r="AA255" i="8"/>
  <c r="AB255" i="8"/>
  <c r="AA247" i="8"/>
  <c r="AB247" i="8"/>
  <c r="AA239" i="8"/>
  <c r="AB239" i="8"/>
  <c r="AA231" i="8"/>
  <c r="AB231" i="8"/>
  <c r="AA223" i="8"/>
  <c r="AB223" i="8"/>
  <c r="AB215" i="8"/>
  <c r="AA215" i="8"/>
  <c r="AA207" i="8"/>
  <c r="AB207" i="8"/>
  <c r="AB199" i="8"/>
  <c r="AA199" i="8"/>
  <c r="AA191" i="8"/>
  <c r="AB191" i="8"/>
  <c r="AB183" i="8"/>
  <c r="AA183" i="8"/>
  <c r="AA175" i="8"/>
  <c r="AB175" i="8"/>
  <c r="AB167" i="8"/>
  <c r="AA167" i="8"/>
  <c r="AA159" i="8"/>
  <c r="AB159" i="8"/>
  <c r="AA151" i="8"/>
  <c r="AB151" i="8"/>
  <c r="AB143" i="8"/>
  <c r="AA143" i="8"/>
  <c r="AA135" i="8"/>
  <c r="AB135" i="8"/>
  <c r="AA127" i="8"/>
  <c r="AB127" i="8"/>
  <c r="AB119" i="8"/>
  <c r="AA119" i="8"/>
  <c r="AA111" i="8"/>
  <c r="AB111" i="8"/>
  <c r="AA103" i="8"/>
  <c r="AB103" i="8"/>
  <c r="AA95" i="8"/>
  <c r="AB95" i="8"/>
  <c r="AB87" i="8"/>
  <c r="AA87" i="8"/>
  <c r="AB79" i="8"/>
  <c r="AA79" i="8"/>
  <c r="AA71" i="8"/>
  <c r="AB71" i="8"/>
  <c r="AA63" i="8"/>
  <c r="AB63" i="8"/>
  <c r="AA55" i="8"/>
  <c r="AB55" i="8"/>
  <c r="AA47" i="8"/>
  <c r="AB47" i="8"/>
  <c r="AA39" i="8"/>
  <c r="AB39" i="8"/>
  <c r="AA31" i="8"/>
  <c r="AB31" i="8"/>
  <c r="AA23" i="8"/>
  <c r="AB23" i="8"/>
  <c r="AA15" i="8"/>
  <c r="AB15" i="8"/>
  <c r="AB994" i="8"/>
  <c r="AA994" i="8"/>
  <c r="AA970" i="8"/>
  <c r="AB970" i="8"/>
  <c r="AB946" i="8"/>
  <c r="AA946" i="8"/>
  <c r="AB922" i="8"/>
  <c r="AA922" i="8"/>
  <c r="AA898" i="8"/>
  <c r="AB898" i="8"/>
  <c r="AB874" i="8"/>
  <c r="AA874" i="8"/>
  <c r="AA850" i="8"/>
  <c r="AB850" i="8"/>
  <c r="AA826" i="8"/>
  <c r="AB826" i="8"/>
  <c r="AB810" i="8"/>
  <c r="AA810" i="8"/>
  <c r="AA786" i="8"/>
  <c r="AB786" i="8"/>
  <c r="AA762" i="8"/>
  <c r="AB762" i="8"/>
  <c r="AA746" i="8"/>
  <c r="AB746" i="8"/>
  <c r="AA722" i="8"/>
  <c r="AB722" i="8"/>
  <c r="AB698" i="8"/>
  <c r="AA698" i="8"/>
  <c r="AA674" i="8"/>
  <c r="AB674" i="8"/>
  <c r="AB650" i="8"/>
  <c r="AA650" i="8"/>
  <c r="AA634" i="8"/>
  <c r="AB634" i="8"/>
  <c r="AA610" i="8"/>
  <c r="AB610" i="8"/>
  <c r="AA586" i="8"/>
  <c r="AB586" i="8"/>
  <c r="AA570" i="8"/>
  <c r="AB570" i="8"/>
  <c r="AA546" i="8"/>
  <c r="AB546" i="8"/>
  <c r="AA522" i="8"/>
  <c r="AB522" i="8"/>
  <c r="AA506" i="8"/>
  <c r="AB506" i="8"/>
  <c r="AA482" i="8"/>
  <c r="AB482" i="8"/>
  <c r="AB458" i="8"/>
  <c r="AA458" i="8"/>
  <c r="AB434" i="8"/>
  <c r="AA434" i="8"/>
  <c r="AB410" i="8"/>
  <c r="AA410" i="8"/>
  <c r="AB386" i="8"/>
  <c r="AA386" i="8"/>
  <c r="AA362" i="8"/>
  <c r="AB362" i="8"/>
  <c r="AA338" i="8"/>
  <c r="AB338" i="8"/>
  <c r="AA306" i="8"/>
  <c r="AB306" i="8"/>
  <c r="AB282" i="8"/>
  <c r="AA282" i="8"/>
  <c r="AA258" i="8"/>
  <c r="AB258" i="8"/>
  <c r="AA234" i="8"/>
  <c r="AB234" i="8"/>
  <c r="AA210" i="8"/>
  <c r="AB210" i="8"/>
  <c r="AA194" i="8"/>
  <c r="AB194" i="8"/>
  <c r="AA170" i="8"/>
  <c r="AB170" i="8"/>
  <c r="AA146" i="8"/>
  <c r="AB146" i="8"/>
  <c r="AA122" i="8"/>
  <c r="AB122" i="8"/>
  <c r="AA106" i="8"/>
  <c r="AB106" i="8"/>
  <c r="AA82" i="8"/>
  <c r="AB82" i="8"/>
  <c r="AA58" i="8"/>
  <c r="AB58" i="8"/>
  <c r="AA42" i="8"/>
  <c r="AB42" i="8"/>
  <c r="AA26" i="8"/>
  <c r="AB26" i="8"/>
  <c r="AB993" i="8"/>
  <c r="AA993" i="8"/>
  <c r="AB969" i="8"/>
  <c r="AA969" i="8"/>
  <c r="AB945" i="8"/>
  <c r="AA945" i="8"/>
  <c r="AB929" i="8"/>
  <c r="AA929" i="8"/>
  <c r="AB905" i="8"/>
  <c r="AA905" i="8"/>
  <c r="AB889" i="8"/>
  <c r="AA889" i="8"/>
  <c r="AB865" i="8"/>
  <c r="AA865" i="8"/>
  <c r="AB833" i="8"/>
  <c r="AA833" i="8"/>
  <c r="AB817" i="8"/>
  <c r="AA817" i="8"/>
  <c r="AB793" i="8"/>
  <c r="AA793" i="8"/>
  <c r="AB785" i="8"/>
  <c r="AA785" i="8"/>
  <c r="AB769" i="8"/>
  <c r="AA769" i="8"/>
  <c r="AB745" i="8"/>
  <c r="AA745" i="8"/>
  <c r="AB721" i="8"/>
  <c r="AA721" i="8"/>
  <c r="AB705" i="8"/>
  <c r="AA705" i="8"/>
  <c r="AB689" i="8"/>
  <c r="AA689" i="8"/>
  <c r="AB673" i="8"/>
  <c r="AA673" i="8"/>
  <c r="AB657" i="8"/>
  <c r="AA657" i="8"/>
  <c r="AB633" i="8"/>
  <c r="AA633" i="8"/>
  <c r="AB625" i="8"/>
  <c r="AA625" i="8"/>
  <c r="AB609" i="8"/>
  <c r="AA609" i="8"/>
  <c r="AB585" i="8"/>
  <c r="AA585" i="8"/>
  <c r="AB561" i="8"/>
  <c r="AA561" i="8"/>
  <c r="AB537" i="8"/>
  <c r="AA537" i="8"/>
  <c r="AB505" i="8"/>
  <c r="AA505" i="8"/>
  <c r="AA457" i="8"/>
  <c r="AB457" i="8"/>
  <c r="AB209" i="8"/>
  <c r="AA209" i="8"/>
  <c r="AA1006" i="8"/>
  <c r="AB1006" i="8"/>
  <c r="AA990" i="8"/>
  <c r="AB990" i="8"/>
  <c r="AA974" i="8"/>
  <c r="AB974" i="8"/>
  <c r="AA958" i="8"/>
  <c r="AB958" i="8"/>
  <c r="AA942" i="8"/>
  <c r="AB942" i="8"/>
  <c r="AA926" i="8"/>
  <c r="AB926" i="8"/>
  <c r="AA918" i="8"/>
  <c r="AB918" i="8"/>
  <c r="AA902" i="8"/>
  <c r="AB902" i="8"/>
  <c r="AB886" i="8"/>
  <c r="AA886" i="8"/>
  <c r="AB870" i="8"/>
  <c r="AA870" i="8"/>
  <c r="AA854" i="8"/>
  <c r="AB854" i="8"/>
  <c r="AA838" i="8"/>
  <c r="AB838" i="8"/>
  <c r="AA822" i="8"/>
  <c r="AB822" i="8"/>
  <c r="AA806" i="8"/>
  <c r="AB806" i="8"/>
  <c r="AA790" i="8"/>
  <c r="AB790" i="8"/>
  <c r="AA774" i="8"/>
  <c r="AB774" i="8"/>
  <c r="AA758" i="8"/>
  <c r="AB758" i="8"/>
  <c r="AA742" i="8"/>
  <c r="AB742" i="8"/>
  <c r="AA726" i="8"/>
  <c r="AB726" i="8"/>
  <c r="AA710" i="8"/>
  <c r="AB710" i="8"/>
  <c r="AB694" i="8"/>
  <c r="AA694" i="8"/>
  <c r="AB678" i="8"/>
  <c r="AA678" i="8"/>
  <c r="AB670" i="8"/>
  <c r="AA670" i="8"/>
  <c r="AB654" i="8"/>
  <c r="AA654" i="8"/>
  <c r="AB638" i="8"/>
  <c r="AA638" i="8"/>
  <c r="AB622" i="8"/>
  <c r="AA622" i="8"/>
  <c r="AB606" i="8"/>
  <c r="AA606" i="8"/>
  <c r="AB590" i="8"/>
  <c r="AA590" i="8"/>
  <c r="AB574" i="8"/>
  <c r="AA574" i="8"/>
  <c r="AB558" i="8"/>
  <c r="AA558" i="8"/>
  <c r="AB542" i="8"/>
  <c r="AA542" i="8"/>
  <c r="AB526" i="8"/>
  <c r="AA526" i="8"/>
  <c r="AB510" i="8"/>
  <c r="AA510" i="8"/>
  <c r="AA486" i="8"/>
  <c r="AB486" i="8"/>
  <c r="AA462" i="8"/>
  <c r="AB462" i="8"/>
  <c r="AB446" i="8"/>
  <c r="AA446" i="8"/>
  <c r="AA430" i="8"/>
  <c r="AB430" i="8"/>
  <c r="AA414" i="8"/>
  <c r="AB414" i="8"/>
  <c r="AA398" i="8"/>
  <c r="AB398" i="8"/>
  <c r="AB382" i="8"/>
  <c r="AA382" i="8"/>
  <c r="AB366" i="8"/>
  <c r="AA366" i="8"/>
  <c r="AB350" i="8"/>
  <c r="AA350" i="8"/>
  <c r="AB334" i="8"/>
  <c r="AA334" i="8"/>
  <c r="AB318" i="8"/>
  <c r="AA318" i="8"/>
  <c r="AA310" i="8"/>
  <c r="AB310" i="8"/>
  <c r="AA294" i="8"/>
  <c r="AB294" i="8"/>
  <c r="AA278" i="8"/>
  <c r="AB278" i="8"/>
  <c r="AA262" i="8"/>
  <c r="AB262" i="8"/>
  <c r="AA246" i="8"/>
  <c r="AB246" i="8"/>
  <c r="AA230" i="8"/>
  <c r="AB230" i="8"/>
  <c r="AA214" i="8"/>
  <c r="AB214" i="8"/>
  <c r="AA198" i="8"/>
  <c r="AB198" i="8"/>
  <c r="AA182" i="8"/>
  <c r="AB182" i="8"/>
  <c r="AA166" i="8"/>
  <c r="AB166" i="8"/>
  <c r="AA150" i="8"/>
  <c r="AB150" i="8"/>
  <c r="AA134" i="8"/>
  <c r="AB134" i="8"/>
  <c r="AA118" i="8"/>
  <c r="AB118" i="8"/>
  <c r="AA102" i="8"/>
  <c r="AB102" i="8"/>
  <c r="AA86" i="8"/>
  <c r="AB86" i="8"/>
  <c r="AA70" i="8"/>
  <c r="AB70" i="8"/>
  <c r="AA54" i="8"/>
  <c r="AB54" i="8"/>
  <c r="AA38" i="8"/>
  <c r="AB38" i="8"/>
  <c r="AA14" i="8"/>
  <c r="AB14" i="8"/>
  <c r="AB989" i="8"/>
  <c r="AA989" i="8"/>
  <c r="AB965" i="8"/>
  <c r="AA965" i="8"/>
  <c r="AB941" i="8"/>
  <c r="AA941" i="8"/>
  <c r="AB917" i="8"/>
  <c r="AA917" i="8"/>
  <c r="AB893" i="8"/>
  <c r="AA893" i="8"/>
  <c r="AB877" i="8"/>
  <c r="AA877" i="8"/>
  <c r="AB869" i="8"/>
  <c r="AA869" i="8"/>
  <c r="AB853" i="8"/>
  <c r="AA853" i="8"/>
  <c r="AB837" i="8"/>
  <c r="AA837" i="8"/>
  <c r="AB821" i="8"/>
  <c r="AA821" i="8"/>
  <c r="AB805" i="8"/>
  <c r="AA805" i="8"/>
  <c r="AB797" i="8"/>
  <c r="AA797" i="8"/>
  <c r="AB781" i="8"/>
  <c r="AA781" i="8"/>
  <c r="AB765" i="8"/>
  <c r="AA765" i="8"/>
  <c r="AB749" i="8"/>
  <c r="AA749" i="8"/>
  <c r="AB733" i="8"/>
  <c r="AA733" i="8"/>
  <c r="AB717" i="8"/>
  <c r="AA717" i="8"/>
  <c r="AB701" i="8"/>
  <c r="AA701" i="8"/>
  <c r="AB685" i="8"/>
  <c r="AA685" i="8"/>
  <c r="AB669" i="8"/>
  <c r="AA669" i="8"/>
  <c r="AB653" i="8"/>
  <c r="AA653" i="8"/>
  <c r="AB637" i="8"/>
  <c r="AA637" i="8"/>
  <c r="AB621" i="8"/>
  <c r="AA621" i="8"/>
  <c r="AB605" i="8"/>
  <c r="AA605" i="8"/>
  <c r="AB589" i="8"/>
  <c r="AA589" i="8"/>
  <c r="AB573" i="8"/>
  <c r="AA573" i="8"/>
  <c r="AB557" i="8"/>
  <c r="AA557" i="8"/>
  <c r="AB541" i="8"/>
  <c r="AA541" i="8"/>
  <c r="AB525" i="8"/>
  <c r="AA525" i="8"/>
  <c r="AB509" i="8"/>
  <c r="AA509" i="8"/>
  <c r="AB493" i="8"/>
  <c r="AA493" i="8"/>
  <c r="AA477" i="8"/>
  <c r="AB477" i="8"/>
  <c r="AA461" i="8"/>
  <c r="AB461" i="8"/>
  <c r="AA445" i="8"/>
  <c r="AB445" i="8"/>
  <c r="AA429" i="8"/>
  <c r="AB429" i="8"/>
  <c r="AB413" i="8"/>
  <c r="AA413" i="8"/>
  <c r="AA397" i="8"/>
  <c r="AB397" i="8"/>
  <c r="AB381" i="8"/>
  <c r="AA381" i="8"/>
  <c r="AB365" i="8"/>
  <c r="AA365" i="8"/>
  <c r="AA349" i="8"/>
  <c r="AB349" i="8"/>
  <c r="AA333" i="8"/>
  <c r="AB333" i="8"/>
  <c r="AA317" i="8"/>
  <c r="AB317" i="8"/>
  <c r="AB301" i="8"/>
  <c r="AA301" i="8"/>
  <c r="AA285" i="8"/>
  <c r="AB285" i="8"/>
  <c r="AB269" i="8"/>
  <c r="AA269" i="8"/>
  <c r="AA253" i="8"/>
  <c r="AB253" i="8"/>
  <c r="AA237" i="8"/>
  <c r="AB237" i="8"/>
  <c r="AB221" i="8"/>
  <c r="AA221" i="8"/>
  <c r="AB205" i="8"/>
  <c r="AA205" i="8"/>
  <c r="AB189" i="8"/>
  <c r="AA189" i="8"/>
  <c r="AB173" i="8"/>
  <c r="AA173" i="8"/>
  <c r="AB157" i="8"/>
  <c r="AA157" i="8"/>
  <c r="AB141" i="8"/>
  <c r="AA141" i="8"/>
  <c r="AB125" i="8"/>
  <c r="AA125" i="8"/>
  <c r="AB109" i="8"/>
  <c r="AA109" i="8"/>
  <c r="AA85" i="8"/>
  <c r="AB85" i="8"/>
  <c r="AA69" i="8"/>
  <c r="AB69" i="8"/>
  <c r="AB53" i="8"/>
  <c r="AA53" i="8"/>
  <c r="AB37" i="8"/>
  <c r="AA37" i="8"/>
  <c r="AA21" i="8"/>
  <c r="AB21" i="8"/>
  <c r="AA1004" i="8"/>
  <c r="AB1004" i="8"/>
  <c r="AA996" i="8"/>
  <c r="AB996" i="8"/>
  <c r="AB988" i="8"/>
  <c r="AA988" i="8"/>
  <c r="AB980" i="8"/>
  <c r="AA980" i="8"/>
  <c r="AA972" i="8"/>
  <c r="AB972" i="8"/>
  <c r="AB964" i="8"/>
  <c r="AA964" i="8"/>
  <c r="AB956" i="8"/>
  <c r="AA956" i="8"/>
  <c r="AB948" i="8"/>
  <c r="AA948" i="8"/>
  <c r="AA940" i="8"/>
  <c r="AB940" i="8"/>
  <c r="AA932" i="8"/>
  <c r="AB932" i="8"/>
  <c r="AA924" i="8"/>
  <c r="AB924" i="8"/>
  <c r="AA916" i="8"/>
  <c r="AB916" i="8"/>
  <c r="AA908" i="8"/>
  <c r="AB908" i="8"/>
  <c r="AA900" i="8"/>
  <c r="AB900" i="8"/>
  <c r="AA892" i="8"/>
  <c r="AB892" i="8"/>
  <c r="AA884" i="8"/>
  <c r="AB884" i="8"/>
  <c r="AA876" i="8"/>
  <c r="AB876" i="8"/>
  <c r="AA868" i="8"/>
  <c r="AB868" i="8"/>
  <c r="AA860" i="8"/>
  <c r="AB860" i="8"/>
  <c r="AA852" i="8"/>
  <c r="AB852" i="8"/>
  <c r="AB844" i="8"/>
  <c r="AA844" i="8"/>
  <c r="AA836" i="8"/>
  <c r="AB836" i="8"/>
  <c r="AA828" i="8"/>
  <c r="AB828" i="8"/>
  <c r="AA820" i="8"/>
  <c r="AB820" i="8"/>
  <c r="AA812" i="8"/>
  <c r="AB812" i="8"/>
  <c r="AA804" i="8"/>
  <c r="AB804" i="8"/>
  <c r="AA796" i="8"/>
  <c r="AB796" i="8"/>
  <c r="AA788" i="8"/>
  <c r="AB788" i="8"/>
  <c r="AA780" i="8"/>
  <c r="AB780" i="8"/>
  <c r="AA772" i="8"/>
  <c r="AB772" i="8"/>
  <c r="AA764" i="8"/>
  <c r="AB764" i="8"/>
  <c r="AA756" i="8"/>
  <c r="AB756" i="8"/>
  <c r="AB748" i="8"/>
  <c r="AA748" i="8"/>
  <c r="AA740" i="8"/>
  <c r="AB740" i="8"/>
  <c r="AA732" i="8"/>
  <c r="AB732" i="8"/>
  <c r="AA724" i="8"/>
  <c r="AB724" i="8"/>
  <c r="AA716" i="8"/>
  <c r="AB716" i="8"/>
  <c r="AA708" i="8"/>
  <c r="AB708" i="8"/>
  <c r="AA700" i="8"/>
  <c r="AB700" i="8"/>
  <c r="AA692" i="8"/>
  <c r="AB692" i="8"/>
  <c r="AA684" i="8"/>
  <c r="AB684" i="8"/>
  <c r="AA676" i="8"/>
  <c r="AB676" i="8"/>
  <c r="AA668" i="8"/>
  <c r="AB668" i="8"/>
  <c r="AA660" i="8"/>
  <c r="AB660" i="8"/>
  <c r="AA652" i="8"/>
  <c r="AB652" i="8"/>
  <c r="AA644" i="8"/>
  <c r="AB644" i="8"/>
  <c r="AA636" i="8"/>
  <c r="AB636" i="8"/>
  <c r="AA628" i="8"/>
  <c r="AB628" i="8"/>
  <c r="AA620" i="8"/>
  <c r="AB620" i="8"/>
  <c r="AA612" i="8"/>
  <c r="AB612" i="8"/>
  <c r="AA604" i="8"/>
  <c r="AB604" i="8"/>
  <c r="AA596" i="8"/>
  <c r="AB596" i="8"/>
  <c r="AA588" i="8"/>
  <c r="AB588" i="8"/>
  <c r="AA580" i="8"/>
  <c r="AB580" i="8"/>
  <c r="AA572" i="8"/>
  <c r="AB572" i="8"/>
  <c r="AA564" i="8"/>
  <c r="AB564" i="8"/>
  <c r="AA556" i="8"/>
  <c r="AB556" i="8"/>
  <c r="AA548" i="8"/>
  <c r="AB548" i="8"/>
  <c r="AA540" i="8"/>
  <c r="AB540" i="8"/>
  <c r="AA532" i="8"/>
  <c r="AB532" i="8"/>
  <c r="AA524" i="8"/>
  <c r="AB524" i="8"/>
  <c r="AA516" i="8"/>
  <c r="AB516" i="8"/>
  <c r="AA508" i="8"/>
  <c r="AB508" i="8"/>
  <c r="AA500" i="8"/>
  <c r="AB500" i="8"/>
  <c r="AA492" i="8"/>
  <c r="AB492" i="8"/>
  <c r="AA484" i="8"/>
  <c r="AB484" i="8"/>
  <c r="AA476" i="8"/>
  <c r="AB476" i="8"/>
  <c r="AB468" i="8"/>
  <c r="AA468" i="8"/>
  <c r="AB460" i="8"/>
  <c r="AA460" i="8"/>
  <c r="AA452" i="8"/>
  <c r="AB452" i="8"/>
  <c r="AB444" i="8"/>
  <c r="AA444" i="8"/>
  <c r="AA436" i="8"/>
  <c r="AB436" i="8"/>
  <c r="AA428" i="8"/>
  <c r="AB428" i="8"/>
  <c r="AB420" i="8"/>
  <c r="AA420" i="8"/>
  <c r="AB412" i="8"/>
  <c r="AA412" i="8"/>
  <c r="AA404" i="8"/>
  <c r="AB404" i="8"/>
  <c r="AA396" i="8"/>
  <c r="AB396" i="8"/>
  <c r="AB388" i="8"/>
  <c r="AA388" i="8"/>
  <c r="AA380" i="8"/>
  <c r="AB380" i="8"/>
  <c r="AA372" i="8"/>
  <c r="AB372" i="8"/>
  <c r="AA364" i="8"/>
  <c r="AB364" i="8"/>
  <c r="AB356" i="8"/>
  <c r="AA356" i="8"/>
  <c r="AA348" i="8"/>
  <c r="AB348" i="8"/>
  <c r="AA340" i="8"/>
  <c r="AB340" i="8"/>
  <c r="AA332" i="8"/>
  <c r="AB332" i="8"/>
  <c r="AA324" i="8"/>
  <c r="AB324" i="8"/>
  <c r="AA316" i="8"/>
  <c r="AB316" i="8"/>
  <c r="AB308" i="8"/>
  <c r="AA308" i="8"/>
  <c r="AA300" i="8"/>
  <c r="AB300" i="8"/>
  <c r="AB292" i="8"/>
  <c r="AA292" i="8"/>
  <c r="AA284" i="8"/>
  <c r="AB284" i="8"/>
  <c r="AA276" i="8"/>
  <c r="AB276" i="8"/>
  <c r="AA268" i="8"/>
  <c r="AB268" i="8"/>
  <c r="AB260" i="8"/>
  <c r="AA260" i="8"/>
  <c r="AA252" i="8"/>
  <c r="AB252" i="8"/>
  <c r="AB244" i="8"/>
  <c r="AA244" i="8"/>
  <c r="AB236" i="8"/>
  <c r="AA236" i="8"/>
  <c r="AA228" i="8"/>
  <c r="AB228" i="8"/>
  <c r="AB220" i="8"/>
  <c r="AA220" i="8"/>
  <c r="AA212" i="8"/>
  <c r="AB212" i="8"/>
  <c r="AA204" i="8"/>
  <c r="AB204" i="8"/>
  <c r="AA196" i="8"/>
  <c r="AB196" i="8"/>
  <c r="AA188" i="8"/>
  <c r="AB188" i="8"/>
  <c r="AA180" i="8"/>
  <c r="AB180" i="8"/>
  <c r="AA172" i="8"/>
  <c r="AB172" i="8"/>
  <c r="AA164" i="8"/>
  <c r="AB164" i="8"/>
  <c r="AA156" i="8"/>
  <c r="AB156" i="8"/>
  <c r="AA148" i="8"/>
  <c r="AB148" i="8"/>
  <c r="AA140" i="8"/>
  <c r="AB140" i="8"/>
  <c r="AA132" i="8"/>
  <c r="AB132" i="8"/>
  <c r="AA124" i="8"/>
  <c r="AB124" i="8"/>
  <c r="AA116" i="8"/>
  <c r="AB116" i="8"/>
  <c r="AA108" i="8"/>
  <c r="AB108" i="8"/>
  <c r="AA100" i="8"/>
  <c r="AB100" i="8"/>
  <c r="AA92" i="8"/>
  <c r="AB92" i="8"/>
  <c r="AA84" i="8"/>
  <c r="AB84" i="8"/>
  <c r="AA76" i="8"/>
  <c r="AB76" i="8"/>
  <c r="AA68" i="8"/>
  <c r="AB68" i="8"/>
  <c r="AA60" i="8"/>
  <c r="AB60" i="8"/>
  <c r="AA52" i="8"/>
  <c r="AB52" i="8"/>
  <c r="AA44" i="8"/>
  <c r="AB44" i="8"/>
  <c r="AA36" i="8"/>
  <c r="AB36" i="8"/>
  <c r="AA28" i="8"/>
  <c r="AB28" i="8"/>
  <c r="AA20" i="8"/>
  <c r="AB20" i="8"/>
  <c r="AA12" i="8"/>
  <c r="AB12" i="8"/>
  <c r="AA986" i="8"/>
  <c r="AB986" i="8"/>
  <c r="AA962" i="8"/>
  <c r="AB962" i="8"/>
  <c r="AA938" i="8"/>
  <c r="AB938" i="8"/>
  <c r="AA914" i="8"/>
  <c r="AB914" i="8"/>
  <c r="AA890" i="8"/>
  <c r="AB890" i="8"/>
  <c r="AA866" i="8"/>
  <c r="AB866" i="8"/>
  <c r="AB842" i="8"/>
  <c r="AA842" i="8"/>
  <c r="AA818" i="8"/>
  <c r="AB818" i="8"/>
  <c r="AB794" i="8"/>
  <c r="AA794" i="8"/>
  <c r="AB778" i="8"/>
  <c r="AA778" i="8"/>
  <c r="AA754" i="8"/>
  <c r="AB754" i="8"/>
  <c r="AA730" i="8"/>
  <c r="AB730" i="8"/>
  <c r="AB714" i="8"/>
  <c r="AA714" i="8"/>
  <c r="AB690" i="8"/>
  <c r="AA690" i="8"/>
  <c r="AA666" i="8"/>
  <c r="AB666" i="8"/>
  <c r="AA642" i="8"/>
  <c r="AB642" i="8"/>
  <c r="AA618" i="8"/>
  <c r="AB618" i="8"/>
  <c r="AA602" i="8"/>
  <c r="AB602" i="8"/>
  <c r="AA578" i="8"/>
  <c r="AB578" i="8"/>
  <c r="AB554" i="8"/>
  <c r="AA554" i="8"/>
  <c r="AA538" i="8"/>
  <c r="AB538" i="8"/>
  <c r="AA514" i="8"/>
  <c r="AB514" i="8"/>
  <c r="AA490" i="8"/>
  <c r="AB490" i="8"/>
  <c r="AB474" i="8"/>
  <c r="AA474" i="8"/>
  <c r="AA450" i="8"/>
  <c r="AB450" i="8"/>
  <c r="AB426" i="8"/>
  <c r="AA426" i="8"/>
  <c r="AA402" i="8"/>
  <c r="AB402" i="8"/>
  <c r="AA378" i="8"/>
  <c r="AB378" i="8"/>
  <c r="AA354" i="8"/>
  <c r="AB354" i="8"/>
  <c r="AB330" i="8"/>
  <c r="AA330" i="8"/>
  <c r="AA314" i="8"/>
  <c r="AB314" i="8"/>
  <c r="AA290" i="8"/>
  <c r="AB290" i="8"/>
  <c r="AA266" i="8"/>
  <c r="AB266" i="8"/>
  <c r="AB242" i="8"/>
  <c r="AA242" i="8"/>
  <c r="AB218" i="8"/>
  <c r="AA218" i="8"/>
  <c r="AA186" i="8"/>
  <c r="AB186" i="8"/>
  <c r="AA162" i="8"/>
  <c r="AB162" i="8"/>
  <c r="AA138" i="8"/>
  <c r="AB138" i="8"/>
  <c r="AA114" i="8"/>
  <c r="AB114" i="8"/>
  <c r="AA90" i="8"/>
  <c r="AB90" i="8"/>
  <c r="AA66" i="8"/>
  <c r="AB66" i="8"/>
  <c r="AA34" i="8"/>
  <c r="AB34" i="8"/>
  <c r="AA10" i="8"/>
  <c r="AB10" i="8"/>
  <c r="AB1001" i="8"/>
  <c r="AA1001" i="8"/>
  <c r="AB977" i="8"/>
  <c r="AA977" i="8"/>
  <c r="AB961" i="8"/>
  <c r="AA961" i="8"/>
  <c r="AB937" i="8"/>
  <c r="AA937" i="8"/>
  <c r="AB913" i="8"/>
  <c r="AA913" i="8"/>
  <c r="AB897" i="8"/>
  <c r="AA897" i="8"/>
  <c r="AB873" i="8"/>
  <c r="AA873" i="8"/>
  <c r="AB857" i="8"/>
  <c r="AA857" i="8"/>
  <c r="AB841" i="8"/>
  <c r="AA841" i="8"/>
  <c r="AB825" i="8"/>
  <c r="AA825" i="8"/>
  <c r="AB801" i="8"/>
  <c r="AA801" i="8"/>
  <c r="AB777" i="8"/>
  <c r="AA777" i="8"/>
  <c r="AB753" i="8"/>
  <c r="AA753" i="8"/>
  <c r="AB737" i="8"/>
  <c r="AA737" i="8"/>
  <c r="AB713" i="8"/>
  <c r="AA713" i="8"/>
  <c r="AB697" i="8"/>
  <c r="AA697" i="8"/>
  <c r="AB665" i="8"/>
  <c r="AA665" i="8"/>
  <c r="AB649" i="8"/>
  <c r="AA649" i="8"/>
  <c r="AB617" i="8"/>
  <c r="AA617" i="8"/>
  <c r="AB593" i="8"/>
  <c r="AA593" i="8"/>
  <c r="AB577" i="8"/>
  <c r="AA577" i="8"/>
  <c r="AB553" i="8"/>
  <c r="AA553" i="8"/>
  <c r="AB521" i="8"/>
  <c r="AA521" i="8"/>
  <c r="AB489" i="8"/>
  <c r="AA489" i="8"/>
  <c r="AA441" i="8"/>
  <c r="AB441" i="8"/>
  <c r="AA217" i="8"/>
  <c r="AB217" i="8"/>
  <c r="AA998" i="8"/>
  <c r="AB998" i="8"/>
  <c r="AB982" i="8"/>
  <c r="AA982" i="8"/>
  <c r="AA966" i="8"/>
  <c r="AB966" i="8"/>
  <c r="AA950" i="8"/>
  <c r="AB950" i="8"/>
  <c r="AB934" i="8"/>
  <c r="AA934" i="8"/>
  <c r="AA910" i="8"/>
  <c r="AB910" i="8"/>
  <c r="AA894" i="8"/>
  <c r="AB894" i="8"/>
  <c r="AA878" i="8"/>
  <c r="AB878" i="8"/>
  <c r="AA862" i="8"/>
  <c r="AB862" i="8"/>
  <c r="AA846" i="8"/>
  <c r="AB846" i="8"/>
  <c r="AA830" i="8"/>
  <c r="AB830" i="8"/>
  <c r="AA814" i="8"/>
  <c r="AB814" i="8"/>
  <c r="AA798" i="8"/>
  <c r="AB798" i="8"/>
  <c r="AA782" i="8"/>
  <c r="AB782" i="8"/>
  <c r="AA766" i="8"/>
  <c r="AB766" i="8"/>
  <c r="AA750" i="8"/>
  <c r="AB750" i="8"/>
  <c r="AA734" i="8"/>
  <c r="AB734" i="8"/>
  <c r="AA718" i="8"/>
  <c r="AB718" i="8"/>
  <c r="AB702" i="8"/>
  <c r="AA702" i="8"/>
  <c r="AB686" i="8"/>
  <c r="AA686" i="8"/>
  <c r="AA662" i="8"/>
  <c r="AB662" i="8"/>
  <c r="AA646" i="8"/>
  <c r="AB646" i="8"/>
  <c r="AA630" i="8"/>
  <c r="AB630" i="8"/>
  <c r="AA614" i="8"/>
  <c r="AB614" i="8"/>
  <c r="AA598" i="8"/>
  <c r="AB598" i="8"/>
  <c r="AA582" i="8"/>
  <c r="AB582" i="8"/>
  <c r="AA566" i="8"/>
  <c r="AB566" i="8"/>
  <c r="AA550" i="8"/>
  <c r="AB550" i="8"/>
  <c r="AA534" i="8"/>
  <c r="AB534" i="8"/>
  <c r="AA518" i="8"/>
  <c r="AB518" i="8"/>
  <c r="AA502" i="8"/>
  <c r="AB502" i="8"/>
  <c r="AB494" i="8"/>
  <c r="AA494" i="8"/>
  <c r="AA478" i="8"/>
  <c r="AB478" i="8"/>
  <c r="AA470" i="8"/>
  <c r="AB470" i="8"/>
  <c r="AB454" i="8"/>
  <c r="AA454" i="8"/>
  <c r="AA438" i="8"/>
  <c r="AB438" i="8"/>
  <c r="AA422" i="8"/>
  <c r="AB422" i="8"/>
  <c r="AA406" i="8"/>
  <c r="AB406" i="8"/>
  <c r="AA390" i="8"/>
  <c r="AB390" i="8"/>
  <c r="AA374" i="8"/>
  <c r="AB374" i="8"/>
  <c r="AA358" i="8"/>
  <c r="AB358" i="8"/>
  <c r="AB342" i="8"/>
  <c r="AA342" i="8"/>
  <c r="AA326" i="8"/>
  <c r="AB326" i="8"/>
  <c r="AB302" i="8"/>
  <c r="AA302" i="8"/>
  <c r="AB286" i="8"/>
  <c r="AA286" i="8"/>
  <c r="AA270" i="8"/>
  <c r="AB270" i="8"/>
  <c r="AB254" i="8"/>
  <c r="AA254" i="8"/>
  <c r="AA238" i="8"/>
  <c r="AB238" i="8"/>
  <c r="AB222" i="8"/>
  <c r="AA222" i="8"/>
  <c r="AB206" i="8"/>
  <c r="AA206" i="8"/>
  <c r="AA190" i="8"/>
  <c r="AB190" i="8"/>
  <c r="AA174" i="8"/>
  <c r="AB174" i="8"/>
  <c r="AA158" i="8"/>
  <c r="AB158" i="8"/>
  <c r="AA142" i="8"/>
  <c r="AB142" i="8"/>
  <c r="AA126" i="8"/>
  <c r="AB126" i="8"/>
  <c r="AA110" i="8"/>
  <c r="AB110" i="8"/>
  <c r="AA94" i="8"/>
  <c r="AB94" i="8"/>
  <c r="AA78" i="8"/>
  <c r="AB78" i="8"/>
  <c r="AA62" i="8"/>
  <c r="AB62" i="8"/>
  <c r="AA46" i="8"/>
  <c r="AB46" i="8"/>
  <c r="AA30" i="8"/>
  <c r="AB30" i="8"/>
  <c r="AA22" i="8"/>
  <c r="AB22" i="8"/>
  <c r="AB1005" i="8"/>
  <c r="AA1005" i="8"/>
  <c r="AB997" i="8"/>
  <c r="AA997" i="8"/>
  <c r="AB981" i="8"/>
  <c r="AA981" i="8"/>
  <c r="AB973" i="8"/>
  <c r="AA973" i="8"/>
  <c r="AB957" i="8"/>
  <c r="AA957" i="8"/>
  <c r="AB949" i="8"/>
  <c r="AA949" i="8"/>
  <c r="AB933" i="8"/>
  <c r="AA933" i="8"/>
  <c r="AB925" i="8"/>
  <c r="AA925" i="8"/>
  <c r="AB909" i="8"/>
  <c r="AA909" i="8"/>
  <c r="AB901" i="8"/>
  <c r="AA901" i="8"/>
  <c r="AB885" i="8"/>
  <c r="AA885" i="8"/>
  <c r="AB861" i="8"/>
  <c r="AA861" i="8"/>
  <c r="AB845" i="8"/>
  <c r="AA845" i="8"/>
  <c r="AB829" i="8"/>
  <c r="AA829" i="8"/>
  <c r="AB813" i="8"/>
  <c r="AA813" i="8"/>
  <c r="AB789" i="8"/>
  <c r="AA789" i="8"/>
  <c r="AB773" i="8"/>
  <c r="AA773" i="8"/>
  <c r="AB757" i="8"/>
  <c r="AA757" i="8"/>
  <c r="AB741" i="8"/>
  <c r="AA741" i="8"/>
  <c r="AB725" i="8"/>
  <c r="AA725" i="8"/>
  <c r="AB709" i="8"/>
  <c r="AA709" i="8"/>
  <c r="AB693" i="8"/>
  <c r="AA693" i="8"/>
  <c r="AB677" i="8"/>
  <c r="AA677" i="8"/>
  <c r="AB661" i="8"/>
  <c r="AA661" i="8"/>
  <c r="AB645" i="8"/>
  <c r="AA645" i="8"/>
  <c r="AB629" i="8"/>
  <c r="AA629" i="8"/>
  <c r="AB613" i="8"/>
  <c r="AA613" i="8"/>
  <c r="AB597" i="8"/>
  <c r="AA597" i="8"/>
  <c r="AB581" i="8"/>
  <c r="AA581" i="8"/>
  <c r="AB565" i="8"/>
  <c r="AA565" i="8"/>
  <c r="AB549" i="8"/>
  <c r="AA549" i="8"/>
  <c r="AB533" i="8"/>
  <c r="AA533" i="8"/>
  <c r="AB517" i="8"/>
  <c r="AA517" i="8"/>
  <c r="AB501" i="8"/>
  <c r="AA501" i="8"/>
  <c r="AB485" i="8"/>
  <c r="AA485" i="8"/>
  <c r="AA469" i="8"/>
  <c r="AB469" i="8"/>
  <c r="AA453" i="8"/>
  <c r="AB453" i="8"/>
  <c r="AA437" i="8"/>
  <c r="AB437" i="8"/>
  <c r="AA421" i="8"/>
  <c r="AB421" i="8"/>
  <c r="AB405" i="8"/>
  <c r="AA405" i="8"/>
  <c r="AA389" i="8"/>
  <c r="AB389" i="8"/>
  <c r="AA373" i="8"/>
  <c r="AB373" i="8"/>
  <c r="AA357" i="8"/>
  <c r="AB357" i="8"/>
  <c r="AA341" i="8"/>
  <c r="AB341" i="8"/>
  <c r="AA325" i="8"/>
  <c r="AB325" i="8"/>
  <c r="AA309" i="8"/>
  <c r="AB309" i="8"/>
  <c r="AA293" i="8"/>
  <c r="AB293" i="8"/>
  <c r="AA277" i="8"/>
  <c r="AB277" i="8"/>
  <c r="AB261" i="8"/>
  <c r="AA261" i="8"/>
  <c r="AA245" i="8"/>
  <c r="AB245" i="8"/>
  <c r="AA229" i="8"/>
  <c r="AB229" i="8"/>
  <c r="AA213" i="8"/>
  <c r="AB213" i="8"/>
  <c r="AA197" i="8"/>
  <c r="AB197" i="8"/>
  <c r="AA181" i="8"/>
  <c r="AB181" i="8"/>
  <c r="AB165" i="8"/>
  <c r="AA165" i="8"/>
  <c r="AB149" i="8"/>
  <c r="AA149" i="8"/>
  <c r="AA133" i="8"/>
  <c r="AB133" i="8"/>
  <c r="AA117" i="8"/>
  <c r="AB117" i="8"/>
  <c r="AB101" i="8"/>
  <c r="AA101" i="8"/>
  <c r="AB93" i="8"/>
  <c r="AA93" i="8"/>
  <c r="AB77" i="8"/>
  <c r="AA77" i="8"/>
  <c r="AB61" i="8"/>
  <c r="AA61" i="8"/>
  <c r="AB45" i="8"/>
  <c r="AA45" i="8"/>
  <c r="AB29" i="8"/>
  <c r="AA29" i="8"/>
  <c r="AB13" i="8"/>
  <c r="AA13" i="8"/>
  <c r="AB1003" i="8"/>
  <c r="AA1003" i="8"/>
  <c r="AB995" i="8"/>
  <c r="AA995" i="8"/>
  <c r="AB987" i="8"/>
  <c r="AA987" i="8"/>
  <c r="AB979" i="8"/>
  <c r="AA979" i="8"/>
  <c r="AB971" i="8"/>
  <c r="AA971" i="8"/>
  <c r="AB963" i="8"/>
  <c r="AA963" i="8"/>
  <c r="AB955" i="8"/>
  <c r="AA955" i="8"/>
  <c r="AB947" i="8"/>
  <c r="AA947" i="8"/>
  <c r="AB939" i="8"/>
  <c r="AA939" i="8"/>
  <c r="AB931" i="8"/>
  <c r="AA931" i="8"/>
  <c r="AB923" i="8"/>
  <c r="AA923" i="8"/>
  <c r="AB915" i="8"/>
  <c r="AA915" i="8"/>
  <c r="AB907" i="8"/>
  <c r="AA907" i="8"/>
  <c r="AB899" i="8"/>
  <c r="AA899" i="8"/>
  <c r="AB891" i="8"/>
  <c r="AA891" i="8"/>
  <c r="AB883" i="8"/>
  <c r="AA883" i="8"/>
  <c r="AB875" i="8"/>
  <c r="AA875" i="8"/>
  <c r="AB867" i="8"/>
  <c r="AA867" i="8"/>
  <c r="AB859" i="8"/>
  <c r="AA859" i="8"/>
  <c r="AB851" i="8"/>
  <c r="AA851" i="8"/>
  <c r="AB843" i="8"/>
  <c r="AA843" i="8"/>
  <c r="AB835" i="8"/>
  <c r="AA835" i="8"/>
  <c r="AB827" i="8"/>
  <c r="AA827" i="8"/>
  <c r="AB819" i="8"/>
  <c r="AA819" i="8"/>
  <c r="AB811" i="8"/>
  <c r="AA811" i="8"/>
  <c r="AB803" i="8"/>
  <c r="AA803" i="8"/>
  <c r="AB795" i="8"/>
  <c r="AA795" i="8"/>
  <c r="AB787" i="8"/>
  <c r="AA787" i="8"/>
  <c r="AB779" i="8"/>
  <c r="AA779" i="8"/>
  <c r="AB771" i="8"/>
  <c r="AA771" i="8"/>
  <c r="AB763" i="8"/>
  <c r="AA763" i="8"/>
  <c r="AB755" i="8"/>
  <c r="AA755" i="8"/>
  <c r="AB747" i="8"/>
  <c r="AA747" i="8"/>
  <c r="AB739" i="8"/>
  <c r="AA739" i="8"/>
  <c r="AB731" i="8"/>
  <c r="AA731" i="8"/>
  <c r="AB723" i="8"/>
  <c r="AA723" i="8"/>
  <c r="AB715" i="8"/>
  <c r="AA715" i="8"/>
  <c r="AB707" i="8"/>
  <c r="AA707" i="8"/>
  <c r="AB699" i="8"/>
  <c r="AA699" i="8"/>
  <c r="AB691" i="8"/>
  <c r="AA691" i="8"/>
  <c r="AB683" i="8"/>
  <c r="AA683" i="8"/>
  <c r="AB675" i="8"/>
  <c r="AA675" i="8"/>
  <c r="AB667" i="8"/>
  <c r="AA667" i="8"/>
  <c r="AB659" i="8"/>
  <c r="AA659" i="8"/>
  <c r="AB651" i="8"/>
  <c r="AA651" i="8"/>
  <c r="AB643" i="8"/>
  <c r="AA643" i="8"/>
  <c r="AB635" i="8"/>
  <c r="AA635" i="8"/>
  <c r="AB627" i="8"/>
  <c r="AA627" i="8"/>
  <c r="AB619" i="8"/>
  <c r="AA619" i="8"/>
  <c r="AB611" i="8"/>
  <c r="AA611" i="8"/>
  <c r="AB603" i="8"/>
  <c r="AA603" i="8"/>
  <c r="AB595" i="8"/>
  <c r="AA595" i="8"/>
  <c r="AB587" i="8"/>
  <c r="AA587" i="8"/>
  <c r="AB579" i="8"/>
  <c r="AA579" i="8"/>
  <c r="AB571" i="8"/>
  <c r="AA571" i="8"/>
  <c r="AB563" i="8"/>
  <c r="AA563" i="8"/>
  <c r="AB555" i="8"/>
  <c r="AA555" i="8"/>
  <c r="AB547" i="8"/>
  <c r="AA547" i="8"/>
  <c r="AB539" i="8"/>
  <c r="AA539" i="8"/>
  <c r="AB531" i="8"/>
  <c r="AA531" i="8"/>
  <c r="AB523" i="8"/>
  <c r="AA523" i="8"/>
  <c r="AB515" i="8"/>
  <c r="AA515" i="8"/>
  <c r="AB507" i="8"/>
  <c r="AA507" i="8"/>
  <c r="AB499" i="8"/>
  <c r="AA499" i="8"/>
  <c r="AB491" i="8"/>
  <c r="AA491" i="8"/>
  <c r="AB483" i="8"/>
  <c r="AA483" i="8"/>
  <c r="AA475" i="8"/>
  <c r="AB475" i="8"/>
  <c r="AB467" i="8"/>
  <c r="AA467" i="8"/>
  <c r="AB459" i="8"/>
  <c r="AA459" i="8"/>
  <c r="AB451" i="8"/>
  <c r="AA451" i="8"/>
  <c r="AA443" i="8"/>
  <c r="AB443" i="8"/>
  <c r="AB435" i="8"/>
  <c r="AA435" i="8"/>
  <c r="AA427" i="8"/>
  <c r="AB427" i="8"/>
  <c r="AB419" i="8"/>
  <c r="AA419" i="8"/>
  <c r="AA411" i="8"/>
  <c r="AB411" i="8"/>
  <c r="AB403" i="8"/>
  <c r="AA403" i="8"/>
  <c r="AA395" i="8"/>
  <c r="AB395" i="8"/>
  <c r="AA387" i="8"/>
  <c r="AB387" i="8"/>
  <c r="AB379" i="8"/>
  <c r="AA379" i="8"/>
  <c r="AA371" i="8"/>
  <c r="AB371" i="8"/>
  <c r="AA363" i="8"/>
  <c r="AB363" i="8"/>
  <c r="AB355" i="8"/>
  <c r="AA355" i="8"/>
  <c r="AB347" i="8"/>
  <c r="AA347" i="8"/>
  <c r="AB339" i="8"/>
  <c r="AA339" i="8"/>
  <c r="AA331" i="8"/>
  <c r="AB331" i="8"/>
  <c r="AA323" i="8"/>
  <c r="AB323" i="8"/>
  <c r="AA315" i="8"/>
  <c r="AB315" i="8"/>
  <c r="AA307" i="8"/>
  <c r="AB307" i="8"/>
  <c r="AA299" i="8"/>
  <c r="AB299" i="8"/>
  <c r="AA291" i="8"/>
  <c r="AB291" i="8"/>
  <c r="AA283" i="8"/>
  <c r="AB283" i="8"/>
  <c r="AA275" i="8"/>
  <c r="AB275" i="8"/>
  <c r="AA267" i="8"/>
  <c r="AB267" i="8"/>
  <c r="AA259" i="8"/>
  <c r="AB259" i="8"/>
  <c r="AA251" i="8"/>
  <c r="AB251" i="8"/>
  <c r="AA243" i="8"/>
  <c r="AB243" i="8"/>
  <c r="AB235" i="8"/>
  <c r="AA235" i="8"/>
  <c r="AB227" i="8"/>
  <c r="AA227" i="8"/>
  <c r="AA219" i="8"/>
  <c r="AB219" i="8"/>
  <c r="AA211" i="8"/>
  <c r="AB211" i="8"/>
  <c r="AB203" i="8"/>
  <c r="AA203" i="8"/>
  <c r="AA195" i="8"/>
  <c r="AB195" i="8"/>
  <c r="AA187" i="8"/>
  <c r="AB187" i="8"/>
  <c r="AB179" i="8"/>
  <c r="AA179" i="8"/>
  <c r="AA171" i="8"/>
  <c r="AB171" i="8"/>
  <c r="AA163" i="8"/>
  <c r="AB163" i="8"/>
  <c r="AA155" i="8"/>
  <c r="AB155" i="8"/>
  <c r="AB147" i="8"/>
  <c r="AA147" i="8"/>
  <c r="AA139" i="8"/>
  <c r="AB139" i="8"/>
  <c r="AB131" i="8"/>
  <c r="AA131" i="8"/>
  <c r="AA123" i="8"/>
  <c r="AB123" i="8"/>
  <c r="AA115" i="8"/>
  <c r="AB115" i="8"/>
  <c r="AA107" i="8"/>
  <c r="AB107" i="8"/>
  <c r="AA99" i="8"/>
  <c r="AB99" i="8"/>
  <c r="AA91" i="8"/>
  <c r="AB91" i="8"/>
  <c r="AA83" i="8"/>
  <c r="AB83" i="8"/>
  <c r="AA75" i="8"/>
  <c r="AB75" i="8"/>
  <c r="AB67" i="8"/>
  <c r="AA67" i="8"/>
  <c r="AA59" i="8"/>
  <c r="AB59" i="8"/>
  <c r="AA51" i="8"/>
  <c r="AB51" i="8"/>
  <c r="AA43" i="8"/>
  <c r="AB43" i="8"/>
  <c r="AA35" i="8"/>
  <c r="AB35" i="8"/>
  <c r="AA27" i="8"/>
  <c r="AB27" i="8"/>
  <c r="AB19" i="8"/>
  <c r="AA19" i="8"/>
  <c r="AA11" i="8"/>
  <c r="AB11" i="8"/>
  <c r="AB9" i="8"/>
  <c r="AA9" i="8"/>
  <c r="C16" i="8"/>
  <c r="E16" i="8"/>
  <c r="D16" i="8"/>
  <c r="F29" i="6"/>
  <c r="H29" i="6" s="1"/>
  <c r="I29" i="6" s="1"/>
  <c r="F31" i="6"/>
  <c r="H31" i="6" s="1"/>
  <c r="I31" i="6" s="1"/>
  <c r="F4" i="6"/>
  <c r="H4" i="6" s="1"/>
  <c r="I4" i="6" s="1"/>
  <c r="K4" i="6" s="1"/>
  <c r="L5" i="6" s="1"/>
  <c r="F16" i="6"/>
  <c r="H16" i="6" s="1"/>
  <c r="I16" i="6" s="1"/>
  <c r="S189" i="7"/>
  <c r="S162" i="7"/>
  <c r="F74" i="6"/>
  <c r="H74" i="6" s="1"/>
  <c r="I74" i="6" s="1"/>
  <c r="F77" i="6"/>
  <c r="H77" i="6" s="1"/>
  <c r="I77" i="6" s="1"/>
  <c r="F67" i="6"/>
  <c r="H67" i="6" s="1"/>
  <c r="I67" i="6" s="1"/>
  <c r="F57" i="6"/>
  <c r="H57" i="6" s="1"/>
  <c r="I57" i="6" s="1"/>
  <c r="F55" i="6"/>
  <c r="H55" i="6" s="1"/>
  <c r="I55" i="6" s="1"/>
  <c r="F54" i="6"/>
  <c r="H54" i="6" s="1"/>
  <c r="I54" i="6" s="1"/>
  <c r="F95" i="6"/>
  <c r="H95" i="6" s="1"/>
  <c r="I95" i="6" s="1"/>
  <c r="F94" i="6"/>
  <c r="H94" i="6" s="1"/>
  <c r="I94" i="6" s="1"/>
  <c r="F33" i="6"/>
  <c r="H33" i="6" s="1"/>
  <c r="I33" i="6" s="1"/>
  <c r="F78" i="6"/>
  <c r="H78" i="6" s="1"/>
  <c r="I78" i="6" s="1"/>
  <c r="F76" i="6"/>
  <c r="H76" i="6" s="1"/>
  <c r="I76" i="6" s="1"/>
  <c r="F36" i="6"/>
  <c r="H36" i="6" s="1"/>
  <c r="I36" i="6" s="1"/>
  <c r="F38" i="6"/>
  <c r="H38" i="6" s="1"/>
  <c r="I38" i="6" s="1"/>
  <c r="F69" i="6"/>
  <c r="H69" i="6" s="1"/>
  <c r="I69" i="6" s="1"/>
  <c r="F73" i="6"/>
  <c r="H73" i="6" s="1"/>
  <c r="I73" i="6" s="1"/>
  <c r="F32" i="6"/>
  <c r="H32" i="6" s="1"/>
  <c r="I32" i="6" s="1"/>
  <c r="F37" i="6"/>
  <c r="H37" i="6" s="1"/>
  <c r="I37" i="6" s="1"/>
  <c r="F72" i="6"/>
  <c r="H72" i="6" s="1"/>
  <c r="I72" i="6" s="1"/>
  <c r="F70" i="6"/>
  <c r="H70" i="6" s="1"/>
  <c r="I70" i="6" s="1"/>
  <c r="F105" i="6"/>
  <c r="H105" i="6" s="1"/>
  <c r="I105" i="6" s="1"/>
  <c r="F35" i="6"/>
  <c r="H35" i="6" s="1"/>
  <c r="I35" i="6" s="1"/>
  <c r="F17" i="6"/>
  <c r="H17" i="6" s="1"/>
  <c r="I17" i="6" s="1"/>
  <c r="F8" i="6"/>
  <c r="H8" i="6" s="1"/>
  <c r="I8" i="6" s="1"/>
  <c r="F6" i="6"/>
  <c r="H6" i="6" s="1"/>
  <c r="I6" i="6" s="1"/>
  <c r="F13" i="6"/>
  <c r="H13" i="6" s="1"/>
  <c r="I13" i="6" s="1"/>
  <c r="F9" i="6"/>
  <c r="H9" i="6" s="1"/>
  <c r="I9" i="6" s="1"/>
  <c r="F12" i="6"/>
  <c r="H12" i="6" s="1"/>
  <c r="I12" i="6" s="1"/>
  <c r="F11" i="6"/>
  <c r="H11" i="6" s="1"/>
  <c r="I11" i="6" s="1"/>
  <c r="F10" i="6"/>
  <c r="H10" i="6" s="1"/>
  <c r="I10" i="6" s="1"/>
  <c r="F51" i="6"/>
  <c r="H51" i="6" s="1"/>
  <c r="I51" i="6" s="1"/>
  <c r="F52" i="6"/>
  <c r="H52" i="6" s="1"/>
  <c r="I52" i="6" s="1"/>
  <c r="F53" i="6"/>
  <c r="H53" i="6" s="1"/>
  <c r="I53" i="6" s="1"/>
  <c r="F50" i="6"/>
  <c r="H50" i="6" s="1"/>
  <c r="I50" i="6" s="1"/>
  <c r="F49" i="6"/>
  <c r="H49" i="6" s="1"/>
  <c r="I49" i="6" s="1"/>
  <c r="F84" i="6"/>
  <c r="H84" i="6" s="1"/>
  <c r="I84" i="6" s="1"/>
  <c r="F87" i="6"/>
  <c r="H87" i="6" s="1"/>
  <c r="I87" i="6" s="1"/>
  <c r="F85" i="6"/>
  <c r="H85" i="6" s="1"/>
  <c r="I85" i="6" s="1"/>
  <c r="F92" i="6"/>
  <c r="H92" i="6" s="1"/>
  <c r="I92" i="6" s="1"/>
  <c r="F93" i="6"/>
  <c r="H93" i="6" s="1"/>
  <c r="I93" i="6" s="1"/>
  <c r="F91" i="6"/>
  <c r="H91" i="6" s="1"/>
  <c r="I91" i="6" s="1"/>
  <c r="F89" i="6"/>
  <c r="H89" i="6" s="1"/>
  <c r="I89" i="6" s="1"/>
  <c r="F90" i="6"/>
  <c r="H90" i="6" s="1"/>
  <c r="I90" i="6" s="1"/>
  <c r="F42" i="6"/>
  <c r="H42" i="6" s="1"/>
  <c r="I42" i="6" s="1"/>
  <c r="F43" i="6"/>
  <c r="H43" i="6" s="1"/>
  <c r="I43" i="6" s="1"/>
  <c r="F41" i="6"/>
  <c r="H41" i="6" s="1"/>
  <c r="I41" i="6" s="1"/>
  <c r="F45" i="6"/>
  <c r="H45" i="6" s="1"/>
  <c r="I45" i="6" s="1"/>
  <c r="F44" i="6"/>
  <c r="H44" i="6" s="1"/>
  <c r="I44" i="6" s="1"/>
  <c r="F97" i="6"/>
  <c r="H97" i="6" s="1"/>
  <c r="I97" i="6" s="1"/>
  <c r="F108" i="6"/>
  <c r="H108" i="6" s="1"/>
  <c r="I108" i="6" s="1"/>
  <c r="F28" i="6"/>
  <c r="H28" i="6" s="1"/>
  <c r="I28" i="6" s="1"/>
  <c r="F110" i="6"/>
  <c r="H110" i="6" s="1"/>
  <c r="I110" i="6" s="1"/>
  <c r="F27" i="6"/>
  <c r="H27" i="6" s="1"/>
  <c r="I27" i="6" s="1"/>
  <c r="F66" i="6"/>
  <c r="H66" i="6" s="1"/>
  <c r="I66" i="6" s="1"/>
  <c r="F109" i="6"/>
  <c r="H109" i="6" s="1"/>
  <c r="I109" i="6" s="1"/>
  <c r="F14" i="6"/>
  <c r="H14" i="6" s="1"/>
  <c r="I14" i="6" s="1"/>
  <c r="F26" i="6"/>
  <c r="H26" i="6" s="1"/>
  <c r="I26" i="6" s="1"/>
  <c r="F65" i="6"/>
  <c r="H65" i="6" s="1"/>
  <c r="I65" i="6" s="1"/>
  <c r="F107" i="6"/>
  <c r="H107" i="6" s="1"/>
  <c r="I107" i="6" s="1"/>
  <c r="F25" i="6"/>
  <c r="H25" i="6" s="1"/>
  <c r="I25" i="6" s="1"/>
  <c r="F104" i="6"/>
  <c r="H104" i="6" s="1"/>
  <c r="I104" i="6" s="1"/>
  <c r="F15" i="6"/>
  <c r="H15" i="6" s="1"/>
  <c r="I15" i="6" s="1"/>
  <c r="F64" i="6"/>
  <c r="H64" i="6" s="1"/>
  <c r="I64" i="6" s="1"/>
  <c r="F112" i="6"/>
  <c r="H112" i="6" s="1"/>
  <c r="I112" i="6" s="1"/>
  <c r="F106" i="6"/>
  <c r="H106" i="6" s="1"/>
  <c r="I106" i="6" s="1"/>
  <c r="F102" i="6"/>
  <c r="H102" i="6" s="1"/>
  <c r="I102" i="6" s="1"/>
  <c r="F100" i="6"/>
  <c r="H100" i="6" s="1"/>
  <c r="I100" i="6" s="1"/>
  <c r="F99" i="6"/>
  <c r="H99" i="6" s="1"/>
  <c r="I99" i="6" s="1"/>
  <c r="F103" i="6"/>
  <c r="H103" i="6" s="1"/>
  <c r="I103" i="6" s="1"/>
  <c r="F101" i="6"/>
  <c r="H101" i="6" s="1"/>
  <c r="I101" i="6" s="1"/>
  <c r="F22" i="6"/>
  <c r="H22" i="6" s="1"/>
  <c r="I22" i="6" s="1"/>
  <c r="F20" i="6"/>
  <c r="H20" i="6" s="1"/>
  <c r="I20" i="6" s="1"/>
  <c r="F19" i="6"/>
  <c r="H19" i="6" s="1"/>
  <c r="I19" i="6" s="1"/>
  <c r="F23" i="6"/>
  <c r="H23" i="6" s="1"/>
  <c r="I23" i="6" s="1"/>
  <c r="F21" i="6"/>
  <c r="H21" i="6" s="1"/>
  <c r="I21" i="6" s="1"/>
  <c r="F62" i="6"/>
  <c r="H62" i="6" s="1"/>
  <c r="I62" i="6" s="1"/>
  <c r="F60" i="6"/>
  <c r="H60" i="6" s="1"/>
  <c r="I60" i="6" s="1"/>
  <c r="F59" i="6"/>
  <c r="H59" i="6" s="1"/>
  <c r="I59" i="6" s="1"/>
  <c r="F61" i="6"/>
  <c r="H61" i="6" s="1"/>
  <c r="I61" i="6" s="1"/>
  <c r="F63" i="6"/>
  <c r="H63" i="6" s="1"/>
  <c r="I63" i="6" s="1"/>
  <c r="F82" i="6"/>
  <c r="H82" i="6" s="1"/>
  <c r="I82" i="6" s="1"/>
  <c r="F80" i="6"/>
  <c r="H80" i="6" s="1"/>
  <c r="I80" i="6" s="1"/>
  <c r="F79" i="6"/>
  <c r="H79" i="6" s="1"/>
  <c r="I79" i="6" s="1"/>
  <c r="F81" i="6"/>
  <c r="H81" i="6" s="1"/>
  <c r="I81" i="6" s="1"/>
  <c r="F83" i="6"/>
  <c r="H83" i="6" s="1"/>
  <c r="I83" i="6" s="1"/>
  <c r="F47" i="6"/>
  <c r="H47" i="6" s="1"/>
  <c r="I47" i="6" s="1"/>
  <c r="F88" i="6"/>
  <c r="H88" i="6" s="1"/>
  <c r="I88" i="6" s="1"/>
  <c r="F86" i="6"/>
  <c r="H86" i="6" s="1"/>
  <c r="I86" i="6" s="1"/>
  <c r="F48" i="6"/>
  <c r="H48" i="6" s="1"/>
  <c r="I48" i="6" s="1"/>
  <c r="F46" i="6"/>
  <c r="H46" i="6" s="1"/>
  <c r="I46" i="6" s="1"/>
  <c r="F5" i="6"/>
  <c r="H5" i="6" s="1"/>
  <c r="I5" i="6" s="1"/>
  <c r="F7" i="6"/>
  <c r="H7" i="6" s="1"/>
  <c r="I7" i="6" s="1"/>
  <c r="F96" i="6"/>
  <c r="H96" i="6" s="1"/>
  <c r="I96" i="6" s="1"/>
  <c r="F98" i="6"/>
  <c r="H98" i="6" s="1"/>
  <c r="I98" i="6" s="1"/>
  <c r="F56" i="6"/>
  <c r="H56" i="6" s="1"/>
  <c r="I56" i="6" s="1"/>
  <c r="F58" i="6"/>
  <c r="H58" i="6" s="1"/>
  <c r="I58" i="6" s="1"/>
  <c r="F18" i="6"/>
  <c r="H18" i="6" s="1"/>
  <c r="I18" i="6" s="1"/>
  <c r="F39" i="6"/>
  <c r="H39" i="6" s="1"/>
  <c r="I39" i="6" s="1"/>
  <c r="F40" i="6"/>
  <c r="H40" i="6" s="1"/>
  <c r="I40" i="6" s="1"/>
  <c r="AH158" i="3"/>
  <c r="AJ158" i="3" s="1"/>
  <c r="AH65" i="3"/>
  <c r="AJ65" i="3" s="1"/>
  <c r="AH62" i="3"/>
  <c r="AJ62" i="3" s="1"/>
  <c r="AH50" i="3"/>
  <c r="AJ50" i="3" s="1"/>
  <c r="AH41" i="3"/>
  <c r="AJ41" i="3" s="1"/>
  <c r="AH36" i="3"/>
  <c r="AJ36" i="3" s="1"/>
  <c r="AH34" i="3"/>
  <c r="AJ34" i="3" s="1"/>
  <c r="AH33" i="3"/>
  <c r="AJ33" i="3" s="1"/>
  <c r="AH18" i="3"/>
  <c r="AJ18" i="3" s="1"/>
  <c r="AH52" i="3"/>
  <c r="AJ52" i="3" s="1"/>
  <c r="AH82" i="3"/>
  <c r="AJ82" i="3" s="1"/>
  <c r="AH195" i="3"/>
  <c r="AJ195" i="3" s="1"/>
  <c r="AH193" i="3"/>
  <c r="AJ193" i="3" s="1"/>
  <c r="AH192" i="3"/>
  <c r="AJ192" i="3" s="1"/>
  <c r="AH184" i="3"/>
  <c r="AJ184" i="3" s="1"/>
  <c r="AH180" i="3"/>
  <c r="AJ180" i="3" s="1"/>
  <c r="AH178" i="3"/>
  <c r="AJ178" i="3" s="1"/>
  <c r="AH175" i="3"/>
  <c r="AJ175" i="3" s="1"/>
  <c r="AH169" i="3"/>
  <c r="AJ169" i="3" s="1"/>
  <c r="AH167" i="3"/>
  <c r="AJ167" i="3" s="1"/>
  <c r="AH164" i="3"/>
  <c r="AJ164" i="3" s="1"/>
  <c r="AH162" i="3"/>
  <c r="AJ162" i="3" s="1"/>
  <c r="AH153" i="3"/>
  <c r="AJ153" i="3" s="1"/>
  <c r="AH132" i="3"/>
  <c r="AJ132" i="3" s="1"/>
  <c r="AH130" i="3"/>
  <c r="AJ130" i="3" s="1"/>
  <c r="AH126" i="3"/>
  <c r="AJ126" i="3" s="1"/>
  <c r="AH116" i="3"/>
  <c r="AJ116" i="3" s="1"/>
  <c r="AH81" i="3"/>
  <c r="AJ81" i="3" s="1"/>
  <c r="AH146" i="3"/>
  <c r="AJ146" i="3" s="1"/>
  <c r="AH137" i="3"/>
  <c r="AJ137" i="3" s="1"/>
  <c r="AH190" i="3"/>
  <c r="AJ190" i="3" s="1"/>
  <c r="AH187" i="3"/>
  <c r="AJ187" i="3" s="1"/>
  <c r="AH186" i="3"/>
  <c r="AJ186" i="3" s="1"/>
  <c r="AH31" i="3"/>
  <c r="AJ31" i="3" s="1"/>
  <c r="AH20" i="3"/>
  <c r="AJ20" i="3" s="1"/>
  <c r="AH8" i="3"/>
  <c r="AJ8" i="3" s="1"/>
  <c r="AH194" i="3"/>
  <c r="AJ194" i="3" s="1"/>
  <c r="AH84" i="3"/>
  <c r="AJ84" i="3" s="1"/>
  <c r="AH148" i="3"/>
  <c r="AJ148" i="3" s="1"/>
  <c r="AH135" i="3"/>
  <c r="AJ135" i="3" s="1"/>
  <c r="AH128" i="3"/>
  <c r="AJ128" i="3" s="1"/>
  <c r="AH119" i="3"/>
  <c r="AJ119" i="3" s="1"/>
  <c r="AH114" i="3"/>
  <c r="AJ114" i="3" s="1"/>
  <c r="AH100" i="3"/>
  <c r="AJ100" i="3" s="1"/>
  <c r="AH98" i="3"/>
  <c r="AJ98" i="3" s="1"/>
  <c r="AH78" i="3"/>
  <c r="AJ78" i="3" s="1"/>
  <c r="AH73" i="3"/>
  <c r="AJ73" i="3" s="1"/>
  <c r="AH68" i="3"/>
  <c r="AJ68" i="3" s="1"/>
  <c r="AH66" i="3"/>
  <c r="AJ66" i="3" s="1"/>
  <c r="AH149" i="3"/>
  <c r="AJ149" i="3" s="1"/>
  <c r="AH86" i="3"/>
  <c r="AJ86" i="3" s="1"/>
  <c r="AH85" i="3"/>
  <c r="AJ85" i="3" s="1"/>
  <c r="AH22" i="3"/>
  <c r="AJ22" i="3" s="1"/>
  <c r="AH21" i="3"/>
  <c r="AJ21" i="3" s="1"/>
  <c r="AH188" i="3"/>
  <c r="AJ188" i="3" s="1"/>
  <c r="AH185" i="3"/>
  <c r="AJ185" i="3" s="1"/>
  <c r="AH160" i="3"/>
  <c r="AJ160" i="3" s="1"/>
  <c r="AH159" i="3"/>
  <c r="AJ159" i="3" s="1"/>
  <c r="AH134" i="3"/>
  <c r="AJ134" i="3" s="1"/>
  <c r="AH131" i="3"/>
  <c r="AJ131" i="3" s="1"/>
  <c r="AH71" i="3"/>
  <c r="AJ71" i="3" s="1"/>
  <c r="AH70" i="3"/>
  <c r="AJ70" i="3" s="1"/>
  <c r="AH67" i="3"/>
  <c r="AJ67" i="3" s="1"/>
  <c r="AH189" i="3"/>
  <c r="AJ189" i="3" s="1"/>
  <c r="AH163" i="3"/>
  <c r="AJ163" i="3" s="1"/>
  <c r="AH142" i="3"/>
  <c r="AJ142" i="3" s="1"/>
  <c r="AH139" i="3"/>
  <c r="AJ139" i="3" s="1"/>
  <c r="AH97" i="3"/>
  <c r="AJ97" i="3" s="1"/>
  <c r="AH75" i="3"/>
  <c r="AJ75" i="3" s="1"/>
  <c r="AH37" i="3"/>
  <c r="AJ37" i="3" s="1"/>
  <c r="AH11" i="3"/>
  <c r="AJ11" i="3" s="1"/>
  <c r="AH176" i="3"/>
  <c r="AJ176" i="3" s="1"/>
  <c r="AH170" i="3"/>
  <c r="AJ170" i="3" s="1"/>
  <c r="AH161" i="3"/>
  <c r="AH152" i="3"/>
  <c r="AJ152" i="3" s="1"/>
  <c r="AH147" i="3"/>
  <c r="AJ147" i="3" s="1"/>
  <c r="AH144" i="3"/>
  <c r="AJ144" i="3" s="1"/>
  <c r="AH136" i="3"/>
  <c r="AJ136" i="3" s="1"/>
  <c r="AH110" i="3"/>
  <c r="AJ110" i="3" s="1"/>
  <c r="AH105" i="3"/>
  <c r="AJ105" i="3" s="1"/>
  <c r="AH183" i="3"/>
  <c r="AJ183" i="3" s="1"/>
  <c r="AH182" i="3"/>
  <c r="AJ182" i="3" s="1"/>
  <c r="AH181" i="3"/>
  <c r="AJ181" i="3" s="1"/>
  <c r="AH179" i="3"/>
  <c r="AJ179" i="3" s="1"/>
  <c r="AH177" i="3"/>
  <c r="AJ177" i="3" s="1"/>
  <c r="AH173" i="3"/>
  <c r="AJ173" i="3" s="1"/>
  <c r="AH172" i="3"/>
  <c r="AJ172" i="3" s="1"/>
  <c r="AH157" i="3"/>
  <c r="AJ157" i="3" s="1"/>
  <c r="AH156" i="3"/>
  <c r="AJ156" i="3" s="1"/>
  <c r="AH155" i="3"/>
  <c r="AJ155" i="3" s="1"/>
  <c r="AH154" i="3"/>
  <c r="AJ154" i="3" s="1"/>
  <c r="AH151" i="3"/>
  <c r="AJ151" i="3" s="1"/>
  <c r="AH141" i="3"/>
  <c r="AJ141" i="3" s="1"/>
  <c r="AH120" i="3"/>
  <c r="AJ120" i="3" s="1"/>
  <c r="AH117" i="3"/>
  <c r="AJ117" i="3" s="1"/>
  <c r="AH115" i="3"/>
  <c r="AJ115" i="3" s="1"/>
  <c r="AH113" i="3"/>
  <c r="AJ113" i="3" s="1"/>
  <c r="AH112" i="3"/>
  <c r="AJ112" i="3" s="1"/>
  <c r="AH109" i="3"/>
  <c r="AJ109" i="3" s="1"/>
  <c r="AH96" i="3"/>
  <c r="AJ96" i="3" s="1"/>
  <c r="AH95" i="3"/>
  <c r="AJ95" i="3" s="1"/>
  <c r="AH94" i="3"/>
  <c r="AJ94" i="3" s="1"/>
  <c r="AH92" i="3"/>
  <c r="AJ92" i="3" s="1"/>
  <c r="AH91" i="3"/>
  <c r="AJ91" i="3" s="1"/>
  <c r="AH90" i="3"/>
  <c r="AJ90" i="3" s="1"/>
  <c r="AH89" i="3"/>
  <c r="AJ89" i="3" s="1"/>
  <c r="AH88" i="3"/>
  <c r="AJ88" i="3" s="1"/>
  <c r="AH80" i="3"/>
  <c r="AJ80" i="3" s="1"/>
  <c r="AH72" i="3"/>
  <c r="AJ72" i="3" s="1"/>
  <c r="AH55" i="3"/>
  <c r="AJ55" i="3" s="1"/>
  <c r="AH53" i="3"/>
  <c r="AJ53" i="3" s="1"/>
  <c r="AH51" i="3"/>
  <c r="AJ51" i="3" s="1"/>
  <c r="AH49" i="3"/>
  <c r="AJ49" i="3" s="1"/>
  <c r="AH30" i="3"/>
  <c r="AJ30" i="3" s="1"/>
  <c r="AH28" i="3"/>
  <c r="AJ28" i="3" s="1"/>
  <c r="AH27" i="3"/>
  <c r="AJ27" i="3" s="1"/>
  <c r="AH26" i="3"/>
  <c r="AJ26" i="3" s="1"/>
  <c r="AH25" i="3"/>
  <c r="AJ25" i="3" s="1"/>
  <c r="AH191" i="3"/>
  <c r="AJ191" i="3" s="1"/>
  <c r="AH166" i="3"/>
  <c r="AJ166" i="3" s="1"/>
  <c r="AH138" i="3"/>
  <c r="AJ138" i="3" s="1"/>
  <c r="AH74" i="3"/>
  <c r="AJ74" i="3" s="1"/>
  <c r="AH171" i="3"/>
  <c r="AJ171" i="3" s="1"/>
  <c r="AH150" i="3"/>
  <c r="AJ150" i="3" s="1"/>
  <c r="AH129" i="3"/>
  <c r="AJ129" i="3" s="1"/>
  <c r="AH111" i="3"/>
  <c r="AJ111" i="3" s="1"/>
  <c r="AH107" i="3"/>
  <c r="AJ107" i="3" s="1"/>
  <c r="AH23" i="3"/>
  <c r="AJ23" i="3" s="1"/>
  <c r="AH127" i="3"/>
  <c r="AJ127" i="3" s="1"/>
  <c r="AH125" i="3"/>
  <c r="AJ125" i="3" s="1"/>
  <c r="AH124" i="3"/>
  <c r="AJ124" i="3" s="1"/>
  <c r="AH123" i="3"/>
  <c r="AJ123" i="3" s="1"/>
  <c r="AH122" i="3"/>
  <c r="AJ122" i="3" s="1"/>
  <c r="AH121" i="3"/>
  <c r="AJ121" i="3" s="1"/>
  <c r="AH118" i="3"/>
  <c r="AJ118" i="3" s="1"/>
  <c r="AH99" i="3"/>
  <c r="AJ99" i="3" s="1"/>
  <c r="AH93" i="3"/>
  <c r="AJ93" i="3" s="1"/>
  <c r="AH87" i="3"/>
  <c r="AJ87" i="3" s="1"/>
  <c r="AH77" i="3"/>
  <c r="AJ77" i="3" s="1"/>
  <c r="AH64" i="3"/>
  <c r="AJ64" i="3" s="1"/>
  <c r="AH63" i="3"/>
  <c r="AJ63" i="3" s="1"/>
  <c r="AH60" i="3"/>
  <c r="AJ60" i="3" s="1"/>
  <c r="AH59" i="3"/>
  <c r="AJ59" i="3" s="1"/>
  <c r="AH58" i="3"/>
  <c r="AJ58" i="3" s="1"/>
  <c r="AH57" i="3"/>
  <c r="AJ57" i="3" s="1"/>
  <c r="AH56" i="3"/>
  <c r="AJ56" i="3" s="1"/>
  <c r="AH54" i="3"/>
  <c r="AJ54" i="3" s="1"/>
  <c r="AH40" i="3"/>
  <c r="AJ40" i="3" s="1"/>
  <c r="AH39" i="3"/>
  <c r="AJ39" i="3" s="1"/>
  <c r="AH38" i="3"/>
  <c r="AJ38" i="3" s="1"/>
  <c r="AH35" i="3"/>
  <c r="AJ35" i="3" s="1"/>
  <c r="AH32" i="3"/>
  <c r="AJ32" i="3" s="1"/>
  <c r="AH24" i="3"/>
  <c r="AJ24" i="3" s="1"/>
  <c r="AH16" i="3"/>
  <c r="AJ16" i="3" s="1"/>
  <c r="AH13" i="3"/>
  <c r="AJ13" i="3" s="1"/>
  <c r="AH165" i="3"/>
  <c r="AJ165" i="3" s="1"/>
  <c r="AH143" i="3"/>
  <c r="AJ143" i="3" s="1"/>
  <c r="AH140" i="3"/>
  <c r="AJ140" i="3" s="1"/>
  <c r="AH79" i="3"/>
  <c r="AJ79" i="3" s="1"/>
  <c r="AH76" i="3"/>
  <c r="AJ76" i="3" s="1"/>
  <c r="AH10" i="3"/>
  <c r="AJ10" i="3" s="1"/>
  <c r="AH174" i="3"/>
  <c r="AJ174" i="3" s="1"/>
  <c r="AH168" i="3"/>
  <c r="AJ168" i="3" s="1"/>
  <c r="AH145" i="3"/>
  <c r="AJ145" i="3" s="1"/>
  <c r="AH108" i="3"/>
  <c r="AJ108" i="3" s="1"/>
  <c r="AH106" i="3"/>
  <c r="AJ106" i="3" s="1"/>
  <c r="AH83" i="3"/>
  <c r="AJ83" i="3" s="1"/>
  <c r="AH48" i="3"/>
  <c r="AJ48" i="3" s="1"/>
  <c r="AH19" i="3"/>
  <c r="AJ19" i="3" s="1"/>
  <c r="AH9" i="3"/>
  <c r="AJ9" i="3" s="1"/>
  <c r="AH133" i="3"/>
  <c r="AJ133" i="3" s="1"/>
  <c r="AH69" i="3"/>
  <c r="AJ69" i="3" s="1"/>
  <c r="AH61" i="3"/>
  <c r="AJ61" i="3" s="1"/>
  <c r="AH47" i="3"/>
  <c r="AJ47" i="3" s="1"/>
  <c r="AH46" i="3"/>
  <c r="AJ46" i="3" s="1"/>
  <c r="AH45" i="3"/>
  <c r="AJ45" i="3" s="1"/>
  <c r="AH44" i="3"/>
  <c r="AJ44" i="3" s="1"/>
  <c r="AH43" i="3"/>
  <c r="AJ43" i="3" s="1"/>
  <c r="AH42" i="3"/>
  <c r="AJ42" i="3" s="1"/>
  <c r="AH29" i="3"/>
  <c r="AJ29" i="3" s="1"/>
  <c r="C864" i="31" l="1"/>
  <c r="C865" i="31"/>
  <c r="C854" i="31"/>
  <c r="C846" i="31"/>
  <c r="Q686" i="14"/>
  <c r="E718" i="7"/>
  <c r="F645" i="17"/>
  <c r="F645" i="31" s="1"/>
  <c r="F672" i="17"/>
  <c r="F699" i="17"/>
  <c r="D713" i="7"/>
  <c r="P681" i="14"/>
  <c r="E640" i="17"/>
  <c r="E640" i="31" s="1"/>
  <c r="E667" i="17"/>
  <c r="E694" i="17"/>
  <c r="Q690" i="14"/>
  <c r="E722" i="7"/>
  <c r="F649" i="17"/>
  <c r="F649" i="31" s="1"/>
  <c r="F703" i="17"/>
  <c r="F703" i="31" s="1"/>
  <c r="F676" i="17"/>
  <c r="F676" i="31" s="1"/>
  <c r="P675" i="14"/>
  <c r="D707" i="7"/>
  <c r="E634" i="17"/>
  <c r="E634" i="31" s="1"/>
  <c r="E688" i="17"/>
  <c r="E688" i="31" s="1"/>
  <c r="E661" i="17"/>
  <c r="E661" i="31" s="1"/>
  <c r="P683" i="14"/>
  <c r="D715" i="7"/>
  <c r="E642" i="17"/>
  <c r="E642" i="31" s="1"/>
  <c r="E696" i="17"/>
  <c r="E696" i="31" s="1"/>
  <c r="E669" i="17"/>
  <c r="E669" i="31" s="1"/>
  <c r="Q691" i="14"/>
  <c r="F650" i="17"/>
  <c r="F650" i="31" s="1"/>
  <c r="E723" i="7"/>
  <c r="F704" i="17"/>
  <c r="F704" i="31" s="1"/>
  <c r="F677" i="17"/>
  <c r="F677" i="31" s="1"/>
  <c r="D709" i="7"/>
  <c r="P677" i="14"/>
  <c r="E636" i="17"/>
  <c r="E636" i="31" s="1"/>
  <c r="E663" i="17"/>
  <c r="E690" i="17"/>
  <c r="P680" i="14"/>
  <c r="D712" i="7"/>
  <c r="E639" i="17"/>
  <c r="E639" i="31" s="1"/>
  <c r="E693" i="17"/>
  <c r="E666" i="17"/>
  <c r="D719" i="7"/>
  <c r="P687" i="14"/>
  <c r="E646" i="17"/>
  <c r="E646" i="31" s="1"/>
  <c r="E673" i="17"/>
  <c r="E673" i="31" s="1"/>
  <c r="E700" i="17"/>
  <c r="E700" i="31" s="1"/>
  <c r="P670" i="14"/>
  <c r="D702" i="7"/>
  <c r="E629" i="17"/>
  <c r="E629" i="31" s="1"/>
  <c r="E656" i="17"/>
  <c r="E656" i="31" s="1"/>
  <c r="E683" i="17"/>
  <c r="E683" i="31" s="1"/>
  <c r="E706" i="7"/>
  <c r="Q674" i="14"/>
  <c r="F633" i="17"/>
  <c r="F633" i="31" s="1"/>
  <c r="F660" i="17"/>
  <c r="F660" i="31" s="1"/>
  <c r="F687" i="17"/>
  <c r="F687" i="31" s="1"/>
  <c r="D710" i="7"/>
  <c r="P678" i="14"/>
  <c r="E637" i="17"/>
  <c r="E637" i="31" s="1"/>
  <c r="E691" i="17"/>
  <c r="E691" i="31" s="1"/>
  <c r="E664" i="17"/>
  <c r="E664" i="31" s="1"/>
  <c r="Q675" i="14"/>
  <c r="E707" i="7"/>
  <c r="F707" i="7" s="1"/>
  <c r="F634" i="17"/>
  <c r="F634" i="31" s="1"/>
  <c r="F688" i="17"/>
  <c r="F688" i="31" s="1"/>
  <c r="F661" i="17"/>
  <c r="F661" i="31" s="1"/>
  <c r="E715" i="7"/>
  <c r="F715" i="7" s="1"/>
  <c r="Q683" i="14"/>
  <c r="F642" i="17"/>
  <c r="F642" i="31" s="1"/>
  <c r="F696" i="17"/>
  <c r="F696" i="31" s="1"/>
  <c r="F669" i="17"/>
  <c r="F669" i="31" s="1"/>
  <c r="P679" i="14"/>
  <c r="D711" i="7"/>
  <c r="E638" i="17"/>
  <c r="E638" i="31" s="1"/>
  <c r="E692" i="17"/>
  <c r="E692" i="31" s="1"/>
  <c r="E665" i="17"/>
  <c r="E665" i="31" s="1"/>
  <c r="D704" i="7"/>
  <c r="P672" i="14"/>
  <c r="E631" i="17"/>
  <c r="E631" i="31" s="1"/>
  <c r="E658" i="17"/>
  <c r="E658" i="31" s="1"/>
  <c r="E685" i="17"/>
  <c r="E685" i="31" s="1"/>
  <c r="D723" i="7"/>
  <c r="P691" i="14"/>
  <c r="E650" i="17"/>
  <c r="E650" i="31" s="1"/>
  <c r="E677" i="17"/>
  <c r="E677" i="31" s="1"/>
  <c r="E704" i="17"/>
  <c r="E704" i="31" s="1"/>
  <c r="Q685" i="14"/>
  <c r="E717" i="7"/>
  <c r="F644" i="17"/>
  <c r="F644" i="31" s="1"/>
  <c r="F698" i="17"/>
  <c r="F671" i="17"/>
  <c r="Q677" i="14"/>
  <c r="E709" i="7"/>
  <c r="F709" i="7" s="1"/>
  <c r="F636" i="17"/>
  <c r="F636" i="31" s="1"/>
  <c r="F690" i="17"/>
  <c r="F663" i="17"/>
  <c r="Q680" i="14"/>
  <c r="E712" i="7"/>
  <c r="F639" i="17"/>
  <c r="F639" i="31" s="1"/>
  <c r="F666" i="17"/>
  <c r="F693" i="17"/>
  <c r="E719" i="7"/>
  <c r="Q687" i="14"/>
  <c r="F646" i="17"/>
  <c r="F646" i="31" s="1"/>
  <c r="F673" i="17"/>
  <c r="F700" i="17"/>
  <c r="E705" i="7"/>
  <c r="Q673" i="14"/>
  <c r="F632" i="17"/>
  <c r="F632" i="31" s="1"/>
  <c r="F686" i="17"/>
  <c r="F686" i="31" s="1"/>
  <c r="F659" i="17"/>
  <c r="F659" i="31" s="1"/>
  <c r="E702" i="7"/>
  <c r="Q670" i="14"/>
  <c r="F629" i="17"/>
  <c r="F629" i="31" s="1"/>
  <c r="F683" i="17"/>
  <c r="F683" i="31" s="1"/>
  <c r="F656" i="17"/>
  <c r="F656" i="31" s="1"/>
  <c r="P674" i="14"/>
  <c r="D706" i="7"/>
  <c r="E633" i="17"/>
  <c r="E633" i="31" s="1"/>
  <c r="E687" i="17"/>
  <c r="E687" i="31" s="1"/>
  <c r="E660" i="17"/>
  <c r="E660" i="31" s="1"/>
  <c r="E710" i="7"/>
  <c r="Q678" i="14"/>
  <c r="F637" i="17"/>
  <c r="F637" i="31" s="1"/>
  <c r="F664" i="17"/>
  <c r="F664" i="31" s="1"/>
  <c r="F691" i="17"/>
  <c r="F691" i="31" s="1"/>
  <c r="E714" i="7"/>
  <c r="Q682" i="14"/>
  <c r="F641" i="17"/>
  <c r="F641" i="31" s="1"/>
  <c r="F695" i="17"/>
  <c r="F668" i="17"/>
  <c r="E711" i="7"/>
  <c r="Q679" i="14"/>
  <c r="F638" i="17"/>
  <c r="F638" i="31" s="1"/>
  <c r="F692" i="17"/>
  <c r="F692" i="31" s="1"/>
  <c r="F665" i="17"/>
  <c r="F665" i="31" s="1"/>
  <c r="Q672" i="14"/>
  <c r="E704" i="7"/>
  <c r="F631" i="17"/>
  <c r="F631" i="31" s="1"/>
  <c r="F658" i="17"/>
  <c r="F658" i="31" s="1"/>
  <c r="F685" i="17"/>
  <c r="F685" i="31" s="1"/>
  <c r="P671" i="14"/>
  <c r="D703" i="7"/>
  <c r="E630" i="17"/>
  <c r="E630" i="31" s="1"/>
  <c r="E684" i="17"/>
  <c r="E684" i="31" s="1"/>
  <c r="E657" i="17"/>
  <c r="E657" i="31" s="1"/>
  <c r="P685" i="14"/>
  <c r="D717" i="7"/>
  <c r="E644" i="17"/>
  <c r="E644" i="31" s="1"/>
  <c r="E698" i="17"/>
  <c r="E698" i="31" s="1"/>
  <c r="E671" i="17"/>
  <c r="E671" i="31" s="1"/>
  <c r="P688" i="14"/>
  <c r="D720" i="7"/>
  <c r="E647" i="17"/>
  <c r="E647" i="31" s="1"/>
  <c r="E701" i="17"/>
  <c r="E701" i="31" s="1"/>
  <c r="E674" i="17"/>
  <c r="E674" i="31" s="1"/>
  <c r="D705" i="7"/>
  <c r="P673" i="14"/>
  <c r="E632" i="17"/>
  <c r="E632" i="31" s="1"/>
  <c r="E686" i="17"/>
  <c r="E686" i="31" s="1"/>
  <c r="E659" i="17"/>
  <c r="E659" i="31" s="1"/>
  <c r="D718" i="7"/>
  <c r="P686" i="14"/>
  <c r="E645" i="17"/>
  <c r="E645" i="31" s="1"/>
  <c r="E672" i="17"/>
  <c r="E699" i="17"/>
  <c r="Q681" i="14"/>
  <c r="E713" i="7"/>
  <c r="F640" i="17"/>
  <c r="F640" i="31" s="1"/>
  <c r="F694" i="17"/>
  <c r="F667" i="17"/>
  <c r="P690" i="14"/>
  <c r="D722" i="7"/>
  <c r="E649" i="17"/>
  <c r="E649" i="31" s="1"/>
  <c r="E676" i="17"/>
  <c r="E676" i="31" s="1"/>
  <c r="E703" i="17"/>
  <c r="E703" i="31" s="1"/>
  <c r="D714" i="7"/>
  <c r="P682" i="14"/>
  <c r="E641" i="17"/>
  <c r="E641" i="31" s="1"/>
  <c r="E668" i="17"/>
  <c r="E695" i="17"/>
  <c r="Q671" i="14"/>
  <c r="E703" i="7"/>
  <c r="F630" i="17"/>
  <c r="F630" i="31" s="1"/>
  <c r="F684" i="17"/>
  <c r="F684" i="31" s="1"/>
  <c r="F657" i="17"/>
  <c r="F657" i="31" s="1"/>
  <c r="E720" i="7"/>
  <c r="Q688" i="14"/>
  <c r="F647" i="17"/>
  <c r="F647" i="31" s="1"/>
  <c r="F701" i="17"/>
  <c r="F674" i="17"/>
  <c r="E682" i="17"/>
  <c r="E682" i="31" s="1"/>
  <c r="E655" i="17"/>
  <c r="E655" i="31" s="1"/>
  <c r="D701" i="7"/>
  <c r="P669" i="14"/>
  <c r="E628" i="17"/>
  <c r="E628" i="31" s="1"/>
  <c r="F682" i="17"/>
  <c r="F682" i="31" s="1"/>
  <c r="F655" i="17"/>
  <c r="F655" i="31" s="1"/>
  <c r="F628" i="17"/>
  <c r="F628" i="31" s="1"/>
  <c r="E701" i="7"/>
  <c r="Q669" i="14"/>
  <c r="AC23" i="29"/>
  <c r="AC81" i="29" s="1"/>
  <c r="M23" i="29"/>
  <c r="M47" i="29"/>
  <c r="AC19" i="29"/>
  <c r="AC77" i="29" s="1"/>
  <c r="M19" i="29"/>
  <c r="AC18" i="29"/>
  <c r="AC76" i="29" s="1"/>
  <c r="M18" i="29"/>
  <c r="M48" i="29"/>
  <c r="M52" i="29"/>
  <c r="M80" i="29"/>
  <c r="M78" i="29"/>
  <c r="M79" i="29"/>
  <c r="AC18" i="23"/>
  <c r="M18" i="23"/>
  <c r="AC39" i="23"/>
  <c r="M39" i="23"/>
  <c r="AC48" i="4"/>
  <c r="M48" i="4"/>
  <c r="M77" i="4" s="1"/>
  <c r="C78" i="23"/>
  <c r="AC19" i="23"/>
  <c r="M19" i="23"/>
  <c r="M25" i="23"/>
  <c r="M83" i="23" s="1"/>
  <c r="AC25" i="23"/>
  <c r="AC83" i="23" s="1"/>
  <c r="AC23" i="23"/>
  <c r="M23" i="23"/>
  <c r="M40" i="23"/>
  <c r="AC40" i="23"/>
  <c r="AC47" i="4"/>
  <c r="M47" i="4"/>
  <c r="M76" i="4" s="1"/>
  <c r="AC48" i="23"/>
  <c r="M48" i="23"/>
  <c r="AC52" i="4"/>
  <c r="M52" i="4"/>
  <c r="M81" i="4" s="1"/>
  <c r="AC52" i="23"/>
  <c r="M52" i="23"/>
  <c r="AC47" i="23"/>
  <c r="M47" i="23"/>
  <c r="M19" i="24"/>
  <c r="M52" i="24"/>
  <c r="AC77" i="24"/>
  <c r="M48" i="24"/>
  <c r="M23" i="24"/>
  <c r="M18" i="24"/>
  <c r="AC76" i="24"/>
  <c r="M47" i="24"/>
  <c r="J19" i="23"/>
  <c r="O19" i="23"/>
  <c r="K19" i="23"/>
  <c r="C77" i="4"/>
  <c r="F23" i="24"/>
  <c r="H23" i="24"/>
  <c r="G23" i="24"/>
  <c r="K23" i="24"/>
  <c r="O23" i="24"/>
  <c r="S23" i="24"/>
  <c r="J23" i="24"/>
  <c r="H18" i="23"/>
  <c r="F18" i="23"/>
  <c r="G18" i="23"/>
  <c r="O47" i="24"/>
  <c r="S47" i="24"/>
  <c r="K47" i="24"/>
  <c r="J47" i="24"/>
  <c r="H48" i="23"/>
  <c r="G48" i="23"/>
  <c r="F48" i="23"/>
  <c r="F19" i="23"/>
  <c r="H19" i="23"/>
  <c r="G19" i="23"/>
  <c r="J23" i="23"/>
  <c r="O23" i="23"/>
  <c r="K23" i="23"/>
  <c r="F54" i="23"/>
  <c r="H54" i="23"/>
  <c r="G54" i="23"/>
  <c r="C83" i="23"/>
  <c r="H47" i="29"/>
  <c r="O47" i="4"/>
  <c r="D76" i="4"/>
  <c r="K47" i="4"/>
  <c r="J47" i="4"/>
  <c r="F47" i="29"/>
  <c r="L47" i="29" s="1"/>
  <c r="G47" i="29"/>
  <c r="C76" i="29"/>
  <c r="E47" i="29"/>
  <c r="Y47" i="29" s="1"/>
  <c r="J19" i="4"/>
  <c r="K19" i="4"/>
  <c r="O19" i="4"/>
  <c r="F19" i="24"/>
  <c r="H19" i="24"/>
  <c r="G19" i="24"/>
  <c r="O52" i="23"/>
  <c r="S52" i="23"/>
  <c r="K52" i="23"/>
  <c r="D81" i="23"/>
  <c r="J52" i="23"/>
  <c r="K23" i="4"/>
  <c r="O23" i="4"/>
  <c r="J23" i="4"/>
  <c r="H47" i="23"/>
  <c r="G47" i="23"/>
  <c r="F47" i="23"/>
  <c r="G18" i="29"/>
  <c r="H18" i="29"/>
  <c r="E18" i="29"/>
  <c r="Y18" i="29" s="1"/>
  <c r="F18" i="29"/>
  <c r="J48" i="24"/>
  <c r="O48" i="24"/>
  <c r="S48" i="24"/>
  <c r="K48" i="24"/>
  <c r="H48" i="24"/>
  <c r="G48" i="24"/>
  <c r="F48" i="24"/>
  <c r="F52" i="24"/>
  <c r="H52" i="24"/>
  <c r="G52" i="24"/>
  <c r="S52" i="24"/>
  <c r="O52" i="24"/>
  <c r="K52" i="24"/>
  <c r="J52" i="24"/>
  <c r="G47" i="24"/>
  <c r="H47" i="24"/>
  <c r="F47" i="24"/>
  <c r="K18" i="29"/>
  <c r="O18" i="29"/>
  <c r="J18" i="29"/>
  <c r="J48" i="29"/>
  <c r="D77" i="29"/>
  <c r="O48" i="29"/>
  <c r="K48" i="29"/>
  <c r="H23" i="23"/>
  <c r="F23" i="23"/>
  <c r="G23" i="23"/>
  <c r="G52" i="29"/>
  <c r="F52" i="29"/>
  <c r="L52" i="29" s="1"/>
  <c r="C81" i="29"/>
  <c r="E52" i="29"/>
  <c r="Y52" i="29" s="1"/>
  <c r="O47" i="23"/>
  <c r="S47" i="23"/>
  <c r="K47" i="23"/>
  <c r="D76" i="23"/>
  <c r="J47" i="23"/>
  <c r="D76" i="29"/>
  <c r="K47" i="29"/>
  <c r="O47" i="29"/>
  <c r="J47" i="29"/>
  <c r="O48" i="23"/>
  <c r="D77" i="23"/>
  <c r="S48" i="23"/>
  <c r="K48" i="23"/>
  <c r="J48" i="23"/>
  <c r="H19" i="29"/>
  <c r="J19" i="29"/>
  <c r="K19" i="29"/>
  <c r="O19" i="29"/>
  <c r="O25" i="23"/>
  <c r="O83" i="23" s="1"/>
  <c r="S25" i="23"/>
  <c r="S83" i="23" s="1"/>
  <c r="D83" i="23"/>
  <c r="J25" i="23"/>
  <c r="J83" i="23" s="1"/>
  <c r="K25" i="23"/>
  <c r="K83" i="23" s="1"/>
  <c r="F52" i="23"/>
  <c r="H52" i="23"/>
  <c r="G52" i="23"/>
  <c r="O52" i="29"/>
  <c r="D81" i="29"/>
  <c r="J52" i="29"/>
  <c r="K52" i="29"/>
  <c r="J18" i="23"/>
  <c r="O18" i="23"/>
  <c r="K18" i="23"/>
  <c r="K19" i="24"/>
  <c r="S19" i="24"/>
  <c r="J19" i="24"/>
  <c r="O19" i="24"/>
  <c r="C77" i="29"/>
  <c r="F48" i="29"/>
  <c r="L48" i="29" s="1"/>
  <c r="E48" i="29"/>
  <c r="Y48" i="29" s="1"/>
  <c r="G48" i="29"/>
  <c r="H52" i="29"/>
  <c r="J52" i="4"/>
  <c r="K52" i="4"/>
  <c r="O52" i="4"/>
  <c r="D81" i="4"/>
  <c r="F25" i="23"/>
  <c r="H25" i="23"/>
  <c r="G25" i="23"/>
  <c r="G23" i="29"/>
  <c r="H23" i="29"/>
  <c r="E23" i="29"/>
  <c r="Y23" i="29" s="1"/>
  <c r="F23" i="29"/>
  <c r="C76" i="4"/>
  <c r="K18" i="24"/>
  <c r="J18" i="24"/>
  <c r="S18" i="24"/>
  <c r="O18" i="24"/>
  <c r="H48" i="29"/>
  <c r="K48" i="4"/>
  <c r="J48" i="4"/>
  <c r="O48" i="4"/>
  <c r="D77" i="4"/>
  <c r="E19" i="29"/>
  <c r="Y19" i="29" s="1"/>
  <c r="F19" i="29"/>
  <c r="G19" i="29"/>
  <c r="C81" i="4"/>
  <c r="O23" i="29"/>
  <c r="J23" i="29"/>
  <c r="K23" i="29"/>
  <c r="F18" i="24"/>
  <c r="G18" i="24"/>
  <c r="H18" i="24"/>
  <c r="J18" i="4"/>
  <c r="K18" i="4"/>
  <c r="O18" i="4"/>
  <c r="D351" i="7"/>
  <c r="D337" i="7"/>
  <c r="D340" i="7"/>
  <c r="D339" i="7"/>
  <c r="E338" i="7"/>
  <c r="D335" i="7"/>
  <c r="D350" i="7"/>
  <c r="C336" i="7"/>
  <c r="E351" i="7"/>
  <c r="E340" i="7"/>
  <c r="E339" i="7"/>
  <c r="E335" i="7"/>
  <c r="E350" i="7"/>
  <c r="E337" i="7"/>
  <c r="C340" i="7"/>
  <c r="C338" i="7"/>
  <c r="D336" i="7"/>
  <c r="C351" i="7"/>
  <c r="C337" i="7"/>
  <c r="E334" i="7"/>
  <c r="D338" i="7"/>
  <c r="C350" i="7"/>
  <c r="E336" i="7"/>
  <c r="H57" i="2"/>
  <c r="K39" i="23"/>
  <c r="S39" i="23"/>
  <c r="O39" i="23"/>
  <c r="J39" i="23"/>
  <c r="K40" i="23"/>
  <c r="O40" i="23"/>
  <c r="J40" i="23"/>
  <c r="S40" i="23"/>
  <c r="E356" i="7"/>
  <c r="D355" i="7"/>
  <c r="C356" i="7"/>
  <c r="E355" i="7"/>
  <c r="D356" i="7"/>
  <c r="C355" i="7"/>
  <c r="AJ161" i="3"/>
  <c r="C8" i="2"/>
  <c r="D41" i="23"/>
  <c r="D42" i="23"/>
  <c r="D465" i="17"/>
  <c r="N362" i="7"/>
  <c r="E460" i="17"/>
  <c r="D463" i="17"/>
  <c r="D478" i="17"/>
  <c r="D464" i="17"/>
  <c r="D481" i="17"/>
  <c r="D479" i="17"/>
  <c r="D466" i="17"/>
  <c r="D482" i="17"/>
  <c r="F353" i="7"/>
  <c r="C339" i="7"/>
  <c r="C335" i="7"/>
  <c r="F352" i="7"/>
  <c r="D39" i="24"/>
  <c r="AC39" i="24" s="1"/>
  <c r="C10" i="24"/>
  <c r="D10" i="24"/>
  <c r="AC10" i="24" s="1"/>
  <c r="C39" i="24"/>
  <c r="D40" i="24"/>
  <c r="AC40" i="24" s="1"/>
  <c r="C40" i="24"/>
  <c r="C11" i="24"/>
  <c r="D11" i="24"/>
  <c r="AC11" i="24" s="1"/>
  <c r="C39" i="23"/>
  <c r="C10" i="23"/>
  <c r="D10" i="23"/>
  <c r="C40" i="23"/>
  <c r="D11" i="23"/>
  <c r="C11" i="23"/>
  <c r="D44" i="23"/>
  <c r="D43" i="23"/>
  <c r="T189" i="7"/>
  <c r="U189" i="7" s="1"/>
  <c r="N234" i="17" s="1"/>
  <c r="J234" i="17" s="1"/>
  <c r="T162" i="7"/>
  <c r="U162" i="7" s="1"/>
  <c r="D10" i="4"/>
  <c r="D11" i="4"/>
  <c r="Q20" i="19"/>
  <c r="Q21" i="19"/>
  <c r="Q29" i="19"/>
  <c r="Q37" i="19"/>
  <c r="Q45" i="19"/>
  <c r="Q53" i="19"/>
  <c r="Q61" i="19"/>
  <c r="Q69" i="19"/>
  <c r="Q40" i="19"/>
  <c r="Q64" i="19"/>
  <c r="Q51" i="19"/>
  <c r="Q36" i="19"/>
  <c r="Q68" i="19"/>
  <c r="Q22" i="19"/>
  <c r="Q30" i="19"/>
  <c r="Q38" i="19"/>
  <c r="Q46" i="19"/>
  <c r="Q54" i="19"/>
  <c r="Q62" i="19"/>
  <c r="Q32" i="19"/>
  <c r="Q56" i="19"/>
  <c r="Q35" i="19"/>
  <c r="Q28" i="19"/>
  <c r="Q60" i="19"/>
  <c r="Q23" i="19"/>
  <c r="Q31" i="19"/>
  <c r="Q39" i="19"/>
  <c r="Q47" i="19"/>
  <c r="Q55" i="19"/>
  <c r="Q63" i="19"/>
  <c r="Q24" i="19"/>
  <c r="Q48" i="19"/>
  <c r="Q27" i="19"/>
  <c r="Q67" i="19"/>
  <c r="Q52" i="19"/>
  <c r="Q25" i="19"/>
  <c r="Q33" i="19"/>
  <c r="Q41" i="19"/>
  <c r="Q49" i="19"/>
  <c r="Q57" i="19"/>
  <c r="Q65" i="19"/>
  <c r="Q26" i="19"/>
  <c r="Q34" i="19"/>
  <c r="Q42" i="19"/>
  <c r="Q50" i="19"/>
  <c r="Q58" i="19"/>
  <c r="Q66" i="19"/>
  <c r="Q43" i="19"/>
  <c r="Q59" i="19"/>
  <c r="Q44" i="19"/>
  <c r="J5" i="19"/>
  <c r="S5" i="19" s="1"/>
  <c r="V5" i="19" s="1"/>
  <c r="H6" i="19"/>
  <c r="AA6" i="19" s="1"/>
  <c r="S51" i="15"/>
  <c r="F64" i="15"/>
  <c r="P64" i="15" s="1"/>
  <c r="S64" i="15" s="1"/>
  <c r="S76" i="15" s="1"/>
  <c r="S48" i="15"/>
  <c r="S59" i="15"/>
  <c r="S53" i="15"/>
  <c r="S52" i="15"/>
  <c r="S32" i="15"/>
  <c r="S43" i="15"/>
  <c r="S39" i="15"/>
  <c r="S35" i="15"/>
  <c r="S41" i="15"/>
  <c r="S37" i="15"/>
  <c r="S33" i="15"/>
  <c r="AA5" i="8"/>
  <c r="AB5" i="8"/>
  <c r="AD4" i="6"/>
  <c r="J5" i="6"/>
  <c r="P4" i="6" s="1"/>
  <c r="K51" i="2"/>
  <c r="F334" i="7" l="1"/>
  <c r="K334" i="7"/>
  <c r="Z52" i="23"/>
  <c r="Z19" i="23"/>
  <c r="Z19" i="24"/>
  <c r="Z54" i="23"/>
  <c r="Z23" i="24"/>
  <c r="Z48" i="24"/>
  <c r="Z18" i="24"/>
  <c r="Z25" i="23"/>
  <c r="Z23" i="23"/>
  <c r="Z48" i="23"/>
  <c r="Z18" i="23"/>
  <c r="Z47" i="24"/>
  <c r="Z52" i="24"/>
  <c r="Z47" i="23"/>
  <c r="E695" i="31"/>
  <c r="V22" i="23"/>
  <c r="V51" i="23"/>
  <c r="E672" i="31"/>
  <c r="U26" i="23"/>
  <c r="U55" i="23"/>
  <c r="F673" i="31"/>
  <c r="U27" i="24"/>
  <c r="U56" i="24"/>
  <c r="F693" i="31"/>
  <c r="V20" i="24"/>
  <c r="V49" i="24"/>
  <c r="H709" i="7"/>
  <c r="I709" i="7" s="1"/>
  <c r="E666" i="31"/>
  <c r="U20" i="23"/>
  <c r="U49" i="23"/>
  <c r="F672" i="31"/>
  <c r="U26" i="24"/>
  <c r="U55" i="24"/>
  <c r="E668" i="31"/>
  <c r="U22" i="23"/>
  <c r="U51" i="23"/>
  <c r="F666" i="31"/>
  <c r="U20" i="24"/>
  <c r="U49" i="24"/>
  <c r="F663" i="31"/>
  <c r="U46" i="24"/>
  <c r="U17" i="24"/>
  <c r="E693" i="31"/>
  <c r="V49" i="23"/>
  <c r="V20" i="23"/>
  <c r="E690" i="31"/>
  <c r="V46" i="23"/>
  <c r="V17" i="23"/>
  <c r="F674" i="31"/>
  <c r="U28" i="24"/>
  <c r="U57" i="24"/>
  <c r="F667" i="31"/>
  <c r="U50" i="24"/>
  <c r="U21" i="24"/>
  <c r="F668" i="31"/>
  <c r="U22" i="24"/>
  <c r="U51" i="24"/>
  <c r="F690" i="31"/>
  <c r="V17" i="24"/>
  <c r="V46" i="24"/>
  <c r="F671" i="31"/>
  <c r="U54" i="24"/>
  <c r="U25" i="24"/>
  <c r="H715" i="7"/>
  <c r="I715" i="7" s="1"/>
  <c r="I707" i="7"/>
  <c r="J707" i="7" s="1"/>
  <c r="H707" i="7"/>
  <c r="E663" i="31"/>
  <c r="U46" i="23"/>
  <c r="U17" i="23"/>
  <c r="E694" i="31"/>
  <c r="V50" i="23"/>
  <c r="V21" i="23"/>
  <c r="F701" i="31"/>
  <c r="V28" i="24"/>
  <c r="V57" i="24"/>
  <c r="F694" i="31"/>
  <c r="V50" i="24"/>
  <c r="V21" i="24"/>
  <c r="E699" i="31"/>
  <c r="V26" i="23"/>
  <c r="V55" i="23"/>
  <c r="F695" i="31"/>
  <c r="V51" i="24"/>
  <c r="V22" i="24"/>
  <c r="F700" i="31"/>
  <c r="V56" i="24"/>
  <c r="V27" i="24"/>
  <c r="F698" i="31"/>
  <c r="V54" i="24"/>
  <c r="V25" i="24"/>
  <c r="E667" i="31"/>
  <c r="U21" i="23"/>
  <c r="U50" i="23"/>
  <c r="F699" i="31"/>
  <c r="V26" i="24"/>
  <c r="V55" i="24"/>
  <c r="Z48" i="29"/>
  <c r="Z52" i="29"/>
  <c r="Z47" i="29"/>
  <c r="L18" i="29"/>
  <c r="Z18" i="29"/>
  <c r="L19" i="29"/>
  <c r="Z19" i="29"/>
  <c r="L23" i="29"/>
  <c r="Z23" i="29"/>
  <c r="F701" i="7"/>
  <c r="L47" i="23"/>
  <c r="Q47" i="23"/>
  <c r="U47" i="23"/>
  <c r="L19" i="23"/>
  <c r="Q19" i="23"/>
  <c r="U19" i="23"/>
  <c r="R52" i="23"/>
  <c r="V52" i="23"/>
  <c r="R23" i="23"/>
  <c r="V23" i="23"/>
  <c r="R47" i="23"/>
  <c r="V47" i="23"/>
  <c r="L54" i="23"/>
  <c r="U54" i="23"/>
  <c r="Q54" i="23"/>
  <c r="L48" i="23"/>
  <c r="U48" i="23"/>
  <c r="Q48" i="23"/>
  <c r="V18" i="23"/>
  <c r="R18" i="23"/>
  <c r="L23" i="23"/>
  <c r="Q23" i="23"/>
  <c r="U23" i="23"/>
  <c r="R19" i="23"/>
  <c r="V19" i="23"/>
  <c r="R48" i="23"/>
  <c r="V48" i="23"/>
  <c r="L18" i="23"/>
  <c r="Q18" i="23"/>
  <c r="U18" i="23"/>
  <c r="L52" i="23"/>
  <c r="U52" i="23"/>
  <c r="Q52" i="23"/>
  <c r="V54" i="23"/>
  <c r="R54" i="23"/>
  <c r="R48" i="29"/>
  <c r="R52" i="29"/>
  <c r="R47" i="29"/>
  <c r="Q47" i="29"/>
  <c r="Q48" i="29"/>
  <c r="Q52" i="29"/>
  <c r="R23" i="29"/>
  <c r="R19" i="29"/>
  <c r="Q23" i="29"/>
  <c r="R18" i="29"/>
  <c r="Q19" i="29"/>
  <c r="Q18" i="29"/>
  <c r="P48" i="29"/>
  <c r="P52" i="29"/>
  <c r="P47" i="29"/>
  <c r="P23" i="29"/>
  <c r="P19" i="29"/>
  <c r="P18" i="29"/>
  <c r="L25" i="23"/>
  <c r="U25" i="23"/>
  <c r="Q25" i="23"/>
  <c r="R25" i="23"/>
  <c r="V25" i="23"/>
  <c r="L18" i="24"/>
  <c r="Q18" i="24"/>
  <c r="U18" i="24"/>
  <c r="L48" i="24"/>
  <c r="U48" i="24"/>
  <c r="Q48" i="24"/>
  <c r="V19" i="24"/>
  <c r="R19" i="24"/>
  <c r="R47" i="24"/>
  <c r="V47" i="24"/>
  <c r="V52" i="24"/>
  <c r="R52" i="24"/>
  <c r="V48" i="24"/>
  <c r="R48" i="24"/>
  <c r="R23" i="24"/>
  <c r="V23" i="24"/>
  <c r="U19" i="24"/>
  <c r="Q19" i="24"/>
  <c r="L19" i="24"/>
  <c r="R18" i="24"/>
  <c r="V18" i="24"/>
  <c r="U47" i="24"/>
  <c r="L47" i="24"/>
  <c r="Q47" i="24"/>
  <c r="L52" i="24"/>
  <c r="U52" i="24"/>
  <c r="Q52" i="24"/>
  <c r="U23" i="24"/>
  <c r="Q23" i="24"/>
  <c r="L23" i="24"/>
  <c r="M81" i="29"/>
  <c r="K81" i="24"/>
  <c r="M76" i="29"/>
  <c r="M77" i="29"/>
  <c r="M77" i="23"/>
  <c r="M81" i="23"/>
  <c r="AC76" i="23"/>
  <c r="K77" i="23"/>
  <c r="M76" i="23"/>
  <c r="O81" i="29"/>
  <c r="J77" i="23"/>
  <c r="J81" i="23"/>
  <c r="K81" i="23"/>
  <c r="J76" i="23"/>
  <c r="AC43" i="23"/>
  <c r="M43" i="23"/>
  <c r="AC10" i="4"/>
  <c r="AC44" i="23"/>
  <c r="M44" i="23"/>
  <c r="AC10" i="23"/>
  <c r="AC68" i="23" s="1"/>
  <c r="AC42" i="23"/>
  <c r="M42" i="23"/>
  <c r="AC41" i="23"/>
  <c r="M41" i="23"/>
  <c r="K76" i="23"/>
  <c r="AC81" i="23"/>
  <c r="AC77" i="23"/>
  <c r="AC11" i="23"/>
  <c r="AC69" i="23" s="1"/>
  <c r="K81" i="4"/>
  <c r="M76" i="24"/>
  <c r="M77" i="24"/>
  <c r="M40" i="24"/>
  <c r="M39" i="24"/>
  <c r="J76" i="24"/>
  <c r="M81" i="24"/>
  <c r="K11" i="24"/>
  <c r="AC81" i="24"/>
  <c r="K10" i="24"/>
  <c r="J81" i="24"/>
  <c r="K76" i="24"/>
  <c r="J77" i="24"/>
  <c r="K77" i="24"/>
  <c r="O438" i="7"/>
  <c r="O435" i="7"/>
  <c r="P416" i="7"/>
  <c r="O419" i="7"/>
  <c r="O422" i="7"/>
  <c r="O437" i="7"/>
  <c r="O434" i="7"/>
  <c r="O421" i="7"/>
  <c r="O420" i="7"/>
  <c r="D434" i="7"/>
  <c r="E424" i="17"/>
  <c r="D419" i="7"/>
  <c r="E409" i="17"/>
  <c r="E409" i="31" s="1"/>
  <c r="L409" i="31" s="1"/>
  <c r="D421" i="7"/>
  <c r="E411" i="17"/>
  <c r="E411" i="31" s="1"/>
  <c r="L411" i="31" s="1"/>
  <c r="D438" i="7"/>
  <c r="E428" i="17"/>
  <c r="E428" i="31" s="1"/>
  <c r="L428" i="31" s="1"/>
  <c r="D435" i="7"/>
  <c r="E425" i="17"/>
  <c r="E416" i="7"/>
  <c r="F406" i="17"/>
  <c r="F406" i="31" s="1"/>
  <c r="M406" i="31" s="1"/>
  <c r="D422" i="7"/>
  <c r="E412" i="17"/>
  <c r="E412" i="31" s="1"/>
  <c r="L412" i="31" s="1"/>
  <c r="D437" i="7"/>
  <c r="E427" i="17"/>
  <c r="E427" i="31" s="1"/>
  <c r="L427" i="31" s="1"/>
  <c r="D420" i="7"/>
  <c r="E410" i="17"/>
  <c r="E410" i="31" s="1"/>
  <c r="L410" i="31" s="1"/>
  <c r="O11" i="4"/>
  <c r="AC11" i="4"/>
  <c r="J81" i="4"/>
  <c r="F339" i="7"/>
  <c r="H339" i="7" s="1"/>
  <c r="D478" i="31"/>
  <c r="C478" i="31" s="1"/>
  <c r="N56" i="29" s="1"/>
  <c r="D463" i="31"/>
  <c r="C463" i="31" s="1"/>
  <c r="N41" i="29" s="1"/>
  <c r="D465" i="31"/>
  <c r="C465" i="31" s="1"/>
  <c r="N14" i="29" s="1"/>
  <c r="D482" i="31"/>
  <c r="C482" i="31" s="1"/>
  <c r="D479" i="31"/>
  <c r="C479" i="31" s="1"/>
  <c r="N57" i="29" s="1"/>
  <c r="D466" i="31"/>
  <c r="C466" i="31" s="1"/>
  <c r="N44" i="29" s="1"/>
  <c r="D481" i="31"/>
  <c r="C481" i="31" s="1"/>
  <c r="D464" i="31"/>
  <c r="C464" i="31" s="1"/>
  <c r="N42" i="29" s="1"/>
  <c r="O81" i="4"/>
  <c r="F717" i="7"/>
  <c r="I717" i="7" s="1"/>
  <c r="O76" i="29"/>
  <c r="J77" i="4"/>
  <c r="F722" i="7"/>
  <c r="I722" i="7" s="1"/>
  <c r="F336" i="7"/>
  <c r="O77" i="4"/>
  <c r="F711" i="7"/>
  <c r="H711" i="7" s="1"/>
  <c r="I711" i="7" s="1"/>
  <c r="F702" i="7"/>
  <c r="I702" i="7" s="1"/>
  <c r="F719" i="7"/>
  <c r="I719" i="7" s="1"/>
  <c r="F704" i="7"/>
  <c r="I704" i="7" s="1"/>
  <c r="K77" i="4"/>
  <c r="J76" i="4"/>
  <c r="J76" i="29"/>
  <c r="K77" i="29"/>
  <c r="F463" i="17"/>
  <c r="E478" i="17"/>
  <c r="E465" i="17"/>
  <c r="F338" i="7"/>
  <c r="H338" i="7" s="1"/>
  <c r="AA25" i="23"/>
  <c r="N25" i="23"/>
  <c r="H81" i="29"/>
  <c r="AB52" i="29"/>
  <c r="J81" i="29"/>
  <c r="F706" i="7"/>
  <c r="F76" i="23"/>
  <c r="H77" i="23"/>
  <c r="AA48" i="29"/>
  <c r="G77" i="29"/>
  <c r="N48" i="29"/>
  <c r="F705" i="7"/>
  <c r="F81" i="29"/>
  <c r="G76" i="23"/>
  <c r="N47" i="23"/>
  <c r="AA47" i="23"/>
  <c r="AA18" i="23"/>
  <c r="N18" i="23"/>
  <c r="AA48" i="24"/>
  <c r="N48" i="24"/>
  <c r="H76" i="23"/>
  <c r="O81" i="23"/>
  <c r="F481" i="17"/>
  <c r="F466" i="17"/>
  <c r="E481" i="17"/>
  <c r="F77" i="29"/>
  <c r="G81" i="23"/>
  <c r="AA52" i="23"/>
  <c r="N52" i="23"/>
  <c r="O77" i="23"/>
  <c r="K76" i="29"/>
  <c r="N23" i="23"/>
  <c r="AA23" i="23"/>
  <c r="O77" i="29"/>
  <c r="H77" i="24"/>
  <c r="K76" i="4"/>
  <c r="N19" i="23"/>
  <c r="AA19" i="23"/>
  <c r="F710" i="7"/>
  <c r="AA18" i="24"/>
  <c r="N18" i="24"/>
  <c r="E77" i="29"/>
  <c r="E466" i="17"/>
  <c r="E464" i="17"/>
  <c r="E463" i="17"/>
  <c r="F720" i="7"/>
  <c r="H81" i="23"/>
  <c r="AB52" i="23"/>
  <c r="H76" i="24"/>
  <c r="F76" i="29"/>
  <c r="F703" i="7"/>
  <c r="AA54" i="23"/>
  <c r="N54" i="23"/>
  <c r="G83" i="23"/>
  <c r="AA23" i="24"/>
  <c r="N23" i="24"/>
  <c r="F718" i="7"/>
  <c r="AA52" i="29"/>
  <c r="G81" i="29"/>
  <c r="N52" i="29"/>
  <c r="F464" i="17"/>
  <c r="N19" i="29"/>
  <c r="AA19" i="29"/>
  <c r="H77" i="29"/>
  <c r="F81" i="23"/>
  <c r="AB23" i="23"/>
  <c r="J77" i="29"/>
  <c r="N47" i="24"/>
  <c r="AA47" i="24"/>
  <c r="E76" i="29"/>
  <c r="O76" i="4"/>
  <c r="H83" i="23"/>
  <c r="AB23" i="24"/>
  <c r="F478" i="17"/>
  <c r="E479" i="17"/>
  <c r="F465" i="17"/>
  <c r="F356" i="7"/>
  <c r="I356" i="7" s="1"/>
  <c r="AB23" i="29"/>
  <c r="F714" i="7"/>
  <c r="AA52" i="24"/>
  <c r="N52" i="24"/>
  <c r="N19" i="24"/>
  <c r="AA19" i="24"/>
  <c r="H76" i="29"/>
  <c r="F77" i="23"/>
  <c r="E482" i="17"/>
  <c r="F482" i="17"/>
  <c r="F479" i="17"/>
  <c r="N23" i="29"/>
  <c r="AA23" i="29"/>
  <c r="K81" i="29"/>
  <c r="O76" i="23"/>
  <c r="E81" i="29"/>
  <c r="AB52" i="24"/>
  <c r="H81" i="24"/>
  <c r="AA18" i="29"/>
  <c r="N18" i="29"/>
  <c r="AA47" i="29"/>
  <c r="G76" i="29"/>
  <c r="N47" i="29"/>
  <c r="F712" i="7"/>
  <c r="F723" i="7"/>
  <c r="N48" i="23"/>
  <c r="AA48" i="23"/>
  <c r="G77" i="23"/>
  <c r="F713" i="7"/>
  <c r="F337" i="7"/>
  <c r="H337" i="7" s="1"/>
  <c r="F335" i="7"/>
  <c r="I335" i="7" s="1"/>
  <c r="F340" i="7"/>
  <c r="H340" i="7" s="1"/>
  <c r="F350" i="7"/>
  <c r="I350" i="7" s="1"/>
  <c r="F351" i="7"/>
  <c r="N206" i="17"/>
  <c r="J206" i="17" s="1"/>
  <c r="C9" i="29"/>
  <c r="D38" i="29"/>
  <c r="AC38" i="29" s="1"/>
  <c r="C38" i="29"/>
  <c r="D9" i="29"/>
  <c r="D38" i="23"/>
  <c r="D9" i="4"/>
  <c r="H39" i="23"/>
  <c r="F39" i="23"/>
  <c r="G39" i="23"/>
  <c r="O39" i="24"/>
  <c r="K39" i="24"/>
  <c r="S39" i="24"/>
  <c r="J39" i="24"/>
  <c r="H39" i="24"/>
  <c r="G39" i="24"/>
  <c r="F39" i="24"/>
  <c r="F10" i="23"/>
  <c r="H10" i="23"/>
  <c r="G10" i="23"/>
  <c r="H10" i="24"/>
  <c r="F10" i="24"/>
  <c r="G10" i="24"/>
  <c r="K40" i="24"/>
  <c r="O40" i="24"/>
  <c r="J40" i="24"/>
  <c r="S40" i="24"/>
  <c r="G40" i="23"/>
  <c r="F40" i="23"/>
  <c r="H40" i="23"/>
  <c r="F11" i="24"/>
  <c r="G11" i="24"/>
  <c r="H11" i="24"/>
  <c r="H11" i="23"/>
  <c r="G11" i="23"/>
  <c r="F11" i="23"/>
  <c r="F40" i="24"/>
  <c r="H40" i="24"/>
  <c r="G40" i="24"/>
  <c r="K41" i="23"/>
  <c r="S41" i="23"/>
  <c r="J41" i="23"/>
  <c r="O41" i="23"/>
  <c r="O42" i="23"/>
  <c r="S42" i="23"/>
  <c r="J42" i="23"/>
  <c r="K42" i="23"/>
  <c r="O44" i="23"/>
  <c r="J44" i="23"/>
  <c r="S44" i="23"/>
  <c r="K44" i="23"/>
  <c r="S43" i="23"/>
  <c r="K43" i="23"/>
  <c r="O43" i="23"/>
  <c r="J43" i="23"/>
  <c r="F355" i="7"/>
  <c r="O27" i="4"/>
  <c r="O85" i="4" s="1"/>
  <c r="D27" i="23"/>
  <c r="C85" i="24"/>
  <c r="C42" i="24"/>
  <c r="D13" i="24"/>
  <c r="AC13" i="24" s="1"/>
  <c r="C42" i="23"/>
  <c r="D13" i="4"/>
  <c r="C13" i="24"/>
  <c r="C13" i="23"/>
  <c r="D13" i="23"/>
  <c r="D28" i="23"/>
  <c r="O28" i="4"/>
  <c r="O86" i="4" s="1"/>
  <c r="C38" i="23"/>
  <c r="C9" i="24"/>
  <c r="C9" i="23"/>
  <c r="D9" i="24"/>
  <c r="AC9" i="24" s="1"/>
  <c r="D9" i="23"/>
  <c r="C38" i="24"/>
  <c r="D38" i="24"/>
  <c r="AC38" i="24" s="1"/>
  <c r="C41" i="24"/>
  <c r="D12" i="23"/>
  <c r="D41" i="4"/>
  <c r="D12" i="24"/>
  <c r="AC12" i="24" s="1"/>
  <c r="D12" i="4"/>
  <c r="C41" i="4"/>
  <c r="C12" i="24"/>
  <c r="C12" i="23"/>
  <c r="D41" i="24"/>
  <c r="AC41" i="24" s="1"/>
  <c r="C41" i="23"/>
  <c r="C12" i="4"/>
  <c r="D42" i="24"/>
  <c r="AC42" i="24" s="1"/>
  <c r="O10" i="4"/>
  <c r="P384" i="7"/>
  <c r="O381" i="7"/>
  <c r="O366" i="7"/>
  <c r="O380" i="7"/>
  <c r="P365" i="7"/>
  <c r="P362" i="7"/>
  <c r="F460" i="17"/>
  <c r="P367" i="7"/>
  <c r="O384" i="7"/>
  <c r="E461" i="17"/>
  <c r="O363" i="7"/>
  <c r="P368" i="7"/>
  <c r="P381" i="7"/>
  <c r="P366" i="7"/>
  <c r="P380" i="7"/>
  <c r="F461" i="17"/>
  <c r="P363" i="7"/>
  <c r="O383" i="7"/>
  <c r="P364" i="7"/>
  <c r="F462" i="17"/>
  <c r="O368" i="7"/>
  <c r="P383" i="7"/>
  <c r="O365" i="7"/>
  <c r="E460" i="31"/>
  <c r="O362" i="7"/>
  <c r="E462" i="17"/>
  <c r="O364" i="7"/>
  <c r="O367" i="7"/>
  <c r="H336" i="7"/>
  <c r="I336" i="7"/>
  <c r="H352" i="7"/>
  <c r="I352" i="7"/>
  <c r="I339" i="7"/>
  <c r="H334" i="7"/>
  <c r="I334" i="7"/>
  <c r="I353" i="7"/>
  <c r="H353" i="7"/>
  <c r="S10" i="23"/>
  <c r="K10" i="23"/>
  <c r="J10" i="23"/>
  <c r="O10" i="23"/>
  <c r="O11" i="23"/>
  <c r="S11" i="23"/>
  <c r="J11" i="23"/>
  <c r="K11" i="23"/>
  <c r="S11" i="24"/>
  <c r="O11" i="24"/>
  <c r="S10" i="24"/>
  <c r="O10" i="24"/>
  <c r="C15" i="4"/>
  <c r="D44" i="24"/>
  <c r="AC44" i="24" s="1"/>
  <c r="C44" i="24"/>
  <c r="C15" i="24"/>
  <c r="D15" i="24"/>
  <c r="AC15" i="24" s="1"/>
  <c r="C69" i="24"/>
  <c r="C68" i="24"/>
  <c r="D14" i="24"/>
  <c r="AC14" i="24" s="1"/>
  <c r="C14" i="24"/>
  <c r="D43" i="24"/>
  <c r="AC43" i="24" s="1"/>
  <c r="C43" i="24"/>
  <c r="D69" i="24"/>
  <c r="D68" i="24"/>
  <c r="C69" i="23"/>
  <c r="D15" i="4"/>
  <c r="C44" i="23"/>
  <c r="D15" i="23"/>
  <c r="C15" i="23"/>
  <c r="D69" i="23"/>
  <c r="D68" i="23"/>
  <c r="D14" i="4"/>
  <c r="C43" i="23"/>
  <c r="D14" i="23"/>
  <c r="C14" i="23"/>
  <c r="C68" i="23"/>
  <c r="C44" i="4"/>
  <c r="D44" i="4"/>
  <c r="C14" i="4"/>
  <c r="C43" i="4"/>
  <c r="D43" i="4"/>
  <c r="D460" i="17"/>
  <c r="D42" i="4"/>
  <c r="C38" i="4"/>
  <c r="C9" i="4"/>
  <c r="D40" i="4"/>
  <c r="C10" i="4"/>
  <c r="C39" i="4"/>
  <c r="D39" i="4"/>
  <c r="D38" i="4"/>
  <c r="O38" i="4" s="1"/>
  <c r="C42" i="4"/>
  <c r="C13" i="4"/>
  <c r="C40" i="4"/>
  <c r="C11" i="4"/>
  <c r="K10" i="4"/>
  <c r="I7" i="19"/>
  <c r="G7" i="19"/>
  <c r="M6" i="19" s="1"/>
  <c r="S56" i="15"/>
  <c r="S54" i="15"/>
  <c r="S55" i="15"/>
  <c r="S57" i="15"/>
  <c r="S58" i="15"/>
  <c r="S49" i="15"/>
  <c r="S44" i="15"/>
  <c r="K5" i="6"/>
  <c r="AD5" i="6" s="1"/>
  <c r="M4" i="6"/>
  <c r="H75" i="7"/>
  <c r="V362" i="7" l="1"/>
  <c r="J715" i="7"/>
  <c r="G669" i="17" s="1"/>
  <c r="C669" i="17" s="1"/>
  <c r="L77" i="23"/>
  <c r="L81" i="23"/>
  <c r="L76" i="23"/>
  <c r="Z83" i="23"/>
  <c r="Z39" i="23"/>
  <c r="Z40" i="23"/>
  <c r="Z39" i="24"/>
  <c r="Z10" i="23"/>
  <c r="Z11" i="24"/>
  <c r="Z10" i="24"/>
  <c r="Z40" i="24"/>
  <c r="Z11" i="23"/>
  <c r="G634" i="17"/>
  <c r="C634" i="17" s="1"/>
  <c r="C634" i="31" s="1"/>
  <c r="N607" i="17"/>
  <c r="J607" i="17" s="1"/>
  <c r="J607" i="31" s="1"/>
  <c r="S44" i="29" s="1"/>
  <c r="G688" i="17"/>
  <c r="C688" i="17" s="1"/>
  <c r="C688" i="31" s="1"/>
  <c r="G607" i="17"/>
  <c r="C607" i="17" s="1"/>
  <c r="C607" i="31" s="1"/>
  <c r="S15" i="29" s="1"/>
  <c r="G661" i="17"/>
  <c r="C661" i="17" s="1"/>
  <c r="C661" i="31" s="1"/>
  <c r="J709" i="7"/>
  <c r="Z77" i="29"/>
  <c r="Z81" i="29"/>
  <c r="Z76" i="29"/>
  <c r="I701" i="7"/>
  <c r="H701" i="7"/>
  <c r="I338" i="7"/>
  <c r="L11" i="23"/>
  <c r="U11" i="23"/>
  <c r="Q11" i="23"/>
  <c r="V40" i="23"/>
  <c r="R40" i="23"/>
  <c r="R10" i="23"/>
  <c r="V10" i="23"/>
  <c r="R11" i="23"/>
  <c r="V11" i="23"/>
  <c r="L10" i="23"/>
  <c r="Q10" i="23"/>
  <c r="U10" i="23"/>
  <c r="R39" i="23"/>
  <c r="V39" i="23"/>
  <c r="L40" i="23"/>
  <c r="U40" i="23"/>
  <c r="Q40" i="23"/>
  <c r="L39" i="23"/>
  <c r="U39" i="23"/>
  <c r="Q39" i="23"/>
  <c r="U10" i="24"/>
  <c r="Q10" i="24"/>
  <c r="L10" i="24"/>
  <c r="Q40" i="24"/>
  <c r="U40" i="24"/>
  <c r="L40" i="24"/>
  <c r="L39" i="24"/>
  <c r="U39" i="24"/>
  <c r="Q39" i="24"/>
  <c r="V11" i="24"/>
  <c r="R11" i="24"/>
  <c r="V39" i="24"/>
  <c r="R39" i="24"/>
  <c r="V40" i="24"/>
  <c r="R40" i="24"/>
  <c r="U11" i="24"/>
  <c r="L11" i="24"/>
  <c r="Q11" i="24"/>
  <c r="R10" i="24"/>
  <c r="V10" i="24"/>
  <c r="M28" i="24"/>
  <c r="M86" i="24" s="1"/>
  <c r="E425" i="31"/>
  <c r="L425" i="31" s="1"/>
  <c r="M27" i="24"/>
  <c r="M85" i="24" s="1"/>
  <c r="E424" i="31"/>
  <c r="L424" i="31" s="1"/>
  <c r="N27" i="29"/>
  <c r="N85" i="29" s="1"/>
  <c r="AC9" i="29"/>
  <c r="O14" i="4"/>
  <c r="AC15" i="23"/>
  <c r="AC73" i="23" s="1"/>
  <c r="O12" i="23"/>
  <c r="O70" i="23" s="1"/>
  <c r="AC12" i="23"/>
  <c r="AC70" i="23" s="1"/>
  <c r="O9" i="23"/>
  <c r="AC9" i="23"/>
  <c r="M9" i="23"/>
  <c r="K28" i="23"/>
  <c r="K86" i="23" s="1"/>
  <c r="AC28" i="23"/>
  <c r="AC86" i="23" s="1"/>
  <c r="H722" i="7"/>
  <c r="J722" i="7" s="1"/>
  <c r="G703" i="17" s="1"/>
  <c r="C703" i="17" s="1"/>
  <c r="C703" i="31" s="1"/>
  <c r="AC13" i="23"/>
  <c r="AC71" i="23" s="1"/>
  <c r="J27" i="23"/>
  <c r="J85" i="23" s="1"/>
  <c r="AC27" i="23"/>
  <c r="AC85" i="23" s="1"/>
  <c r="AC9" i="4"/>
  <c r="AC39" i="4"/>
  <c r="AC68" i="4" s="1"/>
  <c r="AC41" i="4"/>
  <c r="AC42" i="4"/>
  <c r="AC38" i="4"/>
  <c r="AC40" i="4"/>
  <c r="AC69" i="4" s="1"/>
  <c r="AC14" i="23"/>
  <c r="AC72" i="23" s="1"/>
  <c r="O15" i="4"/>
  <c r="O38" i="23"/>
  <c r="AC38" i="23"/>
  <c r="M38" i="23"/>
  <c r="M15" i="24"/>
  <c r="M14" i="24"/>
  <c r="M41" i="24"/>
  <c r="K9" i="24"/>
  <c r="AC68" i="24"/>
  <c r="M42" i="24"/>
  <c r="K12" i="24"/>
  <c r="M12" i="24"/>
  <c r="M38" i="24"/>
  <c r="K13" i="24"/>
  <c r="M13" i="24"/>
  <c r="AC69" i="24"/>
  <c r="AC72" i="24"/>
  <c r="M43" i="24"/>
  <c r="M44" i="24"/>
  <c r="AC73" i="24"/>
  <c r="P438" i="7"/>
  <c r="Q438" i="7" s="1"/>
  <c r="P419" i="7"/>
  <c r="Q419" i="7" s="1"/>
  <c r="P437" i="7"/>
  <c r="Q437" i="7" s="1"/>
  <c r="P435" i="7"/>
  <c r="Q435" i="7" s="1"/>
  <c r="P420" i="7"/>
  <c r="Q420" i="7" s="1"/>
  <c r="P421" i="7"/>
  <c r="Q421" i="7" s="1"/>
  <c r="O416" i="7"/>
  <c r="Q416" i="7" s="1"/>
  <c r="P418" i="7"/>
  <c r="P417" i="7"/>
  <c r="P422" i="7"/>
  <c r="Q422" i="7" s="1"/>
  <c r="P434" i="7"/>
  <c r="Q434" i="7" s="1"/>
  <c r="E435" i="7"/>
  <c r="F435" i="7" s="1"/>
  <c r="F425" i="17"/>
  <c r="E420" i="7"/>
  <c r="F420" i="7" s="1"/>
  <c r="F410" i="17"/>
  <c r="E421" i="7"/>
  <c r="F421" i="7" s="1"/>
  <c r="F411" i="17"/>
  <c r="D416" i="7"/>
  <c r="F416" i="7" s="1"/>
  <c r="E406" i="17"/>
  <c r="E418" i="7"/>
  <c r="F408" i="17"/>
  <c r="E417" i="7"/>
  <c r="F407" i="17"/>
  <c r="E422" i="7"/>
  <c r="F422" i="7" s="1"/>
  <c r="F412" i="17"/>
  <c r="E434" i="7"/>
  <c r="F434" i="7" s="1"/>
  <c r="F424" i="17"/>
  <c r="E438" i="7"/>
  <c r="F438" i="7" s="1"/>
  <c r="F428" i="17"/>
  <c r="F428" i="31" s="1"/>
  <c r="M428" i="31" s="1"/>
  <c r="E419" i="7"/>
  <c r="F419" i="7" s="1"/>
  <c r="F409" i="17"/>
  <c r="E437" i="7"/>
  <c r="F437" i="7" s="1"/>
  <c r="F427" i="17"/>
  <c r="F427" i="31" s="1"/>
  <c r="M427" i="31" s="1"/>
  <c r="O9" i="4"/>
  <c r="O12" i="4"/>
  <c r="AC12" i="4"/>
  <c r="H43" i="29"/>
  <c r="H72" i="29" s="1"/>
  <c r="AC43" i="4"/>
  <c r="H44" i="29"/>
  <c r="AC44" i="4"/>
  <c r="O13" i="4"/>
  <c r="AC13" i="4"/>
  <c r="N12" i="29"/>
  <c r="N70" i="29" s="1"/>
  <c r="N15" i="29"/>
  <c r="N73" i="29" s="1"/>
  <c r="H702" i="7"/>
  <c r="J702" i="7" s="1"/>
  <c r="N43" i="29"/>
  <c r="N72" i="29" s="1"/>
  <c r="N83" i="23"/>
  <c r="N28" i="29"/>
  <c r="N86" i="29" s="1"/>
  <c r="R83" i="23"/>
  <c r="H717" i="7"/>
  <c r="J717" i="7" s="1"/>
  <c r="G698" i="17" s="1"/>
  <c r="C698" i="17" s="1"/>
  <c r="C698" i="31" s="1"/>
  <c r="N13" i="29"/>
  <c r="N71" i="29" s="1"/>
  <c r="E462" i="31"/>
  <c r="E461" i="31"/>
  <c r="F482" i="31"/>
  <c r="F478" i="31"/>
  <c r="F464" i="31"/>
  <c r="E466" i="31"/>
  <c r="E478" i="31"/>
  <c r="E482" i="31"/>
  <c r="F481" i="31"/>
  <c r="F462" i="31"/>
  <c r="F461" i="31"/>
  <c r="F465" i="31"/>
  <c r="E463" i="31"/>
  <c r="E481" i="31"/>
  <c r="F460" i="31"/>
  <c r="F479" i="31"/>
  <c r="E479" i="31"/>
  <c r="E464" i="31"/>
  <c r="F466" i="31"/>
  <c r="E465" i="31"/>
  <c r="F463" i="31"/>
  <c r="H719" i="7"/>
  <c r="J719" i="7" s="1"/>
  <c r="V83" i="23"/>
  <c r="P76" i="29"/>
  <c r="D460" i="31"/>
  <c r="C460" i="31" s="1"/>
  <c r="Y81" i="29"/>
  <c r="H704" i="7"/>
  <c r="J704" i="7" s="1"/>
  <c r="H356" i="7"/>
  <c r="H335" i="7"/>
  <c r="J335" i="7" s="1"/>
  <c r="I340" i="7"/>
  <c r="J340" i="7" s="1"/>
  <c r="Q383" i="7"/>
  <c r="J711" i="7"/>
  <c r="G692" i="17" s="1"/>
  <c r="C692" i="17" s="1"/>
  <c r="C692" i="31" s="1"/>
  <c r="P81" i="29"/>
  <c r="Y76" i="29"/>
  <c r="AA83" i="23"/>
  <c r="V84" i="24"/>
  <c r="V83" i="24"/>
  <c r="L76" i="29"/>
  <c r="R76" i="29"/>
  <c r="AA77" i="29"/>
  <c r="N76" i="29"/>
  <c r="AA76" i="29"/>
  <c r="AA81" i="29"/>
  <c r="Q77" i="29"/>
  <c r="L81" i="29"/>
  <c r="I723" i="7"/>
  <c r="H723" i="7"/>
  <c r="N56" i="24"/>
  <c r="N27" i="24"/>
  <c r="Q81" i="23"/>
  <c r="Q76" i="29"/>
  <c r="H712" i="7"/>
  <c r="I712" i="7" s="1"/>
  <c r="R81" i="29"/>
  <c r="AB76" i="24"/>
  <c r="AD76" i="24"/>
  <c r="W76" i="24"/>
  <c r="AB81" i="23"/>
  <c r="AD81" i="23"/>
  <c r="W81" i="23"/>
  <c r="P77" i="29"/>
  <c r="AA76" i="23"/>
  <c r="N76" i="23"/>
  <c r="V76" i="23"/>
  <c r="I705" i="7"/>
  <c r="H705" i="7"/>
  <c r="I337" i="7"/>
  <c r="J337" i="7" s="1"/>
  <c r="H713" i="7"/>
  <c r="I713" i="7" s="1"/>
  <c r="I720" i="7"/>
  <c r="H720" i="7"/>
  <c r="L77" i="29"/>
  <c r="AD77" i="24"/>
  <c r="AB77" i="24"/>
  <c r="W77" i="24"/>
  <c r="N77" i="23"/>
  <c r="AA77" i="23"/>
  <c r="V77" i="23"/>
  <c r="N57" i="24"/>
  <c r="N28" i="24"/>
  <c r="H703" i="7"/>
  <c r="I703" i="7"/>
  <c r="R77" i="29"/>
  <c r="AB77" i="23"/>
  <c r="AD77" i="23"/>
  <c r="W77" i="23"/>
  <c r="H710" i="7"/>
  <c r="I710" i="7" s="1"/>
  <c r="AB76" i="23"/>
  <c r="AD76" i="23"/>
  <c r="W76" i="23"/>
  <c r="AD81" i="24"/>
  <c r="AB81" i="24"/>
  <c r="W81" i="24"/>
  <c r="N81" i="23"/>
  <c r="R81" i="23"/>
  <c r="AA81" i="23"/>
  <c r="V81" i="23"/>
  <c r="N77" i="29"/>
  <c r="AB81" i="29"/>
  <c r="H714" i="7"/>
  <c r="I714" i="7"/>
  <c r="I718" i="7"/>
  <c r="H718" i="7"/>
  <c r="Y77" i="29"/>
  <c r="U83" i="24"/>
  <c r="N81" i="29"/>
  <c r="Q81" i="29"/>
  <c r="I706" i="7"/>
  <c r="H706" i="7"/>
  <c r="V84" i="23"/>
  <c r="H350" i="7"/>
  <c r="J350" i="7" s="1"/>
  <c r="I351" i="7"/>
  <c r="H351" i="7"/>
  <c r="J334" i="7"/>
  <c r="J352" i="7"/>
  <c r="J336" i="7"/>
  <c r="Q381" i="7"/>
  <c r="J339" i="7"/>
  <c r="J338" i="7"/>
  <c r="J356" i="7"/>
  <c r="Q363" i="7"/>
  <c r="J353" i="7"/>
  <c r="Q368" i="7"/>
  <c r="H355" i="7"/>
  <c r="O41" i="4"/>
  <c r="H41" i="29"/>
  <c r="O42" i="4"/>
  <c r="H42" i="29"/>
  <c r="O40" i="4"/>
  <c r="O69" i="4" s="1"/>
  <c r="H40" i="29"/>
  <c r="O39" i="4"/>
  <c r="O68" i="4" s="1"/>
  <c r="H39" i="29"/>
  <c r="O9" i="29"/>
  <c r="K9" i="29"/>
  <c r="J9" i="29"/>
  <c r="C67" i="29"/>
  <c r="G38" i="29"/>
  <c r="H38" i="29"/>
  <c r="F38" i="29"/>
  <c r="O38" i="29"/>
  <c r="K38" i="29"/>
  <c r="D67" i="29"/>
  <c r="J38" i="29"/>
  <c r="G9" i="29"/>
  <c r="H9" i="29"/>
  <c r="F9" i="29"/>
  <c r="L9" i="29" s="1"/>
  <c r="F57" i="23"/>
  <c r="H57" i="23"/>
  <c r="G57" i="23"/>
  <c r="F27" i="23"/>
  <c r="H27" i="23"/>
  <c r="G27" i="23"/>
  <c r="H28" i="23"/>
  <c r="G28" i="23"/>
  <c r="F28" i="23"/>
  <c r="F56" i="23"/>
  <c r="H56" i="23"/>
  <c r="G56" i="23"/>
  <c r="O38" i="24"/>
  <c r="K38" i="24"/>
  <c r="G9" i="23"/>
  <c r="AA9" i="23" s="1"/>
  <c r="H9" i="23"/>
  <c r="F9" i="23"/>
  <c r="H9" i="24"/>
  <c r="G9" i="24"/>
  <c r="AA9" i="24" s="1"/>
  <c r="F9" i="24"/>
  <c r="H38" i="24"/>
  <c r="G38" i="24"/>
  <c r="AA38" i="24" s="1"/>
  <c r="F38" i="24"/>
  <c r="G38" i="23"/>
  <c r="F38" i="23"/>
  <c r="H38" i="23"/>
  <c r="N39" i="23"/>
  <c r="N39" i="24"/>
  <c r="AA39" i="24"/>
  <c r="AA40" i="24"/>
  <c r="N40" i="24"/>
  <c r="N40" i="23"/>
  <c r="G41" i="24"/>
  <c r="H41" i="24"/>
  <c r="F41" i="24"/>
  <c r="F12" i="23"/>
  <c r="H12" i="23"/>
  <c r="G12" i="23"/>
  <c r="G12" i="24"/>
  <c r="F12" i="24"/>
  <c r="H12" i="24"/>
  <c r="J41" i="24"/>
  <c r="O41" i="24"/>
  <c r="K41" i="24"/>
  <c r="S41" i="24"/>
  <c r="F41" i="23"/>
  <c r="H41" i="23"/>
  <c r="G41" i="23"/>
  <c r="G13" i="23"/>
  <c r="H13" i="23"/>
  <c r="F13" i="23"/>
  <c r="J42" i="24"/>
  <c r="O42" i="24"/>
  <c r="S42" i="24"/>
  <c r="K42" i="24"/>
  <c r="H13" i="24"/>
  <c r="G13" i="24"/>
  <c r="F13" i="24"/>
  <c r="H42" i="24"/>
  <c r="G42" i="24"/>
  <c r="F42" i="24"/>
  <c r="G42" i="23"/>
  <c r="F42" i="23"/>
  <c r="H42" i="23"/>
  <c r="F15" i="23"/>
  <c r="G15" i="23"/>
  <c r="H15" i="23"/>
  <c r="J44" i="24"/>
  <c r="O44" i="24"/>
  <c r="K44" i="24"/>
  <c r="S44" i="24"/>
  <c r="O15" i="24"/>
  <c r="K15" i="24"/>
  <c r="F44" i="23"/>
  <c r="H44" i="23"/>
  <c r="G44" i="23"/>
  <c r="F15" i="24"/>
  <c r="H15" i="24"/>
  <c r="G15" i="24"/>
  <c r="H44" i="24"/>
  <c r="F44" i="24"/>
  <c r="G44" i="24"/>
  <c r="J43" i="24"/>
  <c r="K43" i="24"/>
  <c r="O43" i="24"/>
  <c r="S43" i="24"/>
  <c r="H14" i="24"/>
  <c r="G14" i="24"/>
  <c r="F14" i="24"/>
  <c r="G43" i="23"/>
  <c r="F43" i="23"/>
  <c r="H43" i="23"/>
  <c r="H14" i="23"/>
  <c r="F14" i="23"/>
  <c r="G14" i="23"/>
  <c r="O14" i="24"/>
  <c r="K14" i="24"/>
  <c r="G43" i="24"/>
  <c r="H43" i="24"/>
  <c r="F43" i="24"/>
  <c r="C69" i="4"/>
  <c r="S13" i="24"/>
  <c r="O13" i="24"/>
  <c r="S12" i="24"/>
  <c r="O12" i="24"/>
  <c r="I355" i="7"/>
  <c r="Q365" i="7"/>
  <c r="Q384" i="7"/>
  <c r="Q367" i="7"/>
  <c r="Q364" i="7"/>
  <c r="Q380" i="7"/>
  <c r="Q366" i="7"/>
  <c r="Q362" i="7"/>
  <c r="T362" i="7" s="1"/>
  <c r="I380" i="7"/>
  <c r="I363" i="7"/>
  <c r="H364" i="7"/>
  <c r="H383" i="7"/>
  <c r="I368" i="7"/>
  <c r="I362" i="7"/>
  <c r="S27" i="23"/>
  <c r="S28" i="23"/>
  <c r="C85" i="23"/>
  <c r="O28" i="23"/>
  <c r="O86" i="23" s="1"/>
  <c r="C71" i="24"/>
  <c r="J86" i="24"/>
  <c r="J28" i="23"/>
  <c r="K68" i="24"/>
  <c r="O27" i="23"/>
  <c r="K27" i="23"/>
  <c r="K85" i="23" s="1"/>
  <c r="K38" i="23"/>
  <c r="K86" i="24"/>
  <c r="D86" i="24"/>
  <c r="S12" i="23"/>
  <c r="D71" i="24"/>
  <c r="C71" i="23"/>
  <c r="C86" i="23"/>
  <c r="D85" i="24"/>
  <c r="S9" i="24"/>
  <c r="S38" i="23"/>
  <c r="O9" i="24"/>
  <c r="J13" i="23"/>
  <c r="K12" i="4"/>
  <c r="K13" i="23"/>
  <c r="D71" i="23"/>
  <c r="O13" i="23"/>
  <c r="S13" i="23"/>
  <c r="C67" i="23"/>
  <c r="D67" i="24"/>
  <c r="K12" i="23"/>
  <c r="K70" i="23" s="1"/>
  <c r="D85" i="23"/>
  <c r="C86" i="24"/>
  <c r="C67" i="24"/>
  <c r="S38" i="24"/>
  <c r="K9" i="23"/>
  <c r="K41" i="4"/>
  <c r="C70" i="4"/>
  <c r="D70" i="4"/>
  <c r="J12" i="23"/>
  <c r="D70" i="23"/>
  <c r="C70" i="23"/>
  <c r="D70" i="24"/>
  <c r="C70" i="24"/>
  <c r="S9" i="23"/>
  <c r="D67" i="23"/>
  <c r="J38" i="24"/>
  <c r="D86" i="23"/>
  <c r="O86" i="24"/>
  <c r="S14" i="23"/>
  <c r="O14" i="23"/>
  <c r="K14" i="23"/>
  <c r="J14" i="23"/>
  <c r="K15" i="23"/>
  <c r="S15" i="23"/>
  <c r="O15" i="23"/>
  <c r="J15" i="23"/>
  <c r="AA10" i="24"/>
  <c r="N10" i="24"/>
  <c r="S15" i="24"/>
  <c r="N11" i="23"/>
  <c r="AA11" i="23"/>
  <c r="S14" i="24"/>
  <c r="AA39" i="23"/>
  <c r="N11" i="24"/>
  <c r="AA11" i="24"/>
  <c r="AA10" i="23"/>
  <c r="N10" i="23"/>
  <c r="AA40" i="23"/>
  <c r="K69" i="24"/>
  <c r="K14" i="4"/>
  <c r="D73" i="24"/>
  <c r="O68" i="23"/>
  <c r="K68" i="23"/>
  <c r="O69" i="24"/>
  <c r="C73" i="24"/>
  <c r="C72" i="24"/>
  <c r="D72" i="24"/>
  <c r="D73" i="4"/>
  <c r="O68" i="24"/>
  <c r="D73" i="23"/>
  <c r="K15" i="4"/>
  <c r="D72" i="23"/>
  <c r="C72" i="23"/>
  <c r="O69" i="23"/>
  <c r="K69" i="23"/>
  <c r="C75" i="23"/>
  <c r="K43" i="4"/>
  <c r="O43" i="4"/>
  <c r="K44" i="4"/>
  <c r="O44" i="4"/>
  <c r="D67" i="4"/>
  <c r="C73" i="4"/>
  <c r="C72" i="4"/>
  <c r="D72" i="4"/>
  <c r="N384" i="7"/>
  <c r="D462" i="17"/>
  <c r="N364" i="7"/>
  <c r="N365" i="7"/>
  <c r="N383" i="7"/>
  <c r="N368" i="7"/>
  <c r="N366" i="7"/>
  <c r="N381" i="7"/>
  <c r="N367" i="7"/>
  <c r="D461" i="17"/>
  <c r="N363" i="7"/>
  <c r="N380" i="7"/>
  <c r="C67" i="4"/>
  <c r="K38" i="4"/>
  <c r="C68" i="4"/>
  <c r="K39" i="4"/>
  <c r="K68" i="4" s="1"/>
  <c r="D68" i="4"/>
  <c r="I75" i="7"/>
  <c r="J75" i="7" s="1"/>
  <c r="K28" i="4"/>
  <c r="K86" i="4" s="1"/>
  <c r="J28" i="4"/>
  <c r="J86" i="4" s="1"/>
  <c r="K40" i="4"/>
  <c r="K42" i="4"/>
  <c r="K13" i="4"/>
  <c r="D71" i="4"/>
  <c r="C71" i="4"/>
  <c r="K11" i="4"/>
  <c r="D69" i="4"/>
  <c r="J6" i="19"/>
  <c r="S6" i="19" s="1"/>
  <c r="V6" i="19" s="1"/>
  <c r="H7" i="19"/>
  <c r="AA7" i="19" s="1"/>
  <c r="S60" i="15"/>
  <c r="J6" i="6"/>
  <c r="L6" i="6"/>
  <c r="V416" i="7" l="1"/>
  <c r="K416" i="7"/>
  <c r="G696" i="17"/>
  <c r="C696" i="17" s="1"/>
  <c r="C696" i="31" s="1"/>
  <c r="V52" i="29" s="1"/>
  <c r="N615" i="17"/>
  <c r="J615" i="17" s="1"/>
  <c r="J615" i="31" s="1"/>
  <c r="S52" i="29" s="1"/>
  <c r="G642" i="17"/>
  <c r="C642" i="17" s="1"/>
  <c r="R80" i="24" s="1"/>
  <c r="G615" i="17"/>
  <c r="C615" i="17" s="1"/>
  <c r="Q80" i="23" s="1"/>
  <c r="O72" i="4"/>
  <c r="Z57" i="23"/>
  <c r="S73" i="29"/>
  <c r="S77" i="24"/>
  <c r="C669" i="31"/>
  <c r="S77" i="23"/>
  <c r="U44" i="29"/>
  <c r="U15" i="29"/>
  <c r="T15" i="29"/>
  <c r="T44" i="29"/>
  <c r="V44" i="29"/>
  <c r="V15" i="29"/>
  <c r="Z69" i="23"/>
  <c r="Z68" i="23"/>
  <c r="Z14" i="23"/>
  <c r="Z9" i="23"/>
  <c r="Z12" i="24"/>
  <c r="Z9" i="24"/>
  <c r="Z14" i="24"/>
  <c r="Z15" i="24"/>
  <c r="Z42" i="24"/>
  <c r="Z38" i="23"/>
  <c r="Z28" i="23"/>
  <c r="Z86" i="23" s="1"/>
  <c r="Z44" i="24"/>
  <c r="Z43" i="24"/>
  <c r="Z12" i="23"/>
  <c r="Z27" i="23"/>
  <c r="Z15" i="23"/>
  <c r="Z43" i="23"/>
  <c r="Z42" i="23"/>
  <c r="Z13" i="23"/>
  <c r="Z41" i="24"/>
  <c r="Z38" i="24"/>
  <c r="Z44" i="23"/>
  <c r="Z13" i="24"/>
  <c r="Z41" i="23"/>
  <c r="Z56" i="23"/>
  <c r="J701" i="7"/>
  <c r="G628" i="17" s="1"/>
  <c r="C628" i="17" s="1"/>
  <c r="C628" i="31" s="1"/>
  <c r="G690" i="17"/>
  <c r="C690" i="17" s="1"/>
  <c r="C690" i="31" s="1"/>
  <c r="G663" i="17"/>
  <c r="C663" i="17" s="1"/>
  <c r="C663" i="31" s="1"/>
  <c r="G636" i="17"/>
  <c r="C636" i="17" s="1"/>
  <c r="C636" i="31" s="1"/>
  <c r="N609" i="17"/>
  <c r="J609" i="17" s="1"/>
  <c r="G609" i="17"/>
  <c r="C609" i="17" s="1"/>
  <c r="L38" i="29"/>
  <c r="Z38" i="29"/>
  <c r="Z9" i="29"/>
  <c r="O67" i="23"/>
  <c r="V25" i="29"/>
  <c r="V54" i="29"/>
  <c r="V48" i="29"/>
  <c r="V19" i="29"/>
  <c r="H73" i="29"/>
  <c r="R43" i="23"/>
  <c r="V43" i="23"/>
  <c r="R15" i="23"/>
  <c r="V15" i="23"/>
  <c r="AA12" i="23"/>
  <c r="V12" i="23"/>
  <c r="R12" i="23"/>
  <c r="L56" i="23"/>
  <c r="U56" i="23"/>
  <c r="Q56" i="23"/>
  <c r="L14" i="23"/>
  <c r="Q14" i="23"/>
  <c r="U14" i="23"/>
  <c r="L44" i="23"/>
  <c r="U44" i="23"/>
  <c r="Q44" i="23"/>
  <c r="AA42" i="23"/>
  <c r="R42" i="23"/>
  <c r="V42" i="23"/>
  <c r="L41" i="23"/>
  <c r="Q41" i="23"/>
  <c r="U41" i="23"/>
  <c r="L15" i="23"/>
  <c r="U15" i="23"/>
  <c r="Q15" i="23"/>
  <c r="N13" i="23"/>
  <c r="V13" i="23"/>
  <c r="R13" i="23"/>
  <c r="L38" i="23"/>
  <c r="Q38" i="23"/>
  <c r="U38" i="23"/>
  <c r="L9" i="23"/>
  <c r="U9" i="23"/>
  <c r="Q9" i="23"/>
  <c r="L57" i="23"/>
  <c r="U57" i="23"/>
  <c r="Q57" i="23"/>
  <c r="V44" i="23"/>
  <c r="R44" i="23"/>
  <c r="V41" i="23"/>
  <c r="R41" i="23"/>
  <c r="L12" i="23"/>
  <c r="U12" i="23"/>
  <c r="Q12" i="23"/>
  <c r="R56" i="23"/>
  <c r="V56" i="23"/>
  <c r="R14" i="23"/>
  <c r="V14" i="23"/>
  <c r="L43" i="23"/>
  <c r="U43" i="23"/>
  <c r="Q43" i="23"/>
  <c r="L42" i="23"/>
  <c r="Q42" i="23"/>
  <c r="U42" i="23"/>
  <c r="L13" i="23"/>
  <c r="Q13" i="23"/>
  <c r="U13" i="23"/>
  <c r="R57" i="23"/>
  <c r="V57" i="23"/>
  <c r="Q38" i="29"/>
  <c r="Q9" i="29"/>
  <c r="R27" i="23"/>
  <c r="V27" i="23"/>
  <c r="L28" i="23"/>
  <c r="U28" i="23"/>
  <c r="Q28" i="23"/>
  <c r="R28" i="23"/>
  <c r="V28" i="23"/>
  <c r="L27" i="23"/>
  <c r="Q27" i="23"/>
  <c r="U27" i="23"/>
  <c r="V44" i="24"/>
  <c r="R44" i="24"/>
  <c r="L13" i="24"/>
  <c r="Q13" i="24"/>
  <c r="U13" i="24"/>
  <c r="U14" i="24"/>
  <c r="Q14" i="24"/>
  <c r="L14" i="24"/>
  <c r="Q44" i="24"/>
  <c r="U44" i="24"/>
  <c r="L44" i="24"/>
  <c r="U15" i="24"/>
  <c r="L15" i="24"/>
  <c r="Q15" i="24"/>
  <c r="U42" i="24"/>
  <c r="L42" i="24"/>
  <c r="Q42" i="24"/>
  <c r="R13" i="24"/>
  <c r="V13" i="24"/>
  <c r="R41" i="24"/>
  <c r="V41" i="24"/>
  <c r="L43" i="24"/>
  <c r="U43" i="24"/>
  <c r="Q43" i="24"/>
  <c r="R14" i="24"/>
  <c r="V14" i="24"/>
  <c r="R42" i="24"/>
  <c r="V42" i="24"/>
  <c r="Q12" i="24"/>
  <c r="L12" i="24"/>
  <c r="U12" i="24"/>
  <c r="Q9" i="24"/>
  <c r="L9" i="24"/>
  <c r="U9" i="24"/>
  <c r="V43" i="24"/>
  <c r="R43" i="24"/>
  <c r="V15" i="24"/>
  <c r="R15" i="24"/>
  <c r="V12" i="24"/>
  <c r="R12" i="24"/>
  <c r="Q41" i="24"/>
  <c r="U41" i="24"/>
  <c r="L41" i="24"/>
  <c r="L38" i="24"/>
  <c r="Q38" i="24"/>
  <c r="U38" i="24"/>
  <c r="O71" i="4"/>
  <c r="O73" i="4"/>
  <c r="M72" i="24"/>
  <c r="M12" i="23"/>
  <c r="M70" i="23" s="1"/>
  <c r="F409" i="31"/>
  <c r="M409" i="31" s="1"/>
  <c r="M27" i="23"/>
  <c r="M85" i="23" s="1"/>
  <c r="F424" i="31"/>
  <c r="M424" i="31" s="1"/>
  <c r="M10" i="23"/>
  <c r="M68" i="23" s="1"/>
  <c r="F407" i="31"/>
  <c r="M407" i="31" s="1"/>
  <c r="M9" i="24"/>
  <c r="M67" i="24" s="1"/>
  <c r="E406" i="31"/>
  <c r="L406" i="31" s="1"/>
  <c r="M13" i="23"/>
  <c r="M71" i="23" s="1"/>
  <c r="F410" i="31"/>
  <c r="M410" i="31" s="1"/>
  <c r="M15" i="23"/>
  <c r="M73" i="23" s="1"/>
  <c r="F412" i="31"/>
  <c r="M412" i="31" s="1"/>
  <c r="M11" i="23"/>
  <c r="M69" i="23" s="1"/>
  <c r="F408" i="31"/>
  <c r="M408" i="31" s="1"/>
  <c r="M14" i="23"/>
  <c r="M72" i="23" s="1"/>
  <c r="F411" i="31"/>
  <c r="M411" i="31" s="1"/>
  <c r="M28" i="23"/>
  <c r="M86" i="23" s="1"/>
  <c r="F425" i="31"/>
  <c r="M425" i="31" s="1"/>
  <c r="AC70" i="4"/>
  <c r="AC71" i="4"/>
  <c r="M73" i="24"/>
  <c r="AC67" i="29"/>
  <c r="M67" i="23"/>
  <c r="AC67" i="23"/>
  <c r="AC71" i="24"/>
  <c r="M70" i="24"/>
  <c r="AC70" i="24"/>
  <c r="AC67" i="24"/>
  <c r="M71" i="24"/>
  <c r="D417" i="7"/>
  <c r="F417" i="7" s="1"/>
  <c r="O417" i="7"/>
  <c r="Q417" i="7" s="1"/>
  <c r="D418" i="7"/>
  <c r="F418" i="7" s="1"/>
  <c r="O418" i="7"/>
  <c r="Q418" i="7" s="1"/>
  <c r="C416" i="7"/>
  <c r="H416" i="7" s="1"/>
  <c r="N416" i="7"/>
  <c r="S416" i="7" s="1"/>
  <c r="O70" i="4"/>
  <c r="D406" i="17"/>
  <c r="E408" i="17"/>
  <c r="AC67" i="4"/>
  <c r="D461" i="31"/>
  <c r="C461" i="31" s="1"/>
  <c r="N10" i="29" s="1"/>
  <c r="D462" i="31"/>
  <c r="C462" i="31" s="1"/>
  <c r="N40" i="29" s="1"/>
  <c r="G438" i="17"/>
  <c r="C438" i="17" s="1"/>
  <c r="G451" i="17"/>
  <c r="C451" i="17" s="1"/>
  <c r="G433" i="17"/>
  <c r="C433" i="17" s="1"/>
  <c r="G455" i="17"/>
  <c r="C455" i="17" s="1"/>
  <c r="G437" i="17"/>
  <c r="C437" i="17" s="1"/>
  <c r="G673" i="17"/>
  <c r="C673" i="17" s="1"/>
  <c r="G700" i="17"/>
  <c r="C700" i="17" s="1"/>
  <c r="C700" i="31" s="1"/>
  <c r="G656" i="17"/>
  <c r="C656" i="17" s="1"/>
  <c r="C656" i="31" s="1"/>
  <c r="G683" i="17"/>
  <c r="C683" i="17" s="1"/>
  <c r="C683" i="31" s="1"/>
  <c r="G658" i="17"/>
  <c r="C658" i="17" s="1"/>
  <c r="C658" i="31" s="1"/>
  <c r="G685" i="17"/>
  <c r="C685" i="17" s="1"/>
  <c r="C685" i="31" s="1"/>
  <c r="G649" i="17"/>
  <c r="C649" i="17" s="1"/>
  <c r="C649" i="31" s="1"/>
  <c r="G676" i="17"/>
  <c r="C676" i="17" s="1"/>
  <c r="C676" i="31" s="1"/>
  <c r="G644" i="17"/>
  <c r="C644" i="17" s="1"/>
  <c r="C644" i="31" s="1"/>
  <c r="G671" i="17"/>
  <c r="C671" i="17" s="1"/>
  <c r="G638" i="17"/>
  <c r="C638" i="17" s="1"/>
  <c r="G665" i="17"/>
  <c r="C665" i="17" s="1"/>
  <c r="C665" i="31" s="1"/>
  <c r="N619" i="17"/>
  <c r="J619" i="17" s="1"/>
  <c r="G646" i="17"/>
  <c r="C646" i="17" s="1"/>
  <c r="C646" i="31" s="1"/>
  <c r="N602" i="17"/>
  <c r="J602" i="17" s="1"/>
  <c r="J602" i="31" s="1"/>
  <c r="S39" i="29" s="1"/>
  <c r="G629" i="17"/>
  <c r="C629" i="17" s="1"/>
  <c r="C629" i="31" s="1"/>
  <c r="N604" i="17"/>
  <c r="J604" i="17" s="1"/>
  <c r="J604" i="31" s="1"/>
  <c r="S41" i="29" s="1"/>
  <c r="G631" i="17"/>
  <c r="C631" i="17" s="1"/>
  <c r="C631" i="31" s="1"/>
  <c r="G622" i="17"/>
  <c r="C622" i="17" s="1"/>
  <c r="C622" i="31" s="1"/>
  <c r="N622" i="17"/>
  <c r="J622" i="17" s="1"/>
  <c r="J622" i="31" s="1"/>
  <c r="G617" i="17"/>
  <c r="C617" i="17" s="1"/>
  <c r="N617" i="17"/>
  <c r="J617" i="17" s="1"/>
  <c r="G611" i="17"/>
  <c r="C611" i="17" s="1"/>
  <c r="N611" i="17"/>
  <c r="J611" i="17" s="1"/>
  <c r="G619" i="17"/>
  <c r="C619" i="17" s="1"/>
  <c r="C619" i="31" s="1"/>
  <c r="S27" i="29" s="1"/>
  <c r="G602" i="17"/>
  <c r="C602" i="17" s="1"/>
  <c r="C602" i="31" s="1"/>
  <c r="S10" i="29" s="1"/>
  <c r="G604" i="17"/>
  <c r="C604" i="17" s="1"/>
  <c r="C604" i="31" s="1"/>
  <c r="S12" i="29" s="1"/>
  <c r="J720" i="7"/>
  <c r="J723" i="7"/>
  <c r="G704" i="17" s="1"/>
  <c r="C704" i="17" s="1"/>
  <c r="C704" i="31" s="1"/>
  <c r="G452" i="17"/>
  <c r="C452" i="17" s="1"/>
  <c r="G449" i="17"/>
  <c r="C449" i="17" s="1"/>
  <c r="G439" i="17"/>
  <c r="C439" i="17" s="1"/>
  <c r="G436" i="17"/>
  <c r="C436" i="17" s="1"/>
  <c r="G434" i="17"/>
  <c r="C434" i="17" s="1"/>
  <c r="G435" i="17"/>
  <c r="C435" i="17" s="1"/>
  <c r="J705" i="7"/>
  <c r="G686" i="17" s="1"/>
  <c r="C686" i="17" s="1"/>
  <c r="C686" i="31" s="1"/>
  <c r="J718" i="7"/>
  <c r="J712" i="7"/>
  <c r="G693" i="17" s="1"/>
  <c r="C693" i="17" s="1"/>
  <c r="C693" i="31" s="1"/>
  <c r="J706" i="7"/>
  <c r="G687" i="17" s="1"/>
  <c r="C687" i="17" s="1"/>
  <c r="C687" i="31" s="1"/>
  <c r="J714" i="7"/>
  <c r="G695" i="17" s="1"/>
  <c r="C695" i="17" s="1"/>
  <c r="C695" i="31" s="1"/>
  <c r="J713" i="7"/>
  <c r="G694" i="17" s="1"/>
  <c r="C694" i="17" s="1"/>
  <c r="C694" i="31" s="1"/>
  <c r="J710" i="7"/>
  <c r="G691" i="17" s="1"/>
  <c r="C691" i="17" s="1"/>
  <c r="C691" i="31" s="1"/>
  <c r="J703" i="7"/>
  <c r="G684" i="17" s="1"/>
  <c r="C684" i="17" s="1"/>
  <c r="C684" i="31" s="1"/>
  <c r="S362" i="7"/>
  <c r="U362" i="7" s="1"/>
  <c r="J351" i="7"/>
  <c r="J355" i="7"/>
  <c r="H71" i="29"/>
  <c r="H70" i="29"/>
  <c r="H69" i="29"/>
  <c r="H68" i="29"/>
  <c r="H67" i="29"/>
  <c r="J67" i="29"/>
  <c r="O67" i="29"/>
  <c r="AA38" i="29"/>
  <c r="N38" i="29"/>
  <c r="R38" i="29"/>
  <c r="G67" i="29"/>
  <c r="K67" i="29"/>
  <c r="AA9" i="29"/>
  <c r="N9" i="29"/>
  <c r="R9" i="29"/>
  <c r="F67" i="29"/>
  <c r="H79" i="2"/>
  <c r="D31" i="23" s="1"/>
  <c r="H78" i="2"/>
  <c r="D30" i="4" s="1"/>
  <c r="O67" i="24"/>
  <c r="O70" i="24"/>
  <c r="AA28" i="23"/>
  <c r="N28" i="23"/>
  <c r="AA27" i="23"/>
  <c r="N27" i="23"/>
  <c r="N56" i="23"/>
  <c r="AA56" i="23"/>
  <c r="AA57" i="23"/>
  <c r="N57" i="23"/>
  <c r="N41" i="23"/>
  <c r="AA41" i="24"/>
  <c r="N41" i="24"/>
  <c r="AA42" i="24"/>
  <c r="N42" i="24"/>
  <c r="N42" i="23"/>
  <c r="N44" i="24"/>
  <c r="AA44" i="24"/>
  <c r="N44" i="23"/>
  <c r="AA43" i="24"/>
  <c r="N43" i="24"/>
  <c r="N43" i="23"/>
  <c r="O71" i="23"/>
  <c r="O85" i="24"/>
  <c r="F62" i="7"/>
  <c r="H380" i="7"/>
  <c r="J380" i="7" s="1"/>
  <c r="I383" i="7"/>
  <c r="J383" i="7" s="1"/>
  <c r="H363" i="7"/>
  <c r="J363" i="7" s="1"/>
  <c r="H368" i="7"/>
  <c r="J368" i="7" s="1"/>
  <c r="O85" i="23"/>
  <c r="H362" i="7"/>
  <c r="J362" i="7" s="1"/>
  <c r="H366" i="7"/>
  <c r="I366" i="7"/>
  <c r="I364" i="7"/>
  <c r="J364" i="7" s="1"/>
  <c r="N9" i="24"/>
  <c r="AA13" i="23"/>
  <c r="K67" i="23"/>
  <c r="J85" i="24"/>
  <c r="V9" i="23"/>
  <c r="V9" i="24"/>
  <c r="R9" i="23"/>
  <c r="J86" i="23"/>
  <c r="K67" i="24"/>
  <c r="K85" i="24"/>
  <c r="N38" i="24"/>
  <c r="R38" i="24"/>
  <c r="AA13" i="24"/>
  <c r="N13" i="24"/>
  <c r="K71" i="24"/>
  <c r="O71" i="24"/>
  <c r="K71" i="23"/>
  <c r="V38" i="23"/>
  <c r="R9" i="24"/>
  <c r="N9" i="23"/>
  <c r="V38" i="24"/>
  <c r="AA12" i="24"/>
  <c r="AA41" i="23"/>
  <c r="K70" i="4"/>
  <c r="N12" i="24"/>
  <c r="N38" i="23"/>
  <c r="AA38" i="23"/>
  <c r="R38" i="23"/>
  <c r="K70" i="24"/>
  <c r="N12" i="23"/>
  <c r="I367" i="7"/>
  <c r="H367" i="7"/>
  <c r="I381" i="7"/>
  <c r="H381" i="7"/>
  <c r="H365" i="7"/>
  <c r="I365" i="7"/>
  <c r="I384" i="7"/>
  <c r="H384" i="7"/>
  <c r="Q69" i="23"/>
  <c r="S363" i="7"/>
  <c r="T363" i="7"/>
  <c r="T368" i="7"/>
  <c r="S368" i="7"/>
  <c r="T384" i="7"/>
  <c r="S384" i="7"/>
  <c r="T380" i="7"/>
  <c r="S380" i="7"/>
  <c r="S383" i="7"/>
  <c r="T383" i="7"/>
  <c r="T364" i="7"/>
  <c r="S364" i="7"/>
  <c r="T367" i="7"/>
  <c r="S367" i="7"/>
  <c r="T381" i="7"/>
  <c r="S381" i="7"/>
  <c r="S365" i="7"/>
  <c r="T365" i="7"/>
  <c r="T366" i="7"/>
  <c r="S366" i="7"/>
  <c r="G61" i="17"/>
  <c r="C61" i="17" s="1"/>
  <c r="K61" i="17" s="1"/>
  <c r="K75" i="7"/>
  <c r="AA15" i="24"/>
  <c r="N15" i="24"/>
  <c r="Q68" i="23"/>
  <c r="AA15" i="23"/>
  <c r="N15" i="23"/>
  <c r="AA14" i="23"/>
  <c r="N14" i="23"/>
  <c r="AA44" i="23"/>
  <c r="AA43" i="23"/>
  <c r="AA14" i="24"/>
  <c r="N14" i="24"/>
  <c r="K72" i="4"/>
  <c r="K72" i="24"/>
  <c r="O72" i="23"/>
  <c r="O73" i="24"/>
  <c r="K73" i="4"/>
  <c r="O73" i="23"/>
  <c r="K73" i="24"/>
  <c r="O72" i="24"/>
  <c r="K73" i="23"/>
  <c r="K72" i="23"/>
  <c r="O67" i="4"/>
  <c r="H69" i="7"/>
  <c r="M5" i="6"/>
  <c r="P5" i="6"/>
  <c r="K71" i="4"/>
  <c r="K69" i="4"/>
  <c r="G8" i="19"/>
  <c r="M7" i="19" s="1"/>
  <c r="I8" i="19"/>
  <c r="K6" i="6"/>
  <c r="L7" i="6" s="1"/>
  <c r="V23" i="29" l="1"/>
  <c r="V81" i="29" s="1"/>
  <c r="C642" i="31"/>
  <c r="T23" i="29" s="1"/>
  <c r="C615" i="31"/>
  <c r="S23" i="29" s="1"/>
  <c r="S81" i="29" s="1"/>
  <c r="S52" i="4"/>
  <c r="S23" i="4"/>
  <c r="S23" i="23"/>
  <c r="Q80" i="24"/>
  <c r="R80" i="23"/>
  <c r="U73" i="29"/>
  <c r="U52" i="29"/>
  <c r="U23" i="29"/>
  <c r="U46" i="29"/>
  <c r="U17" i="29"/>
  <c r="T73" i="29"/>
  <c r="S46" i="4"/>
  <c r="J609" i="31"/>
  <c r="S46" i="29" s="1"/>
  <c r="T46" i="29"/>
  <c r="T17" i="29"/>
  <c r="C609" i="31"/>
  <c r="S17" i="29" s="1"/>
  <c r="S17" i="4"/>
  <c r="S17" i="23"/>
  <c r="V46" i="29"/>
  <c r="V17" i="29"/>
  <c r="V73" i="29"/>
  <c r="L73" i="23"/>
  <c r="Z71" i="23"/>
  <c r="Z73" i="23"/>
  <c r="Z67" i="23"/>
  <c r="Z85" i="23"/>
  <c r="Z72" i="23"/>
  <c r="Z70" i="23"/>
  <c r="G601" i="17"/>
  <c r="C601" i="17" s="1"/>
  <c r="C601" i="31" s="1"/>
  <c r="S9" i="29" s="1"/>
  <c r="G682" i="17"/>
  <c r="C682" i="17" s="1"/>
  <c r="C682" i="31" s="1"/>
  <c r="V9" i="29" s="1"/>
  <c r="N601" i="17"/>
  <c r="J601" i="17" s="1"/>
  <c r="J601" i="31" s="1"/>
  <c r="S38" i="29" s="1"/>
  <c r="G655" i="17"/>
  <c r="C655" i="17" s="1"/>
  <c r="C655" i="31" s="1"/>
  <c r="U38" i="29" s="1"/>
  <c r="Z67" i="29"/>
  <c r="V50" i="29"/>
  <c r="V21" i="29"/>
  <c r="V51" i="29"/>
  <c r="V22" i="29"/>
  <c r="V42" i="29"/>
  <c r="V13" i="29"/>
  <c r="V39" i="29"/>
  <c r="V10" i="29"/>
  <c r="V40" i="29"/>
  <c r="V11" i="29"/>
  <c r="V14" i="29"/>
  <c r="V43" i="29"/>
  <c r="V47" i="29"/>
  <c r="V18" i="29"/>
  <c r="V49" i="29"/>
  <c r="V20" i="29"/>
  <c r="V12" i="29"/>
  <c r="V41" i="29"/>
  <c r="V27" i="29"/>
  <c r="V56" i="29"/>
  <c r="U41" i="29"/>
  <c r="U12" i="29"/>
  <c r="U48" i="29"/>
  <c r="U19" i="29"/>
  <c r="U10" i="29"/>
  <c r="U39" i="29"/>
  <c r="T25" i="29"/>
  <c r="T54" i="29"/>
  <c r="T10" i="29"/>
  <c r="T39" i="29"/>
  <c r="T12" i="29"/>
  <c r="T41" i="29"/>
  <c r="T56" i="29"/>
  <c r="T27" i="29"/>
  <c r="I416" i="7"/>
  <c r="J416" i="7" s="1"/>
  <c r="G406" i="17" s="1"/>
  <c r="C406" i="17" s="1"/>
  <c r="M9" i="4" s="1"/>
  <c r="T416" i="7"/>
  <c r="U416" i="7" s="1"/>
  <c r="N406" i="17" s="1"/>
  <c r="J406" i="17" s="1"/>
  <c r="M38" i="4" s="1"/>
  <c r="M11" i="24"/>
  <c r="M69" i="24" s="1"/>
  <c r="E408" i="31"/>
  <c r="L408" i="31" s="1"/>
  <c r="D406" i="31"/>
  <c r="S70" i="29"/>
  <c r="C671" i="31"/>
  <c r="S79" i="23"/>
  <c r="S79" i="24"/>
  <c r="C673" i="31"/>
  <c r="S81" i="24"/>
  <c r="S81" i="23"/>
  <c r="S68" i="29"/>
  <c r="S54" i="4"/>
  <c r="J617" i="31"/>
  <c r="S54" i="29" s="1"/>
  <c r="S56" i="4"/>
  <c r="J619" i="31"/>
  <c r="S56" i="29" s="1"/>
  <c r="S85" i="29" s="1"/>
  <c r="J611" i="31"/>
  <c r="S48" i="29" s="1"/>
  <c r="S48" i="4"/>
  <c r="V77" i="29"/>
  <c r="C617" i="31"/>
  <c r="S25" i="29" s="1"/>
  <c r="S25" i="4"/>
  <c r="C611" i="31"/>
  <c r="S19" i="29" s="1"/>
  <c r="Q76" i="24"/>
  <c r="S19" i="23"/>
  <c r="S19" i="4"/>
  <c r="Q76" i="23"/>
  <c r="R76" i="24"/>
  <c r="C638" i="31"/>
  <c r="R76" i="23"/>
  <c r="V83" i="29"/>
  <c r="AC31" i="23"/>
  <c r="M31" i="23"/>
  <c r="N39" i="29"/>
  <c r="N68" i="29" s="1"/>
  <c r="E407" i="17"/>
  <c r="N11" i="29"/>
  <c r="N69" i="29" s="1"/>
  <c r="G674" i="17"/>
  <c r="C674" i="17" s="1"/>
  <c r="C674" i="31" s="1"/>
  <c r="G701" i="17"/>
  <c r="C701" i="17" s="1"/>
  <c r="C701" i="31" s="1"/>
  <c r="G672" i="17"/>
  <c r="C672" i="17" s="1"/>
  <c r="G699" i="17"/>
  <c r="C699" i="17" s="1"/>
  <c r="G640" i="17"/>
  <c r="C640" i="17" s="1"/>
  <c r="G667" i="17"/>
  <c r="C667" i="17" s="1"/>
  <c r="G641" i="17"/>
  <c r="C641" i="17" s="1"/>
  <c r="G668" i="17"/>
  <c r="C668" i="17" s="1"/>
  <c r="G632" i="17"/>
  <c r="C632" i="17" s="1"/>
  <c r="C632" i="31" s="1"/>
  <c r="G659" i="17"/>
  <c r="C659" i="17" s="1"/>
  <c r="C659" i="31" s="1"/>
  <c r="G630" i="17"/>
  <c r="C630" i="17" s="1"/>
  <c r="C630" i="31" s="1"/>
  <c r="G657" i="17"/>
  <c r="C657" i="17" s="1"/>
  <c r="C657" i="31" s="1"/>
  <c r="G633" i="17"/>
  <c r="C633" i="17" s="1"/>
  <c r="C633" i="31" s="1"/>
  <c r="G660" i="17"/>
  <c r="C660" i="17" s="1"/>
  <c r="C660" i="31" s="1"/>
  <c r="G650" i="17"/>
  <c r="C650" i="17" s="1"/>
  <c r="C650" i="31" s="1"/>
  <c r="G677" i="17"/>
  <c r="C677" i="17" s="1"/>
  <c r="C677" i="31" s="1"/>
  <c r="G637" i="17"/>
  <c r="C637" i="17" s="1"/>
  <c r="G664" i="17"/>
  <c r="C664" i="17" s="1"/>
  <c r="C664" i="31" s="1"/>
  <c r="G639" i="17"/>
  <c r="C639" i="17" s="1"/>
  <c r="G666" i="17"/>
  <c r="C666" i="17" s="1"/>
  <c r="C666" i="31" s="1"/>
  <c r="N620" i="17"/>
  <c r="J620" i="17" s="1"/>
  <c r="G647" i="17"/>
  <c r="C647" i="17" s="1"/>
  <c r="C647" i="31" s="1"/>
  <c r="N618" i="17"/>
  <c r="J618" i="17" s="1"/>
  <c r="G645" i="17"/>
  <c r="C645" i="17" s="1"/>
  <c r="C645" i="31" s="1"/>
  <c r="G610" i="17"/>
  <c r="C610" i="17" s="1"/>
  <c r="N610" i="17"/>
  <c r="J610" i="17" s="1"/>
  <c r="G613" i="17"/>
  <c r="C613" i="17" s="1"/>
  <c r="N613" i="17"/>
  <c r="J613" i="17" s="1"/>
  <c r="G605" i="17"/>
  <c r="C605" i="17" s="1"/>
  <c r="C605" i="31" s="1"/>
  <c r="S13" i="29" s="1"/>
  <c r="N605" i="17"/>
  <c r="J605" i="17" s="1"/>
  <c r="J605" i="31" s="1"/>
  <c r="S42" i="29" s="1"/>
  <c r="G614" i="17"/>
  <c r="C614" i="17" s="1"/>
  <c r="N614" i="17"/>
  <c r="J614" i="17" s="1"/>
  <c r="G603" i="17"/>
  <c r="C603" i="17" s="1"/>
  <c r="C603" i="31" s="1"/>
  <c r="S11" i="29" s="1"/>
  <c r="N603" i="17"/>
  <c r="J603" i="17" s="1"/>
  <c r="J603" i="31" s="1"/>
  <c r="S40" i="29" s="1"/>
  <c r="G606" i="17"/>
  <c r="C606" i="17" s="1"/>
  <c r="C606" i="31" s="1"/>
  <c r="S14" i="29" s="1"/>
  <c r="N606" i="17"/>
  <c r="J606" i="17" s="1"/>
  <c r="J606" i="31" s="1"/>
  <c r="S43" i="29" s="1"/>
  <c r="G623" i="17"/>
  <c r="C623" i="17" s="1"/>
  <c r="C623" i="31" s="1"/>
  <c r="N623" i="17"/>
  <c r="J623" i="17" s="1"/>
  <c r="J623" i="31" s="1"/>
  <c r="G612" i="17"/>
  <c r="C612" i="17" s="1"/>
  <c r="N612" i="17"/>
  <c r="J612" i="17" s="1"/>
  <c r="G620" i="17"/>
  <c r="C620" i="17" s="1"/>
  <c r="C620" i="31" s="1"/>
  <c r="S28" i="29" s="1"/>
  <c r="G618" i="17"/>
  <c r="C618" i="17" s="1"/>
  <c r="G454" i="17"/>
  <c r="C454" i="17" s="1"/>
  <c r="G450" i="17"/>
  <c r="C450" i="17" s="1"/>
  <c r="U366" i="7"/>
  <c r="C30" i="23"/>
  <c r="C60" i="24"/>
  <c r="D30" i="23"/>
  <c r="C59" i="23"/>
  <c r="G460" i="17"/>
  <c r="C460" i="17" s="1"/>
  <c r="U381" i="7"/>
  <c r="U364" i="7"/>
  <c r="G462" i="17" s="1"/>
  <c r="U380" i="7"/>
  <c r="G478" i="17" s="1"/>
  <c r="U368" i="7"/>
  <c r="G466" i="17" s="1"/>
  <c r="U367" i="7"/>
  <c r="U384" i="7"/>
  <c r="J365" i="7"/>
  <c r="J366" i="7"/>
  <c r="U365" i="7"/>
  <c r="U363" i="7"/>
  <c r="G461" i="17" s="1"/>
  <c r="I69" i="7"/>
  <c r="J69" i="7" s="1"/>
  <c r="K69" i="7" s="1"/>
  <c r="U383" i="7"/>
  <c r="H62" i="7"/>
  <c r="I62" i="7" s="1"/>
  <c r="J367" i="7"/>
  <c r="J384" i="7"/>
  <c r="J381" i="7"/>
  <c r="C31" i="23"/>
  <c r="F31" i="23" s="1"/>
  <c r="C60" i="23"/>
  <c r="D30" i="24"/>
  <c r="AC30" i="24" s="1"/>
  <c r="C30" i="4"/>
  <c r="C59" i="29"/>
  <c r="D30" i="29"/>
  <c r="AC30" i="29" s="1"/>
  <c r="C30" i="29"/>
  <c r="D59" i="29"/>
  <c r="AC59" i="29" s="1"/>
  <c r="D60" i="4"/>
  <c r="C31" i="29"/>
  <c r="D60" i="29"/>
  <c r="AC60" i="29" s="1"/>
  <c r="C60" i="29"/>
  <c r="D31" i="29"/>
  <c r="AC31" i="29" s="1"/>
  <c r="D59" i="4"/>
  <c r="C31" i="4"/>
  <c r="C30" i="24"/>
  <c r="R67" i="29"/>
  <c r="N67" i="29"/>
  <c r="Q67" i="29"/>
  <c r="AA67" i="29"/>
  <c r="D59" i="24"/>
  <c r="AC59" i="24" s="1"/>
  <c r="C59" i="4"/>
  <c r="C59" i="24"/>
  <c r="C31" i="24"/>
  <c r="C60" i="4"/>
  <c r="D31" i="24"/>
  <c r="AC31" i="24" s="1"/>
  <c r="D31" i="4"/>
  <c r="D59" i="23"/>
  <c r="D60" i="24"/>
  <c r="AC60" i="24" s="1"/>
  <c r="D60" i="23"/>
  <c r="Q70" i="23"/>
  <c r="Q71" i="23"/>
  <c r="Q67" i="23"/>
  <c r="O30" i="4"/>
  <c r="Q73" i="23"/>
  <c r="O31" i="23"/>
  <c r="K31" i="23"/>
  <c r="J31" i="23"/>
  <c r="S31" i="23"/>
  <c r="Q72" i="23"/>
  <c r="Q73" i="24"/>
  <c r="S39" i="4"/>
  <c r="S41" i="4"/>
  <c r="S44" i="4"/>
  <c r="F67" i="7"/>
  <c r="J27" i="4"/>
  <c r="J85" i="4" s="1"/>
  <c r="K27" i="4"/>
  <c r="K85" i="4" s="1"/>
  <c r="J7" i="19"/>
  <c r="S7" i="19" s="1"/>
  <c r="V7" i="19" s="1"/>
  <c r="H8" i="19"/>
  <c r="AA8" i="19" s="1"/>
  <c r="J7" i="6"/>
  <c r="AD6" i="6"/>
  <c r="T52" i="29" l="1"/>
  <c r="T81" i="29" s="1"/>
  <c r="S81" i="4"/>
  <c r="V38" i="29"/>
  <c r="V67" i="29" s="1"/>
  <c r="S38" i="4"/>
  <c r="S75" i="4"/>
  <c r="U9" i="29"/>
  <c r="U67" i="29" s="1"/>
  <c r="U75" i="29"/>
  <c r="U81" i="29"/>
  <c r="S75" i="29"/>
  <c r="V75" i="29"/>
  <c r="T75" i="29"/>
  <c r="S67" i="29"/>
  <c r="M67" i="4"/>
  <c r="V57" i="29"/>
  <c r="V28" i="29"/>
  <c r="U49" i="29"/>
  <c r="U20" i="29"/>
  <c r="U40" i="29"/>
  <c r="U11" i="29"/>
  <c r="U54" i="29"/>
  <c r="U25" i="29"/>
  <c r="U47" i="29"/>
  <c r="U18" i="29"/>
  <c r="U43" i="29"/>
  <c r="U14" i="29"/>
  <c r="U42" i="29"/>
  <c r="U13" i="29"/>
  <c r="U56" i="29"/>
  <c r="U27" i="29"/>
  <c r="U57" i="29"/>
  <c r="U28" i="29"/>
  <c r="T57" i="29"/>
  <c r="T28" i="29"/>
  <c r="T43" i="29"/>
  <c r="T14" i="29"/>
  <c r="T42" i="29"/>
  <c r="T13" i="29"/>
  <c r="T48" i="29"/>
  <c r="T19" i="29"/>
  <c r="T55" i="29"/>
  <c r="T26" i="29"/>
  <c r="T40" i="29"/>
  <c r="T11" i="29"/>
  <c r="L31" i="23"/>
  <c r="U31" i="23"/>
  <c r="Q31" i="23"/>
  <c r="AC89" i="29"/>
  <c r="AC32" i="29"/>
  <c r="U41" i="25" s="1"/>
  <c r="AC88" i="29"/>
  <c r="AC61" i="29"/>
  <c r="V41" i="25" s="1"/>
  <c r="K406" i="31"/>
  <c r="C406" i="31"/>
  <c r="M10" i="24"/>
  <c r="M68" i="24" s="1"/>
  <c r="E407" i="31"/>
  <c r="L407" i="31" s="1"/>
  <c r="S40" i="4"/>
  <c r="S83" i="29"/>
  <c r="S77" i="29"/>
  <c r="S83" i="4"/>
  <c r="S42" i="4"/>
  <c r="S43" i="4"/>
  <c r="U77" i="29"/>
  <c r="U70" i="29"/>
  <c r="U68" i="29"/>
  <c r="C672" i="31"/>
  <c r="S80" i="23"/>
  <c r="S80" i="24"/>
  <c r="C667" i="31"/>
  <c r="S75" i="24"/>
  <c r="S75" i="23"/>
  <c r="C668" i="31"/>
  <c r="S76" i="24"/>
  <c r="S76" i="23"/>
  <c r="S72" i="29"/>
  <c r="S69" i="29"/>
  <c r="S71" i="29"/>
  <c r="S77" i="4"/>
  <c r="S55" i="4"/>
  <c r="J618" i="31"/>
  <c r="S55" i="29" s="1"/>
  <c r="J610" i="31"/>
  <c r="S47" i="29" s="1"/>
  <c r="S47" i="4"/>
  <c r="S57" i="4"/>
  <c r="J620" i="31"/>
  <c r="S57" i="29" s="1"/>
  <c r="S86" i="29" s="1"/>
  <c r="S49" i="4"/>
  <c r="J612" i="31"/>
  <c r="S49" i="29" s="1"/>
  <c r="S51" i="4"/>
  <c r="J614" i="31"/>
  <c r="S51" i="29" s="1"/>
  <c r="S50" i="4"/>
  <c r="J613" i="31"/>
  <c r="S50" i="29" s="1"/>
  <c r="V70" i="29"/>
  <c r="T70" i="29"/>
  <c r="V80" i="29"/>
  <c r="V79" i="29"/>
  <c r="V85" i="29"/>
  <c r="V72" i="29"/>
  <c r="V71" i="29"/>
  <c r="C612" i="31"/>
  <c r="S20" i="29" s="1"/>
  <c r="S20" i="4"/>
  <c r="S20" i="23"/>
  <c r="Q77" i="24"/>
  <c r="Q77" i="23"/>
  <c r="C614" i="31"/>
  <c r="S22" i="29" s="1"/>
  <c r="S22" i="23"/>
  <c r="S22" i="4"/>
  <c r="Q79" i="23"/>
  <c r="Q79" i="24"/>
  <c r="C613" i="31"/>
  <c r="S21" i="29" s="1"/>
  <c r="Q78" i="23"/>
  <c r="S21" i="4"/>
  <c r="S21" i="23"/>
  <c r="Q78" i="24"/>
  <c r="C639" i="31"/>
  <c r="R77" i="24"/>
  <c r="R77" i="23"/>
  <c r="C641" i="31"/>
  <c r="R79" i="23"/>
  <c r="R79" i="24"/>
  <c r="V76" i="29"/>
  <c r="V69" i="29"/>
  <c r="T68" i="29"/>
  <c r="C610" i="31"/>
  <c r="S18" i="29" s="1"/>
  <c r="Q75" i="23"/>
  <c r="Q75" i="24"/>
  <c r="S18" i="23"/>
  <c r="S18" i="4"/>
  <c r="C637" i="31"/>
  <c r="R75" i="24"/>
  <c r="R75" i="23"/>
  <c r="C640" i="31"/>
  <c r="R78" i="23"/>
  <c r="R78" i="24"/>
  <c r="C618" i="31"/>
  <c r="S26" i="29" s="1"/>
  <c r="S26" i="4"/>
  <c r="C699" i="31"/>
  <c r="T80" i="24"/>
  <c r="T85" i="29"/>
  <c r="V78" i="29"/>
  <c r="V68" i="29"/>
  <c r="T83" i="29"/>
  <c r="AC32" i="24"/>
  <c r="I41" i="25" s="1"/>
  <c r="M59" i="23"/>
  <c r="AC59" i="23"/>
  <c r="K30" i="23"/>
  <c r="K32" i="23" s="1"/>
  <c r="O21" i="25" s="1"/>
  <c r="M30" i="23"/>
  <c r="M32" i="23" s="1"/>
  <c r="O23" i="25" s="1"/>
  <c r="AC30" i="23"/>
  <c r="AC32" i="23" s="1"/>
  <c r="O41" i="25" s="1"/>
  <c r="K31" i="4"/>
  <c r="AC60" i="23"/>
  <c r="AC89" i="23" s="1"/>
  <c r="M60" i="23"/>
  <c r="M89" i="23" s="1"/>
  <c r="AC61" i="24"/>
  <c r="J41" i="25" s="1"/>
  <c r="K31" i="24"/>
  <c r="M31" i="24"/>
  <c r="J60" i="24"/>
  <c r="AC89" i="24"/>
  <c r="M60" i="24"/>
  <c r="S59" i="24"/>
  <c r="M59" i="24"/>
  <c r="K30" i="24"/>
  <c r="M30" i="24"/>
  <c r="S59" i="4"/>
  <c r="AC59" i="4"/>
  <c r="J60" i="4"/>
  <c r="AC60" i="4"/>
  <c r="G464" i="17"/>
  <c r="C464" i="17" s="1"/>
  <c r="S30" i="23"/>
  <c r="H30" i="23"/>
  <c r="J30" i="23"/>
  <c r="F30" i="23"/>
  <c r="C88" i="23"/>
  <c r="D32" i="23"/>
  <c r="O11" i="25" s="1"/>
  <c r="O30" i="23"/>
  <c r="O32" i="23" s="1"/>
  <c r="G30" i="23"/>
  <c r="G59" i="23"/>
  <c r="C61" i="23"/>
  <c r="P10" i="25" s="1"/>
  <c r="O60" i="4"/>
  <c r="G465" i="17"/>
  <c r="C465" i="17" s="1"/>
  <c r="G479" i="17"/>
  <c r="C479" i="17" s="1"/>
  <c r="N435" i="7" s="1"/>
  <c r="G482" i="17"/>
  <c r="C482" i="17" s="1"/>
  <c r="C466" i="17"/>
  <c r="N422" i="7" s="1"/>
  <c r="G463" i="17"/>
  <c r="C463" i="17" s="1"/>
  <c r="C478" i="17"/>
  <c r="N434" i="7" s="1"/>
  <c r="G481" i="17"/>
  <c r="C481" i="17" s="1"/>
  <c r="J62" i="7"/>
  <c r="G55" i="17"/>
  <c r="C55" i="17" s="1"/>
  <c r="K55" i="17" s="1"/>
  <c r="G31" i="23"/>
  <c r="Z31" i="23" s="1"/>
  <c r="C32" i="23"/>
  <c r="O10" i="25" s="1"/>
  <c r="D88" i="23"/>
  <c r="H31" i="23"/>
  <c r="H30" i="24"/>
  <c r="C89" i="23"/>
  <c r="G60" i="24"/>
  <c r="C32" i="24"/>
  <c r="I10" i="25" s="1"/>
  <c r="C88" i="4"/>
  <c r="H60" i="23"/>
  <c r="O31" i="4"/>
  <c r="D89" i="4"/>
  <c r="S30" i="24"/>
  <c r="C88" i="24"/>
  <c r="F59" i="24"/>
  <c r="O59" i="24"/>
  <c r="K59" i="4"/>
  <c r="K59" i="24"/>
  <c r="K88" i="24" s="1"/>
  <c r="C32" i="4"/>
  <c r="C10" i="25" s="1"/>
  <c r="C89" i="24"/>
  <c r="D88" i="24"/>
  <c r="D61" i="4"/>
  <c r="D11" i="25" s="1"/>
  <c r="D32" i="24"/>
  <c r="I11" i="25" s="1"/>
  <c r="J31" i="4"/>
  <c r="S60" i="24"/>
  <c r="J30" i="24"/>
  <c r="S60" i="4"/>
  <c r="F31" i="24"/>
  <c r="S31" i="24"/>
  <c r="J31" i="24"/>
  <c r="K60" i="4"/>
  <c r="O30" i="24"/>
  <c r="G60" i="23"/>
  <c r="F30" i="24"/>
  <c r="C61" i="4"/>
  <c r="D10" i="25" s="1"/>
  <c r="D89" i="24"/>
  <c r="C61" i="24"/>
  <c r="J10" i="25" s="1"/>
  <c r="D32" i="4"/>
  <c r="G59" i="24"/>
  <c r="J59" i="24"/>
  <c r="J59" i="4"/>
  <c r="D61" i="24"/>
  <c r="J11" i="25" s="1"/>
  <c r="F60" i="24"/>
  <c r="H59" i="24"/>
  <c r="D88" i="4"/>
  <c r="C89" i="4"/>
  <c r="G30" i="24"/>
  <c r="O59" i="4"/>
  <c r="O88" i="4" s="1"/>
  <c r="H31" i="29"/>
  <c r="E31" i="29"/>
  <c r="Y31" i="29" s="1"/>
  <c r="G31" i="29"/>
  <c r="F31" i="29"/>
  <c r="G30" i="29"/>
  <c r="H30" i="29"/>
  <c r="F30" i="29"/>
  <c r="E30" i="29"/>
  <c r="Y30" i="29" s="1"/>
  <c r="C32" i="29"/>
  <c r="U10" i="25" s="1"/>
  <c r="O31" i="29"/>
  <c r="S31" i="29"/>
  <c r="K31" i="29"/>
  <c r="J31" i="29"/>
  <c r="S30" i="29"/>
  <c r="O30" i="29"/>
  <c r="K30" i="29"/>
  <c r="J30" i="29"/>
  <c r="D32" i="29"/>
  <c r="U11" i="25" s="1"/>
  <c r="C89" i="29"/>
  <c r="G60" i="29"/>
  <c r="H60" i="29"/>
  <c r="E60" i="29"/>
  <c r="Y60" i="29" s="1"/>
  <c r="F60" i="29"/>
  <c r="L60" i="29" s="1"/>
  <c r="C88" i="29"/>
  <c r="H59" i="29"/>
  <c r="F59" i="29"/>
  <c r="L59" i="29" s="1"/>
  <c r="G59" i="29"/>
  <c r="E59" i="29"/>
  <c r="Y59" i="29" s="1"/>
  <c r="C61" i="29"/>
  <c r="S60" i="29"/>
  <c r="O60" i="29"/>
  <c r="D89" i="29"/>
  <c r="K60" i="29"/>
  <c r="J60" i="29"/>
  <c r="S59" i="29"/>
  <c r="O59" i="29"/>
  <c r="D88" i="29"/>
  <c r="J59" i="29"/>
  <c r="K59" i="29"/>
  <c r="D61" i="29"/>
  <c r="C461" i="17"/>
  <c r="K60" i="24"/>
  <c r="C462" i="17"/>
  <c r="H60" i="24"/>
  <c r="F59" i="23"/>
  <c r="O60" i="24"/>
  <c r="G31" i="24"/>
  <c r="O31" i="24"/>
  <c r="O32" i="24" s="1"/>
  <c r="D89" i="23"/>
  <c r="H31" i="24"/>
  <c r="S59" i="23"/>
  <c r="J59" i="23"/>
  <c r="K59" i="23"/>
  <c r="O59" i="23"/>
  <c r="S60" i="23"/>
  <c r="J60" i="23"/>
  <c r="J89" i="23" s="1"/>
  <c r="O60" i="23"/>
  <c r="O89" i="23" s="1"/>
  <c r="K60" i="23"/>
  <c r="K89" i="23" s="1"/>
  <c r="D61" i="23"/>
  <c r="P11" i="25" s="1"/>
  <c r="F60" i="23"/>
  <c r="H59" i="23"/>
  <c r="H67" i="7"/>
  <c r="I67" i="7" s="1"/>
  <c r="S15" i="4"/>
  <c r="S73" i="4" s="1"/>
  <c r="S73" i="24"/>
  <c r="S27" i="4"/>
  <c r="S85" i="4" s="1"/>
  <c r="S85" i="23"/>
  <c r="S85" i="24"/>
  <c r="S13" i="4"/>
  <c r="S71" i="23"/>
  <c r="S71" i="24"/>
  <c r="S10" i="4"/>
  <c r="S68" i="4" s="1"/>
  <c r="S68" i="24"/>
  <c r="S68" i="23"/>
  <c r="S28" i="4"/>
  <c r="S86" i="24"/>
  <c r="S86" i="23"/>
  <c r="S11" i="4"/>
  <c r="S69" i="24"/>
  <c r="S69" i="23"/>
  <c r="S73" i="23"/>
  <c r="S14" i="4"/>
  <c r="S72" i="23"/>
  <c r="S72" i="24"/>
  <c r="S9" i="4"/>
  <c r="S12" i="4"/>
  <c r="S70" i="4" s="1"/>
  <c r="S70" i="23"/>
  <c r="S70" i="24"/>
  <c r="S31" i="4"/>
  <c r="K7" i="6"/>
  <c r="J8" i="6" s="1"/>
  <c r="K8" i="6" s="1"/>
  <c r="AD8" i="6" s="1"/>
  <c r="P6" i="6"/>
  <c r="S30" i="4"/>
  <c r="K30" i="4"/>
  <c r="J30" i="4"/>
  <c r="I9" i="19"/>
  <c r="G9" i="19"/>
  <c r="M8" i="19" s="1"/>
  <c r="M6" i="6"/>
  <c r="Z60" i="24" l="1"/>
  <c r="K88" i="23"/>
  <c r="K90" i="23" s="1"/>
  <c r="Z59" i="29"/>
  <c r="S67" i="4"/>
  <c r="Z59" i="23"/>
  <c r="Z60" i="23"/>
  <c r="Z89" i="23" s="1"/>
  <c r="Z31" i="24"/>
  <c r="Z30" i="23"/>
  <c r="Z32" i="23" s="1"/>
  <c r="Z59" i="24"/>
  <c r="Z61" i="24" s="1"/>
  <c r="Z30" i="24"/>
  <c r="Z60" i="29"/>
  <c r="L30" i="29"/>
  <c r="Z30" i="29"/>
  <c r="L31" i="29"/>
  <c r="Z31" i="29"/>
  <c r="K32" i="24"/>
  <c r="I21" i="25" s="1"/>
  <c r="V26" i="29"/>
  <c r="V55" i="29"/>
  <c r="U55" i="29"/>
  <c r="U26" i="29"/>
  <c r="U50" i="29"/>
  <c r="U21" i="29"/>
  <c r="U51" i="29"/>
  <c r="U22" i="29"/>
  <c r="T20" i="29"/>
  <c r="T49" i="29"/>
  <c r="T51" i="29"/>
  <c r="T22" i="29"/>
  <c r="T47" i="29"/>
  <c r="T18" i="29"/>
  <c r="T50" i="29"/>
  <c r="T21" i="29"/>
  <c r="T59" i="29"/>
  <c r="T60" i="29"/>
  <c r="T30" i="29"/>
  <c r="T31" i="29"/>
  <c r="L60" i="23"/>
  <c r="Q60" i="23"/>
  <c r="U60" i="23"/>
  <c r="R30" i="23"/>
  <c r="V30" i="23"/>
  <c r="L30" i="23"/>
  <c r="U30" i="23"/>
  <c r="Q30" i="23"/>
  <c r="L59" i="23"/>
  <c r="U59" i="23"/>
  <c r="Q59" i="23"/>
  <c r="AA60" i="23"/>
  <c r="V60" i="23"/>
  <c r="R60" i="23"/>
  <c r="V31" i="23"/>
  <c r="R31" i="23"/>
  <c r="AA59" i="23"/>
  <c r="V59" i="23"/>
  <c r="R59" i="23"/>
  <c r="Q60" i="29"/>
  <c r="U60" i="29"/>
  <c r="Q59" i="29"/>
  <c r="U59" i="29"/>
  <c r="R59" i="29"/>
  <c r="V59" i="29"/>
  <c r="R60" i="29"/>
  <c r="V60" i="29"/>
  <c r="R31" i="29"/>
  <c r="V31" i="29"/>
  <c r="Q31" i="29"/>
  <c r="U31" i="29"/>
  <c r="Q30" i="29"/>
  <c r="U30" i="29"/>
  <c r="R30" i="29"/>
  <c r="V30" i="29"/>
  <c r="P59" i="29"/>
  <c r="P60" i="29"/>
  <c r="P30" i="29"/>
  <c r="P31" i="29"/>
  <c r="Q31" i="24"/>
  <c r="L31" i="24"/>
  <c r="U31" i="24"/>
  <c r="V31" i="24"/>
  <c r="R31" i="24"/>
  <c r="N30" i="24"/>
  <c r="V30" i="24"/>
  <c r="R30" i="24"/>
  <c r="Q60" i="24"/>
  <c r="L60" i="24"/>
  <c r="U60" i="24"/>
  <c r="R59" i="24"/>
  <c r="V59" i="24"/>
  <c r="Q59" i="24"/>
  <c r="U59" i="24"/>
  <c r="L59" i="24"/>
  <c r="R60" i="24"/>
  <c r="V60" i="24"/>
  <c r="U30" i="24"/>
  <c r="L30" i="24"/>
  <c r="Q30" i="24"/>
  <c r="AC90" i="29"/>
  <c r="J89" i="24"/>
  <c r="C90" i="23"/>
  <c r="S422" i="7"/>
  <c r="T422" i="7"/>
  <c r="S434" i="7"/>
  <c r="T434" i="7"/>
  <c r="S435" i="7"/>
  <c r="T435" i="7"/>
  <c r="S86" i="4"/>
  <c r="K89" i="4"/>
  <c r="S72" i="4"/>
  <c r="S78" i="29"/>
  <c r="S61" i="24"/>
  <c r="J30" i="25" s="1"/>
  <c r="S88" i="24"/>
  <c r="J406" i="31"/>
  <c r="M38" i="29" s="1"/>
  <c r="M9" i="29"/>
  <c r="S69" i="4"/>
  <c r="S71" i="4"/>
  <c r="K41" i="25"/>
  <c r="S88" i="4"/>
  <c r="S84" i="29"/>
  <c r="S80" i="4"/>
  <c r="S84" i="4"/>
  <c r="S76" i="29"/>
  <c r="U78" i="29"/>
  <c r="U83" i="29"/>
  <c r="U71" i="29"/>
  <c r="U76" i="29"/>
  <c r="U69" i="29"/>
  <c r="U86" i="29"/>
  <c r="U85" i="29"/>
  <c r="U72" i="29"/>
  <c r="S76" i="4"/>
  <c r="S79" i="29"/>
  <c r="S78" i="4"/>
  <c r="S80" i="29"/>
  <c r="S79" i="4"/>
  <c r="T72" i="29"/>
  <c r="T71" i="29"/>
  <c r="T86" i="29"/>
  <c r="T69" i="29"/>
  <c r="T84" i="29"/>
  <c r="V86" i="29"/>
  <c r="T77" i="29"/>
  <c r="M32" i="24"/>
  <c r="I23" i="25" s="1"/>
  <c r="M89" i="24"/>
  <c r="K89" i="24"/>
  <c r="K90" i="24" s="1"/>
  <c r="AC88" i="23"/>
  <c r="AC90" i="23" s="1"/>
  <c r="AC61" i="23"/>
  <c r="P41" i="25" s="1"/>
  <c r="Q41" i="25" s="1"/>
  <c r="M88" i="23"/>
  <c r="M90" i="23" s="1"/>
  <c r="M61" i="23"/>
  <c r="P23" i="25" s="1"/>
  <c r="Q23" i="25" s="1"/>
  <c r="S88" i="23"/>
  <c r="M88" i="24"/>
  <c r="M61" i="24"/>
  <c r="J23" i="25" s="1"/>
  <c r="AC88" i="24"/>
  <c r="AC90" i="24" s="1"/>
  <c r="N418" i="7"/>
  <c r="N437" i="7"/>
  <c r="N438" i="7"/>
  <c r="N417" i="7"/>
  <c r="N420" i="7"/>
  <c r="N421" i="7"/>
  <c r="N419" i="7"/>
  <c r="S61" i="4"/>
  <c r="D30" i="25" s="1"/>
  <c r="C437" i="7"/>
  <c r="D427" i="17"/>
  <c r="C438" i="7"/>
  <c r="D428" i="17"/>
  <c r="C420" i="7"/>
  <c r="D410" i="17"/>
  <c r="C421" i="7"/>
  <c r="D411" i="17"/>
  <c r="C419" i="7"/>
  <c r="D409" i="17"/>
  <c r="C418" i="7"/>
  <c r="D408" i="17"/>
  <c r="C417" i="7"/>
  <c r="D407" i="17"/>
  <c r="AC61" i="4"/>
  <c r="D41" i="25" s="1"/>
  <c r="J89" i="4"/>
  <c r="O89" i="4"/>
  <c r="O90" i="4" s="1"/>
  <c r="J88" i="23"/>
  <c r="O88" i="23"/>
  <c r="O90" i="23" s="1"/>
  <c r="N30" i="23"/>
  <c r="AA30" i="23"/>
  <c r="N59" i="23"/>
  <c r="S89" i="4"/>
  <c r="AA31" i="23"/>
  <c r="F32" i="24"/>
  <c r="D90" i="23"/>
  <c r="C90" i="24"/>
  <c r="O61" i="4"/>
  <c r="N31" i="23"/>
  <c r="J32" i="29"/>
  <c r="U20" i="25" s="1"/>
  <c r="AA60" i="24"/>
  <c r="K88" i="4"/>
  <c r="O32" i="4"/>
  <c r="N60" i="24"/>
  <c r="G48" i="17"/>
  <c r="C48" i="17" s="1"/>
  <c r="K48" i="17" s="1"/>
  <c r="K62" i="7"/>
  <c r="J67" i="7"/>
  <c r="K32" i="29"/>
  <c r="U21" i="25" s="1"/>
  <c r="N60" i="23"/>
  <c r="O89" i="29"/>
  <c r="K10" i="25"/>
  <c r="H61" i="24"/>
  <c r="D90" i="24"/>
  <c r="O88" i="24"/>
  <c r="J88" i="24"/>
  <c r="J88" i="4"/>
  <c r="S89" i="24"/>
  <c r="D90" i="4"/>
  <c r="C90" i="4"/>
  <c r="AA31" i="24"/>
  <c r="O61" i="23"/>
  <c r="N31" i="24"/>
  <c r="K61" i="4"/>
  <c r="D21" i="25" s="1"/>
  <c r="AA30" i="24"/>
  <c r="K11" i="25"/>
  <c r="O89" i="24"/>
  <c r="S89" i="29"/>
  <c r="O61" i="24"/>
  <c r="K61" i="24"/>
  <c r="J21" i="25" s="1"/>
  <c r="AA59" i="24"/>
  <c r="N59" i="24"/>
  <c r="J89" i="29"/>
  <c r="S32" i="29"/>
  <c r="U30" i="25" s="1"/>
  <c r="K89" i="29"/>
  <c r="K88" i="29"/>
  <c r="K61" i="29"/>
  <c r="V21" i="25" s="1"/>
  <c r="S88" i="29"/>
  <c r="S61" i="29"/>
  <c r="V30" i="25" s="1"/>
  <c r="N59" i="29"/>
  <c r="G88" i="29"/>
  <c r="AA59" i="29"/>
  <c r="G61" i="29"/>
  <c r="F89" i="29"/>
  <c r="O32" i="29"/>
  <c r="J88" i="29"/>
  <c r="J61" i="29"/>
  <c r="V20" i="25" s="1"/>
  <c r="F88" i="29"/>
  <c r="F61" i="29"/>
  <c r="E89" i="29"/>
  <c r="F32" i="29"/>
  <c r="U13" i="25" s="1"/>
  <c r="N31" i="29"/>
  <c r="AA31" i="29"/>
  <c r="C90" i="29"/>
  <c r="V10" i="25"/>
  <c r="W10" i="25" s="1"/>
  <c r="H88" i="29"/>
  <c r="H61" i="29"/>
  <c r="H89" i="29"/>
  <c r="H32" i="29"/>
  <c r="U15" i="25" s="1"/>
  <c r="D90" i="29"/>
  <c r="V11" i="25"/>
  <c r="W11" i="25" s="1"/>
  <c r="O88" i="29"/>
  <c r="O61" i="29"/>
  <c r="E88" i="29"/>
  <c r="AA60" i="29"/>
  <c r="N60" i="29"/>
  <c r="G89" i="29"/>
  <c r="AA30" i="29"/>
  <c r="N30" i="29"/>
  <c r="G32" i="29"/>
  <c r="U14" i="25" s="1"/>
  <c r="Q10" i="25"/>
  <c r="K61" i="23"/>
  <c r="P21" i="25" s="1"/>
  <c r="S61" i="23"/>
  <c r="P30" i="25" s="1"/>
  <c r="S89" i="23"/>
  <c r="E10" i="25"/>
  <c r="C11" i="25"/>
  <c r="E11" i="25" s="1"/>
  <c r="S32" i="24"/>
  <c r="I30" i="25" s="1"/>
  <c r="S32" i="23"/>
  <c r="O30" i="25" s="1"/>
  <c r="S67" i="23"/>
  <c r="S67" i="24"/>
  <c r="AD7" i="6"/>
  <c r="L8" i="6"/>
  <c r="M7" i="6"/>
  <c r="P7" i="6"/>
  <c r="S32" i="4"/>
  <c r="J8" i="19"/>
  <c r="S8" i="19" s="1"/>
  <c r="V8" i="19" s="1"/>
  <c r="H9" i="19"/>
  <c r="L9" i="6"/>
  <c r="J9" i="6"/>
  <c r="Z61" i="23" l="1"/>
  <c r="Z88" i="29"/>
  <c r="Z88" i="23"/>
  <c r="Z32" i="24"/>
  <c r="K21" i="25"/>
  <c r="Z61" i="29"/>
  <c r="Z89" i="29"/>
  <c r="Z32" i="29"/>
  <c r="K30" i="25"/>
  <c r="Q61" i="29"/>
  <c r="V27" i="25" s="1"/>
  <c r="U435" i="7"/>
  <c r="N425" i="17" s="1"/>
  <c r="J425" i="17" s="1"/>
  <c r="M57" i="4" s="1"/>
  <c r="U422" i="7"/>
  <c r="N412" i="17" s="1"/>
  <c r="J412" i="17" s="1"/>
  <c r="M44" i="4" s="1"/>
  <c r="R61" i="29"/>
  <c r="V28" i="25" s="1"/>
  <c r="H421" i="7"/>
  <c r="I421" i="7"/>
  <c r="S419" i="7"/>
  <c r="T419" i="7"/>
  <c r="S421" i="7"/>
  <c r="T421" i="7"/>
  <c r="S437" i="7"/>
  <c r="T437" i="7"/>
  <c r="U434" i="7"/>
  <c r="N424" i="17" s="1"/>
  <c r="J424" i="17" s="1"/>
  <c r="M56" i="4" s="1"/>
  <c r="H418" i="7"/>
  <c r="I418" i="7"/>
  <c r="H438" i="7"/>
  <c r="I438" i="7"/>
  <c r="S438" i="7"/>
  <c r="T438" i="7"/>
  <c r="H417" i="7"/>
  <c r="I417" i="7"/>
  <c r="H419" i="7"/>
  <c r="I419" i="7"/>
  <c r="H420" i="7"/>
  <c r="I420" i="7"/>
  <c r="H437" i="7"/>
  <c r="I437" i="7"/>
  <c r="S420" i="7"/>
  <c r="T420" i="7"/>
  <c r="S418" i="7"/>
  <c r="T418" i="7"/>
  <c r="S417" i="7"/>
  <c r="T417" i="7"/>
  <c r="D407" i="31"/>
  <c r="D409" i="31"/>
  <c r="D410" i="31"/>
  <c r="D427" i="31"/>
  <c r="D408" i="31"/>
  <c r="D411" i="31"/>
  <c r="D428" i="31"/>
  <c r="M67" i="29"/>
  <c r="M90" i="24"/>
  <c r="U79" i="29"/>
  <c r="U80" i="29"/>
  <c r="U84" i="29"/>
  <c r="S90" i="4"/>
  <c r="T80" i="29"/>
  <c r="T78" i="29"/>
  <c r="T76" i="29"/>
  <c r="K23" i="25"/>
  <c r="V84" i="29"/>
  <c r="T79" i="29"/>
  <c r="C435" i="7"/>
  <c r="D425" i="17"/>
  <c r="C422" i="7"/>
  <c r="D412" i="17"/>
  <c r="C434" i="7"/>
  <c r="D424" i="17"/>
  <c r="Q32" i="23"/>
  <c r="O27" i="25" s="1"/>
  <c r="J90" i="29"/>
  <c r="AA32" i="29"/>
  <c r="U39" i="25" s="1"/>
  <c r="R32" i="29"/>
  <c r="U28" i="25" s="1"/>
  <c r="O90" i="29"/>
  <c r="O90" i="24"/>
  <c r="K67" i="7"/>
  <c r="G53" i="17"/>
  <c r="C53" i="17" s="1"/>
  <c r="K53" i="17" s="1"/>
  <c r="S90" i="24"/>
  <c r="W30" i="25"/>
  <c r="L88" i="29"/>
  <c r="S90" i="23"/>
  <c r="S90" i="29"/>
  <c r="W21" i="25"/>
  <c r="U32" i="29"/>
  <c r="U32" i="25" s="1"/>
  <c r="N32" i="29"/>
  <c r="U24" i="25" s="1"/>
  <c r="K90" i="29"/>
  <c r="W20" i="25"/>
  <c r="AA89" i="29"/>
  <c r="N89" i="29"/>
  <c r="T88" i="29"/>
  <c r="P88" i="29"/>
  <c r="V32" i="29"/>
  <c r="U33" i="25" s="1"/>
  <c r="V89" i="29"/>
  <c r="Y88" i="29"/>
  <c r="R89" i="29"/>
  <c r="Q32" i="29"/>
  <c r="U27" i="25" s="1"/>
  <c r="L89" i="29"/>
  <c r="Q89" i="29"/>
  <c r="V88" i="29"/>
  <c r="V61" i="29"/>
  <c r="V33" i="25" s="1"/>
  <c r="Y89" i="29"/>
  <c r="U88" i="29"/>
  <c r="U61" i="29"/>
  <c r="V32" i="25" s="1"/>
  <c r="U89" i="29"/>
  <c r="R88" i="29"/>
  <c r="V15" i="25"/>
  <c r="W15" i="25" s="1"/>
  <c r="H90" i="29"/>
  <c r="P89" i="29"/>
  <c r="V13" i="25"/>
  <c r="W13" i="25" s="1"/>
  <c r="F90" i="29"/>
  <c r="G90" i="29"/>
  <c r="V14" i="25"/>
  <c r="W14" i="25" s="1"/>
  <c r="T89" i="29"/>
  <c r="Q88" i="29"/>
  <c r="AA88" i="29"/>
  <c r="AA61" i="29"/>
  <c r="V39" i="25" s="1"/>
  <c r="N88" i="29"/>
  <c r="N61" i="29"/>
  <c r="V24" i="25" s="1"/>
  <c r="Q11" i="25"/>
  <c r="C30" i="25"/>
  <c r="E30" i="25" s="1"/>
  <c r="M8" i="6"/>
  <c r="P8" i="6"/>
  <c r="G10" i="19"/>
  <c r="M9" i="19" s="1"/>
  <c r="AA9" i="19"/>
  <c r="I10" i="19"/>
  <c r="K9" i="6"/>
  <c r="J10" i="6" s="1"/>
  <c r="K417" i="7" l="1"/>
  <c r="Z90" i="29"/>
  <c r="U417" i="7"/>
  <c r="N407" i="17" s="1"/>
  <c r="J407" i="17" s="1"/>
  <c r="M39" i="4" s="1"/>
  <c r="U420" i="7"/>
  <c r="N410" i="17" s="1"/>
  <c r="J410" i="17" s="1"/>
  <c r="M42" i="4" s="1"/>
  <c r="U418" i="7"/>
  <c r="N408" i="17" s="1"/>
  <c r="J408" i="17" s="1"/>
  <c r="M40" i="4" s="1"/>
  <c r="J437" i="7"/>
  <c r="G427" i="17" s="1"/>
  <c r="C427" i="17" s="1"/>
  <c r="M30" i="4" s="1"/>
  <c r="J419" i="7"/>
  <c r="G409" i="17" s="1"/>
  <c r="C409" i="17" s="1"/>
  <c r="M12" i="4" s="1"/>
  <c r="J421" i="7"/>
  <c r="G411" i="17" s="1"/>
  <c r="C411" i="17" s="1"/>
  <c r="M14" i="4" s="1"/>
  <c r="J420" i="7"/>
  <c r="G410" i="17" s="1"/>
  <c r="C410" i="17" s="1"/>
  <c r="M13" i="4" s="1"/>
  <c r="J417" i="7"/>
  <c r="G407" i="17" s="1"/>
  <c r="C407" i="17" s="1"/>
  <c r="M10" i="4" s="1"/>
  <c r="J438" i="7"/>
  <c r="G428" i="17" s="1"/>
  <c r="C428" i="17" s="1"/>
  <c r="M31" i="4" s="1"/>
  <c r="H434" i="7"/>
  <c r="I434" i="7"/>
  <c r="U437" i="7"/>
  <c r="N427" i="17" s="1"/>
  <c r="J427" i="17" s="1"/>
  <c r="M59" i="4" s="1"/>
  <c r="U419" i="7"/>
  <c r="N409" i="17" s="1"/>
  <c r="J409" i="17" s="1"/>
  <c r="M41" i="4" s="1"/>
  <c r="H435" i="7"/>
  <c r="I435" i="7"/>
  <c r="H422" i="7"/>
  <c r="I422" i="7"/>
  <c r="U438" i="7"/>
  <c r="N428" i="17" s="1"/>
  <c r="J428" i="17" s="1"/>
  <c r="M60" i="4" s="1"/>
  <c r="J418" i="7"/>
  <c r="G408" i="17" s="1"/>
  <c r="C408" i="17" s="1"/>
  <c r="M11" i="4" s="1"/>
  <c r="U421" i="7"/>
  <c r="N411" i="17" s="1"/>
  <c r="J411" i="17" s="1"/>
  <c r="M43" i="4" s="1"/>
  <c r="K427" i="31"/>
  <c r="C427" i="31"/>
  <c r="K409" i="31"/>
  <c r="C409" i="31"/>
  <c r="D424" i="31"/>
  <c r="D425" i="31"/>
  <c r="K428" i="31"/>
  <c r="C428" i="31"/>
  <c r="K408" i="31"/>
  <c r="C408" i="31"/>
  <c r="K410" i="31"/>
  <c r="C410" i="31"/>
  <c r="K407" i="31"/>
  <c r="C407" i="31"/>
  <c r="D412" i="31"/>
  <c r="K411" i="31"/>
  <c r="C411" i="31"/>
  <c r="R90" i="29"/>
  <c r="W32" i="25"/>
  <c r="Q90" i="29"/>
  <c r="W28" i="25"/>
  <c r="AA90" i="29"/>
  <c r="N90" i="29"/>
  <c r="W27" i="25"/>
  <c r="W33" i="25"/>
  <c r="V90" i="29"/>
  <c r="W24" i="25"/>
  <c r="W39" i="25"/>
  <c r="U90" i="29"/>
  <c r="Q21" i="25"/>
  <c r="Q30" i="25"/>
  <c r="H10" i="19"/>
  <c r="AA10" i="19" s="1"/>
  <c r="J9" i="19"/>
  <c r="S9" i="19" s="1"/>
  <c r="V9" i="19" s="1"/>
  <c r="K10" i="6"/>
  <c r="AD10" i="6" s="1"/>
  <c r="P9" i="6"/>
  <c r="AD9" i="6"/>
  <c r="M9" i="6"/>
  <c r="L10" i="6"/>
  <c r="M71" i="4" l="1"/>
  <c r="M68" i="4"/>
  <c r="M69" i="4"/>
  <c r="M88" i="4"/>
  <c r="M72" i="4"/>
  <c r="M89" i="4"/>
  <c r="M70" i="4"/>
  <c r="M61" i="4"/>
  <c r="D23" i="25" s="1"/>
  <c r="J435" i="7"/>
  <c r="G425" i="17" s="1"/>
  <c r="C425" i="17" s="1"/>
  <c r="M28" i="4" s="1"/>
  <c r="M86" i="4" s="1"/>
  <c r="J434" i="7"/>
  <c r="G424" i="17" s="1"/>
  <c r="C424" i="17" s="1"/>
  <c r="M27" i="4" s="1"/>
  <c r="M85" i="4" s="1"/>
  <c r="J422" i="7"/>
  <c r="G412" i="17" s="1"/>
  <c r="C412" i="17" s="1"/>
  <c r="M15" i="4" s="1"/>
  <c r="M73" i="4" s="1"/>
  <c r="J411" i="31"/>
  <c r="M43" i="29" s="1"/>
  <c r="M14" i="29"/>
  <c r="J407" i="31"/>
  <c r="M39" i="29" s="1"/>
  <c r="M10" i="29"/>
  <c r="J408" i="31"/>
  <c r="M40" i="29" s="1"/>
  <c r="M11" i="29"/>
  <c r="K425" i="31"/>
  <c r="C425" i="31"/>
  <c r="J409" i="31"/>
  <c r="M41" i="29" s="1"/>
  <c r="M12" i="29"/>
  <c r="K412" i="31"/>
  <c r="C412" i="31"/>
  <c r="J410" i="31"/>
  <c r="M42" i="29" s="1"/>
  <c r="M13" i="29"/>
  <c r="J428" i="31"/>
  <c r="M60" i="29" s="1"/>
  <c r="M31" i="29"/>
  <c r="K424" i="31"/>
  <c r="C424" i="31"/>
  <c r="J427" i="31"/>
  <c r="M59" i="29" s="1"/>
  <c r="M30" i="29"/>
  <c r="J11" i="6"/>
  <c r="P10" i="6" s="1"/>
  <c r="L11" i="6"/>
  <c r="G11" i="19"/>
  <c r="M10" i="19" s="1"/>
  <c r="I11" i="19"/>
  <c r="M90" i="4" l="1"/>
  <c r="M32" i="4"/>
  <c r="C23" i="25" s="1"/>
  <c r="E23" i="25" s="1"/>
  <c r="M70" i="29"/>
  <c r="M69" i="29"/>
  <c r="M72" i="29"/>
  <c r="M88" i="29"/>
  <c r="M89" i="29"/>
  <c r="J425" i="31"/>
  <c r="M57" i="29" s="1"/>
  <c r="M28" i="29"/>
  <c r="M68" i="29"/>
  <c r="J424" i="31"/>
  <c r="M56" i="29" s="1"/>
  <c r="M27" i="29"/>
  <c r="M71" i="29"/>
  <c r="J412" i="31"/>
  <c r="M44" i="29" s="1"/>
  <c r="M15" i="29"/>
  <c r="J10" i="19"/>
  <c r="S10" i="19" s="1"/>
  <c r="V10" i="19" s="1"/>
  <c r="H11" i="19"/>
  <c r="AA11" i="19" s="1"/>
  <c r="M10" i="6"/>
  <c r="K11" i="6"/>
  <c r="AD11" i="6" s="1"/>
  <c r="M85" i="29" l="1"/>
  <c r="M32" i="29"/>
  <c r="U23" i="25" s="1"/>
  <c r="M73" i="29"/>
  <c r="M61" i="29"/>
  <c r="V23" i="25" s="1"/>
  <c r="M86" i="29"/>
  <c r="G12" i="19"/>
  <c r="M11" i="19" s="1"/>
  <c r="L12" i="6"/>
  <c r="J12" i="6"/>
  <c r="P11" i="6" s="1"/>
  <c r="I12" i="19"/>
  <c r="W23" i="25" l="1"/>
  <c r="M90" i="29"/>
  <c r="H12" i="19"/>
  <c r="G13" i="19" s="1"/>
  <c r="M12" i="19" s="1"/>
  <c r="J11" i="19"/>
  <c r="S11" i="19" s="1"/>
  <c r="V11" i="19" s="1"/>
  <c r="M11" i="6"/>
  <c r="K12" i="6"/>
  <c r="J13" i="6" s="1"/>
  <c r="P12" i="6" s="1"/>
  <c r="M12" i="6" l="1"/>
  <c r="L13" i="6"/>
  <c r="AD12" i="6"/>
  <c r="I13" i="19"/>
  <c r="AA12" i="19"/>
  <c r="K13" i="6"/>
  <c r="L14" i="6" s="1"/>
  <c r="H13" i="19"/>
  <c r="AA13" i="19" s="1"/>
  <c r="J12" i="19"/>
  <c r="S12" i="19" s="1"/>
  <c r="V12" i="19" s="1"/>
  <c r="J14" i="6" l="1"/>
  <c r="P13" i="6" s="1"/>
  <c r="AD13" i="6"/>
  <c r="G14" i="19"/>
  <c r="M13" i="19" s="1"/>
  <c r="I14" i="19"/>
  <c r="M13" i="6" l="1"/>
  <c r="K14" i="6"/>
  <c r="J15" i="6" s="1"/>
  <c r="P14" i="6" s="1"/>
  <c r="H14" i="19"/>
  <c r="AA14" i="19" s="1"/>
  <c r="J13" i="19"/>
  <c r="S13" i="19" s="1"/>
  <c r="V13" i="19" s="1"/>
  <c r="L15" i="6" l="1"/>
  <c r="AD14" i="6"/>
  <c r="K15" i="6"/>
  <c r="J16" i="6" s="1"/>
  <c r="P15" i="6" s="1"/>
  <c r="M14" i="6"/>
  <c r="G15" i="19"/>
  <c r="M14" i="19" s="1"/>
  <c r="I15" i="19"/>
  <c r="L16" i="6" l="1"/>
  <c r="AD15" i="6"/>
  <c r="H15" i="19"/>
  <c r="AA15" i="19" s="1"/>
  <c r="J14" i="19"/>
  <c r="S14" i="19" s="1"/>
  <c r="V14" i="19" s="1"/>
  <c r="M15" i="6"/>
  <c r="K16" i="6"/>
  <c r="G16" i="19" l="1"/>
  <c r="M15" i="19" s="1"/>
  <c r="I16" i="19"/>
  <c r="AD16" i="6"/>
  <c r="L17" i="6"/>
  <c r="J17" i="6"/>
  <c r="P16" i="6" s="1"/>
  <c r="H16" i="19" l="1"/>
  <c r="AA16" i="19" s="1"/>
  <c r="J15" i="19"/>
  <c r="S15" i="19" s="1"/>
  <c r="V15" i="19" s="1"/>
  <c r="M16" i="6"/>
  <c r="K17" i="6"/>
  <c r="G17" i="19" l="1"/>
  <c r="M16" i="19" s="1"/>
  <c r="I17" i="19"/>
  <c r="AD17" i="6"/>
  <c r="L18" i="6"/>
  <c r="J18" i="6"/>
  <c r="P17" i="6" s="1"/>
  <c r="H17" i="19" l="1"/>
  <c r="AA17" i="19" s="1"/>
  <c r="J16" i="19"/>
  <c r="S16" i="19" s="1"/>
  <c r="V16" i="19" s="1"/>
  <c r="M17" i="6"/>
  <c r="K18" i="6"/>
  <c r="G18" i="19" l="1"/>
  <c r="M17" i="19" s="1"/>
  <c r="I18" i="19"/>
  <c r="AD18" i="6"/>
  <c r="L19" i="6"/>
  <c r="J19" i="6"/>
  <c r="P18" i="6" s="1"/>
  <c r="H18" i="19" l="1"/>
  <c r="AA18" i="19" s="1"/>
  <c r="J17" i="19"/>
  <c r="S17" i="19" s="1"/>
  <c r="V17" i="19" s="1"/>
  <c r="M18" i="6"/>
  <c r="K19" i="6"/>
  <c r="I19" i="19" l="1"/>
  <c r="G19" i="19"/>
  <c r="M18" i="19" s="1"/>
  <c r="AD19" i="6"/>
  <c r="L20" i="6"/>
  <c r="J20" i="6"/>
  <c r="P19" i="6" s="1"/>
  <c r="H19" i="19" l="1"/>
  <c r="G20" i="19" s="1"/>
  <c r="J18" i="19"/>
  <c r="S18" i="19" s="1"/>
  <c r="V18" i="19" s="1"/>
  <c r="M19" i="6"/>
  <c r="K20" i="6"/>
  <c r="J21" i="6" s="1"/>
  <c r="P20" i="6" s="1"/>
  <c r="M19" i="19" l="1"/>
  <c r="H20" i="19"/>
  <c r="AA20" i="19" s="1"/>
  <c r="J19" i="19"/>
  <c r="S19" i="19" s="1"/>
  <c r="V19" i="19" s="1"/>
  <c r="I20" i="19"/>
  <c r="AA19" i="19"/>
  <c r="M20" i="6"/>
  <c r="K21" i="6"/>
  <c r="AD20" i="6"/>
  <c r="L21" i="6"/>
  <c r="G21" i="19" l="1"/>
  <c r="M20" i="19" s="1"/>
  <c r="I21" i="19"/>
  <c r="AD21" i="6"/>
  <c r="L22" i="6"/>
  <c r="J22" i="6"/>
  <c r="P21" i="6" s="1"/>
  <c r="J20" i="19" l="1"/>
  <c r="S20" i="19" s="1"/>
  <c r="V20" i="19" s="1"/>
  <c r="H21" i="19"/>
  <c r="AA21" i="19" s="1"/>
  <c r="M21" i="6"/>
  <c r="K22" i="6"/>
  <c r="I22" i="19" l="1"/>
  <c r="G22" i="19"/>
  <c r="M21" i="19" s="1"/>
  <c r="AD22" i="6"/>
  <c r="L23" i="6"/>
  <c r="J23" i="6"/>
  <c r="P22" i="6" s="1"/>
  <c r="H22" i="19" l="1"/>
  <c r="AA22" i="19" s="1"/>
  <c r="J21" i="19"/>
  <c r="S21" i="19" s="1"/>
  <c r="V21" i="19" s="1"/>
  <c r="M22" i="6"/>
  <c r="K23" i="6"/>
  <c r="G23" i="19" l="1"/>
  <c r="M22" i="19" s="1"/>
  <c r="I23" i="19"/>
  <c r="AD23" i="6"/>
  <c r="L24" i="6"/>
  <c r="J24" i="6"/>
  <c r="P23" i="6" s="1"/>
  <c r="J22" i="19" l="1"/>
  <c r="S22" i="19" s="1"/>
  <c r="V22" i="19" s="1"/>
  <c r="H23" i="19"/>
  <c r="AA23" i="19" s="1"/>
  <c r="M23" i="6"/>
  <c r="K24" i="6"/>
  <c r="G24" i="19" l="1"/>
  <c r="M23" i="19" s="1"/>
  <c r="I24" i="19"/>
  <c r="AD24" i="6"/>
  <c r="L25" i="6"/>
  <c r="J25" i="6"/>
  <c r="P24" i="6" s="1"/>
  <c r="J23" i="19" l="1"/>
  <c r="S23" i="19" s="1"/>
  <c r="V23" i="19" s="1"/>
  <c r="H24" i="19"/>
  <c r="AA24" i="19" s="1"/>
  <c r="M24" i="6"/>
  <c r="K25" i="6"/>
  <c r="G25" i="19" l="1"/>
  <c r="M24" i="19" s="1"/>
  <c r="I25" i="19"/>
  <c r="AD25" i="6"/>
  <c r="L26" i="6"/>
  <c r="J26" i="6"/>
  <c r="P25" i="6" s="1"/>
  <c r="J24" i="19" l="1"/>
  <c r="S24" i="19" s="1"/>
  <c r="V24" i="19" s="1"/>
  <c r="H25" i="19"/>
  <c r="AA25" i="19" s="1"/>
  <c r="M25" i="6"/>
  <c r="K26" i="6"/>
  <c r="J27" i="6" s="1"/>
  <c r="P26" i="6" s="1"/>
  <c r="G26" i="19" l="1"/>
  <c r="M25" i="19" s="1"/>
  <c r="I26" i="19"/>
  <c r="M26" i="6"/>
  <c r="K27" i="6"/>
  <c r="J28" i="6" s="1"/>
  <c r="P27" i="6" s="1"/>
  <c r="AD26" i="6"/>
  <c r="L27" i="6"/>
  <c r="J25" i="19" l="1"/>
  <c r="S25" i="19" s="1"/>
  <c r="V25" i="19" s="1"/>
  <c r="H26" i="19"/>
  <c r="AA26" i="19" s="1"/>
  <c r="AD27" i="6"/>
  <c r="L28" i="6"/>
  <c r="M27" i="6"/>
  <c r="K28" i="6"/>
  <c r="J29" i="6" s="1"/>
  <c r="P28" i="6" s="1"/>
  <c r="I27" i="19" l="1"/>
  <c r="G27" i="19"/>
  <c r="M26" i="19" s="1"/>
  <c r="K29" i="6"/>
  <c r="M28" i="6"/>
  <c r="AD28" i="6"/>
  <c r="L29" i="6"/>
  <c r="H27" i="19" l="1"/>
  <c r="AA27" i="19" s="1"/>
  <c r="J26" i="19"/>
  <c r="S26" i="19" s="1"/>
  <c r="V26" i="19" s="1"/>
  <c r="AD29" i="6"/>
  <c r="L30" i="6"/>
  <c r="J30" i="6"/>
  <c r="P29" i="6" s="1"/>
  <c r="I28" i="19" l="1"/>
  <c r="G28" i="19"/>
  <c r="M27" i="19" s="1"/>
  <c r="M29" i="6"/>
  <c r="K30" i="6"/>
  <c r="J31" i="6" s="1"/>
  <c r="P30" i="6" s="1"/>
  <c r="H28" i="19" l="1"/>
  <c r="G29" i="19" s="1"/>
  <c r="M28" i="19" s="1"/>
  <c r="J27" i="19"/>
  <c r="S27" i="19" s="1"/>
  <c r="V27" i="19" s="1"/>
  <c r="M30" i="6"/>
  <c r="K31" i="6"/>
  <c r="J32" i="6" s="1"/>
  <c r="P31" i="6" s="1"/>
  <c r="AD30" i="6"/>
  <c r="L31" i="6"/>
  <c r="I29" i="19" l="1"/>
  <c r="AA28" i="19"/>
  <c r="H29" i="19"/>
  <c r="G30" i="19" s="1"/>
  <c r="M29" i="19" s="1"/>
  <c r="J28" i="19"/>
  <c r="S28" i="19" s="1"/>
  <c r="V28" i="19" s="1"/>
  <c r="AD31" i="6"/>
  <c r="L32" i="6"/>
  <c r="M31" i="6"/>
  <c r="K32" i="6"/>
  <c r="J33" i="6" s="1"/>
  <c r="P32" i="6" s="1"/>
  <c r="I30" i="19" l="1"/>
  <c r="AA29" i="19"/>
  <c r="H30" i="19"/>
  <c r="AA30" i="19" s="1"/>
  <c r="J29" i="19"/>
  <c r="S29" i="19" s="1"/>
  <c r="V29" i="19" s="1"/>
  <c r="M32" i="6"/>
  <c r="K33" i="6"/>
  <c r="J34" i="6" s="1"/>
  <c r="P33" i="6" s="1"/>
  <c r="AD32" i="6"/>
  <c r="L33" i="6"/>
  <c r="I31" i="19" l="1"/>
  <c r="G31" i="19"/>
  <c r="M30" i="19" s="1"/>
  <c r="M33" i="6"/>
  <c r="K34" i="6"/>
  <c r="AD33" i="6"/>
  <c r="L34" i="6"/>
  <c r="H31" i="19" l="1"/>
  <c r="AA31" i="19" s="1"/>
  <c r="J30" i="19"/>
  <c r="S30" i="19" s="1"/>
  <c r="V30" i="19" s="1"/>
  <c r="AD34" i="6"/>
  <c r="L35" i="6"/>
  <c r="J35" i="6"/>
  <c r="P34" i="6" s="1"/>
  <c r="I32" i="19" l="1"/>
  <c r="G32" i="19"/>
  <c r="M31" i="19" s="1"/>
  <c r="M34" i="6"/>
  <c r="K35" i="6"/>
  <c r="H32" i="19" l="1"/>
  <c r="AA32" i="19" s="1"/>
  <c r="J31" i="19"/>
  <c r="S31" i="19" s="1"/>
  <c r="V31" i="19" s="1"/>
  <c r="AD35" i="6"/>
  <c r="L36" i="6"/>
  <c r="J36" i="6"/>
  <c r="P35" i="6" s="1"/>
  <c r="I33" i="19" l="1"/>
  <c r="G33" i="19"/>
  <c r="M32" i="19" s="1"/>
  <c r="M35" i="6"/>
  <c r="K36" i="6"/>
  <c r="H33" i="19" l="1"/>
  <c r="AA33" i="19" s="1"/>
  <c r="J32" i="19"/>
  <c r="S32" i="19" s="1"/>
  <c r="V32" i="19" s="1"/>
  <c r="AD36" i="6"/>
  <c r="L37" i="6"/>
  <c r="J37" i="6"/>
  <c r="P36" i="6" s="1"/>
  <c r="I34" i="19" l="1"/>
  <c r="G34" i="19"/>
  <c r="M33" i="19" s="1"/>
  <c r="M36" i="6"/>
  <c r="K37" i="6"/>
  <c r="H34" i="19" l="1"/>
  <c r="AA34" i="19" s="1"/>
  <c r="J33" i="19"/>
  <c r="S33" i="19" s="1"/>
  <c r="V33" i="19" s="1"/>
  <c r="AD37" i="6"/>
  <c r="L38" i="6"/>
  <c r="J38" i="6"/>
  <c r="P37" i="6" s="1"/>
  <c r="I35" i="19" l="1"/>
  <c r="G35" i="19"/>
  <c r="M34" i="19" s="1"/>
  <c r="M37" i="6"/>
  <c r="K38" i="6"/>
  <c r="H35" i="19" l="1"/>
  <c r="AA35" i="19" s="1"/>
  <c r="J34" i="19"/>
  <c r="S34" i="19" s="1"/>
  <c r="V34" i="19" s="1"/>
  <c r="AD38" i="6"/>
  <c r="L39" i="6"/>
  <c r="J39" i="6"/>
  <c r="P38" i="6" s="1"/>
  <c r="I36" i="19" l="1"/>
  <c r="G36" i="19"/>
  <c r="M35" i="19" s="1"/>
  <c r="M38" i="6"/>
  <c r="K39" i="6"/>
  <c r="J40" i="6" s="1"/>
  <c r="P39" i="6" s="1"/>
  <c r="H36" i="19" l="1"/>
  <c r="G37" i="19" s="1"/>
  <c r="M36" i="19" s="1"/>
  <c r="J35" i="19"/>
  <c r="S35" i="19" s="1"/>
  <c r="V35" i="19" s="1"/>
  <c r="M39" i="6"/>
  <c r="K40" i="6"/>
  <c r="J41" i="6" s="1"/>
  <c r="P40" i="6" s="1"/>
  <c r="AD39" i="6"/>
  <c r="L40" i="6"/>
  <c r="I37" i="19" l="1"/>
  <c r="AA36" i="19"/>
  <c r="H37" i="19"/>
  <c r="AA37" i="19" s="1"/>
  <c r="J36" i="19"/>
  <c r="S36" i="19" s="1"/>
  <c r="V36" i="19" s="1"/>
  <c r="M40" i="6"/>
  <c r="K41" i="6"/>
  <c r="AD40" i="6"/>
  <c r="L41" i="6"/>
  <c r="I38" i="19" l="1"/>
  <c r="G38" i="19"/>
  <c r="M37" i="19" s="1"/>
  <c r="AD41" i="6"/>
  <c r="L42" i="6"/>
  <c r="J42" i="6"/>
  <c r="P41" i="6" s="1"/>
  <c r="H38" i="19" l="1"/>
  <c r="AA38" i="19" s="1"/>
  <c r="J37" i="19"/>
  <c r="S37" i="19" s="1"/>
  <c r="V37" i="19" s="1"/>
  <c r="M41" i="6"/>
  <c r="K42" i="6"/>
  <c r="J43" i="6" s="1"/>
  <c r="P42" i="6" s="1"/>
  <c r="G39" i="19" l="1"/>
  <c r="M38" i="19" s="1"/>
  <c r="I39" i="19"/>
  <c r="M42" i="6"/>
  <c r="K43" i="6"/>
  <c r="AD42" i="6"/>
  <c r="L43" i="6"/>
  <c r="J38" i="19" l="1"/>
  <c r="S38" i="19" s="1"/>
  <c r="V38" i="19" s="1"/>
  <c r="H39" i="19"/>
  <c r="AA39" i="19" s="1"/>
  <c r="AD43" i="6"/>
  <c r="L44" i="6"/>
  <c r="J44" i="6"/>
  <c r="P43" i="6" s="1"/>
  <c r="G40" i="19" l="1"/>
  <c r="M39" i="19" s="1"/>
  <c r="I40" i="19"/>
  <c r="M43" i="6"/>
  <c r="K44" i="6"/>
  <c r="J45" i="6" s="1"/>
  <c r="P44" i="6" s="1"/>
  <c r="J39" i="19" l="1"/>
  <c r="S39" i="19" s="1"/>
  <c r="V39" i="19" s="1"/>
  <c r="H40" i="19"/>
  <c r="G41" i="19" s="1"/>
  <c r="M40" i="19" s="1"/>
  <c r="M44" i="6"/>
  <c r="K45" i="6"/>
  <c r="AD44" i="6"/>
  <c r="L45" i="6"/>
  <c r="AA40" i="19" l="1"/>
  <c r="I41" i="19"/>
  <c r="J40" i="19"/>
  <c r="S40" i="19" s="1"/>
  <c r="V40" i="19" s="1"/>
  <c r="H41" i="19"/>
  <c r="AA41" i="19" s="1"/>
  <c r="AD45" i="6"/>
  <c r="L46" i="6"/>
  <c r="J46" i="6"/>
  <c r="P45" i="6" s="1"/>
  <c r="G42" i="19" l="1"/>
  <c r="M41" i="19" s="1"/>
  <c r="I42" i="19"/>
  <c r="M45" i="6"/>
  <c r="K46" i="6"/>
  <c r="J41" i="19" l="1"/>
  <c r="S41" i="19" s="1"/>
  <c r="V41" i="19" s="1"/>
  <c r="H42" i="19"/>
  <c r="AA42" i="19" s="1"/>
  <c r="AD46" i="6"/>
  <c r="L47" i="6"/>
  <c r="J47" i="6"/>
  <c r="P46" i="6" s="1"/>
  <c r="G43" i="19" l="1"/>
  <c r="M42" i="19" s="1"/>
  <c r="I43" i="19"/>
  <c r="M46" i="6"/>
  <c r="K47" i="6"/>
  <c r="J42" i="19" l="1"/>
  <c r="S42" i="19" s="1"/>
  <c r="V42" i="19" s="1"/>
  <c r="H43" i="19"/>
  <c r="AA43" i="19" s="1"/>
  <c r="AD47" i="6"/>
  <c r="L48" i="6"/>
  <c r="J48" i="6"/>
  <c r="P47" i="6" s="1"/>
  <c r="G44" i="19" l="1"/>
  <c r="M43" i="19" s="1"/>
  <c r="I44" i="19"/>
  <c r="M47" i="6"/>
  <c r="K48" i="6"/>
  <c r="J43" i="19" l="1"/>
  <c r="S43" i="19" s="1"/>
  <c r="V43" i="19" s="1"/>
  <c r="H44" i="19"/>
  <c r="AA44" i="19" s="1"/>
  <c r="AD48" i="6"/>
  <c r="L49" i="6"/>
  <c r="J49" i="6"/>
  <c r="P48" i="6" s="1"/>
  <c r="I45" i="19" l="1"/>
  <c r="G45" i="19"/>
  <c r="M44" i="19" s="1"/>
  <c r="K49" i="6"/>
  <c r="J50" i="6" s="1"/>
  <c r="P49" i="6" s="1"/>
  <c r="M48" i="6"/>
  <c r="H45" i="19" l="1"/>
  <c r="AA45" i="19" s="1"/>
  <c r="J44" i="19"/>
  <c r="S44" i="19" s="1"/>
  <c r="V44" i="19" s="1"/>
  <c r="K50" i="6"/>
  <c r="J51" i="6" s="1"/>
  <c r="P50" i="6" s="1"/>
  <c r="M49" i="6"/>
  <c r="AD49" i="6"/>
  <c r="L50" i="6"/>
  <c r="I46" i="19" l="1"/>
  <c r="G46" i="19"/>
  <c r="M45" i="19" s="1"/>
  <c r="M50" i="6"/>
  <c r="K51" i="6"/>
  <c r="AD50" i="6"/>
  <c r="L51" i="6"/>
  <c r="J45" i="19" l="1"/>
  <c r="S45" i="19" s="1"/>
  <c r="V45" i="19" s="1"/>
  <c r="H46" i="19"/>
  <c r="AA46" i="19" s="1"/>
  <c r="AD51" i="6"/>
  <c r="L52" i="6"/>
  <c r="J52" i="6"/>
  <c r="P51" i="6" s="1"/>
  <c r="I47" i="19" l="1"/>
  <c r="G47" i="19"/>
  <c r="M46" i="19" s="1"/>
  <c r="M51" i="6"/>
  <c r="K52" i="6"/>
  <c r="J46" i="19" l="1"/>
  <c r="S46" i="19" s="1"/>
  <c r="V46" i="19" s="1"/>
  <c r="H47" i="19"/>
  <c r="G48" i="19" s="1"/>
  <c r="M47" i="19" s="1"/>
  <c r="AD52" i="6"/>
  <c r="L53" i="6"/>
  <c r="J53" i="6"/>
  <c r="P52" i="6" s="1"/>
  <c r="J47" i="19" l="1"/>
  <c r="S47" i="19" s="1"/>
  <c r="V47" i="19" s="1"/>
  <c r="I48" i="19"/>
  <c r="AA47" i="19"/>
  <c r="H48" i="19"/>
  <c r="AA48" i="19" s="1"/>
  <c r="M52" i="6"/>
  <c r="K53" i="6"/>
  <c r="I49" i="19" l="1"/>
  <c r="G49" i="19"/>
  <c r="M48" i="19" s="1"/>
  <c r="AD53" i="6"/>
  <c r="AE53" i="6" s="1"/>
  <c r="F122" i="6" s="1"/>
  <c r="L54" i="6"/>
  <c r="J54" i="6"/>
  <c r="P53" i="6" s="1"/>
  <c r="C858" i="17" l="1"/>
  <c r="C850" i="17"/>
  <c r="J48" i="19"/>
  <c r="S48" i="19" s="1"/>
  <c r="V48" i="19" s="1"/>
  <c r="H49" i="19"/>
  <c r="AA49" i="19" s="1"/>
  <c r="M53" i="6"/>
  <c r="K54" i="6"/>
  <c r="J55" i="6" s="1"/>
  <c r="P54" i="6" s="1"/>
  <c r="C850" i="31" l="1"/>
  <c r="C858" i="31"/>
  <c r="C867" i="17"/>
  <c r="C862" i="17"/>
  <c r="I50" i="19"/>
  <c r="G50" i="19"/>
  <c r="M49" i="19" s="1"/>
  <c r="M54" i="6"/>
  <c r="K55" i="6"/>
  <c r="J56" i="6" s="1"/>
  <c r="P55" i="6" s="1"/>
  <c r="AD54" i="6"/>
  <c r="L55" i="6"/>
  <c r="C862" i="31" l="1"/>
  <c r="C867" i="31"/>
  <c r="J49" i="19"/>
  <c r="S49" i="19" s="1"/>
  <c r="V49" i="19" s="1"/>
  <c r="H50" i="19"/>
  <c r="AA50" i="19" s="1"/>
  <c r="M55" i="6"/>
  <c r="K56" i="6"/>
  <c r="J57" i="6" s="1"/>
  <c r="P56" i="6" s="1"/>
  <c r="AD55" i="6"/>
  <c r="L56" i="6"/>
  <c r="I51" i="19" l="1"/>
  <c r="G51" i="19"/>
  <c r="M50" i="19" s="1"/>
  <c r="AD56" i="6"/>
  <c r="L57" i="6"/>
  <c r="M56" i="6"/>
  <c r="K57" i="6"/>
  <c r="J58" i="6" s="1"/>
  <c r="P57" i="6" s="1"/>
  <c r="J50" i="19" l="1"/>
  <c r="S50" i="19" s="1"/>
  <c r="V50" i="19" s="1"/>
  <c r="H51" i="19"/>
  <c r="AA51" i="19" s="1"/>
  <c r="M57" i="6"/>
  <c r="K58" i="6"/>
  <c r="AD57" i="6"/>
  <c r="L58" i="6"/>
  <c r="G52" i="19" l="1"/>
  <c r="M51" i="19" s="1"/>
  <c r="I52" i="19"/>
  <c r="AD58" i="6"/>
  <c r="L59" i="6"/>
  <c r="J59" i="6"/>
  <c r="P58" i="6" s="1"/>
  <c r="H52" i="19" l="1"/>
  <c r="AA52" i="19" s="1"/>
  <c r="J51" i="19"/>
  <c r="S51" i="19" s="1"/>
  <c r="V51" i="19" s="1"/>
  <c r="M58" i="6"/>
  <c r="K59" i="6"/>
  <c r="G53" i="19" l="1"/>
  <c r="M52" i="19" s="1"/>
  <c r="I53" i="19"/>
  <c r="AD59" i="6"/>
  <c r="L60" i="6"/>
  <c r="J60" i="6"/>
  <c r="P59" i="6" s="1"/>
  <c r="J52" i="19" l="1"/>
  <c r="S52" i="19" s="1"/>
  <c r="V52" i="19" s="1"/>
  <c r="H53" i="19"/>
  <c r="AA53" i="19" s="1"/>
  <c r="AB53" i="19" s="1"/>
  <c r="C122" i="19" s="1"/>
  <c r="M59" i="6"/>
  <c r="K60" i="6"/>
  <c r="I54" i="19" l="1"/>
  <c r="G54" i="19"/>
  <c r="M53" i="19" s="1"/>
  <c r="AD60" i="6"/>
  <c r="L61" i="6"/>
  <c r="J61" i="6"/>
  <c r="P60" i="6" s="1"/>
  <c r="H54" i="19" l="1"/>
  <c r="G55" i="19" s="1"/>
  <c r="M54" i="19" s="1"/>
  <c r="J53" i="19"/>
  <c r="S53" i="19" s="1"/>
  <c r="V53" i="19" s="1"/>
  <c r="M60" i="6"/>
  <c r="K61" i="6"/>
  <c r="AA54" i="19" l="1"/>
  <c r="I55" i="19"/>
  <c r="H55" i="19"/>
  <c r="AA55" i="19" s="1"/>
  <c r="J54" i="19"/>
  <c r="S54" i="19" s="1"/>
  <c r="V54" i="19" s="1"/>
  <c r="AD61" i="6"/>
  <c r="L62" i="6"/>
  <c r="J62" i="6"/>
  <c r="P61" i="6" s="1"/>
  <c r="I56" i="19" l="1"/>
  <c r="G56" i="19"/>
  <c r="M55" i="19" s="1"/>
  <c r="M61" i="6"/>
  <c r="K62" i="6"/>
  <c r="J63" i="6" s="1"/>
  <c r="P62" i="6" s="1"/>
  <c r="H56" i="19" l="1"/>
  <c r="G57" i="19" s="1"/>
  <c r="M56" i="19" s="1"/>
  <c r="J55" i="19"/>
  <c r="S55" i="19" s="1"/>
  <c r="V55" i="19" s="1"/>
  <c r="M62" i="6"/>
  <c r="K63" i="6"/>
  <c r="AD62" i="6"/>
  <c r="L63" i="6"/>
  <c r="H57" i="19" l="1"/>
  <c r="AA57" i="19" s="1"/>
  <c r="J56" i="19"/>
  <c r="S56" i="19" s="1"/>
  <c r="V56" i="19" s="1"/>
  <c r="AA56" i="19"/>
  <c r="I57" i="19"/>
  <c r="AD63" i="6"/>
  <c r="L64" i="6"/>
  <c r="J64" i="6"/>
  <c r="P63" i="6" s="1"/>
  <c r="G58" i="19" l="1"/>
  <c r="M57" i="19" s="1"/>
  <c r="I58" i="19"/>
  <c r="K64" i="6"/>
  <c r="J65" i="6" s="1"/>
  <c r="P64" i="6" s="1"/>
  <c r="M63" i="6"/>
  <c r="H58" i="19" l="1"/>
  <c r="G59" i="19" s="1"/>
  <c r="M58" i="19" s="1"/>
  <c r="J57" i="19"/>
  <c r="S57" i="19" s="1"/>
  <c r="V57" i="19" s="1"/>
  <c r="M64" i="6"/>
  <c r="K65" i="6"/>
  <c r="AD64" i="6"/>
  <c r="L65" i="6"/>
  <c r="I59" i="19" l="1"/>
  <c r="AA58" i="19"/>
  <c r="H59" i="19"/>
  <c r="AA59" i="19" s="1"/>
  <c r="J58" i="19"/>
  <c r="S58" i="19" s="1"/>
  <c r="V58" i="19" s="1"/>
  <c r="AD65" i="6"/>
  <c r="L66" i="6"/>
  <c r="J66" i="6"/>
  <c r="P65" i="6" s="1"/>
  <c r="G60" i="19" l="1"/>
  <c r="M59" i="19" s="1"/>
  <c r="I60" i="19"/>
  <c r="M65" i="6"/>
  <c r="K66" i="6"/>
  <c r="J67" i="6" s="1"/>
  <c r="P66" i="6" s="1"/>
  <c r="H60" i="19" l="1"/>
  <c r="G61" i="19" s="1"/>
  <c r="J59" i="19"/>
  <c r="S59" i="19" s="1"/>
  <c r="V59" i="19" s="1"/>
  <c r="M66" i="6"/>
  <c r="K67" i="6"/>
  <c r="J68" i="6" s="1"/>
  <c r="P67" i="6" s="1"/>
  <c r="AD66" i="6"/>
  <c r="L67" i="6"/>
  <c r="M60" i="19" l="1"/>
  <c r="H61" i="19"/>
  <c r="AA61" i="19" s="1"/>
  <c r="AA60" i="19"/>
  <c r="I61" i="19"/>
  <c r="J60" i="19"/>
  <c r="S60" i="19" s="1"/>
  <c r="V60" i="19" s="1"/>
  <c r="I62" i="19"/>
  <c r="AD67" i="6"/>
  <c r="L68" i="6"/>
  <c r="M67" i="6"/>
  <c r="K68" i="6"/>
  <c r="G62" i="19" l="1"/>
  <c r="M61" i="19" s="1"/>
  <c r="AD68" i="6"/>
  <c r="AE68" i="6" s="1"/>
  <c r="F123" i="6" s="1"/>
  <c r="L69" i="6"/>
  <c r="J69" i="6"/>
  <c r="P68" i="6" s="1"/>
  <c r="C859" i="17" l="1"/>
  <c r="C851" i="17"/>
  <c r="H62" i="19"/>
  <c r="G63" i="19" s="1"/>
  <c r="M62" i="19" s="1"/>
  <c r="J61" i="19"/>
  <c r="S61" i="19" s="1"/>
  <c r="V61" i="19" s="1"/>
  <c r="M68" i="6"/>
  <c r="K69" i="6"/>
  <c r="C851" i="31" l="1"/>
  <c r="C859" i="31"/>
  <c r="C868" i="17"/>
  <c r="C863" i="17"/>
  <c r="AA62" i="19"/>
  <c r="I63" i="19"/>
  <c r="H63" i="19"/>
  <c r="G64" i="19" s="1"/>
  <c r="J62" i="19"/>
  <c r="S62" i="19" s="1"/>
  <c r="V62" i="19" s="1"/>
  <c r="AD69" i="6"/>
  <c r="L70" i="6"/>
  <c r="J70" i="6"/>
  <c r="P69" i="6" s="1"/>
  <c r="C863" i="31" l="1"/>
  <c r="C868" i="31"/>
  <c r="Y80" i="24"/>
  <c r="I64" i="19"/>
  <c r="M63" i="19"/>
  <c r="H64" i="19"/>
  <c r="AA64" i="19" s="1"/>
  <c r="J63" i="19"/>
  <c r="S63" i="19" s="1"/>
  <c r="V63" i="19" s="1"/>
  <c r="AA63" i="19"/>
  <c r="M69" i="6"/>
  <c r="K70" i="6"/>
  <c r="G65" i="19" l="1"/>
  <c r="M64" i="19" s="1"/>
  <c r="I65" i="19"/>
  <c r="AD70" i="6"/>
  <c r="L71" i="6"/>
  <c r="J71" i="6"/>
  <c r="P70" i="6" s="1"/>
  <c r="J64" i="19" l="1"/>
  <c r="S64" i="19" s="1"/>
  <c r="V64" i="19" s="1"/>
  <c r="H65" i="19"/>
  <c r="AA65" i="19" s="1"/>
  <c r="M70" i="6"/>
  <c r="K71" i="6"/>
  <c r="J72" i="6" s="1"/>
  <c r="P71" i="6" s="1"/>
  <c r="G66" i="19" l="1"/>
  <c r="M65" i="19" s="1"/>
  <c r="I66" i="19"/>
  <c r="M71" i="6"/>
  <c r="K72" i="6"/>
  <c r="J73" i="6" s="1"/>
  <c r="P72" i="6" s="1"/>
  <c r="AD71" i="6"/>
  <c r="L72" i="6"/>
  <c r="H66" i="19" l="1"/>
  <c r="AA66" i="19" s="1"/>
  <c r="J65" i="19"/>
  <c r="S65" i="19" s="1"/>
  <c r="V65" i="19" s="1"/>
  <c r="M72" i="6"/>
  <c r="K73" i="6"/>
  <c r="J74" i="6" s="1"/>
  <c r="P73" i="6" s="1"/>
  <c r="AD72" i="6"/>
  <c r="L73" i="6"/>
  <c r="I67" i="19" l="1"/>
  <c r="G67" i="19"/>
  <c r="M66" i="19" s="1"/>
  <c r="AD73" i="6"/>
  <c r="L74" i="6"/>
  <c r="M73" i="6"/>
  <c r="K74" i="6"/>
  <c r="J75" i="6" s="1"/>
  <c r="P74" i="6" s="1"/>
  <c r="H67" i="19" l="1"/>
  <c r="AA67" i="19" s="1"/>
  <c r="J66" i="19"/>
  <c r="S66" i="19" s="1"/>
  <c r="V66" i="19" s="1"/>
  <c r="M74" i="6"/>
  <c r="K75" i="6"/>
  <c r="AD74" i="6"/>
  <c r="L75" i="6"/>
  <c r="I68" i="19" l="1"/>
  <c r="G68" i="19"/>
  <c r="M67" i="19" s="1"/>
  <c r="AD75" i="6"/>
  <c r="L76" i="6"/>
  <c r="J76" i="6"/>
  <c r="P75" i="6" s="1"/>
  <c r="H68" i="19" l="1"/>
  <c r="AA68" i="19" s="1"/>
  <c r="AB68" i="19" s="1"/>
  <c r="C123" i="19" s="1"/>
  <c r="J67" i="19"/>
  <c r="S67" i="19" s="1"/>
  <c r="V67" i="19" s="1"/>
  <c r="M75" i="6"/>
  <c r="K76" i="6"/>
  <c r="J77" i="6" s="1"/>
  <c r="P76" i="6" s="1"/>
  <c r="G69" i="19" l="1"/>
  <c r="M68" i="19" s="1"/>
  <c r="I69" i="19"/>
  <c r="AD76" i="6"/>
  <c r="L77" i="6"/>
  <c r="M76" i="6"/>
  <c r="K77" i="6"/>
  <c r="J78" i="6" s="1"/>
  <c r="P77" i="6" s="1"/>
  <c r="H69" i="19" l="1"/>
  <c r="AA69" i="19" s="1"/>
  <c r="J68" i="19"/>
  <c r="S68" i="19" s="1"/>
  <c r="V68" i="19" s="1"/>
  <c r="AD77" i="6"/>
  <c r="L78" i="6"/>
  <c r="M77" i="6"/>
  <c r="K78" i="6"/>
  <c r="J79" i="6" s="1"/>
  <c r="P78" i="6" s="1"/>
  <c r="I70" i="19" l="1"/>
  <c r="G70" i="19"/>
  <c r="M69" i="19" s="1"/>
  <c r="M78" i="6"/>
  <c r="K79" i="6"/>
  <c r="J80" i="6" s="1"/>
  <c r="P79" i="6" s="1"/>
  <c r="AD78" i="6"/>
  <c r="L79" i="6"/>
  <c r="H70" i="19" l="1"/>
  <c r="AA70" i="19" s="1"/>
  <c r="J69" i="19"/>
  <c r="S69" i="19" s="1"/>
  <c r="V69" i="19" s="1"/>
  <c r="M79" i="6"/>
  <c r="K80" i="6"/>
  <c r="J81" i="6" s="1"/>
  <c r="P80" i="6" s="1"/>
  <c r="AD79" i="6"/>
  <c r="L80" i="6"/>
  <c r="I71" i="19" l="1"/>
  <c r="G71" i="19"/>
  <c r="M70" i="19" s="1"/>
  <c r="AD80" i="6"/>
  <c r="L81" i="6"/>
  <c r="M80" i="6"/>
  <c r="K81" i="6"/>
  <c r="H71" i="19" l="1"/>
  <c r="AA71" i="19" s="1"/>
  <c r="J70" i="19"/>
  <c r="S70" i="19" s="1"/>
  <c r="V70" i="19" s="1"/>
  <c r="AD81" i="6"/>
  <c r="L82" i="6"/>
  <c r="J82" i="6"/>
  <c r="P81" i="6" s="1"/>
  <c r="I72" i="19" l="1"/>
  <c r="G72" i="19"/>
  <c r="M71" i="19" s="1"/>
  <c r="M81" i="6"/>
  <c r="K82" i="6"/>
  <c r="J83" i="6" s="1"/>
  <c r="P82" i="6" s="1"/>
  <c r="H72" i="19" l="1"/>
  <c r="AA72" i="19" s="1"/>
  <c r="J71" i="19"/>
  <c r="S71" i="19" s="1"/>
  <c r="V71" i="19" s="1"/>
  <c r="M82" i="6"/>
  <c r="K83" i="6"/>
  <c r="J84" i="6" s="1"/>
  <c r="P83" i="6" s="1"/>
  <c r="AD82" i="6"/>
  <c r="L83" i="6"/>
  <c r="I73" i="19" l="1"/>
  <c r="G73" i="19"/>
  <c r="M72" i="19" s="1"/>
  <c r="AD83" i="6"/>
  <c r="L84" i="6"/>
  <c r="M83" i="6"/>
  <c r="K84" i="6"/>
  <c r="H73" i="19" l="1"/>
  <c r="AA73" i="19" s="1"/>
  <c r="J72" i="19"/>
  <c r="S72" i="19" s="1"/>
  <c r="V72" i="19" s="1"/>
  <c r="AD84" i="6"/>
  <c r="L85" i="6"/>
  <c r="J85" i="6"/>
  <c r="P84" i="6" s="1"/>
  <c r="G74" i="19" l="1"/>
  <c r="M73" i="19" s="1"/>
  <c r="I74" i="19"/>
  <c r="M84" i="6"/>
  <c r="K85" i="6"/>
  <c r="J86" i="6" s="1"/>
  <c r="P85" i="6" s="1"/>
  <c r="H74" i="19" l="1"/>
  <c r="G75" i="19" s="1"/>
  <c r="M74" i="19" s="1"/>
  <c r="J73" i="19"/>
  <c r="S73" i="19" s="1"/>
  <c r="V73" i="19" s="1"/>
  <c r="AD85" i="6"/>
  <c r="L86" i="6"/>
  <c r="M85" i="6"/>
  <c r="K86" i="6"/>
  <c r="J87" i="6" s="1"/>
  <c r="P86" i="6" s="1"/>
  <c r="I75" i="19" l="1"/>
  <c r="AA74" i="19"/>
  <c r="H75" i="19"/>
  <c r="AA75" i="19" s="1"/>
  <c r="J74" i="19"/>
  <c r="S74" i="19" s="1"/>
  <c r="V74" i="19" s="1"/>
  <c r="M86" i="6"/>
  <c r="K87" i="6"/>
  <c r="J88" i="6" s="1"/>
  <c r="P87" i="6" s="1"/>
  <c r="AD86" i="6"/>
  <c r="L87" i="6"/>
  <c r="I76" i="19" l="1"/>
  <c r="G76" i="19"/>
  <c r="M75" i="19" s="1"/>
  <c r="AD87" i="6"/>
  <c r="L88" i="6"/>
  <c r="M87" i="6"/>
  <c r="K88" i="6"/>
  <c r="J89" i="6" s="1"/>
  <c r="P88" i="6" s="1"/>
  <c r="J75" i="19" l="1"/>
  <c r="S75" i="19" s="1"/>
  <c r="V75" i="19" s="1"/>
  <c r="H76" i="19"/>
  <c r="AD88" i="6"/>
  <c r="L89" i="6"/>
  <c r="M88" i="6"/>
  <c r="K89" i="6"/>
  <c r="J90" i="6" s="1"/>
  <c r="P89" i="6" s="1"/>
  <c r="AA76" i="19" l="1"/>
  <c r="I77" i="19"/>
  <c r="G77" i="19"/>
  <c r="M89" i="6"/>
  <c r="K90" i="6"/>
  <c r="J91" i="6" s="1"/>
  <c r="P90" i="6" s="1"/>
  <c r="AD89" i="6"/>
  <c r="L90" i="6"/>
  <c r="M76" i="19" l="1"/>
  <c r="J76" i="19"/>
  <c r="S76" i="19" s="1"/>
  <c r="V76" i="19" s="1"/>
  <c r="H77" i="19"/>
  <c r="M90" i="6"/>
  <c r="K91" i="6"/>
  <c r="AD90" i="6"/>
  <c r="L91" i="6"/>
  <c r="AA77" i="19" l="1"/>
  <c r="G78" i="19"/>
  <c r="I78" i="19"/>
  <c r="AD91" i="6"/>
  <c r="L92" i="6"/>
  <c r="J92" i="6"/>
  <c r="P91" i="6" s="1"/>
  <c r="M77" i="19" l="1"/>
  <c r="J77" i="19"/>
  <c r="S77" i="19" s="1"/>
  <c r="V77" i="19" s="1"/>
  <c r="H78" i="19"/>
  <c r="M91" i="6"/>
  <c r="K92" i="6"/>
  <c r="AA78" i="19" l="1"/>
  <c r="G79" i="19"/>
  <c r="I79" i="19"/>
  <c r="AD92" i="6"/>
  <c r="L93" i="6"/>
  <c r="J93" i="6"/>
  <c r="P92" i="6" s="1"/>
  <c r="M78" i="19" l="1"/>
  <c r="J78" i="19"/>
  <c r="S78" i="19" s="1"/>
  <c r="V78" i="19" s="1"/>
  <c r="H79" i="19"/>
  <c r="M92" i="6"/>
  <c r="K93" i="6"/>
  <c r="J94" i="6" s="1"/>
  <c r="P93" i="6" s="1"/>
  <c r="AA79" i="19" l="1"/>
  <c r="I80" i="19"/>
  <c r="G80" i="19"/>
  <c r="M93" i="6"/>
  <c r="K94" i="6"/>
  <c r="AD93" i="6"/>
  <c r="L94" i="6"/>
  <c r="M79" i="19" l="1"/>
  <c r="H80" i="19"/>
  <c r="J79" i="19"/>
  <c r="S79" i="19" s="1"/>
  <c r="V79" i="19" s="1"/>
  <c r="AD94" i="6"/>
  <c r="L95" i="6"/>
  <c r="J95" i="6"/>
  <c r="P94" i="6" s="1"/>
  <c r="AA80" i="19" l="1"/>
  <c r="G81" i="19"/>
  <c r="I81" i="19"/>
  <c r="M94" i="6"/>
  <c r="K95" i="6"/>
  <c r="M80" i="19" l="1"/>
  <c r="J80" i="19"/>
  <c r="S80" i="19" s="1"/>
  <c r="V80" i="19" s="1"/>
  <c r="H81" i="19"/>
  <c r="AD95" i="6"/>
  <c r="L96" i="6"/>
  <c r="J96" i="6"/>
  <c r="P95" i="6" s="1"/>
  <c r="G82" i="19" l="1"/>
  <c r="AA81" i="19"/>
  <c r="I82" i="19"/>
  <c r="M95" i="6"/>
  <c r="K96" i="6"/>
  <c r="M81" i="19" l="1"/>
  <c r="H82" i="19"/>
  <c r="G83" i="19" s="1"/>
  <c r="M82" i="19" s="1"/>
  <c r="J81" i="19"/>
  <c r="S81" i="19" s="1"/>
  <c r="V81" i="19" s="1"/>
  <c r="AD96" i="6"/>
  <c r="L97" i="6"/>
  <c r="J97" i="6"/>
  <c r="P96" i="6" s="1"/>
  <c r="H83" i="19" l="1"/>
  <c r="J82" i="19"/>
  <c r="S82" i="19" s="1"/>
  <c r="V82" i="19" s="1"/>
  <c r="AA82" i="19"/>
  <c r="I83" i="19"/>
  <c r="M96" i="6"/>
  <c r="K97" i="6"/>
  <c r="AA83" i="19" l="1"/>
  <c r="I84" i="19"/>
  <c r="G84" i="19"/>
  <c r="AD97" i="6"/>
  <c r="L98" i="6"/>
  <c r="J98" i="6"/>
  <c r="P97" i="6" s="1"/>
  <c r="M83" i="19" l="1"/>
  <c r="J83" i="19"/>
  <c r="S83" i="19" s="1"/>
  <c r="V83" i="19" s="1"/>
  <c r="H84" i="19"/>
  <c r="M97" i="6"/>
  <c r="K98" i="6"/>
  <c r="J99" i="6" s="1"/>
  <c r="P98" i="6" s="1"/>
  <c r="AA84" i="19" l="1"/>
  <c r="I85" i="19"/>
  <c r="G85" i="19"/>
  <c r="AD98" i="6"/>
  <c r="L99" i="6"/>
  <c r="M98" i="6"/>
  <c r="K99" i="6"/>
  <c r="M84" i="19" l="1"/>
  <c r="H85" i="19"/>
  <c r="J84" i="19"/>
  <c r="S84" i="19" s="1"/>
  <c r="V84" i="19" s="1"/>
  <c r="AD99" i="6"/>
  <c r="L100" i="6"/>
  <c r="J100" i="6"/>
  <c r="P99" i="6" s="1"/>
  <c r="AA85" i="19" l="1"/>
  <c r="I86" i="19"/>
  <c r="G86" i="19"/>
  <c r="M99" i="6"/>
  <c r="K100" i="6"/>
  <c r="M85" i="19" l="1"/>
  <c r="J85" i="19"/>
  <c r="S85" i="19" s="1"/>
  <c r="V85" i="19" s="1"/>
  <c r="H86" i="19"/>
  <c r="G87" i="19" s="1"/>
  <c r="M86" i="19" s="1"/>
  <c r="AD100" i="6"/>
  <c r="L101" i="6"/>
  <c r="J101" i="6"/>
  <c r="P100" i="6" s="1"/>
  <c r="H87" i="19" l="1"/>
  <c r="AA87" i="19" s="1"/>
  <c r="AA86" i="19"/>
  <c r="I87" i="19"/>
  <c r="J86" i="19"/>
  <c r="S86" i="19" s="1"/>
  <c r="V86" i="19" s="1"/>
  <c r="M100" i="6"/>
  <c r="K101" i="6"/>
  <c r="J102" i="6" s="1"/>
  <c r="P101" i="6" s="1"/>
  <c r="I88" i="19" l="1"/>
  <c r="G88" i="19"/>
  <c r="M87" i="19" s="1"/>
  <c r="M101" i="6"/>
  <c r="K102" i="6"/>
  <c r="J103" i="6" s="1"/>
  <c r="P102" i="6" s="1"/>
  <c r="AD101" i="6"/>
  <c r="L102" i="6"/>
  <c r="H88" i="19" l="1"/>
  <c r="AA88" i="19" s="1"/>
  <c r="J87" i="19"/>
  <c r="S87" i="19" s="1"/>
  <c r="V87" i="19" s="1"/>
  <c r="M102" i="6"/>
  <c r="K103" i="6"/>
  <c r="AD102" i="6"/>
  <c r="L103" i="6"/>
  <c r="I89" i="19" l="1"/>
  <c r="G89" i="19"/>
  <c r="M88" i="19" s="1"/>
  <c r="AD103" i="6"/>
  <c r="L104" i="6"/>
  <c r="J104" i="6"/>
  <c r="P103" i="6" s="1"/>
  <c r="H89" i="19" l="1"/>
  <c r="AA89" i="19" s="1"/>
  <c r="J88" i="19"/>
  <c r="S88" i="19" s="1"/>
  <c r="V88" i="19" s="1"/>
  <c r="M103" i="6"/>
  <c r="K104" i="6"/>
  <c r="I90" i="19" l="1"/>
  <c r="G90" i="19"/>
  <c r="M89" i="19" s="1"/>
  <c r="AD104" i="6"/>
  <c r="L105" i="6"/>
  <c r="J105" i="6"/>
  <c r="P104" i="6" s="1"/>
  <c r="H90" i="19" l="1"/>
  <c r="AA90" i="19" s="1"/>
  <c r="J89" i="19"/>
  <c r="S89" i="19" s="1"/>
  <c r="V89" i="19" s="1"/>
  <c r="M104" i="6"/>
  <c r="K105" i="6"/>
  <c r="J106" i="6" s="1"/>
  <c r="P105" i="6" s="1"/>
  <c r="G91" i="19" l="1"/>
  <c r="M90" i="19" s="1"/>
  <c r="I91" i="19"/>
  <c r="M105" i="6"/>
  <c r="K106" i="6"/>
  <c r="AD105" i="6"/>
  <c r="L106" i="6"/>
  <c r="H91" i="19" l="1"/>
  <c r="AA91" i="19" s="1"/>
  <c r="J90" i="19"/>
  <c r="S90" i="19" s="1"/>
  <c r="V90" i="19" s="1"/>
  <c r="AD106" i="6"/>
  <c r="L107" i="6"/>
  <c r="J107" i="6"/>
  <c r="P106" i="6" s="1"/>
  <c r="G92" i="19" l="1"/>
  <c r="H92" i="19" s="1"/>
  <c r="G93" i="19" s="1"/>
  <c r="M92" i="19" s="1"/>
  <c r="I92" i="19"/>
  <c r="K107" i="6"/>
  <c r="J108" i="6" s="1"/>
  <c r="P107" i="6" s="1"/>
  <c r="M106" i="6"/>
  <c r="M91" i="19" l="1"/>
  <c r="J91" i="19"/>
  <c r="S91" i="19" s="1"/>
  <c r="V91" i="19" s="1"/>
  <c r="AA92" i="19"/>
  <c r="I93" i="19"/>
  <c r="H93" i="19"/>
  <c r="AA93" i="19" s="1"/>
  <c r="J92" i="19"/>
  <c r="S92" i="19" s="1"/>
  <c r="V92" i="19" s="1"/>
  <c r="M107" i="6"/>
  <c r="K108" i="6"/>
  <c r="J109" i="6" s="1"/>
  <c r="P108" i="6" s="1"/>
  <c r="AD107" i="6"/>
  <c r="L108" i="6"/>
  <c r="I94" i="19" l="1"/>
  <c r="G94" i="19"/>
  <c r="M93" i="19" s="1"/>
  <c r="M108" i="6"/>
  <c r="K109" i="6"/>
  <c r="J110" i="6" s="1"/>
  <c r="P109" i="6" s="1"/>
  <c r="AD108" i="6"/>
  <c r="L109" i="6"/>
  <c r="H94" i="19" l="1"/>
  <c r="AA94" i="19" s="1"/>
  <c r="J93" i="19"/>
  <c r="S93" i="19" s="1"/>
  <c r="V93" i="19" s="1"/>
  <c r="K110" i="6"/>
  <c r="J111" i="6" s="1"/>
  <c r="P110" i="6" s="1"/>
  <c r="M109" i="6"/>
  <c r="AD109" i="6"/>
  <c r="L110" i="6"/>
  <c r="I95" i="19" l="1"/>
  <c r="G95" i="19"/>
  <c r="M94" i="19" s="1"/>
  <c r="M110" i="6"/>
  <c r="K111" i="6"/>
  <c r="J112" i="6" s="1"/>
  <c r="P111" i="6" s="1"/>
  <c r="AD110" i="6"/>
  <c r="L111" i="6"/>
  <c r="H95" i="19" l="1"/>
  <c r="AA95" i="19" s="1"/>
  <c r="J94" i="19"/>
  <c r="S94" i="19" s="1"/>
  <c r="V94" i="19" s="1"/>
  <c r="M111" i="6"/>
  <c r="K112" i="6"/>
  <c r="AD111" i="6"/>
  <c r="L112" i="6"/>
  <c r="I96" i="19" l="1"/>
  <c r="G96" i="19"/>
  <c r="M95" i="19" s="1"/>
  <c r="AD112" i="6"/>
  <c r="L113" i="6"/>
  <c r="J113" i="6"/>
  <c r="P112" i="6" s="1"/>
  <c r="H96" i="19" l="1"/>
  <c r="AA96" i="19" s="1"/>
  <c r="J95" i="19"/>
  <c r="S95" i="19" s="1"/>
  <c r="V95" i="19" s="1"/>
  <c r="K113" i="6"/>
  <c r="P113" i="6" s="1"/>
  <c r="M112" i="6"/>
  <c r="I97" i="19" l="1"/>
  <c r="G97" i="19"/>
  <c r="M96" i="19" s="1"/>
  <c r="AD113" i="6"/>
  <c r="AE113" i="6" s="1"/>
  <c r="F124" i="6" s="1"/>
  <c r="M113" i="6"/>
  <c r="N110" i="6" s="1"/>
  <c r="O110" i="6" s="1"/>
  <c r="Q112" i="6"/>
  <c r="R112" i="6" s="1"/>
  <c r="C860" i="17" l="1"/>
  <c r="C653" i="14" s="1"/>
  <c r="H97" i="19"/>
  <c r="AA97" i="19" s="1"/>
  <c r="J96" i="19"/>
  <c r="S96" i="19" s="1"/>
  <c r="V96" i="19" s="1"/>
  <c r="C852" i="17"/>
  <c r="C645" i="14" s="1"/>
  <c r="Q110" i="6"/>
  <c r="R110" i="6" s="1"/>
  <c r="Q109" i="6"/>
  <c r="R109" i="6" s="1"/>
  <c r="V113" i="6"/>
  <c r="Y113" i="6" s="1"/>
  <c r="N113" i="6"/>
  <c r="O113" i="6" s="1"/>
  <c r="N4" i="6"/>
  <c r="O4" i="6" s="1"/>
  <c r="N6" i="6"/>
  <c r="O6" i="6" s="1"/>
  <c r="N5" i="6"/>
  <c r="O5" i="6" s="1"/>
  <c r="N8" i="6"/>
  <c r="O8" i="6" s="1"/>
  <c r="N9" i="6"/>
  <c r="O9" i="6" s="1"/>
  <c r="N7" i="6"/>
  <c r="O7" i="6" s="1"/>
  <c r="G120" i="6" s="1"/>
  <c r="N11" i="6"/>
  <c r="O11" i="6" s="1"/>
  <c r="N10" i="6"/>
  <c r="O10" i="6" s="1"/>
  <c r="N12" i="6"/>
  <c r="O12" i="6" s="1"/>
  <c r="N13" i="6"/>
  <c r="O13" i="6" s="1"/>
  <c r="N14" i="6"/>
  <c r="O14" i="6" s="1"/>
  <c r="N15" i="6"/>
  <c r="O15" i="6" s="1"/>
  <c r="N16" i="6"/>
  <c r="O16" i="6" s="1"/>
  <c r="N17" i="6"/>
  <c r="O17" i="6" s="1"/>
  <c r="N19" i="6"/>
  <c r="O19" i="6" s="1"/>
  <c r="N18" i="6"/>
  <c r="O18" i="6" s="1"/>
  <c r="N20" i="6"/>
  <c r="O20" i="6" s="1"/>
  <c r="N21" i="6"/>
  <c r="O21" i="6" s="1"/>
  <c r="N23" i="6"/>
  <c r="O23" i="6" s="1"/>
  <c r="N22" i="6"/>
  <c r="O22" i="6" s="1"/>
  <c r="N24" i="6"/>
  <c r="O24" i="6" s="1"/>
  <c r="N25" i="6"/>
  <c r="O25" i="6" s="1"/>
  <c r="N27" i="6"/>
  <c r="O27" i="6" s="1"/>
  <c r="N28" i="6"/>
  <c r="O28" i="6" s="1"/>
  <c r="N26" i="6"/>
  <c r="O26" i="6" s="1"/>
  <c r="N29" i="6"/>
  <c r="O29" i="6" s="1"/>
  <c r="N30" i="6"/>
  <c r="O30" i="6" s="1"/>
  <c r="N31" i="6"/>
  <c r="O31" i="6" s="1"/>
  <c r="N32" i="6"/>
  <c r="O32" i="6" s="1"/>
  <c r="N33" i="6"/>
  <c r="O33" i="6" s="1"/>
  <c r="N34" i="6"/>
  <c r="O34" i="6" s="1"/>
  <c r="N35" i="6"/>
  <c r="O35" i="6" s="1"/>
  <c r="N36" i="6"/>
  <c r="O36" i="6" s="1"/>
  <c r="N37" i="6"/>
  <c r="O37" i="6" s="1"/>
  <c r="N38" i="6"/>
  <c r="O38" i="6" s="1"/>
  <c r="N40" i="6"/>
  <c r="O40" i="6" s="1"/>
  <c r="N39" i="6"/>
  <c r="O39" i="6" s="1"/>
  <c r="N41" i="6"/>
  <c r="O41" i="6" s="1"/>
  <c r="N43" i="6"/>
  <c r="O43" i="6" s="1"/>
  <c r="N42" i="6"/>
  <c r="O42" i="6" s="1"/>
  <c r="N44" i="6"/>
  <c r="O44" i="6" s="1"/>
  <c r="N45" i="6"/>
  <c r="O45" i="6" s="1"/>
  <c r="N46" i="6"/>
  <c r="O46" i="6" s="1"/>
  <c r="N47" i="6"/>
  <c r="O47" i="6" s="1"/>
  <c r="N48" i="6"/>
  <c r="O48" i="6" s="1"/>
  <c r="N49" i="6"/>
  <c r="O49" i="6" s="1"/>
  <c r="N50" i="6"/>
  <c r="O50" i="6" s="1"/>
  <c r="N51" i="6"/>
  <c r="O51" i="6" s="1"/>
  <c r="N52" i="6"/>
  <c r="O52" i="6" s="1"/>
  <c r="N53" i="6"/>
  <c r="O53" i="6" s="1"/>
  <c r="N54" i="6"/>
  <c r="O54" i="6" s="1"/>
  <c r="N55" i="6"/>
  <c r="O55" i="6" s="1"/>
  <c r="N57" i="6"/>
  <c r="O57" i="6" s="1"/>
  <c r="N56" i="6"/>
  <c r="O56" i="6" s="1"/>
  <c r="N58" i="6"/>
  <c r="O58" i="6" s="1"/>
  <c r="N59" i="6"/>
  <c r="O59" i="6" s="1"/>
  <c r="N60" i="6"/>
  <c r="O60" i="6" s="1"/>
  <c r="N61" i="6"/>
  <c r="O61" i="6" s="1"/>
  <c r="N62" i="6"/>
  <c r="O62" i="6" s="1"/>
  <c r="N64" i="6"/>
  <c r="O64" i="6" s="1"/>
  <c r="N63" i="6"/>
  <c r="O63" i="6" s="1"/>
  <c r="N66" i="6"/>
  <c r="O66" i="6" s="1"/>
  <c r="N65" i="6"/>
  <c r="O65" i="6" s="1"/>
  <c r="N67" i="6"/>
  <c r="O67" i="6" s="1"/>
  <c r="N68" i="6"/>
  <c r="O68" i="6" s="1"/>
  <c r="N70" i="6"/>
  <c r="O70" i="6" s="1"/>
  <c r="N69" i="6"/>
  <c r="O69" i="6" s="1"/>
  <c r="N72" i="6"/>
  <c r="O72" i="6" s="1"/>
  <c r="N73" i="6"/>
  <c r="O73" i="6" s="1"/>
  <c r="N71" i="6"/>
  <c r="O71" i="6" s="1"/>
  <c r="N75" i="6"/>
  <c r="O75" i="6" s="1"/>
  <c r="N74" i="6"/>
  <c r="O74" i="6" s="1"/>
  <c r="N78" i="6"/>
  <c r="O78" i="6" s="1"/>
  <c r="N76" i="6"/>
  <c r="O76" i="6" s="1"/>
  <c r="N81" i="6"/>
  <c r="O81" i="6" s="1"/>
  <c r="N80" i="6"/>
  <c r="O80" i="6" s="1"/>
  <c r="N77" i="6"/>
  <c r="O77" i="6" s="1"/>
  <c r="N79" i="6"/>
  <c r="O79" i="6" s="1"/>
  <c r="N82" i="6"/>
  <c r="O82" i="6" s="1"/>
  <c r="N83" i="6"/>
  <c r="O83" i="6" s="1"/>
  <c r="N84" i="6"/>
  <c r="O84" i="6" s="1"/>
  <c r="N85" i="6"/>
  <c r="O85" i="6" s="1"/>
  <c r="N86" i="6"/>
  <c r="O86" i="6" s="1"/>
  <c r="N87" i="6"/>
  <c r="O87" i="6" s="1"/>
  <c r="N88" i="6"/>
  <c r="O88" i="6" s="1"/>
  <c r="N90" i="6"/>
  <c r="O90" i="6" s="1"/>
  <c r="N89" i="6"/>
  <c r="O89" i="6" s="1"/>
  <c r="N91" i="6"/>
  <c r="O91" i="6" s="1"/>
  <c r="N92" i="6"/>
  <c r="O92" i="6" s="1"/>
  <c r="N93" i="6"/>
  <c r="O93" i="6" s="1"/>
  <c r="N94" i="6"/>
  <c r="O94" i="6" s="1"/>
  <c r="N95" i="6"/>
  <c r="O95" i="6" s="1"/>
  <c r="N96" i="6"/>
  <c r="O96" i="6" s="1"/>
  <c r="N98" i="6"/>
  <c r="O98" i="6" s="1"/>
  <c r="N97" i="6"/>
  <c r="O97" i="6" s="1"/>
  <c r="N99" i="6"/>
  <c r="O99" i="6" s="1"/>
  <c r="N100" i="6"/>
  <c r="O100" i="6" s="1"/>
  <c r="N101" i="6"/>
  <c r="O101" i="6" s="1"/>
  <c r="N102" i="6"/>
  <c r="O102" i="6" s="1"/>
  <c r="N105" i="6"/>
  <c r="O105" i="6" s="1"/>
  <c r="N103" i="6"/>
  <c r="O103" i="6" s="1"/>
  <c r="N108" i="6"/>
  <c r="O108" i="6" s="1"/>
  <c r="N104" i="6"/>
  <c r="O104" i="6" s="1"/>
  <c r="Q108" i="6"/>
  <c r="R108" i="6" s="1"/>
  <c r="N111" i="6"/>
  <c r="O111" i="6" s="1"/>
  <c r="N109" i="6"/>
  <c r="O109" i="6" s="1"/>
  <c r="N106" i="6"/>
  <c r="O106" i="6" s="1"/>
  <c r="Q113" i="6"/>
  <c r="R113" i="6" s="1"/>
  <c r="Q4" i="6"/>
  <c r="R4" i="6" s="1"/>
  <c r="Q7" i="6"/>
  <c r="R7" i="6" s="1"/>
  <c r="H120" i="6" s="1"/>
  <c r="Q5" i="6"/>
  <c r="R5" i="6" s="1"/>
  <c r="Q6" i="6"/>
  <c r="R6" i="6" s="1"/>
  <c r="Q9" i="6"/>
  <c r="R9" i="6" s="1"/>
  <c r="Q8" i="6"/>
  <c r="R8" i="6" s="1"/>
  <c r="Q10" i="6"/>
  <c r="R10" i="6" s="1"/>
  <c r="Q11" i="6"/>
  <c r="R11" i="6" s="1"/>
  <c r="Q13" i="6"/>
  <c r="R13" i="6" s="1"/>
  <c r="Q12" i="6"/>
  <c r="R12" i="6" s="1"/>
  <c r="Q14" i="6"/>
  <c r="R14" i="6" s="1"/>
  <c r="Q15" i="6"/>
  <c r="R15" i="6" s="1"/>
  <c r="Q16" i="6"/>
  <c r="R16" i="6" s="1"/>
  <c r="Q17" i="6"/>
  <c r="R17" i="6" s="1"/>
  <c r="Q20" i="6"/>
  <c r="R20" i="6" s="1"/>
  <c r="Q18" i="6"/>
  <c r="R18" i="6" s="1"/>
  <c r="Q19" i="6"/>
  <c r="R19" i="6" s="1"/>
  <c r="Q21" i="6"/>
  <c r="R21" i="6" s="1"/>
  <c r="Q22" i="6"/>
  <c r="R22" i="6" s="1"/>
  <c r="Q23" i="6"/>
  <c r="R23" i="6" s="1"/>
  <c r="Q26" i="6"/>
  <c r="R26" i="6" s="1"/>
  <c r="Q24" i="6"/>
  <c r="R24" i="6" s="1"/>
  <c r="Q25" i="6"/>
  <c r="R25" i="6" s="1"/>
  <c r="Q28" i="6"/>
  <c r="R28" i="6" s="1"/>
  <c r="Q27" i="6"/>
  <c r="R27" i="6" s="1"/>
  <c r="Q30" i="6"/>
  <c r="R30" i="6" s="1"/>
  <c r="Q29" i="6"/>
  <c r="R29" i="6" s="1"/>
  <c r="Q32" i="6"/>
  <c r="R32" i="6" s="1"/>
  <c r="Q33" i="6"/>
  <c r="R33" i="6" s="1"/>
  <c r="Q31" i="6"/>
  <c r="R31" i="6" s="1"/>
  <c r="Q34" i="6"/>
  <c r="R34" i="6" s="1"/>
  <c r="Q35" i="6"/>
  <c r="R35" i="6" s="1"/>
  <c r="Q36" i="6"/>
  <c r="R36" i="6" s="1"/>
  <c r="Q37" i="6"/>
  <c r="R37" i="6" s="1"/>
  <c r="Q38" i="6"/>
  <c r="R38" i="6" s="1"/>
  <c r="Q39" i="6"/>
  <c r="R39" i="6" s="1"/>
  <c r="Q42" i="6"/>
  <c r="R42" i="6" s="1"/>
  <c r="Q40" i="6"/>
  <c r="R40" i="6" s="1"/>
  <c r="Q41" i="6"/>
  <c r="R41" i="6" s="1"/>
  <c r="Q44" i="6"/>
  <c r="R44" i="6" s="1"/>
  <c r="Q43" i="6"/>
  <c r="R43" i="6" s="1"/>
  <c r="Q45" i="6"/>
  <c r="R45" i="6" s="1"/>
  <c r="Q46" i="6"/>
  <c r="R46" i="6" s="1"/>
  <c r="Q49" i="6"/>
  <c r="R49" i="6" s="1"/>
  <c r="Q47" i="6"/>
  <c r="R47" i="6" s="1"/>
  <c r="Q48" i="6"/>
  <c r="R48" i="6" s="1"/>
  <c r="Q50" i="6"/>
  <c r="R50" i="6" s="1"/>
  <c r="Q52" i="6"/>
  <c r="R52" i="6" s="1"/>
  <c r="Q51" i="6"/>
  <c r="R51" i="6" s="1"/>
  <c r="Q54" i="6"/>
  <c r="R54" i="6" s="1"/>
  <c r="Q55" i="6"/>
  <c r="R55" i="6" s="1"/>
  <c r="Q53" i="6"/>
  <c r="R53" i="6" s="1"/>
  <c r="Q57" i="6"/>
  <c r="R57" i="6" s="1"/>
  <c r="Q56" i="6"/>
  <c r="R56" i="6" s="1"/>
  <c r="Q58" i="6"/>
  <c r="R58" i="6" s="1"/>
  <c r="Q59" i="6"/>
  <c r="R59" i="6" s="1"/>
  <c r="Q62" i="6"/>
  <c r="R62" i="6" s="1"/>
  <c r="Q60" i="6"/>
  <c r="R60" i="6" s="1"/>
  <c r="Q61" i="6"/>
  <c r="R61" i="6" s="1"/>
  <c r="Q64" i="6"/>
  <c r="R64" i="6" s="1"/>
  <c r="Q63" i="6"/>
  <c r="R63" i="6" s="1"/>
  <c r="Q66" i="6"/>
  <c r="R66" i="6" s="1"/>
  <c r="Q65" i="6"/>
  <c r="R65" i="6" s="1"/>
  <c r="Q67" i="6"/>
  <c r="R67" i="6" s="1"/>
  <c r="Q68" i="6"/>
  <c r="R68" i="6" s="1"/>
  <c r="Q69" i="6"/>
  <c r="R69" i="6" s="1"/>
  <c r="Q70" i="6"/>
  <c r="R70" i="6" s="1"/>
  <c r="Q71" i="6"/>
  <c r="R71" i="6" s="1"/>
  <c r="Q74" i="6"/>
  <c r="R74" i="6" s="1"/>
  <c r="Q73" i="6"/>
  <c r="R73" i="6" s="1"/>
  <c r="Q72" i="6"/>
  <c r="R72" i="6" s="1"/>
  <c r="Q76" i="6"/>
  <c r="R76" i="6" s="1"/>
  <c r="Q77" i="6"/>
  <c r="R77" i="6" s="1"/>
  <c r="Q75" i="6"/>
  <c r="R75" i="6" s="1"/>
  <c r="Q78" i="6"/>
  <c r="R78" i="6" s="1"/>
  <c r="Q79" i="6"/>
  <c r="R79" i="6" s="1"/>
  <c r="Q82" i="6"/>
  <c r="R82" i="6" s="1"/>
  <c r="Q80" i="6"/>
  <c r="R80" i="6" s="1"/>
  <c r="Q81" i="6"/>
  <c r="R81" i="6" s="1"/>
  <c r="Q83" i="6"/>
  <c r="R83" i="6" s="1"/>
  <c r="Q85" i="6"/>
  <c r="R85" i="6" s="1"/>
  <c r="Q86" i="6"/>
  <c r="R86" i="6" s="1"/>
  <c r="Q84" i="6"/>
  <c r="R84" i="6" s="1"/>
  <c r="Q87" i="6"/>
  <c r="R87" i="6" s="1"/>
  <c r="Q89" i="6"/>
  <c r="R89" i="6" s="1"/>
  <c r="Q88" i="6"/>
  <c r="R88" i="6" s="1"/>
  <c r="Q90" i="6"/>
  <c r="R90" i="6" s="1"/>
  <c r="Q91" i="6"/>
  <c r="R91" i="6" s="1"/>
  <c r="Q93" i="6"/>
  <c r="R93" i="6" s="1"/>
  <c r="Q92" i="6"/>
  <c r="R92" i="6" s="1"/>
  <c r="Q94" i="6"/>
  <c r="R94" i="6" s="1"/>
  <c r="Q95" i="6"/>
  <c r="R95" i="6" s="1"/>
  <c r="Q96" i="6"/>
  <c r="R96" i="6" s="1"/>
  <c r="Q97" i="6"/>
  <c r="R97" i="6" s="1"/>
  <c r="Q98" i="6"/>
  <c r="R98" i="6" s="1"/>
  <c r="Q101" i="6"/>
  <c r="R101" i="6" s="1"/>
  <c r="Q99" i="6"/>
  <c r="R99" i="6" s="1"/>
  <c r="Q100" i="6"/>
  <c r="R100" i="6" s="1"/>
  <c r="Q103" i="6"/>
  <c r="R103" i="6" s="1"/>
  <c r="Q102" i="6"/>
  <c r="R102" i="6" s="1"/>
  <c r="Q105" i="6"/>
  <c r="R105" i="6" s="1"/>
  <c r="Q107" i="6"/>
  <c r="R107" i="6" s="1"/>
  <c r="Q104" i="6"/>
  <c r="R104" i="6" s="1"/>
  <c r="N107" i="6"/>
  <c r="O107" i="6" s="1"/>
  <c r="N112" i="6"/>
  <c r="O112" i="6" s="1"/>
  <c r="Q106" i="6"/>
  <c r="R106" i="6" s="1"/>
  <c r="Q111" i="6"/>
  <c r="R111" i="6" s="1"/>
  <c r="D848" i="17" l="1"/>
  <c r="C78" i="13"/>
  <c r="E645" i="14"/>
  <c r="D645" i="14"/>
  <c r="E653" i="14"/>
  <c r="D653" i="14"/>
  <c r="C852" i="31"/>
  <c r="D856" i="17"/>
  <c r="D856" i="31" s="1"/>
  <c r="D848" i="31"/>
  <c r="C860" i="31"/>
  <c r="H117" i="6"/>
  <c r="G98" i="19"/>
  <c r="M97" i="19" s="1"/>
  <c r="I98" i="19"/>
  <c r="E848" i="17"/>
  <c r="C641" i="14" s="1"/>
  <c r="H119" i="6"/>
  <c r="H124" i="6"/>
  <c r="H123" i="6"/>
  <c r="H122" i="6"/>
  <c r="H121" i="6"/>
  <c r="G124" i="6"/>
  <c r="G123" i="6"/>
  <c r="G119" i="6"/>
  <c r="H118" i="6"/>
  <c r="G121" i="6"/>
  <c r="G118" i="6"/>
  <c r="C76" i="13" s="1"/>
  <c r="G117" i="6"/>
  <c r="D864" i="17" s="1"/>
  <c r="G122" i="6"/>
  <c r="W113" i="6"/>
  <c r="X113" i="6" s="1"/>
  <c r="D847" i="17" l="1"/>
  <c r="C77" i="13"/>
  <c r="E641" i="14"/>
  <c r="D641" i="14"/>
  <c r="D849" i="17"/>
  <c r="C79" i="13"/>
  <c r="D851" i="17"/>
  <c r="D851" i="31" s="1"/>
  <c r="C81" i="13"/>
  <c r="D852" i="17"/>
  <c r="C82" i="13"/>
  <c r="D850" i="17"/>
  <c r="D850" i="31" s="1"/>
  <c r="C80" i="13"/>
  <c r="O78" i="13"/>
  <c r="C86" i="13"/>
  <c r="D78" i="13"/>
  <c r="D76" i="13"/>
  <c r="C94" i="13"/>
  <c r="O76" i="13"/>
  <c r="C84" i="13"/>
  <c r="D864" i="31"/>
  <c r="Z81" i="23"/>
  <c r="C687" i="7"/>
  <c r="O653" i="14"/>
  <c r="O645" i="14"/>
  <c r="C679" i="7"/>
  <c r="D723" i="17"/>
  <c r="D723" i="31" s="1"/>
  <c r="E848" i="31"/>
  <c r="D860" i="17"/>
  <c r="D852" i="31"/>
  <c r="D855" i="17"/>
  <c r="D855" i="31" s="1"/>
  <c r="D847" i="31"/>
  <c r="D857" i="17"/>
  <c r="D857" i="31" s="1"/>
  <c r="D849" i="31"/>
  <c r="D715" i="17"/>
  <c r="D867" i="17"/>
  <c r="D867" i="31" s="1"/>
  <c r="D858" i="17"/>
  <c r="E865" i="17"/>
  <c r="C658" i="14" s="1"/>
  <c r="E849" i="17"/>
  <c r="E847" i="17"/>
  <c r="E850" i="17"/>
  <c r="C643" i="14" s="1"/>
  <c r="E856" i="17"/>
  <c r="C649" i="14" s="1"/>
  <c r="AD40" i="24"/>
  <c r="AD40" i="23"/>
  <c r="E864" i="17"/>
  <c r="C657" i="14" s="1"/>
  <c r="AC14" i="4"/>
  <c r="D846" i="17"/>
  <c r="D865" i="17"/>
  <c r="D865" i="31" s="1"/>
  <c r="E851" i="17"/>
  <c r="E852" i="17"/>
  <c r="E852" i="31" s="1"/>
  <c r="AC15" i="4"/>
  <c r="AC73" i="4" s="1"/>
  <c r="AC18" i="4"/>
  <c r="AC76" i="4" s="1"/>
  <c r="AC20" i="4"/>
  <c r="AC78" i="4" s="1"/>
  <c r="AC17" i="4"/>
  <c r="AC75" i="4" s="1"/>
  <c r="AC19" i="4"/>
  <c r="AC77" i="4" s="1"/>
  <c r="J97" i="19"/>
  <c r="S97" i="19" s="1"/>
  <c r="V97" i="19" s="1"/>
  <c r="H98" i="19"/>
  <c r="AA98" i="19" s="1"/>
  <c r="E846" i="17"/>
  <c r="C639" i="14" s="1"/>
  <c r="Z113" i="6"/>
  <c r="AA113" i="6" s="1"/>
  <c r="E657" i="14" l="1"/>
  <c r="D657" i="14"/>
  <c r="D86" i="13"/>
  <c r="O86" i="13"/>
  <c r="D79" i="13"/>
  <c r="O79" i="13"/>
  <c r="C87" i="13"/>
  <c r="D81" i="13"/>
  <c r="O81" i="13"/>
  <c r="C89" i="13"/>
  <c r="D868" i="17"/>
  <c r="D868" i="31" s="1"/>
  <c r="C97" i="13"/>
  <c r="O80" i="13"/>
  <c r="D80" i="13"/>
  <c r="C88" i="13"/>
  <c r="C92" i="13"/>
  <c r="E78" i="13"/>
  <c r="Q78" i="13" s="1"/>
  <c r="P78" i="13"/>
  <c r="D639" i="14"/>
  <c r="E639" i="14"/>
  <c r="E649" i="14"/>
  <c r="D649" i="14"/>
  <c r="D859" i="17"/>
  <c r="O84" i="13"/>
  <c r="D84" i="13"/>
  <c r="E849" i="31"/>
  <c r="C642" i="14"/>
  <c r="E76" i="13"/>
  <c r="Q76" i="13" s="1"/>
  <c r="P76" i="13"/>
  <c r="E643" i="14"/>
  <c r="D643" i="14"/>
  <c r="O82" i="13"/>
  <c r="D82" i="13"/>
  <c r="C98" i="13"/>
  <c r="C90" i="13"/>
  <c r="D77" i="13"/>
  <c r="C85" i="13"/>
  <c r="O77" i="13"/>
  <c r="E658" i="14"/>
  <c r="D658" i="14"/>
  <c r="E851" i="31"/>
  <c r="C644" i="14"/>
  <c r="E855" i="17"/>
  <c r="C648" i="14" s="1"/>
  <c r="C640" i="14"/>
  <c r="C95" i="13"/>
  <c r="D94" i="13"/>
  <c r="O94" i="13"/>
  <c r="D858" i="31"/>
  <c r="Z75" i="23"/>
  <c r="D859" i="31"/>
  <c r="Z76" i="23"/>
  <c r="D860" i="31"/>
  <c r="Z77" i="23"/>
  <c r="E715" i="17"/>
  <c r="D679" i="7"/>
  <c r="P645" i="14"/>
  <c r="F715" i="17"/>
  <c r="E679" i="7"/>
  <c r="Q645" i="14"/>
  <c r="F723" i="17"/>
  <c r="F723" i="31" s="1"/>
  <c r="Q653" i="14"/>
  <c r="E687" i="7"/>
  <c r="O641" i="14"/>
  <c r="C675" i="7"/>
  <c r="E723" i="17"/>
  <c r="D687" i="7"/>
  <c r="P653" i="14"/>
  <c r="D711" i="17"/>
  <c r="D711" i="31" s="1"/>
  <c r="AC72" i="4"/>
  <c r="E857" i="17"/>
  <c r="D715" i="31"/>
  <c r="E846" i="31"/>
  <c r="AD9" i="29" s="1"/>
  <c r="E855" i="31"/>
  <c r="D854" i="17"/>
  <c r="D854" i="31" s="1"/>
  <c r="D846" i="31"/>
  <c r="E865" i="31"/>
  <c r="AD28" i="29" s="1"/>
  <c r="AD40" i="29"/>
  <c r="AD11" i="29"/>
  <c r="E856" i="31"/>
  <c r="E864" i="31"/>
  <c r="AD27" i="29" s="1"/>
  <c r="E850" i="31"/>
  <c r="AD42" i="29" s="1"/>
  <c r="D710" i="17"/>
  <c r="E847" i="31"/>
  <c r="AD39" i="29" s="1"/>
  <c r="AC27" i="4"/>
  <c r="AC85" i="4" s="1"/>
  <c r="AC25" i="4"/>
  <c r="AC83" i="4" s="1"/>
  <c r="AC28" i="4"/>
  <c r="AC86" i="4" s="1"/>
  <c r="AC26" i="4"/>
  <c r="AC84" i="4" s="1"/>
  <c r="AC30" i="4"/>
  <c r="AC88" i="4" s="1"/>
  <c r="AC23" i="4"/>
  <c r="AC81" i="4" s="1"/>
  <c r="AC22" i="4"/>
  <c r="AC80" i="4" s="1"/>
  <c r="E868" i="17"/>
  <c r="AD18" i="24"/>
  <c r="AD47" i="24"/>
  <c r="AD47" i="23"/>
  <c r="AD20" i="24"/>
  <c r="E859" i="17"/>
  <c r="C652" i="14" s="1"/>
  <c r="AD43" i="24"/>
  <c r="AD43" i="23"/>
  <c r="AD39" i="24"/>
  <c r="AD39" i="23"/>
  <c r="AD14" i="29"/>
  <c r="AD43" i="29"/>
  <c r="AD56" i="24"/>
  <c r="AD27" i="24"/>
  <c r="AD56" i="23"/>
  <c r="AD48" i="24"/>
  <c r="AD48" i="23"/>
  <c r="AD19" i="24"/>
  <c r="AD12" i="29"/>
  <c r="AD41" i="29"/>
  <c r="AD15" i="29"/>
  <c r="AD44" i="29"/>
  <c r="E858" i="17"/>
  <c r="C651" i="14" s="1"/>
  <c r="E867" i="17"/>
  <c r="C660" i="14" s="1"/>
  <c r="AD42" i="23"/>
  <c r="AD42" i="24"/>
  <c r="AD41" i="24"/>
  <c r="AD41" i="23"/>
  <c r="D862" i="17"/>
  <c r="D863" i="17"/>
  <c r="AD19" i="23"/>
  <c r="E860" i="17"/>
  <c r="E860" i="31" s="1"/>
  <c r="AD44" i="24"/>
  <c r="AD44" i="23"/>
  <c r="AD13" i="29"/>
  <c r="AD57" i="24"/>
  <c r="AD28" i="24"/>
  <c r="AD57" i="23"/>
  <c r="E854" i="17"/>
  <c r="C647" i="14" s="1"/>
  <c r="AD18" i="23"/>
  <c r="I99" i="19"/>
  <c r="G99" i="19"/>
  <c r="P81" i="13" l="1"/>
  <c r="E81" i="13"/>
  <c r="Q81" i="13" s="1"/>
  <c r="D88" i="13"/>
  <c r="O88" i="13"/>
  <c r="D87" i="13"/>
  <c r="O87" i="13"/>
  <c r="D92" i="13"/>
  <c r="C93" i="13"/>
  <c r="O92" i="13"/>
  <c r="E857" i="31"/>
  <c r="C650" i="14"/>
  <c r="E94" i="13"/>
  <c r="Q94" i="13" s="1"/>
  <c r="P94" i="13"/>
  <c r="E80" i="13"/>
  <c r="Q80" i="13" s="1"/>
  <c r="P80" i="13"/>
  <c r="D95" i="13"/>
  <c r="O95" i="13"/>
  <c r="O85" i="13"/>
  <c r="D85" i="13"/>
  <c r="P79" i="13"/>
  <c r="E79" i="13"/>
  <c r="Q79" i="13" s="1"/>
  <c r="D640" i="14"/>
  <c r="E640" i="14"/>
  <c r="P77" i="13"/>
  <c r="E77" i="13"/>
  <c r="Q77" i="13" s="1"/>
  <c r="D97" i="13"/>
  <c r="O97" i="13"/>
  <c r="E868" i="31"/>
  <c r="C661" i="14"/>
  <c r="D648" i="14"/>
  <c r="E648" i="14"/>
  <c r="D90" i="13"/>
  <c r="O90" i="13"/>
  <c r="E642" i="14"/>
  <c r="D642" i="14"/>
  <c r="P86" i="13"/>
  <c r="E86" i="13"/>
  <c r="Q86" i="13" s="1"/>
  <c r="D660" i="14"/>
  <c r="E660" i="14"/>
  <c r="D644" i="14"/>
  <c r="E644" i="14"/>
  <c r="O98" i="13"/>
  <c r="D98" i="13"/>
  <c r="O89" i="13"/>
  <c r="D89" i="13"/>
  <c r="D652" i="14"/>
  <c r="E652" i="14"/>
  <c r="E647" i="14"/>
  <c r="D647" i="14"/>
  <c r="E651" i="14"/>
  <c r="D651" i="14"/>
  <c r="E82" i="13"/>
  <c r="Q82" i="13" s="1"/>
  <c r="P82" i="13"/>
  <c r="E84" i="13"/>
  <c r="Q84" i="13" s="1"/>
  <c r="P84" i="13"/>
  <c r="AD20" i="23"/>
  <c r="AD49" i="23"/>
  <c r="AD49" i="24"/>
  <c r="D863" i="31"/>
  <c r="Z80" i="23"/>
  <c r="D862" i="31"/>
  <c r="Z79" i="23"/>
  <c r="AD38" i="29"/>
  <c r="AD67" i="29" s="1"/>
  <c r="AD57" i="29"/>
  <c r="AD86" i="29" s="1"/>
  <c r="W52" i="24"/>
  <c r="O644" i="14"/>
  <c r="C678" i="7"/>
  <c r="F710" i="17"/>
  <c r="O640" i="14"/>
  <c r="C674" i="7"/>
  <c r="D727" i="17"/>
  <c r="D727" i="31" s="1"/>
  <c r="C691" i="7"/>
  <c r="O657" i="14"/>
  <c r="F715" i="31"/>
  <c r="W44" i="24"/>
  <c r="O650" i="14"/>
  <c r="C684" i="7"/>
  <c r="C673" i="7"/>
  <c r="D709" i="17"/>
  <c r="O639" i="14"/>
  <c r="E711" i="17"/>
  <c r="W40" i="23" s="1"/>
  <c r="D675" i="7"/>
  <c r="P641" i="14"/>
  <c r="O642" i="14"/>
  <c r="C676" i="7"/>
  <c r="F727" i="17"/>
  <c r="F727" i="31" s="1"/>
  <c r="Q657" i="14"/>
  <c r="E691" i="7"/>
  <c r="D713" i="17"/>
  <c r="C677" i="7"/>
  <c r="O643" i="14"/>
  <c r="F711" i="17"/>
  <c r="E675" i="7"/>
  <c r="Q641" i="14"/>
  <c r="D719" i="17"/>
  <c r="D719" i="31" s="1"/>
  <c r="O649" i="14"/>
  <c r="C683" i="7"/>
  <c r="C692" i="7"/>
  <c r="O658" i="14"/>
  <c r="C682" i="7"/>
  <c r="O648" i="14"/>
  <c r="W23" i="24"/>
  <c r="E723" i="31"/>
  <c r="W23" i="23"/>
  <c r="W52" i="23"/>
  <c r="F687" i="7"/>
  <c r="W44" i="23"/>
  <c r="E715" i="31"/>
  <c r="AD10" i="29"/>
  <c r="AD68" i="29" s="1"/>
  <c r="D728" i="17"/>
  <c r="D728" i="31" s="1"/>
  <c r="D718" i="17"/>
  <c r="D718" i="31" s="1"/>
  <c r="AD56" i="29"/>
  <c r="AD85" i="29" s="1"/>
  <c r="D720" i="17"/>
  <c r="E710" i="17"/>
  <c r="AD69" i="29"/>
  <c r="E854" i="31"/>
  <c r="AD17" i="29" s="1"/>
  <c r="E867" i="31"/>
  <c r="AD59" i="29" s="1"/>
  <c r="E858" i="31"/>
  <c r="AD21" i="29" s="1"/>
  <c r="AD19" i="29"/>
  <c r="AD48" i="29"/>
  <c r="E859" i="31"/>
  <c r="AD22" i="29" s="1"/>
  <c r="AD60" i="29"/>
  <c r="AD31" i="29"/>
  <c r="D713" i="31"/>
  <c r="D710" i="31"/>
  <c r="AC31" i="4"/>
  <c r="AC89" i="4" s="1"/>
  <c r="AC90" i="4" s="1"/>
  <c r="D712" i="17"/>
  <c r="F709" i="17"/>
  <c r="F709" i="31" s="1"/>
  <c r="D714" i="17"/>
  <c r="AD60" i="23"/>
  <c r="AD60" i="24"/>
  <c r="AD31" i="24"/>
  <c r="AD71" i="29"/>
  <c r="AD72" i="29"/>
  <c r="AD18" i="29"/>
  <c r="AD47" i="29"/>
  <c r="E863" i="17"/>
  <c r="C656" i="14" s="1"/>
  <c r="E862" i="17"/>
  <c r="C655" i="14" s="1"/>
  <c r="AD50" i="24"/>
  <c r="AD21" i="24"/>
  <c r="AD21" i="23"/>
  <c r="AD50" i="23"/>
  <c r="AD51" i="23"/>
  <c r="AD51" i="24"/>
  <c r="AD22" i="24"/>
  <c r="AD22" i="23"/>
  <c r="AD23" i="29"/>
  <c r="AD52" i="29"/>
  <c r="AD70" i="29"/>
  <c r="AD46" i="24"/>
  <c r="AD46" i="23"/>
  <c r="AD17" i="24"/>
  <c r="AD52" i="23"/>
  <c r="AD52" i="24"/>
  <c r="AD23" i="24"/>
  <c r="AD23" i="23"/>
  <c r="AD30" i="24"/>
  <c r="AD59" i="24"/>
  <c r="AD59" i="23"/>
  <c r="AD73" i="29"/>
  <c r="AD20" i="29"/>
  <c r="AD49" i="29"/>
  <c r="AD17" i="23"/>
  <c r="W15" i="23"/>
  <c r="F679" i="7"/>
  <c r="J679" i="7" s="1"/>
  <c r="G715" i="17" s="1"/>
  <c r="C715" i="17" s="1"/>
  <c r="C715" i="31" s="1"/>
  <c r="W44" i="29" s="1"/>
  <c r="M98" i="19"/>
  <c r="J98" i="19"/>
  <c r="S98" i="19" s="1"/>
  <c r="V98" i="19" s="1"/>
  <c r="H99" i="19"/>
  <c r="E92" i="13" l="1"/>
  <c r="Q92" i="13" s="1"/>
  <c r="P92" i="13"/>
  <c r="P90" i="13"/>
  <c r="E90" i="13"/>
  <c r="Q90" i="13" s="1"/>
  <c r="P89" i="13"/>
  <c r="E89" i="13"/>
  <c r="Q89" i="13" s="1"/>
  <c r="E661" i="14"/>
  <c r="D661" i="14"/>
  <c r="E87" i="13"/>
  <c r="Q87" i="13" s="1"/>
  <c r="P87" i="13"/>
  <c r="O93" i="13"/>
  <c r="D93" i="13"/>
  <c r="P98" i="13"/>
  <c r="E98" i="13"/>
  <c r="Q98" i="13" s="1"/>
  <c r="E85" i="13"/>
  <c r="Q85" i="13" s="1"/>
  <c r="P85" i="13"/>
  <c r="E650" i="14"/>
  <c r="D650" i="14"/>
  <c r="E88" i="13"/>
  <c r="Q88" i="13" s="1"/>
  <c r="P88" i="13"/>
  <c r="D655" i="14"/>
  <c r="E655" i="14"/>
  <c r="E97" i="13"/>
  <c r="Q97" i="13" s="1"/>
  <c r="P97" i="13"/>
  <c r="P95" i="13"/>
  <c r="E95" i="13"/>
  <c r="Q95" i="13" s="1"/>
  <c r="E656" i="14"/>
  <c r="D656" i="14"/>
  <c r="W27" i="24"/>
  <c r="Z90" i="23"/>
  <c r="AD51" i="29"/>
  <c r="AD80" i="29" s="1"/>
  <c r="AD50" i="29"/>
  <c r="AD79" i="29" s="1"/>
  <c r="AD46" i="29"/>
  <c r="AD75" i="29" s="1"/>
  <c r="W56" i="24"/>
  <c r="E711" i="31"/>
  <c r="C686" i="7"/>
  <c r="O652" i="14"/>
  <c r="D721" i="17"/>
  <c r="D721" i="31" s="1"/>
  <c r="O651" i="14"/>
  <c r="C685" i="7"/>
  <c r="O647" i="14"/>
  <c r="C681" i="7"/>
  <c r="E709" i="17"/>
  <c r="E709" i="31" s="1"/>
  <c r="P639" i="14"/>
  <c r="D673" i="7"/>
  <c r="E728" i="17"/>
  <c r="W28" i="23" s="1"/>
  <c r="D692" i="7"/>
  <c r="P658" i="14"/>
  <c r="O661" i="14"/>
  <c r="C695" i="7"/>
  <c r="F714" i="17"/>
  <c r="W43" i="24" s="1"/>
  <c r="Q644" i="14"/>
  <c r="E678" i="7"/>
  <c r="F713" i="17"/>
  <c r="Q643" i="14"/>
  <c r="E677" i="7"/>
  <c r="F719" i="17"/>
  <c r="F719" i="31" s="1"/>
  <c r="Q649" i="14"/>
  <c r="E683" i="7"/>
  <c r="E718" i="17"/>
  <c r="E718" i="31" s="1"/>
  <c r="D682" i="7"/>
  <c r="P648" i="14"/>
  <c r="F728" i="17"/>
  <c r="E692" i="7"/>
  <c r="Q658" i="14"/>
  <c r="E720" i="17"/>
  <c r="D684" i="7"/>
  <c r="P650" i="14"/>
  <c r="E674" i="7"/>
  <c r="Q640" i="14"/>
  <c r="F721" i="17"/>
  <c r="F721" i="31" s="1"/>
  <c r="Q651" i="14"/>
  <c r="E685" i="7"/>
  <c r="E714" i="17"/>
  <c r="E714" i="31" s="1"/>
  <c r="D678" i="7"/>
  <c r="P644" i="14"/>
  <c r="E712" i="17"/>
  <c r="W41" i="23" s="1"/>
  <c r="P642" i="14"/>
  <c r="D676" i="7"/>
  <c r="D730" i="17"/>
  <c r="O660" i="14"/>
  <c r="C694" i="7"/>
  <c r="E727" i="17"/>
  <c r="E727" i="31" s="1"/>
  <c r="P657" i="14"/>
  <c r="D691" i="7"/>
  <c r="F720" i="17"/>
  <c r="W20" i="24" s="1"/>
  <c r="E684" i="7"/>
  <c r="Q650" i="14"/>
  <c r="E719" i="17"/>
  <c r="D683" i="7"/>
  <c r="P649" i="14"/>
  <c r="F718" i="17"/>
  <c r="Q648" i="14"/>
  <c r="E682" i="7"/>
  <c r="Q639" i="14"/>
  <c r="E673" i="7"/>
  <c r="E717" i="17"/>
  <c r="E717" i="31" s="1"/>
  <c r="P647" i="14"/>
  <c r="D681" i="7"/>
  <c r="F712" i="17"/>
  <c r="F712" i="31" s="1"/>
  <c r="E676" i="7"/>
  <c r="Q642" i="14"/>
  <c r="D674" i="7"/>
  <c r="P640" i="14"/>
  <c r="E713" i="17"/>
  <c r="W42" i="23" s="1"/>
  <c r="D677" i="7"/>
  <c r="P643" i="14"/>
  <c r="H687" i="7"/>
  <c r="I687" i="7" s="1"/>
  <c r="J687" i="7"/>
  <c r="F711" i="31"/>
  <c r="W40" i="24"/>
  <c r="W15" i="29"/>
  <c r="D717" i="17"/>
  <c r="D717" i="31" s="1"/>
  <c r="D722" i="17"/>
  <c r="D722" i="31" s="1"/>
  <c r="D720" i="31"/>
  <c r="D709" i="31"/>
  <c r="W48" i="24"/>
  <c r="W56" i="23"/>
  <c r="AC32" i="4"/>
  <c r="C41" i="25" s="1"/>
  <c r="AD77" i="29"/>
  <c r="AD89" i="29"/>
  <c r="AD30" i="29"/>
  <c r="AD88" i="29" s="1"/>
  <c r="E862" i="31"/>
  <c r="AD54" i="29" s="1"/>
  <c r="E863" i="31"/>
  <c r="AD26" i="29" s="1"/>
  <c r="E712" i="31"/>
  <c r="D714" i="31"/>
  <c r="D712" i="31"/>
  <c r="D730" i="31"/>
  <c r="W39" i="24"/>
  <c r="F710" i="31"/>
  <c r="W39" i="23"/>
  <c r="E710" i="31"/>
  <c r="D731" i="17"/>
  <c r="W50" i="24"/>
  <c r="F683" i="7"/>
  <c r="H683" i="7" s="1"/>
  <c r="I683" i="7" s="1"/>
  <c r="AD78" i="29"/>
  <c r="AD54" i="23"/>
  <c r="AD54" i="24"/>
  <c r="AD25" i="24"/>
  <c r="AD25" i="23"/>
  <c r="AD55" i="24"/>
  <c r="AD26" i="24"/>
  <c r="AD55" i="23"/>
  <c r="AD26" i="23"/>
  <c r="AD81" i="29"/>
  <c r="AD76" i="29"/>
  <c r="W15" i="24"/>
  <c r="W11" i="24"/>
  <c r="W11" i="23"/>
  <c r="W9" i="24"/>
  <c r="H679" i="7"/>
  <c r="I679" i="7"/>
  <c r="I100" i="19"/>
  <c r="G100" i="19"/>
  <c r="AA99" i="19"/>
  <c r="F675" i="7"/>
  <c r="P93" i="13" l="1"/>
  <c r="E93" i="13"/>
  <c r="Q93" i="13" s="1"/>
  <c r="W17" i="23"/>
  <c r="W43" i="23"/>
  <c r="E713" i="31"/>
  <c r="W21" i="24"/>
  <c r="F714" i="31"/>
  <c r="W41" i="24"/>
  <c r="W27" i="23"/>
  <c r="F682" i="7"/>
  <c r="W19" i="24"/>
  <c r="W47" i="23"/>
  <c r="W46" i="23"/>
  <c r="W18" i="23"/>
  <c r="P661" i="14"/>
  <c r="D695" i="7"/>
  <c r="D725" i="17"/>
  <c r="D725" i="31" s="1"/>
  <c r="O655" i="14"/>
  <c r="C689" i="7"/>
  <c r="F730" i="17"/>
  <c r="F730" i="31" s="1"/>
  <c r="E694" i="7"/>
  <c r="Q660" i="14"/>
  <c r="E719" i="31"/>
  <c r="W19" i="23"/>
  <c r="W48" i="23"/>
  <c r="Q661" i="14"/>
  <c r="E695" i="7"/>
  <c r="E721" i="17"/>
  <c r="P651" i="14"/>
  <c r="D685" i="7"/>
  <c r="E722" i="17"/>
  <c r="D686" i="7"/>
  <c r="P652" i="14"/>
  <c r="F718" i="31"/>
  <c r="W47" i="24"/>
  <c r="W18" i="24"/>
  <c r="F717" i="17"/>
  <c r="E681" i="7"/>
  <c r="F681" i="7" s="1"/>
  <c r="Q647" i="14"/>
  <c r="C690" i="7"/>
  <c r="O656" i="14"/>
  <c r="E730" i="17"/>
  <c r="E730" i="31" s="1"/>
  <c r="D694" i="7"/>
  <c r="P660" i="14"/>
  <c r="F728" i="31"/>
  <c r="W57" i="24"/>
  <c r="W28" i="24"/>
  <c r="K687" i="7"/>
  <c r="G723" i="17"/>
  <c r="C723" i="17" s="1"/>
  <c r="F720" i="31"/>
  <c r="W49" i="24"/>
  <c r="E720" i="31"/>
  <c r="W20" i="23"/>
  <c r="W49" i="23"/>
  <c r="F713" i="31"/>
  <c r="W42" i="24"/>
  <c r="E728" i="31"/>
  <c r="W57" i="23"/>
  <c r="F722" i="17"/>
  <c r="Q652" i="14"/>
  <c r="E686" i="7"/>
  <c r="W73" i="29"/>
  <c r="AD25" i="29"/>
  <c r="AD32" i="29" s="1"/>
  <c r="E41" i="25"/>
  <c r="D726" i="17"/>
  <c r="D726" i="31" s="1"/>
  <c r="AD55" i="29"/>
  <c r="AD61" i="29" s="1"/>
  <c r="V42" i="25" s="1"/>
  <c r="V50" i="25" s="1"/>
  <c r="D731" i="31"/>
  <c r="F731" i="17"/>
  <c r="F731" i="31" s="1"/>
  <c r="E731" i="17"/>
  <c r="E731" i="31" s="1"/>
  <c r="H682" i="7"/>
  <c r="I682" i="7" s="1"/>
  <c r="J683" i="7"/>
  <c r="G719" i="17" s="1"/>
  <c r="C719" i="17" s="1"/>
  <c r="C719" i="31" s="1"/>
  <c r="F685" i="7"/>
  <c r="H685" i="7" s="1"/>
  <c r="I685" i="7" s="1"/>
  <c r="AD84" i="23"/>
  <c r="AD83" i="24"/>
  <c r="AD83" i="23"/>
  <c r="AD84" i="24"/>
  <c r="F684" i="7"/>
  <c r="W10" i="24"/>
  <c r="W12" i="24"/>
  <c r="W13" i="24"/>
  <c r="W14" i="24"/>
  <c r="W13" i="23"/>
  <c r="W14" i="23"/>
  <c r="W10" i="23"/>
  <c r="W38" i="23"/>
  <c r="W9" i="23"/>
  <c r="W12" i="23"/>
  <c r="I675" i="7"/>
  <c r="H675" i="7"/>
  <c r="M99" i="19"/>
  <c r="H100" i="19"/>
  <c r="G101" i="19" s="1"/>
  <c r="J99" i="19"/>
  <c r="S99" i="19" s="1"/>
  <c r="V99" i="19" s="1"/>
  <c r="F678" i="7"/>
  <c r="F677" i="7"/>
  <c r="F676" i="7"/>
  <c r="F674" i="7"/>
  <c r="F692" i="7"/>
  <c r="F673" i="7"/>
  <c r="W30" i="24" l="1"/>
  <c r="W59" i="23"/>
  <c r="W30" i="23"/>
  <c r="F686" i="7"/>
  <c r="W59" i="24"/>
  <c r="F725" i="17"/>
  <c r="F725" i="31" s="1"/>
  <c r="E689" i="7"/>
  <c r="Q655" i="14"/>
  <c r="U77" i="24"/>
  <c r="U77" i="23"/>
  <c r="C723" i="31"/>
  <c r="F717" i="31"/>
  <c r="W46" i="24"/>
  <c r="W17" i="24"/>
  <c r="F722" i="31"/>
  <c r="W51" i="24"/>
  <c r="W22" i="24"/>
  <c r="F726" i="17"/>
  <c r="Q656" i="14"/>
  <c r="E690" i="7"/>
  <c r="E721" i="31"/>
  <c r="W21" i="23"/>
  <c r="W50" i="23"/>
  <c r="E725" i="17"/>
  <c r="W25" i="23" s="1"/>
  <c r="D689" i="7"/>
  <c r="P655" i="14"/>
  <c r="E726" i="17"/>
  <c r="P656" i="14"/>
  <c r="D690" i="7"/>
  <c r="E722" i="31"/>
  <c r="W22" i="23"/>
  <c r="W51" i="23"/>
  <c r="W19" i="29"/>
  <c r="W48" i="29"/>
  <c r="U42" i="25"/>
  <c r="U50" i="25" s="1"/>
  <c r="U57" i="25" s="1"/>
  <c r="W41" i="25"/>
  <c r="AD83" i="29"/>
  <c r="W25" i="24"/>
  <c r="AD84" i="29"/>
  <c r="W60" i="23"/>
  <c r="W31" i="23"/>
  <c r="F695" i="7"/>
  <c r="W60" i="24"/>
  <c r="W31" i="24"/>
  <c r="J675" i="7"/>
  <c r="J682" i="7"/>
  <c r="G718" i="17" s="1"/>
  <c r="C718" i="17" s="1"/>
  <c r="C718" i="31" s="1"/>
  <c r="J685" i="7"/>
  <c r="G721" i="17" s="1"/>
  <c r="C721" i="17" s="1"/>
  <c r="H684" i="7"/>
  <c r="I684" i="7" s="1"/>
  <c r="H681" i="7"/>
  <c r="I681" i="7" s="1"/>
  <c r="V57" i="25"/>
  <c r="H686" i="7"/>
  <c r="I686" i="7" s="1"/>
  <c r="H677" i="7"/>
  <c r="H676" i="7"/>
  <c r="I678" i="7"/>
  <c r="M100" i="19"/>
  <c r="H101" i="19"/>
  <c r="J100" i="19"/>
  <c r="S100" i="19" s="1"/>
  <c r="V100" i="19" s="1"/>
  <c r="H678" i="7"/>
  <c r="AA100" i="19"/>
  <c r="I101" i="19"/>
  <c r="I676" i="7"/>
  <c r="I677" i="7"/>
  <c r="F694" i="7"/>
  <c r="I674" i="7"/>
  <c r="H674" i="7"/>
  <c r="F691" i="7"/>
  <c r="I673" i="7"/>
  <c r="H673" i="7"/>
  <c r="K673" i="7" s="1"/>
  <c r="H692" i="7"/>
  <c r="I692" i="7"/>
  <c r="W54" i="24" l="1"/>
  <c r="F690" i="7"/>
  <c r="E725" i="31"/>
  <c r="W54" i="23"/>
  <c r="W83" i="23" s="1"/>
  <c r="E726" i="31"/>
  <c r="W55" i="23"/>
  <c r="W26" i="23"/>
  <c r="W52" i="29"/>
  <c r="W23" i="29"/>
  <c r="F726" i="31"/>
  <c r="W55" i="24"/>
  <c r="W26" i="24"/>
  <c r="W83" i="24"/>
  <c r="W42" i="25"/>
  <c r="F689" i="7"/>
  <c r="I689" i="7" s="1"/>
  <c r="W77" i="29"/>
  <c r="W18" i="29"/>
  <c r="W47" i="29"/>
  <c r="C721" i="31"/>
  <c r="U75" i="23"/>
  <c r="U75" i="24"/>
  <c r="W50" i="25"/>
  <c r="W57" i="25"/>
  <c r="AD90" i="29"/>
  <c r="G711" i="17"/>
  <c r="C711" i="17" s="1"/>
  <c r="C711" i="31" s="1"/>
  <c r="J678" i="7"/>
  <c r="G714" i="17" s="1"/>
  <c r="C714" i="17" s="1"/>
  <c r="C714" i="31" s="1"/>
  <c r="I695" i="7"/>
  <c r="H695" i="7"/>
  <c r="J673" i="7"/>
  <c r="J692" i="7"/>
  <c r="G728" i="17" s="1"/>
  <c r="C728" i="17" s="1"/>
  <c r="C728" i="31" s="1"/>
  <c r="J674" i="7"/>
  <c r="J676" i="7"/>
  <c r="J677" i="7"/>
  <c r="J686" i="7"/>
  <c r="G722" i="17" s="1"/>
  <c r="C722" i="17" s="1"/>
  <c r="J684" i="7"/>
  <c r="G720" i="17" s="1"/>
  <c r="C720" i="17" s="1"/>
  <c r="C720" i="31" s="1"/>
  <c r="I690" i="7"/>
  <c r="J681" i="7"/>
  <c r="G717" i="17" s="1"/>
  <c r="C717" i="17" s="1"/>
  <c r="C717" i="31" s="1"/>
  <c r="H690" i="7"/>
  <c r="H694" i="7"/>
  <c r="AA101" i="19"/>
  <c r="I102" i="19"/>
  <c r="G102" i="19"/>
  <c r="I694" i="7"/>
  <c r="H691" i="7"/>
  <c r="I691" i="7"/>
  <c r="W81" i="29" l="1"/>
  <c r="W84" i="24"/>
  <c r="W84" i="23"/>
  <c r="H689" i="7"/>
  <c r="J689" i="7" s="1"/>
  <c r="G725" i="17" s="1"/>
  <c r="C725" i="17" s="1"/>
  <c r="W76" i="29"/>
  <c r="W57" i="29"/>
  <c r="W28" i="29"/>
  <c r="W43" i="29"/>
  <c r="W14" i="29"/>
  <c r="W17" i="29"/>
  <c r="W46" i="29"/>
  <c r="W11" i="29"/>
  <c r="W40" i="29"/>
  <c r="W21" i="29"/>
  <c r="W50" i="29"/>
  <c r="C722" i="31"/>
  <c r="U76" i="24"/>
  <c r="U76" i="23"/>
  <c r="W49" i="29"/>
  <c r="W20" i="29"/>
  <c r="G710" i="17"/>
  <c r="C710" i="17" s="1"/>
  <c r="C710" i="31" s="1"/>
  <c r="G713" i="17"/>
  <c r="C713" i="17" s="1"/>
  <c r="C713" i="31" s="1"/>
  <c r="G712" i="17"/>
  <c r="C712" i="17" s="1"/>
  <c r="C712" i="31" s="1"/>
  <c r="G709" i="17"/>
  <c r="C709" i="17" s="1"/>
  <c r="C709" i="31" s="1"/>
  <c r="J695" i="7"/>
  <c r="G731" i="17" s="1"/>
  <c r="C731" i="17" s="1"/>
  <c r="C731" i="31" s="1"/>
  <c r="J690" i="7"/>
  <c r="G726" i="17" s="1"/>
  <c r="C726" i="17" s="1"/>
  <c r="J691" i="7"/>
  <c r="G727" i="17" s="1"/>
  <c r="C727" i="17" s="1"/>
  <c r="J694" i="7"/>
  <c r="G730" i="17" s="1"/>
  <c r="C730" i="17" s="1"/>
  <c r="C730" i="31" s="1"/>
  <c r="M101" i="19"/>
  <c r="J101" i="19"/>
  <c r="S101" i="19" s="1"/>
  <c r="V101" i="19" s="1"/>
  <c r="H102" i="19"/>
  <c r="G103" i="19" s="1"/>
  <c r="W72" i="29" l="1"/>
  <c r="W86" i="29"/>
  <c r="C726" i="31"/>
  <c r="U80" i="24"/>
  <c r="U80" i="23"/>
  <c r="W12" i="29"/>
  <c r="W41" i="29"/>
  <c r="W69" i="29"/>
  <c r="W60" i="29"/>
  <c r="W31" i="29"/>
  <c r="W13" i="29"/>
  <c r="W42" i="29"/>
  <c r="W22" i="29"/>
  <c r="W51" i="29"/>
  <c r="W30" i="29"/>
  <c r="W59" i="29"/>
  <c r="W38" i="29"/>
  <c r="W9" i="29"/>
  <c r="W10" i="29"/>
  <c r="W39" i="29"/>
  <c r="W78" i="29"/>
  <c r="W79" i="29"/>
  <c r="W75" i="29"/>
  <c r="C727" i="31"/>
  <c r="U81" i="24"/>
  <c r="U81" i="23"/>
  <c r="C725" i="31"/>
  <c r="U79" i="23"/>
  <c r="U79" i="24"/>
  <c r="M102" i="19"/>
  <c r="J102" i="19"/>
  <c r="S102" i="19" s="1"/>
  <c r="V102" i="19" s="1"/>
  <c r="H103" i="19"/>
  <c r="AA103" i="19" s="1"/>
  <c r="AA102" i="19"/>
  <c r="I103" i="19"/>
  <c r="W68" i="29" l="1"/>
  <c r="W88" i="29"/>
  <c r="W71" i="29"/>
  <c r="W89" i="29"/>
  <c r="W80" i="29"/>
  <c r="W56" i="29"/>
  <c r="W27" i="29"/>
  <c r="W67" i="29"/>
  <c r="W25" i="29"/>
  <c r="W54" i="29"/>
  <c r="W70" i="29"/>
  <c r="W26" i="29"/>
  <c r="W55" i="29"/>
  <c r="I104" i="19"/>
  <c r="G104" i="19"/>
  <c r="M103" i="19" s="1"/>
  <c r="W83" i="29" l="1"/>
  <c r="W32" i="29"/>
  <c r="U34" i="25" s="1"/>
  <c r="W61" i="29"/>
  <c r="V34" i="25" s="1"/>
  <c r="W84" i="29"/>
  <c r="W85" i="29"/>
  <c r="H104" i="19"/>
  <c r="AA104" i="19" s="1"/>
  <c r="J103" i="19"/>
  <c r="S103" i="19" s="1"/>
  <c r="V103" i="19" s="1"/>
  <c r="W34" i="25" l="1"/>
  <c r="W90" i="29"/>
  <c r="I105" i="19"/>
  <c r="G105" i="19"/>
  <c r="M104" i="19" s="1"/>
  <c r="H105" i="19" l="1"/>
  <c r="AA105" i="19" s="1"/>
  <c r="J104" i="19"/>
  <c r="S104" i="19" s="1"/>
  <c r="V104" i="19" s="1"/>
  <c r="I106" i="19" l="1"/>
  <c r="G106" i="19"/>
  <c r="M105" i="19" s="1"/>
  <c r="H106" i="19" l="1"/>
  <c r="AA106" i="19" s="1"/>
  <c r="J105" i="19"/>
  <c r="S105" i="19" s="1"/>
  <c r="V105" i="19" s="1"/>
  <c r="I107" i="19" l="1"/>
  <c r="G107" i="19"/>
  <c r="M106" i="19" s="1"/>
  <c r="H107" i="19" l="1"/>
  <c r="AA107" i="19" s="1"/>
  <c r="J106" i="19"/>
  <c r="S106" i="19" s="1"/>
  <c r="V106" i="19" s="1"/>
  <c r="I108" i="19" l="1"/>
  <c r="G108" i="19"/>
  <c r="M107" i="19" s="1"/>
  <c r="J107" i="19" l="1"/>
  <c r="S107" i="19" s="1"/>
  <c r="V107" i="19" s="1"/>
  <c r="H108" i="19"/>
  <c r="G109" i="19" s="1"/>
  <c r="M108" i="19" s="1"/>
  <c r="AA108" i="19" l="1"/>
  <c r="I109" i="19"/>
  <c r="H109" i="19"/>
  <c r="G110" i="19" s="1"/>
  <c r="J108" i="19"/>
  <c r="S108" i="19" s="1"/>
  <c r="V108" i="19" s="1"/>
  <c r="I110" i="19" l="1"/>
  <c r="M109" i="19"/>
  <c r="H110" i="19"/>
  <c r="AA110" i="19" s="1"/>
  <c r="J109" i="19"/>
  <c r="S109" i="19" s="1"/>
  <c r="V109" i="19" s="1"/>
  <c r="AA109" i="19"/>
  <c r="I111" i="19" l="1"/>
  <c r="G111" i="19"/>
  <c r="M110" i="19" s="1"/>
  <c r="H111" i="19" l="1"/>
  <c r="AA111" i="19" s="1"/>
  <c r="J110" i="19"/>
  <c r="S110" i="19" s="1"/>
  <c r="V110" i="19" s="1"/>
  <c r="I112" i="19" l="1"/>
  <c r="G112" i="19"/>
  <c r="M111" i="19" s="1"/>
  <c r="H112" i="19" l="1"/>
  <c r="AA112" i="19" s="1"/>
  <c r="J111" i="19"/>
  <c r="S111" i="19" s="1"/>
  <c r="V111" i="19" s="1"/>
  <c r="I113" i="19" l="1"/>
  <c r="G113" i="19"/>
  <c r="M112" i="19" s="1"/>
  <c r="H113" i="19" l="1"/>
  <c r="M113" i="19" s="1"/>
  <c r="J112" i="19"/>
  <c r="S112" i="19" s="1"/>
  <c r="V112" i="19" s="1"/>
  <c r="AA113" i="19" l="1"/>
  <c r="AB113" i="19" s="1"/>
  <c r="C124" i="19" s="1"/>
  <c r="J113" i="19"/>
  <c r="K110" i="19" s="1"/>
  <c r="L110" i="19" s="1"/>
  <c r="N107" i="19"/>
  <c r="O107" i="19" s="1"/>
  <c r="N113" i="19"/>
  <c r="O113" i="19" s="1"/>
  <c r="N4" i="19"/>
  <c r="O4" i="19" s="1"/>
  <c r="N5" i="19"/>
  <c r="O5" i="19" s="1"/>
  <c r="N6" i="19"/>
  <c r="O6" i="19" s="1"/>
  <c r="N7" i="19"/>
  <c r="O7" i="19" s="1"/>
  <c r="E120" i="19" s="1"/>
  <c r="N9" i="19"/>
  <c r="O9" i="19" s="1"/>
  <c r="N8" i="19"/>
  <c r="O8" i="19" s="1"/>
  <c r="N10" i="19"/>
  <c r="O10" i="19" s="1"/>
  <c r="N12" i="19"/>
  <c r="O12" i="19" s="1"/>
  <c r="N11" i="19"/>
  <c r="O11" i="19" s="1"/>
  <c r="N13" i="19"/>
  <c r="O13" i="19" s="1"/>
  <c r="N14" i="19"/>
  <c r="O14" i="19" s="1"/>
  <c r="N15" i="19"/>
  <c r="O15" i="19" s="1"/>
  <c r="N16" i="19"/>
  <c r="O16" i="19" s="1"/>
  <c r="N19" i="19"/>
  <c r="O19" i="19" s="1"/>
  <c r="N17" i="19"/>
  <c r="O17" i="19" s="1"/>
  <c r="N18" i="19"/>
  <c r="O18" i="19" s="1"/>
  <c r="N20" i="19"/>
  <c r="O20" i="19" s="1"/>
  <c r="N21" i="19"/>
  <c r="O21" i="19" s="1"/>
  <c r="N22" i="19"/>
  <c r="O22" i="19" s="1"/>
  <c r="N23" i="19"/>
  <c r="O23" i="19" s="1"/>
  <c r="N24" i="19"/>
  <c r="O24" i="19" s="1"/>
  <c r="N25" i="19"/>
  <c r="O25" i="19" s="1"/>
  <c r="N26" i="19"/>
  <c r="O26" i="19" s="1"/>
  <c r="N28" i="19"/>
  <c r="O28" i="19" s="1"/>
  <c r="N27" i="19"/>
  <c r="O27" i="19" s="1"/>
  <c r="N29" i="19"/>
  <c r="O29" i="19" s="1"/>
  <c r="N30" i="19"/>
  <c r="O30" i="19" s="1"/>
  <c r="N31" i="19"/>
  <c r="O31" i="19" s="1"/>
  <c r="N32" i="19"/>
  <c r="O32" i="19" s="1"/>
  <c r="N33" i="19"/>
  <c r="O33" i="19" s="1"/>
  <c r="N36" i="19"/>
  <c r="O36" i="19" s="1"/>
  <c r="N34" i="19"/>
  <c r="O34" i="19" s="1"/>
  <c r="N37" i="19"/>
  <c r="O37" i="19" s="1"/>
  <c r="N35" i="19"/>
  <c r="O35" i="19" s="1"/>
  <c r="N40" i="19"/>
  <c r="O40" i="19" s="1"/>
  <c r="N38" i="19"/>
  <c r="O38" i="19" s="1"/>
  <c r="N39" i="19"/>
  <c r="O39" i="19" s="1"/>
  <c r="N41" i="19"/>
  <c r="O41" i="19" s="1"/>
  <c r="N42" i="19"/>
  <c r="O42" i="19" s="1"/>
  <c r="N43" i="19"/>
  <c r="O43" i="19" s="1"/>
  <c r="N44" i="19"/>
  <c r="O44" i="19" s="1"/>
  <c r="N45" i="19"/>
  <c r="O45" i="19" s="1"/>
  <c r="N47" i="19"/>
  <c r="O47" i="19" s="1"/>
  <c r="N46" i="19"/>
  <c r="O46" i="19" s="1"/>
  <c r="N48" i="19"/>
  <c r="O48" i="19" s="1"/>
  <c r="N49" i="19"/>
  <c r="O49" i="19" s="1"/>
  <c r="N50" i="19"/>
  <c r="O50" i="19" s="1"/>
  <c r="N53" i="19"/>
  <c r="O53" i="19" s="1"/>
  <c r="N51" i="19"/>
  <c r="O51" i="19" s="1"/>
  <c r="N52" i="19"/>
  <c r="O52" i="19" s="1"/>
  <c r="N54" i="19"/>
  <c r="O54" i="19" s="1"/>
  <c r="N55" i="19"/>
  <c r="O55" i="19" s="1"/>
  <c r="N56" i="19"/>
  <c r="O56" i="19" s="1"/>
  <c r="N58" i="19"/>
  <c r="O58" i="19" s="1"/>
  <c r="N57" i="19"/>
  <c r="O57" i="19" s="1"/>
  <c r="N60" i="19"/>
  <c r="O60" i="19" s="1"/>
  <c r="N59" i="19"/>
  <c r="O59" i="19" s="1"/>
  <c r="N61" i="19"/>
  <c r="O61" i="19" s="1"/>
  <c r="N62" i="19"/>
  <c r="O62" i="19" s="1"/>
  <c r="N63" i="19"/>
  <c r="O63" i="19" s="1"/>
  <c r="N64" i="19"/>
  <c r="O64" i="19" s="1"/>
  <c r="N65" i="19"/>
  <c r="O65" i="19" s="1"/>
  <c r="N66" i="19"/>
  <c r="O66" i="19" s="1"/>
  <c r="N67" i="19"/>
  <c r="O67" i="19" s="1"/>
  <c r="N68" i="19"/>
  <c r="O68" i="19" s="1"/>
  <c r="N69" i="19"/>
  <c r="O69" i="19" s="1"/>
  <c r="N70" i="19"/>
  <c r="O70" i="19" s="1"/>
  <c r="N71" i="19"/>
  <c r="O71" i="19" s="1"/>
  <c r="N72" i="19"/>
  <c r="O72" i="19" s="1"/>
  <c r="N74" i="19"/>
  <c r="O74" i="19" s="1"/>
  <c r="N73" i="19"/>
  <c r="O73" i="19" s="1"/>
  <c r="N75" i="19"/>
  <c r="O75" i="19" s="1"/>
  <c r="N76" i="19"/>
  <c r="O76" i="19" s="1"/>
  <c r="N77" i="19"/>
  <c r="O77" i="19" s="1"/>
  <c r="N78" i="19"/>
  <c r="O78" i="19" s="1"/>
  <c r="N79" i="19"/>
  <c r="O79" i="19" s="1"/>
  <c r="N81" i="19"/>
  <c r="O81" i="19" s="1"/>
  <c r="N80" i="19"/>
  <c r="O80" i="19" s="1"/>
  <c r="N82" i="19"/>
  <c r="O82" i="19" s="1"/>
  <c r="N83" i="19"/>
  <c r="O83" i="19" s="1"/>
  <c r="N84" i="19"/>
  <c r="O84" i="19" s="1"/>
  <c r="N85" i="19"/>
  <c r="O85" i="19" s="1"/>
  <c r="N87" i="19"/>
  <c r="O87" i="19" s="1"/>
  <c r="N86" i="19"/>
  <c r="O86" i="19" s="1"/>
  <c r="N88" i="19"/>
  <c r="O88" i="19" s="1"/>
  <c r="N90" i="19"/>
  <c r="O90" i="19" s="1"/>
  <c r="N89" i="19"/>
  <c r="O89" i="19" s="1"/>
  <c r="N92" i="19"/>
  <c r="O92" i="19" s="1"/>
  <c r="N91" i="19"/>
  <c r="O91" i="19" s="1"/>
  <c r="N93" i="19"/>
  <c r="O93" i="19" s="1"/>
  <c r="N94" i="19"/>
  <c r="O94" i="19" s="1"/>
  <c r="N97" i="19"/>
  <c r="O97" i="19" s="1"/>
  <c r="N96" i="19"/>
  <c r="O96" i="19" s="1"/>
  <c r="N95" i="19"/>
  <c r="O95" i="19" s="1"/>
  <c r="N99" i="19"/>
  <c r="O99" i="19" s="1"/>
  <c r="N98" i="19"/>
  <c r="O98" i="19" s="1"/>
  <c r="N100" i="19"/>
  <c r="O100" i="19" s="1"/>
  <c r="N101" i="19"/>
  <c r="O101" i="19" s="1"/>
  <c r="N102" i="19"/>
  <c r="O102" i="19" s="1"/>
  <c r="N103" i="19"/>
  <c r="O103" i="19" s="1"/>
  <c r="N106" i="19"/>
  <c r="O106" i="19" s="1"/>
  <c r="N104" i="19"/>
  <c r="O104" i="19" s="1"/>
  <c r="N105" i="19"/>
  <c r="O105" i="19" s="1"/>
  <c r="K8" i="19"/>
  <c r="L8" i="19" s="1"/>
  <c r="K15" i="19"/>
  <c r="L15" i="19" s="1"/>
  <c r="K19" i="19"/>
  <c r="L19" i="19" s="1"/>
  <c r="K26" i="19"/>
  <c r="L26" i="19" s="1"/>
  <c r="K31" i="19"/>
  <c r="L31" i="19" s="1"/>
  <c r="K36" i="19"/>
  <c r="L36" i="19" s="1"/>
  <c r="K41" i="19"/>
  <c r="L41" i="19" s="1"/>
  <c r="K49" i="19"/>
  <c r="L49" i="19" s="1"/>
  <c r="K51" i="19"/>
  <c r="L51" i="19" s="1"/>
  <c r="K55" i="19"/>
  <c r="L55" i="19" s="1"/>
  <c r="K58" i="19"/>
  <c r="L58" i="19" s="1"/>
  <c r="K61" i="19"/>
  <c r="L61" i="19" s="1"/>
  <c r="K67" i="19"/>
  <c r="L67" i="19" s="1"/>
  <c r="K69" i="19"/>
  <c r="L69" i="19" s="1"/>
  <c r="K71" i="19"/>
  <c r="L71" i="19" s="1"/>
  <c r="K73" i="19"/>
  <c r="L73" i="19" s="1"/>
  <c r="K75" i="19"/>
  <c r="L75" i="19" s="1"/>
  <c r="K76" i="19"/>
  <c r="L76" i="19" s="1"/>
  <c r="K77" i="19"/>
  <c r="L77" i="19" s="1"/>
  <c r="K78" i="19"/>
  <c r="L78" i="19" s="1"/>
  <c r="K79" i="19"/>
  <c r="L79" i="19" s="1"/>
  <c r="K81" i="19"/>
  <c r="L81" i="19" s="1"/>
  <c r="K80" i="19"/>
  <c r="L80" i="19" s="1"/>
  <c r="K83" i="19"/>
  <c r="L83" i="19" s="1"/>
  <c r="K84" i="19"/>
  <c r="L84" i="19" s="1"/>
  <c r="K85" i="19"/>
  <c r="L85" i="19" s="1"/>
  <c r="K86" i="19"/>
  <c r="L86" i="19" s="1"/>
  <c r="K87" i="19"/>
  <c r="L87" i="19" s="1"/>
  <c r="K88" i="19"/>
  <c r="L88" i="19" s="1"/>
  <c r="K89" i="19"/>
  <c r="L89" i="19" s="1"/>
  <c r="K90" i="19"/>
  <c r="L90" i="19" s="1"/>
  <c r="K91" i="19"/>
  <c r="L91" i="19" s="1"/>
  <c r="K92" i="19"/>
  <c r="L92" i="19" s="1"/>
  <c r="K93" i="19"/>
  <c r="L93" i="19" s="1"/>
  <c r="K94" i="19"/>
  <c r="L94" i="19" s="1"/>
  <c r="K95" i="19"/>
  <c r="L95" i="19" s="1"/>
  <c r="K96" i="19"/>
  <c r="L96" i="19" s="1"/>
  <c r="K97" i="19"/>
  <c r="L97" i="19" s="1"/>
  <c r="K98" i="19"/>
  <c r="L98" i="19" s="1"/>
  <c r="K99" i="19"/>
  <c r="L99" i="19" s="1"/>
  <c r="K100" i="19"/>
  <c r="L100" i="19" s="1"/>
  <c r="K101" i="19"/>
  <c r="L101" i="19" s="1"/>
  <c r="K102" i="19"/>
  <c r="L102" i="19" s="1"/>
  <c r="K103" i="19"/>
  <c r="L103" i="19" s="1"/>
  <c r="K104" i="19"/>
  <c r="L104" i="19" s="1"/>
  <c r="K105" i="19"/>
  <c r="L105" i="19" s="1"/>
  <c r="K107" i="19"/>
  <c r="L107" i="19" s="1"/>
  <c r="K106" i="19"/>
  <c r="L106" i="19" s="1"/>
  <c r="K108" i="19"/>
  <c r="L108" i="19" s="1"/>
  <c r="K111" i="19"/>
  <c r="L111" i="19" s="1"/>
  <c r="K109" i="19"/>
  <c r="L109" i="19" s="1"/>
  <c r="N109" i="19"/>
  <c r="O109" i="19" s="1"/>
  <c r="N108" i="19"/>
  <c r="O108" i="19" s="1"/>
  <c r="N111" i="19"/>
  <c r="O111" i="19" s="1"/>
  <c r="N110" i="19"/>
  <c r="O110" i="19" s="1"/>
  <c r="K112" i="19"/>
  <c r="L112" i="19" s="1"/>
  <c r="N112" i="19"/>
  <c r="O112" i="19" s="1"/>
  <c r="K33" i="19" l="1"/>
  <c r="L33" i="19" s="1"/>
  <c r="K12" i="19"/>
  <c r="L12" i="19" s="1"/>
  <c r="K7" i="19"/>
  <c r="L7" i="19" s="1"/>
  <c r="D120" i="19" s="1"/>
  <c r="K65" i="19"/>
  <c r="L65" i="19" s="1"/>
  <c r="K46" i="19"/>
  <c r="L46" i="19" s="1"/>
  <c r="K25" i="19"/>
  <c r="L25" i="19" s="1"/>
  <c r="K113" i="19"/>
  <c r="L113" i="19" s="1"/>
  <c r="K62" i="19"/>
  <c r="L62" i="19" s="1"/>
  <c r="K43" i="19"/>
  <c r="L43" i="19" s="1"/>
  <c r="K23" i="19"/>
  <c r="L23" i="19" s="1"/>
  <c r="K60" i="19"/>
  <c r="L60" i="19" s="1"/>
  <c r="K39" i="19"/>
  <c r="L39" i="19" s="1"/>
  <c r="K17" i="19"/>
  <c r="L17" i="19" s="1"/>
  <c r="K70" i="19"/>
  <c r="L70" i="19" s="1"/>
  <c r="K63" i="19"/>
  <c r="L63" i="19" s="1"/>
  <c r="K54" i="19"/>
  <c r="L54" i="19" s="1"/>
  <c r="K47" i="19"/>
  <c r="L47" i="19" s="1"/>
  <c r="K38" i="19"/>
  <c r="L38" i="19" s="1"/>
  <c r="K30" i="19"/>
  <c r="L30" i="19" s="1"/>
  <c r="K22" i="19"/>
  <c r="L22" i="19" s="1"/>
  <c r="K14" i="19"/>
  <c r="L14" i="19" s="1"/>
  <c r="K6" i="19"/>
  <c r="L6" i="19" s="1"/>
  <c r="K53" i="19"/>
  <c r="L53" i="19" s="1"/>
  <c r="K45" i="19"/>
  <c r="L45" i="19" s="1"/>
  <c r="K37" i="19"/>
  <c r="L37" i="19" s="1"/>
  <c r="K29" i="19"/>
  <c r="L29" i="19" s="1"/>
  <c r="K21" i="19"/>
  <c r="L21" i="19" s="1"/>
  <c r="K13" i="19"/>
  <c r="L13" i="19" s="1"/>
  <c r="K5" i="19"/>
  <c r="L5" i="19" s="1"/>
  <c r="K68" i="19"/>
  <c r="L68" i="19" s="1"/>
  <c r="K59" i="19"/>
  <c r="L59" i="19" s="1"/>
  <c r="K52" i="19"/>
  <c r="L52" i="19" s="1"/>
  <c r="K44" i="19"/>
  <c r="L44" i="19" s="1"/>
  <c r="K35" i="19"/>
  <c r="L35" i="19" s="1"/>
  <c r="K28" i="19"/>
  <c r="L28" i="19" s="1"/>
  <c r="K20" i="19"/>
  <c r="L20" i="19" s="1"/>
  <c r="K11" i="19"/>
  <c r="L11" i="19" s="1"/>
  <c r="K4" i="19"/>
  <c r="L4" i="19" s="1"/>
  <c r="K82" i="19"/>
  <c r="L82" i="19" s="1"/>
  <c r="D124" i="19" s="1"/>
  <c r="K74" i="19"/>
  <c r="L74" i="19" s="1"/>
  <c r="K66" i="19"/>
  <c r="L66" i="19" s="1"/>
  <c r="K57" i="19"/>
  <c r="L57" i="19" s="1"/>
  <c r="K50" i="19"/>
  <c r="L50" i="19" s="1"/>
  <c r="K42" i="19"/>
  <c r="L42" i="19" s="1"/>
  <c r="K34" i="19"/>
  <c r="L34" i="19" s="1"/>
  <c r="K27" i="19"/>
  <c r="L27" i="19" s="1"/>
  <c r="K18" i="19"/>
  <c r="L18" i="19" s="1"/>
  <c r="K10" i="19"/>
  <c r="L10" i="19" s="1"/>
  <c r="K72" i="19"/>
  <c r="L72" i="19" s="1"/>
  <c r="K64" i="19"/>
  <c r="L64" i="19" s="1"/>
  <c r="K56" i="19"/>
  <c r="L56" i="19" s="1"/>
  <c r="K48" i="19"/>
  <c r="L48" i="19" s="1"/>
  <c r="K40" i="19"/>
  <c r="L40" i="19" s="1"/>
  <c r="K32" i="19"/>
  <c r="L32" i="19" s="1"/>
  <c r="K24" i="19"/>
  <c r="L24" i="19" s="1"/>
  <c r="K16" i="19"/>
  <c r="L16" i="19" s="1"/>
  <c r="K9" i="19"/>
  <c r="L9" i="19" s="1"/>
  <c r="S113" i="19"/>
  <c r="V113" i="19" s="1"/>
  <c r="E124" i="19"/>
  <c r="E121" i="19"/>
  <c r="E119" i="19"/>
  <c r="E123" i="19"/>
  <c r="E118" i="19"/>
  <c r="E117" i="19"/>
  <c r="E122" i="19"/>
  <c r="D122" i="19" l="1"/>
  <c r="D123" i="19"/>
  <c r="D121" i="19"/>
  <c r="D119" i="19"/>
  <c r="D117" i="19"/>
  <c r="D118" i="19"/>
  <c r="T59" i="19"/>
  <c r="U59" i="19" s="1"/>
  <c r="T107" i="19"/>
  <c r="U107" i="19" s="1"/>
  <c r="T43" i="19"/>
  <c r="U43" i="19" s="1"/>
  <c r="T51" i="19"/>
  <c r="U51" i="19" s="1"/>
  <c r="T99" i="19"/>
  <c r="U99" i="19" s="1"/>
  <c r="T35" i="19"/>
  <c r="U35" i="19" s="1"/>
  <c r="T83" i="19"/>
  <c r="U83" i="19" s="1"/>
  <c r="T19" i="19"/>
  <c r="U19" i="19" s="1"/>
  <c r="T91" i="19"/>
  <c r="U91" i="19" s="1"/>
  <c r="T27" i="19"/>
  <c r="U27" i="19" s="1"/>
  <c r="T75" i="19"/>
  <c r="U75" i="19" s="1"/>
  <c r="T11" i="19"/>
  <c r="U11" i="19" s="1"/>
  <c r="T67" i="19"/>
  <c r="U67" i="19" s="1"/>
  <c r="T90" i="19"/>
  <c r="U90" i="19" s="1"/>
  <c r="T58" i="19"/>
  <c r="U58" i="19" s="1"/>
  <c r="T42" i="19"/>
  <c r="U42" i="19" s="1"/>
  <c r="T18" i="19"/>
  <c r="U18" i="19" s="1"/>
  <c r="T106" i="19"/>
  <c r="U106" i="19" s="1"/>
  <c r="T97" i="19"/>
  <c r="U97" i="19" s="1"/>
  <c r="T89" i="19"/>
  <c r="U89" i="19" s="1"/>
  <c r="T81" i="19"/>
  <c r="U81" i="19" s="1"/>
  <c r="T73" i="19"/>
  <c r="U73" i="19" s="1"/>
  <c r="T65" i="19"/>
  <c r="U65" i="19" s="1"/>
  <c r="T57" i="19"/>
  <c r="U57" i="19" s="1"/>
  <c r="T49" i="19"/>
  <c r="U49" i="19" s="1"/>
  <c r="T41" i="19"/>
  <c r="U41" i="19" s="1"/>
  <c r="T33" i="19"/>
  <c r="U33" i="19" s="1"/>
  <c r="T25" i="19"/>
  <c r="U25" i="19" s="1"/>
  <c r="T17" i="19"/>
  <c r="U17" i="19" s="1"/>
  <c r="T9" i="19"/>
  <c r="U9" i="19" s="1"/>
  <c r="T82" i="19"/>
  <c r="U82" i="19" s="1"/>
  <c r="T50" i="19"/>
  <c r="U50" i="19" s="1"/>
  <c r="T34" i="19"/>
  <c r="U34" i="19" s="1"/>
  <c r="T26" i="19"/>
  <c r="U26" i="19" s="1"/>
  <c r="T10" i="19"/>
  <c r="U10" i="19" s="1"/>
  <c r="T108" i="19"/>
  <c r="U108" i="19" s="1"/>
  <c r="T104" i="19"/>
  <c r="U104" i="19" s="1"/>
  <c r="T96" i="19"/>
  <c r="U96" i="19" s="1"/>
  <c r="T88" i="19"/>
  <c r="U88" i="19" s="1"/>
  <c r="T80" i="19"/>
  <c r="U80" i="19" s="1"/>
  <c r="T72" i="19"/>
  <c r="U72" i="19" s="1"/>
  <c r="T64" i="19"/>
  <c r="U64" i="19" s="1"/>
  <c r="T56" i="19"/>
  <c r="U56" i="19" s="1"/>
  <c r="T48" i="19"/>
  <c r="U48" i="19" s="1"/>
  <c r="T40" i="19"/>
  <c r="U40" i="19" s="1"/>
  <c r="T32" i="19"/>
  <c r="U32" i="19" s="1"/>
  <c r="T24" i="19"/>
  <c r="U24" i="19" s="1"/>
  <c r="T16" i="19"/>
  <c r="U16" i="19" s="1"/>
  <c r="T8" i="19"/>
  <c r="U8" i="19" s="1"/>
  <c r="T98" i="19"/>
  <c r="U98" i="19" s="1"/>
  <c r="T66" i="19"/>
  <c r="U66" i="19" s="1"/>
  <c r="T87" i="19"/>
  <c r="U87" i="19" s="1"/>
  <c r="T79" i="19"/>
  <c r="U79" i="19" s="1"/>
  <c r="T47" i="19"/>
  <c r="U47" i="19" s="1"/>
  <c r="T31" i="19"/>
  <c r="U31" i="19" s="1"/>
  <c r="T15" i="19"/>
  <c r="U15" i="19" s="1"/>
  <c r="T7" i="19"/>
  <c r="U7" i="19" s="1"/>
  <c r="F120" i="19" s="1"/>
  <c r="T110" i="19"/>
  <c r="U110" i="19" s="1"/>
  <c r="T102" i="19"/>
  <c r="U102" i="19" s="1"/>
  <c r="T94" i="19"/>
  <c r="U94" i="19" s="1"/>
  <c r="T86" i="19"/>
  <c r="U86" i="19" s="1"/>
  <c r="T78" i="19"/>
  <c r="U78" i="19" s="1"/>
  <c r="T70" i="19"/>
  <c r="U70" i="19" s="1"/>
  <c r="T62" i="19"/>
  <c r="U62" i="19" s="1"/>
  <c r="T54" i="19"/>
  <c r="U54" i="19" s="1"/>
  <c r="T46" i="19"/>
  <c r="U46" i="19" s="1"/>
  <c r="T38" i="19"/>
  <c r="U38" i="19" s="1"/>
  <c r="T30" i="19"/>
  <c r="U30" i="19" s="1"/>
  <c r="T22" i="19"/>
  <c r="U22" i="19" s="1"/>
  <c r="T14" i="19"/>
  <c r="U14" i="19" s="1"/>
  <c r="T6" i="19"/>
  <c r="U6" i="19" s="1"/>
  <c r="T103" i="19"/>
  <c r="U103" i="19" s="1"/>
  <c r="T71" i="19"/>
  <c r="U71" i="19" s="1"/>
  <c r="T55" i="19"/>
  <c r="U55" i="19" s="1"/>
  <c r="T23" i="19"/>
  <c r="U23" i="19" s="1"/>
  <c r="T111" i="19"/>
  <c r="U111" i="19" s="1"/>
  <c r="T101" i="19"/>
  <c r="U101" i="19" s="1"/>
  <c r="T93" i="19"/>
  <c r="U93" i="19" s="1"/>
  <c r="T85" i="19"/>
  <c r="U85" i="19" s="1"/>
  <c r="T77" i="19"/>
  <c r="U77" i="19" s="1"/>
  <c r="T69" i="19"/>
  <c r="U69" i="19" s="1"/>
  <c r="T61" i="19"/>
  <c r="U61" i="19" s="1"/>
  <c r="T53" i="19"/>
  <c r="U53" i="19" s="1"/>
  <c r="T45" i="19"/>
  <c r="U45" i="19" s="1"/>
  <c r="T37" i="19"/>
  <c r="U37" i="19" s="1"/>
  <c r="T29" i="19"/>
  <c r="U29" i="19" s="1"/>
  <c r="T21" i="19"/>
  <c r="U21" i="19" s="1"/>
  <c r="T13" i="19"/>
  <c r="U13" i="19" s="1"/>
  <c r="T4" i="19"/>
  <c r="U4" i="19" s="1"/>
  <c r="T105" i="19"/>
  <c r="U105" i="19" s="1"/>
  <c r="T74" i="19"/>
  <c r="U74" i="19" s="1"/>
  <c r="T109" i="19"/>
  <c r="U109" i="19" s="1"/>
  <c r="T95" i="19"/>
  <c r="U95" i="19" s="1"/>
  <c r="T63" i="19"/>
  <c r="U63" i="19" s="1"/>
  <c r="T39" i="19"/>
  <c r="U39" i="19" s="1"/>
  <c r="T112" i="19"/>
  <c r="U112" i="19" s="1"/>
  <c r="T100" i="19"/>
  <c r="U100" i="19" s="1"/>
  <c r="T92" i="19"/>
  <c r="U92" i="19" s="1"/>
  <c r="T84" i="19"/>
  <c r="U84" i="19" s="1"/>
  <c r="T76" i="19"/>
  <c r="U76" i="19" s="1"/>
  <c r="T68" i="19"/>
  <c r="U68" i="19" s="1"/>
  <c r="T60" i="19"/>
  <c r="U60" i="19" s="1"/>
  <c r="T52" i="19"/>
  <c r="U52" i="19" s="1"/>
  <c r="T44" i="19"/>
  <c r="U44" i="19" s="1"/>
  <c r="T36" i="19"/>
  <c r="U36" i="19" s="1"/>
  <c r="T28" i="19"/>
  <c r="U28" i="19" s="1"/>
  <c r="T20" i="19"/>
  <c r="U20" i="19" s="1"/>
  <c r="T12" i="19"/>
  <c r="U12" i="19" s="1"/>
  <c r="T5" i="19"/>
  <c r="U5" i="19" s="1"/>
  <c r="T113" i="19"/>
  <c r="U113" i="19" s="1"/>
  <c r="W113" i="19"/>
  <c r="X113" i="19" s="1"/>
  <c r="W5" i="19"/>
  <c r="X5" i="19" s="1"/>
  <c r="W6" i="19"/>
  <c r="X6" i="19" s="1"/>
  <c r="W4" i="19"/>
  <c r="X4" i="19" s="1"/>
  <c r="W7" i="19"/>
  <c r="X7" i="19" s="1"/>
  <c r="G120" i="19" s="1"/>
  <c r="W9" i="19"/>
  <c r="X9" i="19" s="1"/>
  <c r="W8" i="19"/>
  <c r="X8" i="19" s="1"/>
  <c r="W10" i="19"/>
  <c r="X10" i="19" s="1"/>
  <c r="W12" i="19"/>
  <c r="X12" i="19" s="1"/>
  <c r="W11" i="19"/>
  <c r="X11" i="19" s="1"/>
  <c r="W13" i="19"/>
  <c r="X13" i="19" s="1"/>
  <c r="W14" i="19"/>
  <c r="X14" i="19" s="1"/>
  <c r="W15" i="19"/>
  <c r="X15" i="19" s="1"/>
  <c r="W16" i="19"/>
  <c r="X16" i="19" s="1"/>
  <c r="W17" i="19"/>
  <c r="X17" i="19" s="1"/>
  <c r="W19" i="19"/>
  <c r="X19" i="19" s="1"/>
  <c r="W18" i="19"/>
  <c r="X18" i="19" s="1"/>
  <c r="W20" i="19"/>
  <c r="X20" i="19" s="1"/>
  <c r="W21" i="19"/>
  <c r="X21" i="19" s="1"/>
  <c r="W22" i="19"/>
  <c r="X22" i="19" s="1"/>
  <c r="W23" i="19"/>
  <c r="X23" i="19" s="1"/>
  <c r="W24" i="19"/>
  <c r="X24" i="19" s="1"/>
  <c r="W25" i="19"/>
  <c r="X25" i="19" s="1"/>
  <c r="W26" i="19"/>
  <c r="X26" i="19" s="1"/>
  <c r="W28" i="19"/>
  <c r="X28" i="19" s="1"/>
  <c r="W27" i="19"/>
  <c r="X27" i="19" s="1"/>
  <c r="W29" i="19"/>
  <c r="X29" i="19" s="1"/>
  <c r="W30" i="19"/>
  <c r="X30" i="19" s="1"/>
  <c r="W31" i="19"/>
  <c r="X31" i="19" s="1"/>
  <c r="W32" i="19"/>
  <c r="X32" i="19" s="1"/>
  <c r="W33" i="19"/>
  <c r="X33" i="19" s="1"/>
  <c r="W34" i="19"/>
  <c r="X34" i="19" s="1"/>
  <c r="W36" i="19"/>
  <c r="X36" i="19" s="1"/>
  <c r="W35" i="19"/>
  <c r="X35" i="19" s="1"/>
  <c r="W37" i="19"/>
  <c r="X37" i="19" s="1"/>
  <c r="W38" i="19"/>
  <c r="X38" i="19" s="1"/>
  <c r="W40" i="19"/>
  <c r="X40" i="19" s="1"/>
  <c r="W39" i="19"/>
  <c r="X39" i="19" s="1"/>
  <c r="W41" i="19"/>
  <c r="X41" i="19" s="1"/>
  <c r="W42" i="19"/>
  <c r="X42" i="19" s="1"/>
  <c r="W43" i="19"/>
  <c r="X43" i="19" s="1"/>
  <c r="W45" i="19"/>
  <c r="X45" i="19" s="1"/>
  <c r="W44" i="19"/>
  <c r="X44" i="19" s="1"/>
  <c r="W47" i="19"/>
  <c r="X47" i="19" s="1"/>
  <c r="W46" i="19"/>
  <c r="X46" i="19" s="1"/>
  <c r="W48" i="19"/>
  <c r="X48" i="19" s="1"/>
  <c r="W49" i="19"/>
  <c r="X49" i="19" s="1"/>
  <c r="W50" i="19"/>
  <c r="X50" i="19" s="1"/>
  <c r="W51" i="19"/>
  <c r="X51" i="19" s="1"/>
  <c r="W53" i="19"/>
  <c r="X53" i="19" s="1"/>
  <c r="W52" i="19"/>
  <c r="X52" i="19" s="1"/>
  <c r="W54" i="19"/>
  <c r="X54" i="19" s="1"/>
  <c r="W55" i="19"/>
  <c r="X55" i="19" s="1"/>
  <c r="W56" i="19"/>
  <c r="X56" i="19" s="1"/>
  <c r="W58" i="19"/>
  <c r="X58" i="19" s="1"/>
  <c r="W57" i="19"/>
  <c r="X57" i="19" s="1"/>
  <c r="W60" i="19"/>
  <c r="X60" i="19" s="1"/>
  <c r="W59" i="19"/>
  <c r="X59" i="19" s="1"/>
  <c r="W62" i="19"/>
  <c r="X62" i="19" s="1"/>
  <c r="W61" i="19"/>
  <c r="X61" i="19" s="1"/>
  <c r="W63" i="19"/>
  <c r="X63" i="19" s="1"/>
  <c r="W64" i="19"/>
  <c r="X64" i="19" s="1"/>
  <c r="W65" i="19"/>
  <c r="X65" i="19" s="1"/>
  <c r="W66" i="19"/>
  <c r="X66" i="19" s="1"/>
  <c r="W67" i="19"/>
  <c r="X67" i="19" s="1"/>
  <c r="W68" i="19"/>
  <c r="X68" i="19" s="1"/>
  <c r="W70" i="19"/>
  <c r="X70" i="19" s="1"/>
  <c r="W69" i="19"/>
  <c r="X69" i="19" s="1"/>
  <c r="W71" i="19"/>
  <c r="X71" i="19" s="1"/>
  <c r="W72" i="19"/>
  <c r="X72" i="19" s="1"/>
  <c r="W74" i="19"/>
  <c r="X74" i="19" s="1"/>
  <c r="W73" i="19"/>
  <c r="X73" i="19" s="1"/>
  <c r="W75" i="19"/>
  <c r="X75" i="19" s="1"/>
  <c r="W76" i="19"/>
  <c r="X76" i="19" s="1"/>
  <c r="W77" i="19"/>
  <c r="X77" i="19" s="1"/>
  <c r="W78" i="19"/>
  <c r="X78" i="19" s="1"/>
  <c r="W79" i="19"/>
  <c r="X79" i="19" s="1"/>
  <c r="W81" i="19"/>
  <c r="X81" i="19" s="1"/>
  <c r="W80" i="19"/>
  <c r="X80" i="19" s="1"/>
  <c r="W82" i="19"/>
  <c r="X82" i="19" s="1"/>
  <c r="W83" i="19"/>
  <c r="X83" i="19" s="1"/>
  <c r="W84" i="19"/>
  <c r="X84" i="19" s="1"/>
  <c r="W85" i="19"/>
  <c r="X85" i="19" s="1"/>
  <c r="W86" i="19"/>
  <c r="X86" i="19" s="1"/>
  <c r="W87" i="19"/>
  <c r="X87" i="19" s="1"/>
  <c r="W88" i="19"/>
  <c r="X88" i="19" s="1"/>
  <c r="W90" i="19"/>
  <c r="X90" i="19" s="1"/>
  <c r="W89" i="19"/>
  <c r="X89" i="19" s="1"/>
  <c r="W92" i="19"/>
  <c r="X92" i="19" s="1"/>
  <c r="W91" i="19"/>
  <c r="X91" i="19" s="1"/>
  <c r="W93" i="19"/>
  <c r="X93" i="19" s="1"/>
  <c r="W94" i="19"/>
  <c r="X94" i="19" s="1"/>
  <c r="W95" i="19"/>
  <c r="X95" i="19" s="1"/>
  <c r="W97" i="19"/>
  <c r="X97" i="19" s="1"/>
  <c r="W96" i="19"/>
  <c r="X96" i="19" s="1"/>
  <c r="W99" i="19"/>
  <c r="X99" i="19" s="1"/>
  <c r="W98" i="19"/>
  <c r="X98" i="19" s="1"/>
  <c r="W100" i="19"/>
  <c r="X100" i="19" s="1"/>
  <c r="W101" i="19"/>
  <c r="X101" i="19" s="1"/>
  <c r="W102" i="19"/>
  <c r="X102" i="19" s="1"/>
  <c r="W103" i="19"/>
  <c r="X103" i="19" s="1"/>
  <c r="W104" i="19"/>
  <c r="X104" i="19" s="1"/>
  <c r="W105" i="19"/>
  <c r="X105" i="19" s="1"/>
  <c r="W107" i="19"/>
  <c r="X107" i="19" s="1"/>
  <c r="W112" i="19"/>
  <c r="X112" i="19" s="1"/>
  <c r="W111" i="19"/>
  <c r="X111" i="19" s="1"/>
  <c r="W110" i="19"/>
  <c r="X110" i="19" s="1"/>
  <c r="W108" i="19"/>
  <c r="X108" i="19" s="1"/>
  <c r="W106" i="19"/>
  <c r="X106" i="19" s="1"/>
  <c r="W109" i="19"/>
  <c r="X109" i="19" s="1"/>
  <c r="F122" i="19" l="1"/>
  <c r="F123" i="19"/>
  <c r="F121" i="19"/>
  <c r="F118" i="19"/>
  <c r="F119" i="19"/>
  <c r="F124" i="19"/>
  <c r="F117" i="19"/>
  <c r="G122" i="19"/>
  <c r="G124" i="19"/>
  <c r="G123" i="19"/>
  <c r="G121" i="19"/>
  <c r="G118" i="19"/>
  <c r="G117" i="19"/>
  <c r="G119" i="19"/>
  <c r="V109" i="6"/>
  <c r="V50" i="6"/>
  <c r="V81" i="6"/>
  <c r="V100" i="6"/>
  <c r="V90" i="6"/>
  <c r="V47" i="6"/>
  <c r="V27" i="6"/>
  <c r="V70" i="6"/>
  <c r="V87" i="6"/>
  <c r="V36" i="6"/>
  <c r="V39" i="6"/>
  <c r="V68" i="6"/>
  <c r="V60" i="6"/>
  <c r="V11" i="6"/>
  <c r="V7" i="6"/>
  <c r="V54" i="6"/>
  <c r="H845" i="7"/>
  <c r="H848" i="7" l="1"/>
  <c r="V84" i="6"/>
  <c r="Y84" i="6" s="1"/>
  <c r="V88" i="6"/>
  <c r="Y88" i="6" s="1"/>
  <c r="H858" i="7"/>
  <c r="H852" i="7"/>
  <c r="H843" i="7"/>
  <c r="V34" i="6"/>
  <c r="Y34" i="6" s="1"/>
  <c r="V59" i="6"/>
  <c r="Y59" i="6" s="1"/>
  <c r="V49" i="6"/>
  <c r="Y49" i="6" s="1"/>
  <c r="V13" i="6"/>
  <c r="Y13" i="6" s="1"/>
  <c r="V43" i="6"/>
  <c r="Y43" i="6" s="1"/>
  <c r="H849" i="7"/>
  <c r="H841" i="7"/>
  <c r="Y36" i="6"/>
  <c r="H847" i="7"/>
  <c r="Y100" i="6"/>
  <c r="Y27" i="6"/>
  <c r="Y81" i="6"/>
  <c r="Y68" i="6"/>
  <c r="Y47" i="6"/>
  <c r="Y70" i="6"/>
  <c r="Y54" i="6"/>
  <c r="Y7" i="6"/>
  <c r="Y90" i="6"/>
  <c r="Y109" i="6"/>
  <c r="Y11" i="6"/>
  <c r="Y87" i="6"/>
  <c r="V77" i="6"/>
  <c r="V74" i="6"/>
  <c r="V62" i="6"/>
  <c r="V63" i="6"/>
  <c r="V4" i="6"/>
  <c r="Y50" i="6"/>
  <c r="V82" i="6"/>
  <c r="V93" i="6"/>
  <c r="V41" i="6"/>
  <c r="V6" i="6"/>
  <c r="V8" i="6"/>
  <c r="Y60" i="6"/>
  <c r="V65" i="6"/>
  <c r="V66" i="6"/>
  <c r="V64" i="6"/>
  <c r="V18" i="6"/>
  <c r="V15" i="6"/>
  <c r="V16" i="6"/>
  <c r="V72" i="6"/>
  <c r="V71" i="6"/>
  <c r="V24" i="6"/>
  <c r="V26" i="6"/>
  <c r="V92" i="6"/>
  <c r="V99" i="6"/>
  <c r="V101" i="6"/>
  <c r="V103" i="6"/>
  <c r="V102" i="6"/>
  <c r="V73" i="6"/>
  <c r="V40" i="6"/>
  <c r="V25" i="6"/>
  <c r="V79" i="6"/>
  <c r="V83" i="6"/>
  <c r="V80" i="6"/>
  <c r="V89" i="6"/>
  <c r="V106" i="6"/>
  <c r="V35" i="6"/>
  <c r="V61" i="6"/>
  <c r="V96" i="6"/>
  <c r="V98" i="6"/>
  <c r="V95" i="6"/>
  <c r="V97" i="6"/>
  <c r="V42" i="6"/>
  <c r="V107" i="6"/>
  <c r="V17" i="6"/>
  <c r="V46" i="6"/>
  <c r="V45" i="6"/>
  <c r="V44" i="6"/>
  <c r="V108" i="6"/>
  <c r="V20" i="6"/>
  <c r="V19" i="6"/>
  <c r="V23" i="6"/>
  <c r="V21" i="6"/>
  <c r="V75" i="6"/>
  <c r="V67" i="6"/>
  <c r="V5" i="6"/>
  <c r="V48" i="6"/>
  <c r="V58" i="6"/>
  <c r="V56" i="6"/>
  <c r="V55" i="6"/>
  <c r="V37" i="6"/>
  <c r="V38" i="6"/>
  <c r="V85" i="6"/>
  <c r="V86" i="6"/>
  <c r="V112" i="6"/>
  <c r="V78" i="6"/>
  <c r="V53" i="6"/>
  <c r="H860" i="7"/>
  <c r="V94" i="6"/>
  <c r="V30" i="6"/>
  <c r="V33" i="6"/>
  <c r="V32" i="6"/>
  <c r="V105" i="6"/>
  <c r="V110" i="6"/>
  <c r="V111" i="6"/>
  <c r="V104" i="6"/>
  <c r="V29" i="6"/>
  <c r="I845" i="7"/>
  <c r="V76" i="6"/>
  <c r="V10" i="6"/>
  <c r="V9" i="6"/>
  <c r="V12" i="6"/>
  <c r="Y39" i="6"/>
  <c r="V91" i="6"/>
  <c r="V57" i="6"/>
  <c r="V52" i="6"/>
  <c r="V31" i="6"/>
  <c r="V22" i="6"/>
  <c r="V14" i="6"/>
  <c r="V69" i="6"/>
  <c r="V28" i="6"/>
  <c r="V51" i="6"/>
  <c r="J845" i="7" l="1"/>
  <c r="I843" i="7"/>
  <c r="I847" i="7"/>
  <c r="J847" i="7" s="1"/>
  <c r="I841" i="7"/>
  <c r="J841" i="7" s="1"/>
  <c r="I849" i="7"/>
  <c r="J849" i="7" s="1"/>
  <c r="W90" i="6"/>
  <c r="X90" i="6" s="1"/>
  <c r="W49" i="6"/>
  <c r="X49" i="6" s="1"/>
  <c r="W36" i="6"/>
  <c r="X36" i="6" s="1"/>
  <c r="W39" i="6"/>
  <c r="X39" i="6" s="1"/>
  <c r="W11" i="6"/>
  <c r="X11" i="6" s="1"/>
  <c r="W7" i="6"/>
  <c r="X7" i="6" s="1"/>
  <c r="I120" i="6" s="1"/>
  <c r="W78" i="6"/>
  <c r="X78" i="6" s="1"/>
  <c r="Y78" i="6"/>
  <c r="W112" i="6"/>
  <c r="X112" i="6" s="1"/>
  <c r="Y112" i="6"/>
  <c r="Z112" i="6" s="1"/>
  <c r="AA112" i="6" s="1"/>
  <c r="Y21" i="6"/>
  <c r="W21" i="6"/>
  <c r="X21" i="6" s="1"/>
  <c r="W28" i="6"/>
  <c r="X28" i="6" s="1"/>
  <c r="Y28" i="6"/>
  <c r="H850" i="7"/>
  <c r="H855" i="7"/>
  <c r="W97" i="6"/>
  <c r="X97" i="6" s="1"/>
  <c r="Y97" i="6"/>
  <c r="Y25" i="6"/>
  <c r="W25" i="6"/>
  <c r="X25" i="6" s="1"/>
  <c r="W69" i="6"/>
  <c r="X69" i="6" s="1"/>
  <c r="Y69" i="6"/>
  <c r="W104" i="6"/>
  <c r="X104" i="6" s="1"/>
  <c r="Y104" i="6"/>
  <c r="Y85" i="6"/>
  <c r="W85" i="6"/>
  <c r="X85" i="6" s="1"/>
  <c r="W48" i="6"/>
  <c r="X48" i="6" s="1"/>
  <c r="Y48" i="6"/>
  <c r="H854" i="7"/>
  <c r="W44" i="6"/>
  <c r="X44" i="6" s="1"/>
  <c r="Y44" i="6"/>
  <c r="W98" i="6"/>
  <c r="X98" i="6" s="1"/>
  <c r="Y98" i="6"/>
  <c r="W106" i="6"/>
  <c r="X106" i="6" s="1"/>
  <c r="Y106" i="6"/>
  <c r="Y73" i="6"/>
  <c r="W73" i="6"/>
  <c r="X73" i="6" s="1"/>
  <c r="W26" i="6"/>
  <c r="X26" i="6" s="1"/>
  <c r="Y26" i="6"/>
  <c r="Y66" i="6"/>
  <c r="W66" i="6"/>
  <c r="X66" i="6" s="1"/>
  <c r="W41" i="6"/>
  <c r="X41" i="6" s="1"/>
  <c r="Y41" i="6"/>
  <c r="W63" i="6"/>
  <c r="X63" i="6" s="1"/>
  <c r="Y63" i="6"/>
  <c r="W47" i="6"/>
  <c r="X47" i="6" s="1"/>
  <c r="Y58" i="6"/>
  <c r="W58" i="6"/>
  <c r="X58" i="6" s="1"/>
  <c r="W34" i="6"/>
  <c r="X34" i="6" s="1"/>
  <c r="Y18" i="6"/>
  <c r="W18" i="6"/>
  <c r="X18" i="6" s="1"/>
  <c r="W14" i="6"/>
  <c r="X14" i="6" s="1"/>
  <c r="Y14" i="6"/>
  <c r="W22" i="6"/>
  <c r="X22" i="6" s="1"/>
  <c r="Y22" i="6"/>
  <c r="W111" i="6"/>
  <c r="X111" i="6" s="1"/>
  <c r="Y111" i="6"/>
  <c r="W53" i="6"/>
  <c r="X53" i="6" s="1"/>
  <c r="Y53" i="6"/>
  <c r="W38" i="6"/>
  <c r="X38" i="6" s="1"/>
  <c r="Y38" i="6"/>
  <c r="Y5" i="6"/>
  <c r="W5" i="6"/>
  <c r="X5" i="6" s="1"/>
  <c r="H853" i="7"/>
  <c r="W45" i="6"/>
  <c r="X45" i="6" s="1"/>
  <c r="Y45" i="6"/>
  <c r="Y96" i="6"/>
  <c r="W96" i="6"/>
  <c r="X96" i="6" s="1"/>
  <c r="W89" i="6"/>
  <c r="X89" i="6" s="1"/>
  <c r="Y89" i="6"/>
  <c r="H862" i="7"/>
  <c r="Y24" i="6"/>
  <c r="W24" i="6"/>
  <c r="X24" i="6" s="1"/>
  <c r="Y65" i="6"/>
  <c r="W65" i="6"/>
  <c r="X65" i="6" s="1"/>
  <c r="W93" i="6"/>
  <c r="X93" i="6" s="1"/>
  <c r="Y93" i="6"/>
  <c r="W62" i="6"/>
  <c r="X62" i="6" s="1"/>
  <c r="Y62" i="6"/>
  <c r="W87" i="6"/>
  <c r="X87" i="6" s="1"/>
  <c r="W43" i="6"/>
  <c r="X43" i="6" s="1"/>
  <c r="W27" i="6"/>
  <c r="X27" i="6" s="1"/>
  <c r="Y37" i="6"/>
  <c r="W37" i="6"/>
  <c r="X37" i="6" s="1"/>
  <c r="W67" i="6"/>
  <c r="X67" i="6" s="1"/>
  <c r="Y67" i="6"/>
  <c r="H842" i="7"/>
  <c r="Y46" i="6"/>
  <c r="W46" i="6"/>
  <c r="X46" i="6" s="1"/>
  <c r="W61" i="6"/>
  <c r="X61" i="6" s="1"/>
  <c r="Y61" i="6"/>
  <c r="W80" i="6"/>
  <c r="X80" i="6" s="1"/>
  <c r="Y80" i="6"/>
  <c r="Y102" i="6"/>
  <c r="W102" i="6"/>
  <c r="X102" i="6" s="1"/>
  <c r="Y71" i="6"/>
  <c r="W71" i="6"/>
  <c r="X71" i="6" s="1"/>
  <c r="W82" i="6"/>
  <c r="X82" i="6" s="1"/>
  <c r="Y82" i="6"/>
  <c r="W74" i="6"/>
  <c r="X74" i="6" s="1"/>
  <c r="Y74" i="6"/>
  <c r="W110" i="6"/>
  <c r="X110" i="6" s="1"/>
  <c r="Y110" i="6"/>
  <c r="Y52" i="6"/>
  <c r="W52" i="6"/>
  <c r="X52" i="6" s="1"/>
  <c r="W75" i="6"/>
  <c r="X75" i="6" s="1"/>
  <c r="Y75" i="6"/>
  <c r="W83" i="6"/>
  <c r="X83" i="6" s="1"/>
  <c r="Y83" i="6"/>
  <c r="W72" i="6"/>
  <c r="X72" i="6" s="1"/>
  <c r="Y72" i="6"/>
  <c r="Y77" i="6"/>
  <c r="W77" i="6"/>
  <c r="X77" i="6" s="1"/>
  <c r="W54" i="6"/>
  <c r="X54" i="6" s="1"/>
  <c r="W100" i="6"/>
  <c r="X100" i="6" s="1"/>
  <c r="Y57" i="6"/>
  <c r="W57" i="6"/>
  <c r="X57" i="6" s="1"/>
  <c r="Y10" i="6"/>
  <c r="W10" i="6"/>
  <c r="X10" i="6" s="1"/>
  <c r="W32" i="6"/>
  <c r="X32" i="6" s="1"/>
  <c r="Y32" i="6"/>
  <c r="H857" i="7"/>
  <c r="W55" i="6"/>
  <c r="X55" i="6" s="1"/>
  <c r="Y55" i="6"/>
  <c r="H861" i="7"/>
  <c r="Y23" i="6"/>
  <c r="W23" i="6"/>
  <c r="X23" i="6" s="1"/>
  <c r="Y107" i="6"/>
  <c r="W107" i="6"/>
  <c r="X107" i="6" s="1"/>
  <c r="W35" i="6"/>
  <c r="X35" i="6" s="1"/>
  <c r="Y35" i="6"/>
  <c r="Y79" i="6"/>
  <c r="W79" i="6"/>
  <c r="X79" i="6" s="1"/>
  <c r="Y101" i="6"/>
  <c r="W101" i="6"/>
  <c r="X101" i="6" s="1"/>
  <c r="W16" i="6"/>
  <c r="X16" i="6" s="1"/>
  <c r="Y16" i="6"/>
  <c r="W8" i="6"/>
  <c r="X8" i="6" s="1"/>
  <c r="Y8" i="6"/>
  <c r="W50" i="6"/>
  <c r="X50" i="6" s="1"/>
  <c r="Y31" i="6"/>
  <c r="W31" i="6"/>
  <c r="X31" i="6" s="1"/>
  <c r="Y105" i="6"/>
  <c r="W105" i="6"/>
  <c r="X105" i="6" s="1"/>
  <c r="H856" i="7"/>
  <c r="H851" i="7"/>
  <c r="Y103" i="6"/>
  <c r="W103" i="6"/>
  <c r="X103" i="6" s="1"/>
  <c r="W60" i="6"/>
  <c r="X60" i="6" s="1"/>
  <c r="W51" i="6"/>
  <c r="X51" i="6" s="1"/>
  <c r="Y51" i="6"/>
  <c r="W91" i="6"/>
  <c r="X91" i="6" s="1"/>
  <c r="Y91" i="6"/>
  <c r="W76" i="6"/>
  <c r="X76" i="6" s="1"/>
  <c r="Y76" i="6"/>
  <c r="W33" i="6"/>
  <c r="X33" i="6" s="1"/>
  <c r="Y33" i="6"/>
  <c r="H859" i="7"/>
  <c r="W56" i="6"/>
  <c r="X56" i="6" s="1"/>
  <c r="Y56" i="6"/>
  <c r="H846" i="7"/>
  <c r="Y19" i="6"/>
  <c r="W19" i="6"/>
  <c r="X19" i="6" s="1"/>
  <c r="W42" i="6"/>
  <c r="X42" i="6" s="1"/>
  <c r="Y42" i="6"/>
  <c r="W84" i="6"/>
  <c r="X84" i="6" s="1"/>
  <c r="Y99" i="6"/>
  <c r="W99" i="6"/>
  <c r="X99" i="6" s="1"/>
  <c r="W15" i="6"/>
  <c r="X15" i="6" s="1"/>
  <c r="Y15" i="6"/>
  <c r="W6" i="6"/>
  <c r="X6" i="6" s="1"/>
  <c r="Y6" i="6"/>
  <c r="W4" i="6"/>
  <c r="X4" i="6" s="1"/>
  <c r="Y4" i="6"/>
  <c r="W68" i="6"/>
  <c r="X68" i="6" s="1"/>
  <c r="I858" i="7"/>
  <c r="J858" i="7" s="1"/>
  <c r="I860" i="7"/>
  <c r="J860" i="7" s="1"/>
  <c r="W109" i="6"/>
  <c r="X109" i="6" s="1"/>
  <c r="W70" i="6"/>
  <c r="X70" i="6" s="1"/>
  <c r="W81" i="6"/>
  <c r="X81" i="6" s="1"/>
  <c r="W13" i="6"/>
  <c r="X13" i="6" s="1"/>
  <c r="W59" i="6"/>
  <c r="X59" i="6" s="1"/>
  <c r="Y12" i="6"/>
  <c r="W12" i="6"/>
  <c r="X12" i="6" s="1"/>
  <c r="W9" i="6"/>
  <c r="X9" i="6" s="1"/>
  <c r="Y9" i="6"/>
  <c r="W17" i="6"/>
  <c r="X17" i="6" s="1"/>
  <c r="Y17" i="6"/>
  <c r="W30" i="6"/>
  <c r="X30" i="6" s="1"/>
  <c r="Y30" i="6"/>
  <c r="W20" i="6"/>
  <c r="X20" i="6" s="1"/>
  <c r="Y20" i="6"/>
  <c r="W29" i="6"/>
  <c r="X29" i="6" s="1"/>
  <c r="Y29" i="6"/>
  <c r="W94" i="6"/>
  <c r="X94" i="6" s="1"/>
  <c r="Y94" i="6"/>
  <c r="Y86" i="6"/>
  <c r="W86" i="6"/>
  <c r="X86" i="6" s="1"/>
  <c r="H844" i="7"/>
  <c r="W108" i="6"/>
  <c r="X108" i="6" s="1"/>
  <c r="Y108" i="6"/>
  <c r="W95" i="6"/>
  <c r="X95" i="6" s="1"/>
  <c r="Y95" i="6"/>
  <c r="Y40" i="6"/>
  <c r="W40" i="6"/>
  <c r="X40" i="6" s="1"/>
  <c r="W92" i="6"/>
  <c r="X92" i="6" s="1"/>
  <c r="Y92" i="6"/>
  <c r="W64" i="6"/>
  <c r="X64" i="6" s="1"/>
  <c r="Y64" i="6"/>
  <c r="I852" i="7"/>
  <c r="J852" i="7" s="1"/>
  <c r="I848" i="7"/>
  <c r="J848" i="7" s="1"/>
  <c r="W88" i="6"/>
  <c r="X88" i="6" s="1"/>
  <c r="J843" i="7" l="1"/>
  <c r="F848" i="17"/>
  <c r="C109" i="13"/>
  <c r="I121" i="6"/>
  <c r="I123" i="6"/>
  <c r="I124" i="6"/>
  <c r="I854" i="7"/>
  <c r="J854" i="7" s="1"/>
  <c r="I853" i="7"/>
  <c r="J853" i="7" s="1"/>
  <c r="I859" i="7"/>
  <c r="J859" i="7" s="1"/>
  <c r="I842" i="7"/>
  <c r="J842" i="7" s="1"/>
  <c r="I862" i="7"/>
  <c r="J862" i="7" s="1"/>
  <c r="Z111" i="6"/>
  <c r="AA111" i="6" s="1"/>
  <c r="Z108" i="6"/>
  <c r="AA108" i="6" s="1"/>
  <c r="Z87" i="6"/>
  <c r="AA87" i="6" s="1"/>
  <c r="Z60" i="6"/>
  <c r="AA60" i="6" s="1"/>
  <c r="Z59" i="6"/>
  <c r="AA59" i="6" s="1"/>
  <c r="Z13" i="6"/>
  <c r="AA13" i="6" s="1"/>
  <c r="Z68" i="6"/>
  <c r="AA68" i="6" s="1"/>
  <c r="Z12" i="6"/>
  <c r="AA12" i="6" s="1"/>
  <c r="I846" i="7"/>
  <c r="J846" i="7" s="1"/>
  <c r="Z109" i="6"/>
  <c r="AA109" i="6" s="1"/>
  <c r="Z52" i="6"/>
  <c r="AA52" i="6" s="1"/>
  <c r="Z43" i="6"/>
  <c r="AA43" i="6" s="1"/>
  <c r="Z40" i="6"/>
  <c r="AA40" i="6" s="1"/>
  <c r="Z49" i="6"/>
  <c r="AA49" i="6" s="1"/>
  <c r="Z110" i="6"/>
  <c r="AA110" i="6" s="1"/>
  <c r="Z4" i="6"/>
  <c r="AA4" i="6" s="1"/>
  <c r="Z82" i="6"/>
  <c r="AA82" i="6" s="1"/>
  <c r="Z95" i="6"/>
  <c r="AA95" i="6" s="1"/>
  <c r="Z94" i="6"/>
  <c r="AA94" i="6" s="1"/>
  <c r="Z6" i="6"/>
  <c r="AA6" i="6" s="1"/>
  <c r="I122" i="6"/>
  <c r="Z8" i="6"/>
  <c r="AA8" i="6" s="1"/>
  <c r="Z35" i="6"/>
  <c r="AA35" i="6" s="1"/>
  <c r="Z55" i="6"/>
  <c r="AA55" i="6" s="1"/>
  <c r="Z37" i="6"/>
  <c r="AA37" i="6" s="1"/>
  <c r="Z5" i="6"/>
  <c r="AA5" i="6" s="1"/>
  <c r="Z22" i="6"/>
  <c r="AA22" i="6" s="1"/>
  <c r="Z58" i="6"/>
  <c r="AA58" i="6" s="1"/>
  <c r="Z28" i="6"/>
  <c r="AA28" i="6" s="1"/>
  <c r="Z11" i="6"/>
  <c r="AA11" i="6" s="1"/>
  <c r="Z50" i="6"/>
  <c r="AA50" i="6" s="1"/>
  <c r="Z64" i="6"/>
  <c r="AA64" i="6" s="1"/>
  <c r="Z17" i="6"/>
  <c r="AA17" i="6" s="1"/>
  <c r="Z33" i="6"/>
  <c r="AA33" i="6" s="1"/>
  <c r="Z105" i="6"/>
  <c r="AA105" i="6" s="1"/>
  <c r="Z57" i="6"/>
  <c r="AA57" i="6" s="1"/>
  <c r="Z83" i="6"/>
  <c r="AA83" i="6" s="1"/>
  <c r="Z36" i="6"/>
  <c r="AA36" i="6" s="1"/>
  <c r="Z38" i="6"/>
  <c r="AA38" i="6" s="1"/>
  <c r="Z98" i="6"/>
  <c r="AA98" i="6" s="1"/>
  <c r="Z25" i="6"/>
  <c r="AA25" i="6" s="1"/>
  <c r="Z19" i="6"/>
  <c r="AA19" i="6" s="1"/>
  <c r="Z71" i="6"/>
  <c r="AA71" i="6" s="1"/>
  <c r="Z65" i="6"/>
  <c r="AA65" i="6" s="1"/>
  <c r="Z76" i="6"/>
  <c r="AA76" i="6" s="1"/>
  <c r="Z103" i="6"/>
  <c r="AA103" i="6" s="1"/>
  <c r="Z31" i="6"/>
  <c r="AA31" i="6" s="1"/>
  <c r="Z107" i="6"/>
  <c r="AA107" i="6" s="1"/>
  <c r="I857" i="7"/>
  <c r="J857" i="7" s="1"/>
  <c r="Z75" i="6"/>
  <c r="AA75" i="6" s="1"/>
  <c r="Z7" i="6"/>
  <c r="AA7" i="6" s="1"/>
  <c r="J120" i="6" s="1"/>
  <c r="Z45" i="6"/>
  <c r="AA45" i="6" s="1"/>
  <c r="Z53" i="6"/>
  <c r="AA53" i="6" s="1"/>
  <c r="Z26" i="6"/>
  <c r="AA26" i="6" s="1"/>
  <c r="Z44" i="6"/>
  <c r="AA44" i="6" s="1"/>
  <c r="Z21" i="6"/>
  <c r="AA21" i="6" s="1"/>
  <c r="Z29" i="6"/>
  <c r="AA29" i="6" s="1"/>
  <c r="Z15" i="6"/>
  <c r="AA15" i="6" s="1"/>
  <c r="Z16" i="6"/>
  <c r="AA16" i="6" s="1"/>
  <c r="Z96" i="6"/>
  <c r="AA96" i="6" s="1"/>
  <c r="Z14" i="6"/>
  <c r="AA14" i="6" s="1"/>
  <c r="Z27" i="6"/>
  <c r="AA27" i="6" s="1"/>
  <c r="Z81" i="6"/>
  <c r="AA81" i="6" s="1"/>
  <c r="Z92" i="6"/>
  <c r="AA92" i="6" s="1"/>
  <c r="Z9" i="6"/>
  <c r="AA9" i="6" s="1"/>
  <c r="Z70" i="6"/>
  <c r="AA70" i="6" s="1"/>
  <c r="Z32" i="6"/>
  <c r="AA32" i="6" s="1"/>
  <c r="Z74" i="6"/>
  <c r="AA74" i="6" s="1"/>
  <c r="Z102" i="6"/>
  <c r="AA102" i="6" s="1"/>
  <c r="Z24" i="6"/>
  <c r="AA24" i="6" s="1"/>
  <c r="Z104" i="6"/>
  <c r="AA104" i="6" s="1"/>
  <c r="Z100" i="6"/>
  <c r="AA100" i="6" s="1"/>
  <c r="Z46" i="6"/>
  <c r="AA46" i="6" s="1"/>
  <c r="Z66" i="6"/>
  <c r="AA66" i="6" s="1"/>
  <c r="Z85" i="6"/>
  <c r="AA85" i="6" s="1"/>
  <c r="Z84" i="6"/>
  <c r="AA84" i="6" s="1"/>
  <c r="Z97" i="6"/>
  <c r="AA97" i="6" s="1"/>
  <c r="Z47" i="6"/>
  <c r="AA47" i="6" s="1"/>
  <c r="Z90" i="6"/>
  <c r="AA90" i="6" s="1"/>
  <c r="I844" i="7"/>
  <c r="J844" i="7" s="1"/>
  <c r="Z20" i="6"/>
  <c r="AA20" i="6" s="1"/>
  <c r="Z99" i="6"/>
  <c r="AA99" i="6" s="1"/>
  <c r="Z56" i="6"/>
  <c r="AA56" i="6" s="1"/>
  <c r="Z91" i="6"/>
  <c r="AA91" i="6" s="1"/>
  <c r="I851" i="7"/>
  <c r="J851" i="7" s="1"/>
  <c r="Z54" i="6"/>
  <c r="AA54" i="6" s="1"/>
  <c r="Z101" i="6"/>
  <c r="AA101" i="6" s="1"/>
  <c r="Z23" i="6"/>
  <c r="AA23" i="6" s="1"/>
  <c r="Z77" i="6"/>
  <c r="AA77" i="6" s="1"/>
  <c r="Z80" i="6"/>
  <c r="AA80" i="6" s="1"/>
  <c r="Z67" i="6"/>
  <c r="AA67" i="6" s="1"/>
  <c r="Z62" i="6"/>
  <c r="AA62" i="6" s="1"/>
  <c r="Z18" i="6"/>
  <c r="AA18" i="6" s="1"/>
  <c r="Z63" i="6"/>
  <c r="AA63" i="6" s="1"/>
  <c r="I855" i="7"/>
  <c r="J855" i="7" s="1"/>
  <c r="Z73" i="6"/>
  <c r="AA73" i="6" s="1"/>
  <c r="Z69" i="6"/>
  <c r="AA69" i="6" s="1"/>
  <c r="Z78" i="6"/>
  <c r="AA78" i="6" s="1"/>
  <c r="Z34" i="6"/>
  <c r="AA34" i="6" s="1"/>
  <c r="Z86" i="6"/>
  <c r="AA86" i="6" s="1"/>
  <c r="Z30" i="6"/>
  <c r="AA30" i="6" s="1"/>
  <c r="Z88" i="6"/>
  <c r="AA88" i="6" s="1"/>
  <c r="I118" i="6"/>
  <c r="I117" i="6"/>
  <c r="Z42" i="6"/>
  <c r="AA42" i="6" s="1"/>
  <c r="Z51" i="6"/>
  <c r="AA51" i="6" s="1"/>
  <c r="I856" i="7"/>
  <c r="J856" i="7" s="1"/>
  <c r="Z79" i="6"/>
  <c r="AA79" i="6" s="1"/>
  <c r="I861" i="7"/>
  <c r="J861" i="7" s="1"/>
  <c r="Z10" i="6"/>
  <c r="AA10" i="6" s="1"/>
  <c r="Z72" i="6"/>
  <c r="AA72" i="6" s="1"/>
  <c r="Z61" i="6"/>
  <c r="AA61" i="6" s="1"/>
  <c r="Z93" i="6"/>
  <c r="AA93" i="6" s="1"/>
  <c r="Z89" i="6"/>
  <c r="AA89" i="6" s="1"/>
  <c r="I119" i="6"/>
  <c r="Z39" i="6"/>
  <c r="AA39" i="6" s="1"/>
  <c r="Z41" i="6"/>
  <c r="AA41" i="6" s="1"/>
  <c r="Z106" i="6"/>
  <c r="AA106" i="6" s="1"/>
  <c r="Z48" i="6"/>
  <c r="AA48" i="6" s="1"/>
  <c r="I850" i="7"/>
  <c r="J850" i="7" s="1"/>
  <c r="C117" i="13" l="1"/>
  <c r="O117" i="13" s="1"/>
  <c r="O109" i="13"/>
  <c r="F856" i="17"/>
  <c r="F856" i="31" s="1"/>
  <c r="F848" i="31"/>
  <c r="C123" i="13"/>
  <c r="O123" i="13" s="1"/>
  <c r="D109" i="13"/>
  <c r="F851" i="17"/>
  <c r="F851" i="31" s="1"/>
  <c r="F850" i="17"/>
  <c r="F850" i="31" s="1"/>
  <c r="F864" i="17"/>
  <c r="F864" i="31" s="1"/>
  <c r="F865" i="17"/>
  <c r="F865" i="31" s="1"/>
  <c r="G848" i="17"/>
  <c r="G848" i="31" s="1"/>
  <c r="F852" i="17"/>
  <c r="C113" i="13"/>
  <c r="O113" i="13" s="1"/>
  <c r="C112" i="13"/>
  <c r="O112" i="13" s="1"/>
  <c r="C111" i="13"/>
  <c r="O111" i="13" s="1"/>
  <c r="C126" i="13"/>
  <c r="F847" i="17"/>
  <c r="C108" i="13"/>
  <c r="O108" i="13" s="1"/>
  <c r="F849" i="17"/>
  <c r="C110" i="13"/>
  <c r="O110" i="13" s="1"/>
  <c r="F846" i="17"/>
  <c r="C107" i="13"/>
  <c r="O107" i="13" s="1"/>
  <c r="J121" i="6"/>
  <c r="J122" i="6"/>
  <c r="J119" i="6"/>
  <c r="J124" i="6"/>
  <c r="J123" i="6"/>
  <c r="J117" i="6"/>
  <c r="J118" i="6"/>
  <c r="D117" i="13" l="1"/>
  <c r="P117" i="13" s="1"/>
  <c r="E109" i="13"/>
  <c r="Q109" i="13" s="1"/>
  <c r="P109" i="13"/>
  <c r="D126" i="13"/>
  <c r="O126" i="13"/>
  <c r="D123" i="13"/>
  <c r="F857" i="17"/>
  <c r="F857" i="31" s="1"/>
  <c r="F849" i="31"/>
  <c r="F860" i="17"/>
  <c r="F860" i="31" s="1"/>
  <c r="F852" i="31"/>
  <c r="F855" i="17"/>
  <c r="F855" i="31" s="1"/>
  <c r="F847" i="31"/>
  <c r="F854" i="17"/>
  <c r="F854" i="31" s="1"/>
  <c r="F846" i="31"/>
  <c r="D110" i="13"/>
  <c r="C118" i="13"/>
  <c r="O118" i="13" s="1"/>
  <c r="D111" i="13"/>
  <c r="C119" i="13"/>
  <c r="O119" i="13" s="1"/>
  <c r="D112" i="13"/>
  <c r="C120" i="13"/>
  <c r="O120" i="13" s="1"/>
  <c r="D107" i="13"/>
  <c r="C115" i="13"/>
  <c r="O115" i="13" s="1"/>
  <c r="D108" i="13"/>
  <c r="C116" i="13"/>
  <c r="O116" i="13" s="1"/>
  <c r="D113" i="13"/>
  <c r="C121" i="13"/>
  <c r="O121" i="13" s="1"/>
  <c r="F859" i="17"/>
  <c r="F859" i="31" s="1"/>
  <c r="F868" i="17"/>
  <c r="F868" i="31" s="1"/>
  <c r="G864" i="17"/>
  <c r="G864" i="31" s="1"/>
  <c r="G850" i="17"/>
  <c r="G850" i="31" s="1"/>
  <c r="F858" i="17"/>
  <c r="F858" i="31" s="1"/>
  <c r="F867" i="17"/>
  <c r="F867" i="31" s="1"/>
  <c r="G851" i="17"/>
  <c r="G849" i="17"/>
  <c r="G849" i="31" s="1"/>
  <c r="AB11" i="29"/>
  <c r="AB40" i="29"/>
  <c r="G852" i="17"/>
  <c r="G852" i="31" s="1"/>
  <c r="G856" i="17"/>
  <c r="G856" i="31" s="1"/>
  <c r="AB40" i="23"/>
  <c r="AB40" i="24"/>
  <c r="G846" i="17"/>
  <c r="G865" i="17"/>
  <c r="G865" i="31" s="1"/>
  <c r="G847" i="17"/>
  <c r="G847" i="31" s="1"/>
  <c r="C128" i="13"/>
  <c r="C125" i="13"/>
  <c r="C129" i="13"/>
  <c r="E117" i="13" l="1"/>
  <c r="Q117" i="13" s="1"/>
  <c r="E123" i="13"/>
  <c r="Q123" i="13" s="1"/>
  <c r="P123" i="13"/>
  <c r="D125" i="13"/>
  <c r="O125" i="13"/>
  <c r="E113" i="13"/>
  <c r="Q113" i="13" s="1"/>
  <c r="P113" i="13"/>
  <c r="E107" i="13"/>
  <c r="Q107" i="13" s="1"/>
  <c r="P107" i="13"/>
  <c r="E111" i="13"/>
  <c r="Q111" i="13" s="1"/>
  <c r="P111" i="13"/>
  <c r="D129" i="13"/>
  <c r="O129" i="13"/>
  <c r="D128" i="13"/>
  <c r="O128" i="13"/>
  <c r="E126" i="13"/>
  <c r="Q126" i="13" s="1"/>
  <c r="P126" i="13"/>
  <c r="E108" i="13"/>
  <c r="Q108" i="13" s="1"/>
  <c r="P108" i="13"/>
  <c r="E112" i="13"/>
  <c r="Q112" i="13" s="1"/>
  <c r="P112" i="13"/>
  <c r="E110" i="13"/>
  <c r="Q110" i="13" s="1"/>
  <c r="P110" i="13"/>
  <c r="D116" i="13"/>
  <c r="P116" i="13" s="1"/>
  <c r="D120" i="13"/>
  <c r="P120" i="13" s="1"/>
  <c r="D118" i="13"/>
  <c r="P118" i="13" s="1"/>
  <c r="D121" i="13"/>
  <c r="P121" i="13" s="1"/>
  <c r="D115" i="13"/>
  <c r="D119" i="13"/>
  <c r="G854" i="17"/>
  <c r="G846" i="31"/>
  <c r="AB9" i="29" s="1"/>
  <c r="G868" i="17"/>
  <c r="G868" i="31" s="1"/>
  <c r="G851" i="31"/>
  <c r="AB14" i="29" s="1"/>
  <c r="AB69" i="29"/>
  <c r="AB57" i="24"/>
  <c r="AB28" i="24"/>
  <c r="AB57" i="23"/>
  <c r="AB15" i="29"/>
  <c r="AB44" i="29"/>
  <c r="G859" i="17"/>
  <c r="G859" i="31" s="1"/>
  <c r="AB43" i="23"/>
  <c r="AB43" i="24"/>
  <c r="G858" i="17"/>
  <c r="G858" i="31" s="1"/>
  <c r="G867" i="17"/>
  <c r="G867" i="31" s="1"/>
  <c r="AB42" i="24"/>
  <c r="AB42" i="23"/>
  <c r="AB28" i="29"/>
  <c r="AB57" i="29"/>
  <c r="AB19" i="29"/>
  <c r="AB48" i="29"/>
  <c r="AB13" i="29"/>
  <c r="AB42" i="29"/>
  <c r="AB10" i="29"/>
  <c r="AB39" i="29"/>
  <c r="AB48" i="24"/>
  <c r="AB48" i="23"/>
  <c r="AB19" i="24"/>
  <c r="AB19" i="23"/>
  <c r="AB12" i="29"/>
  <c r="AB41" i="29"/>
  <c r="AB56" i="24"/>
  <c r="AB27" i="24"/>
  <c r="AB56" i="23"/>
  <c r="G855" i="17"/>
  <c r="G855" i="31" s="1"/>
  <c r="AB39" i="24"/>
  <c r="AB39" i="23"/>
  <c r="AB44" i="24"/>
  <c r="AB44" i="23"/>
  <c r="G857" i="17"/>
  <c r="G857" i="31" s="1"/>
  <c r="AB41" i="23"/>
  <c r="AB41" i="24"/>
  <c r="F863" i="17"/>
  <c r="F863" i="31" s="1"/>
  <c r="F862" i="17"/>
  <c r="F862" i="31" s="1"/>
  <c r="AB27" i="29"/>
  <c r="AB56" i="29"/>
  <c r="W38" i="24"/>
  <c r="E120" i="13" l="1"/>
  <c r="Q120" i="13" s="1"/>
  <c r="E128" i="13"/>
  <c r="Q128" i="13" s="1"/>
  <c r="P128" i="13"/>
  <c r="E119" i="13"/>
  <c r="Q119" i="13" s="1"/>
  <c r="P119" i="13"/>
  <c r="E115" i="13"/>
  <c r="Q115" i="13" s="1"/>
  <c r="P115" i="13"/>
  <c r="E129" i="13"/>
  <c r="Q129" i="13" s="1"/>
  <c r="P129" i="13"/>
  <c r="E125" i="13"/>
  <c r="Q125" i="13" s="1"/>
  <c r="P125" i="13"/>
  <c r="AB60" i="23"/>
  <c r="E118" i="13"/>
  <c r="Q118" i="13" s="1"/>
  <c r="AB38" i="29"/>
  <c r="AB67" i="29" s="1"/>
  <c r="E121" i="13"/>
  <c r="Q121" i="13" s="1"/>
  <c r="E116" i="13"/>
  <c r="Q116" i="13" s="1"/>
  <c r="AB46" i="23"/>
  <c r="AB46" i="24"/>
  <c r="AB17" i="24"/>
  <c r="AB43" i="29"/>
  <c r="AB72" i="29" s="1"/>
  <c r="AB31" i="24"/>
  <c r="AB60" i="24"/>
  <c r="AB60" i="29"/>
  <c r="AB31" i="29"/>
  <c r="AB17" i="23"/>
  <c r="G854" i="31"/>
  <c r="AB17" i="29" s="1"/>
  <c r="AB71" i="29"/>
  <c r="AB21" i="29"/>
  <c r="AB50" i="29"/>
  <c r="AB22" i="29"/>
  <c r="AB51" i="29"/>
  <c r="AB49" i="24"/>
  <c r="AB49" i="23"/>
  <c r="AB20" i="24"/>
  <c r="AB20" i="23"/>
  <c r="AB20" i="29"/>
  <c r="AB49" i="29"/>
  <c r="AB18" i="29"/>
  <c r="AB47" i="29"/>
  <c r="AB30" i="29"/>
  <c r="AB59" i="29"/>
  <c r="AB77" i="29"/>
  <c r="AB86" i="29"/>
  <c r="AB47" i="24"/>
  <c r="AB47" i="23"/>
  <c r="AB18" i="24"/>
  <c r="AB18" i="23"/>
  <c r="AB30" i="24"/>
  <c r="AB59" i="23"/>
  <c r="AB59" i="24"/>
  <c r="AB51" i="23"/>
  <c r="AB22" i="24"/>
  <c r="AB51" i="24"/>
  <c r="AB22" i="23"/>
  <c r="AB85" i="29"/>
  <c r="AB70" i="29"/>
  <c r="AB68" i="29"/>
  <c r="G863" i="17"/>
  <c r="G863" i="31" s="1"/>
  <c r="G862" i="17"/>
  <c r="G862" i="31" s="1"/>
  <c r="AB50" i="24"/>
  <c r="AB50" i="23"/>
  <c r="AB21" i="24"/>
  <c r="AB21" i="23"/>
  <c r="AB73" i="29"/>
  <c r="Q69" i="24"/>
  <c r="Q68" i="24"/>
  <c r="Q71" i="24"/>
  <c r="Q72" i="24"/>
  <c r="Q70" i="24"/>
  <c r="J41" i="4"/>
  <c r="J70" i="23"/>
  <c r="J38" i="4"/>
  <c r="J39" i="4"/>
  <c r="J68" i="23"/>
  <c r="J43" i="4"/>
  <c r="J72" i="23"/>
  <c r="J42" i="4"/>
  <c r="J71" i="23"/>
  <c r="J40" i="4"/>
  <c r="J69" i="23"/>
  <c r="J44" i="4"/>
  <c r="AB46" i="29" l="1"/>
  <c r="AB75" i="29" s="1"/>
  <c r="AB89" i="29"/>
  <c r="AB78" i="29"/>
  <c r="AB80" i="29"/>
  <c r="AB76" i="29"/>
  <c r="AB26" i="29"/>
  <c r="AB55" i="29"/>
  <c r="AB25" i="29"/>
  <c r="AB54" i="29"/>
  <c r="AB25" i="24"/>
  <c r="AB54" i="24"/>
  <c r="AB54" i="23"/>
  <c r="AB25" i="23"/>
  <c r="AB79" i="29"/>
  <c r="AB55" i="24"/>
  <c r="AB26" i="24"/>
  <c r="AB26" i="23"/>
  <c r="AB55" i="23"/>
  <c r="AB88" i="29"/>
  <c r="F84" i="24"/>
  <c r="U84" i="24"/>
  <c r="Q84" i="24"/>
  <c r="Q67" i="24"/>
  <c r="J73" i="23"/>
  <c r="H73" i="23"/>
  <c r="J61" i="4"/>
  <c r="AD15" i="23"/>
  <c r="AB15" i="23"/>
  <c r="H73" i="24"/>
  <c r="J61" i="24"/>
  <c r="J20" i="25" s="1"/>
  <c r="AD15" i="24"/>
  <c r="AB15" i="24"/>
  <c r="AB84" i="24" l="1"/>
  <c r="AB84" i="23"/>
  <c r="AB83" i="23"/>
  <c r="AB83" i="24"/>
  <c r="AB84" i="29"/>
  <c r="AB32" i="29"/>
  <c r="U40" i="25" s="1"/>
  <c r="AB61" i="29"/>
  <c r="V40" i="25" s="1"/>
  <c r="AB83" i="29"/>
  <c r="Q61" i="24"/>
  <c r="J27" i="25" s="1"/>
  <c r="Q84" i="23"/>
  <c r="U84" i="23"/>
  <c r="F84" i="23"/>
  <c r="D20" i="25"/>
  <c r="Q88" i="24"/>
  <c r="Q89" i="24"/>
  <c r="Q86" i="24"/>
  <c r="Q88" i="23"/>
  <c r="Q89" i="23"/>
  <c r="F86" i="23"/>
  <c r="AB73" i="23"/>
  <c r="AD73" i="24"/>
  <c r="W73" i="23"/>
  <c r="G71" i="23"/>
  <c r="G88" i="24"/>
  <c r="H67" i="23"/>
  <c r="AD38" i="23"/>
  <c r="AB38" i="23"/>
  <c r="H61" i="23"/>
  <c r="P15" i="25" s="1"/>
  <c r="H85" i="24"/>
  <c r="G67" i="24"/>
  <c r="H89" i="24"/>
  <c r="AD38" i="24"/>
  <c r="H67" i="24"/>
  <c r="AB38" i="24"/>
  <c r="J15" i="25"/>
  <c r="G67" i="23"/>
  <c r="AD9" i="24"/>
  <c r="AB9" i="24"/>
  <c r="H32" i="24"/>
  <c r="I15" i="25" s="1"/>
  <c r="AD30" i="23"/>
  <c r="AB30" i="23"/>
  <c r="AD11" i="23"/>
  <c r="AB11" i="23"/>
  <c r="G69" i="24"/>
  <c r="G88" i="23"/>
  <c r="H68" i="24"/>
  <c r="H72" i="23"/>
  <c r="H70" i="24"/>
  <c r="AB9" i="23"/>
  <c r="AD9" i="23"/>
  <c r="H32" i="23"/>
  <c r="O15" i="25" s="1"/>
  <c r="H86" i="23"/>
  <c r="H88" i="24"/>
  <c r="G68" i="23"/>
  <c r="H69" i="24"/>
  <c r="G86" i="23"/>
  <c r="G32" i="23"/>
  <c r="O14" i="25" s="1"/>
  <c r="G89" i="23"/>
  <c r="AB14" i="24"/>
  <c r="AD14" i="24"/>
  <c r="G70" i="23"/>
  <c r="H71" i="24"/>
  <c r="G32" i="24"/>
  <c r="I14" i="25" s="1"/>
  <c r="G71" i="24"/>
  <c r="AD10" i="23"/>
  <c r="AB10" i="23"/>
  <c r="AD28" i="23"/>
  <c r="AB28" i="23"/>
  <c r="AD14" i="23"/>
  <c r="AB14" i="23"/>
  <c r="AB12" i="24"/>
  <c r="AD12" i="24"/>
  <c r="H86" i="24"/>
  <c r="AB11" i="24"/>
  <c r="AD11" i="24"/>
  <c r="W73" i="24"/>
  <c r="H72" i="24"/>
  <c r="H70" i="23"/>
  <c r="G70" i="24"/>
  <c r="H88" i="23"/>
  <c r="H69" i="23"/>
  <c r="G69" i="23"/>
  <c r="AB73" i="24"/>
  <c r="H89" i="23"/>
  <c r="AD73" i="23"/>
  <c r="AB27" i="23"/>
  <c r="AD27" i="23"/>
  <c r="AB10" i="24"/>
  <c r="AD10" i="24"/>
  <c r="AB13" i="24"/>
  <c r="AD13" i="24"/>
  <c r="G72" i="23"/>
  <c r="H71" i="23"/>
  <c r="G86" i="24"/>
  <c r="H68" i="23"/>
  <c r="G72" i="24"/>
  <c r="G68" i="24"/>
  <c r="V68" i="24"/>
  <c r="G73" i="24"/>
  <c r="AB12" i="23"/>
  <c r="AD12" i="23"/>
  <c r="G85" i="24"/>
  <c r="AD13" i="23"/>
  <c r="AB13" i="23"/>
  <c r="H85" i="23"/>
  <c r="G73" i="23"/>
  <c r="AD31" i="23"/>
  <c r="AB31" i="23"/>
  <c r="W40" i="25" l="1"/>
  <c r="AB90" i="29"/>
  <c r="U83" i="23"/>
  <c r="F83" i="23"/>
  <c r="Q83" i="23"/>
  <c r="N85" i="23"/>
  <c r="AA85" i="23"/>
  <c r="G61" i="23"/>
  <c r="P14" i="25" s="1"/>
  <c r="R85" i="23"/>
  <c r="Q85" i="23"/>
  <c r="V85" i="23"/>
  <c r="G85" i="23"/>
  <c r="G90" i="23" s="1"/>
  <c r="K15" i="25"/>
  <c r="Q85" i="24"/>
  <c r="Q90" i="24" s="1"/>
  <c r="Q32" i="24"/>
  <c r="I27" i="25" s="1"/>
  <c r="K27" i="25" s="1"/>
  <c r="G89" i="24"/>
  <c r="G90" i="24" s="1"/>
  <c r="W72" i="24"/>
  <c r="G61" i="24"/>
  <c r="J14" i="25" s="1"/>
  <c r="K14" i="25" s="1"/>
  <c r="V89" i="24"/>
  <c r="U86" i="23"/>
  <c r="Q86" i="23"/>
  <c r="V69" i="23"/>
  <c r="N73" i="23"/>
  <c r="N68" i="23"/>
  <c r="AD72" i="24"/>
  <c r="AA68" i="23"/>
  <c r="R72" i="23"/>
  <c r="AD68" i="23"/>
  <c r="W68" i="23"/>
  <c r="AD86" i="24"/>
  <c r="W69" i="24"/>
  <c r="W70" i="24"/>
  <c r="R89" i="24"/>
  <c r="N69" i="24"/>
  <c r="AA88" i="24"/>
  <c r="R85" i="24"/>
  <c r="AA73" i="24"/>
  <c r="V72" i="23"/>
  <c r="AB70" i="23"/>
  <c r="AA69" i="23"/>
  <c r="V73" i="23"/>
  <c r="W85" i="23"/>
  <c r="R73" i="23"/>
  <c r="R70" i="24"/>
  <c r="AB86" i="24"/>
  <c r="R69" i="23"/>
  <c r="AA70" i="23"/>
  <c r="W72" i="23"/>
  <c r="AA72" i="23"/>
  <c r="AA85" i="24"/>
  <c r="AA73" i="23"/>
  <c r="N86" i="24"/>
  <c r="AD61" i="23"/>
  <c r="P42" i="25" s="1"/>
  <c r="W86" i="24"/>
  <c r="AB85" i="23"/>
  <c r="N73" i="24"/>
  <c r="AD69" i="23"/>
  <c r="AA89" i="24"/>
  <c r="AD85" i="23"/>
  <c r="R68" i="24"/>
  <c r="N72" i="23"/>
  <c r="AB72" i="24"/>
  <c r="V71" i="24"/>
  <c r="AB71" i="24"/>
  <c r="AB88" i="24"/>
  <c r="W86" i="23"/>
  <c r="W85" i="24"/>
  <c r="V71" i="23"/>
  <c r="W89" i="24"/>
  <c r="AB69" i="23"/>
  <c r="AA86" i="24"/>
  <c r="W88" i="23"/>
  <c r="AD70" i="23"/>
  <c r="AB86" i="23"/>
  <c r="AD70" i="24"/>
  <c r="N89" i="24"/>
  <c r="V69" i="24"/>
  <c r="AB85" i="24"/>
  <c r="R86" i="24"/>
  <c r="AB88" i="23"/>
  <c r="W70" i="23"/>
  <c r="R71" i="24"/>
  <c r="V86" i="23"/>
  <c r="V68" i="23"/>
  <c r="R71" i="23"/>
  <c r="N32" i="24"/>
  <c r="I24" i="25" s="1"/>
  <c r="F68" i="24"/>
  <c r="V32" i="24"/>
  <c r="I33" i="25" s="1"/>
  <c r="N61" i="24"/>
  <c r="J24" i="25" s="1"/>
  <c r="N72" i="24"/>
  <c r="V86" i="24"/>
  <c r="AD89" i="23"/>
  <c r="V70" i="24"/>
  <c r="R70" i="23"/>
  <c r="AB70" i="24"/>
  <c r="W68" i="24"/>
  <c r="AD61" i="24"/>
  <c r="J42" i="25" s="1"/>
  <c r="AD67" i="24"/>
  <c r="V88" i="24"/>
  <c r="R72" i="24"/>
  <c r="F70" i="24"/>
  <c r="AB68" i="23"/>
  <c r="W89" i="23"/>
  <c r="N69" i="23"/>
  <c r="F71" i="23"/>
  <c r="AA71" i="24"/>
  <c r="W32" i="24"/>
  <c r="I34" i="25" s="1"/>
  <c r="AD86" i="23"/>
  <c r="AD72" i="23"/>
  <c r="AB68" i="24"/>
  <c r="V88" i="23"/>
  <c r="AD32" i="24"/>
  <c r="I42" i="25" s="1"/>
  <c r="I50" i="25" s="1"/>
  <c r="I57" i="25" s="1"/>
  <c r="AD89" i="24"/>
  <c r="AD85" i="24"/>
  <c r="AA71" i="23"/>
  <c r="V73" i="24"/>
  <c r="AA68" i="24"/>
  <c r="AB89" i="23"/>
  <c r="W69" i="23"/>
  <c r="U88" i="23"/>
  <c r="F88" i="23"/>
  <c r="F61" i="23"/>
  <c r="P13" i="25" s="1"/>
  <c r="F72" i="23"/>
  <c r="N70" i="23"/>
  <c r="AB32" i="24"/>
  <c r="I40" i="25" s="1"/>
  <c r="R89" i="23"/>
  <c r="AA86" i="23"/>
  <c r="AB69" i="24"/>
  <c r="F85" i="24"/>
  <c r="U85" i="24"/>
  <c r="H90" i="23"/>
  <c r="R88" i="23"/>
  <c r="AA67" i="23"/>
  <c r="R88" i="24"/>
  <c r="N88" i="24"/>
  <c r="F73" i="23"/>
  <c r="W67" i="24"/>
  <c r="W61" i="24"/>
  <c r="J34" i="25" s="1"/>
  <c r="U86" i="24"/>
  <c r="AD71" i="24"/>
  <c r="V32" i="23"/>
  <c r="O33" i="25" s="1"/>
  <c r="W88" i="24"/>
  <c r="AD68" i="24"/>
  <c r="R32" i="23"/>
  <c r="O28" i="25" s="1"/>
  <c r="AA88" i="23"/>
  <c r="W71" i="23"/>
  <c r="U88" i="24"/>
  <c r="F88" i="24"/>
  <c r="AD32" i="23"/>
  <c r="O42" i="25" s="1"/>
  <c r="F71" i="24"/>
  <c r="F72" i="24"/>
  <c r="AA89" i="23"/>
  <c r="R68" i="23"/>
  <c r="U85" i="23"/>
  <c r="F85" i="23"/>
  <c r="R69" i="24"/>
  <c r="N67" i="24"/>
  <c r="AB67" i="23"/>
  <c r="AB61" i="23"/>
  <c r="P40" i="25" s="1"/>
  <c r="F73" i="24"/>
  <c r="N85" i="24"/>
  <c r="U89" i="23"/>
  <c r="F89" i="23"/>
  <c r="F69" i="23"/>
  <c r="AB71" i="23"/>
  <c r="AA70" i="24"/>
  <c r="V89" i="23"/>
  <c r="R86" i="23"/>
  <c r="AD88" i="24"/>
  <c r="N32" i="23"/>
  <c r="O24" i="25" s="1"/>
  <c r="AB72" i="23"/>
  <c r="V67" i="23"/>
  <c r="AB89" i="24"/>
  <c r="AA67" i="24"/>
  <c r="AD67" i="23"/>
  <c r="N71" i="23"/>
  <c r="F68" i="23"/>
  <c r="V67" i="24"/>
  <c r="AA61" i="24"/>
  <c r="J39" i="25" s="1"/>
  <c r="AA72" i="24"/>
  <c r="H90" i="24"/>
  <c r="F67" i="23"/>
  <c r="F70" i="23"/>
  <c r="F32" i="23"/>
  <c r="O13" i="25" s="1"/>
  <c r="R32" i="24"/>
  <c r="I28" i="25" s="1"/>
  <c r="N67" i="23"/>
  <c r="F86" i="24"/>
  <c r="U89" i="24"/>
  <c r="F89" i="24"/>
  <c r="AD69" i="24"/>
  <c r="W32" i="23"/>
  <c r="O34" i="25" s="1"/>
  <c r="R67" i="23"/>
  <c r="V85" i="24"/>
  <c r="R73" i="24"/>
  <c r="N68" i="24"/>
  <c r="V72" i="24"/>
  <c r="F69" i="24"/>
  <c r="AD71" i="23"/>
  <c r="AD88" i="23"/>
  <c r="N70" i="24"/>
  <c r="N71" i="24"/>
  <c r="W71" i="24"/>
  <c r="V70" i="23"/>
  <c r="N89" i="23"/>
  <c r="N86" i="23"/>
  <c r="AA32" i="23"/>
  <c r="O39" i="25" s="1"/>
  <c r="AB32" i="23"/>
  <c r="O40" i="25" s="1"/>
  <c r="F67" i="24"/>
  <c r="F61" i="24"/>
  <c r="J13" i="25" s="1"/>
  <c r="N88" i="23"/>
  <c r="AA69" i="24"/>
  <c r="AA32" i="24"/>
  <c r="I39" i="25" s="1"/>
  <c r="AB67" i="24"/>
  <c r="AB61" i="24"/>
  <c r="J40" i="25" s="1"/>
  <c r="R67" i="24"/>
  <c r="R61" i="24"/>
  <c r="J28" i="25" s="1"/>
  <c r="W61" i="23"/>
  <c r="P34" i="25" s="1"/>
  <c r="W67" i="23"/>
  <c r="I13" i="25"/>
  <c r="Q15" i="25" l="1"/>
  <c r="N61" i="23"/>
  <c r="P24" i="25" s="1"/>
  <c r="AA61" i="23"/>
  <c r="P39" i="25" s="1"/>
  <c r="R61" i="23"/>
  <c r="P28" i="25" s="1"/>
  <c r="V61" i="23"/>
  <c r="P33" i="25" s="1"/>
  <c r="K28" i="25"/>
  <c r="K34" i="25"/>
  <c r="K24" i="25"/>
  <c r="K39" i="25"/>
  <c r="Q61" i="23"/>
  <c r="P27" i="25" s="1"/>
  <c r="K40" i="25"/>
  <c r="K13" i="25"/>
  <c r="J50" i="25"/>
  <c r="K42" i="25"/>
  <c r="V61" i="24"/>
  <c r="J33" i="25" s="1"/>
  <c r="K33" i="25" s="1"/>
  <c r="Q90" i="23"/>
  <c r="U71" i="24"/>
  <c r="U68" i="23"/>
  <c r="U69" i="23"/>
  <c r="U70" i="23"/>
  <c r="R90" i="24"/>
  <c r="AA90" i="24"/>
  <c r="U72" i="23"/>
  <c r="W90" i="24"/>
  <c r="N90" i="23"/>
  <c r="V90" i="23"/>
  <c r="U71" i="23"/>
  <c r="U72" i="24"/>
  <c r="AD90" i="24"/>
  <c r="AD90" i="23"/>
  <c r="R90" i="23"/>
  <c r="U70" i="24"/>
  <c r="U61" i="24"/>
  <c r="J32" i="25" s="1"/>
  <c r="U67" i="24"/>
  <c r="U73" i="23"/>
  <c r="F90" i="23"/>
  <c r="W90" i="23"/>
  <c r="AB90" i="23"/>
  <c r="U32" i="23"/>
  <c r="O32" i="25" s="1"/>
  <c r="U68" i="24"/>
  <c r="AB90" i="24"/>
  <c r="U73" i="24"/>
  <c r="F90" i="24"/>
  <c r="U32" i="24"/>
  <c r="I32" i="25" s="1"/>
  <c r="N90" i="24"/>
  <c r="U67" i="23"/>
  <c r="U61" i="23"/>
  <c r="P32" i="25" s="1"/>
  <c r="V90" i="24"/>
  <c r="AA90" i="23"/>
  <c r="U69" i="24"/>
  <c r="Q14" i="25" l="1"/>
  <c r="Q13" i="25"/>
  <c r="O50" i="25"/>
  <c r="Q34" i="25"/>
  <c r="P50" i="25"/>
  <c r="Q42" i="25"/>
  <c r="Q40" i="25"/>
  <c r="K32" i="25"/>
  <c r="K50" i="25"/>
  <c r="J57" i="25"/>
  <c r="K57" i="25" s="1"/>
  <c r="U90" i="23"/>
  <c r="U90" i="24"/>
  <c r="P57" i="25" l="1"/>
  <c r="Q50" i="25"/>
  <c r="Q24" i="25"/>
  <c r="Q28" i="25"/>
  <c r="Q39" i="25"/>
  <c r="Q33" i="25"/>
  <c r="Q32" i="25"/>
  <c r="O57" i="25"/>
  <c r="Q27" i="25"/>
  <c r="Q57" i="25" l="1"/>
  <c r="J10" i="24" l="1"/>
  <c r="J68" i="24" s="1"/>
  <c r="J14" i="24"/>
  <c r="J72" i="24" s="1"/>
  <c r="D280" i="7"/>
  <c r="F280" i="7" s="1"/>
  <c r="D282" i="7"/>
  <c r="F282" i="7" s="1"/>
  <c r="J13" i="24"/>
  <c r="J71" i="24" s="1"/>
  <c r="J12" i="24"/>
  <c r="J70" i="24" s="1"/>
  <c r="D281" i="7"/>
  <c r="F281" i="7" s="1"/>
  <c r="J15" i="24"/>
  <c r="J73" i="24" s="1"/>
  <c r="I282" i="7" l="1"/>
  <c r="H282" i="7"/>
  <c r="H281" i="7"/>
  <c r="I281" i="7"/>
  <c r="H280" i="7"/>
  <c r="I280" i="7"/>
  <c r="D284" i="7"/>
  <c r="F284" i="7" s="1"/>
  <c r="J11" i="24"/>
  <c r="J69" i="24" s="1"/>
  <c r="D283" i="7"/>
  <c r="F283" i="7" s="1"/>
  <c r="D279" i="7"/>
  <c r="F279" i="7" s="1"/>
  <c r="J280" i="7" l="1"/>
  <c r="G324" i="17" s="1"/>
  <c r="C324" i="17" s="1"/>
  <c r="J11" i="4" s="1"/>
  <c r="J69" i="4" s="1"/>
  <c r="J281" i="7"/>
  <c r="G325" i="17" s="1"/>
  <c r="C325" i="17" s="1"/>
  <c r="J12" i="4" s="1"/>
  <c r="J70" i="4" s="1"/>
  <c r="J282" i="7"/>
  <c r="G326" i="17" s="1"/>
  <c r="C326" i="17" s="1"/>
  <c r="J13" i="4" s="1"/>
  <c r="J71" i="4" s="1"/>
  <c r="I283" i="7"/>
  <c r="H283" i="7"/>
  <c r="H284" i="7"/>
  <c r="I284" i="7"/>
  <c r="I279" i="7"/>
  <c r="H279" i="7"/>
  <c r="J284" i="7" l="1"/>
  <c r="G328" i="17" s="1"/>
  <c r="C328" i="17" s="1"/>
  <c r="J15" i="4" s="1"/>
  <c r="J73" i="4" s="1"/>
  <c r="J279" i="7"/>
  <c r="G323" i="17" s="1"/>
  <c r="C323" i="17" s="1"/>
  <c r="J10" i="4" s="1"/>
  <c r="J68" i="4" s="1"/>
  <c r="J283" i="7"/>
  <c r="G327" i="17" s="1"/>
  <c r="C327" i="17" s="1"/>
  <c r="J14" i="4" s="1"/>
  <c r="J72" i="4" s="1"/>
  <c r="D278" i="7"/>
  <c r="J9" i="24" l="1"/>
  <c r="J67" i="24" l="1"/>
  <c r="J90" i="24" s="1"/>
  <c r="J32" i="24"/>
  <c r="I20" i="25" s="1"/>
  <c r="K20" i="25" l="1"/>
  <c r="E278" i="7" l="1"/>
  <c r="F278" i="7" l="1"/>
  <c r="I278" i="7" s="1"/>
  <c r="K278" i="7"/>
  <c r="J9" i="23"/>
  <c r="J32" i="23" s="1"/>
  <c r="O20" i="25" s="1"/>
  <c r="J38" i="23"/>
  <c r="H278" i="7"/>
  <c r="J278" i="7" s="1"/>
  <c r="G322" i="17" s="1"/>
  <c r="C322" i="17" s="1"/>
  <c r="J9" i="4" s="1"/>
  <c r="J32" i="4" l="1"/>
  <c r="C20" i="25" s="1"/>
  <c r="J67" i="4"/>
  <c r="J90" i="4" s="1"/>
  <c r="J61" i="23"/>
  <c r="P20" i="25" s="1"/>
  <c r="J67" i="23"/>
  <c r="J90" i="23" s="1"/>
  <c r="E306" i="7"/>
  <c r="E20" i="25" l="1"/>
  <c r="Q20" i="25"/>
  <c r="D306" i="7"/>
  <c r="F306" i="7" s="1"/>
  <c r="K306" i="7" l="1"/>
  <c r="I306" i="7"/>
  <c r="H306" i="7"/>
  <c r="J306" i="7" l="1"/>
  <c r="G350" i="17" s="1"/>
  <c r="C350" i="17" s="1"/>
  <c r="K9" i="4" s="1"/>
  <c r="J7" i="31"/>
  <c r="E9" i="29" s="1"/>
  <c r="Y9" i="29" s="1"/>
  <c r="T9" i="29" l="1"/>
  <c r="P9" i="29"/>
  <c r="K67" i="4"/>
  <c r="K90" i="4" s="1"/>
  <c r="K32" i="4"/>
  <c r="C21" i="25" s="1"/>
  <c r="E38" i="29"/>
  <c r="Y38" i="29" s="1"/>
  <c r="P38" i="29" l="1"/>
  <c r="P61" i="29" s="1"/>
  <c r="T38" i="29"/>
  <c r="E21" i="25"/>
  <c r="L32" i="29"/>
  <c r="U22" i="25" s="1"/>
  <c r="U46" i="25" s="1"/>
  <c r="T32" i="29"/>
  <c r="U31" i="25" s="1"/>
  <c r="U48" i="25" s="1"/>
  <c r="Y32" i="29"/>
  <c r="U38" i="25" s="1"/>
  <c r="P32" i="29"/>
  <c r="U26" i="25" s="1"/>
  <c r="U47" i="25" s="1"/>
  <c r="E32" i="29"/>
  <c r="U12" i="25" s="1"/>
  <c r="E67" i="29"/>
  <c r="E61" i="29"/>
  <c r="U49" i="25" l="1"/>
  <c r="U56" i="25" s="1"/>
  <c r="P67" i="29"/>
  <c r="P90" i="29" s="1"/>
  <c r="V26" i="25"/>
  <c r="T61" i="29"/>
  <c r="V31" i="25" s="1"/>
  <c r="T67" i="29"/>
  <c r="T90" i="29" s="1"/>
  <c r="E90" i="29"/>
  <c r="V12" i="25"/>
  <c r="W12" i="25" s="1"/>
  <c r="L67" i="29"/>
  <c r="L90" i="29" s="1"/>
  <c r="L61" i="29"/>
  <c r="V22" i="25" s="1"/>
  <c r="Y67" i="29"/>
  <c r="Y90" i="29" s="1"/>
  <c r="Y61" i="29"/>
  <c r="V38" i="25" s="1"/>
  <c r="V49" i="25" s="1"/>
  <c r="U54" i="25"/>
  <c r="U55" i="25"/>
  <c r="W38" i="25" l="1"/>
  <c r="V48" i="25"/>
  <c r="W48" i="25" s="1"/>
  <c r="W31" i="25"/>
  <c r="W22" i="25"/>
  <c r="V46" i="25"/>
  <c r="V47" i="25"/>
  <c r="W47" i="25" s="1"/>
  <c r="W26" i="25"/>
  <c r="V55" i="25" l="1"/>
  <c r="W55" i="25" s="1"/>
  <c r="U65" i="25" s="1"/>
  <c r="V54" i="25"/>
  <c r="W54" i="25" s="1"/>
  <c r="U64" i="25" s="1"/>
  <c r="W46" i="25"/>
  <c r="V56" i="25"/>
  <c r="W56" i="25" s="1"/>
  <c r="W49" i="25"/>
  <c r="U61" i="25" l="1"/>
  <c r="U60" i="25"/>
  <c r="W64" i="25"/>
  <c r="W65" i="25"/>
  <c r="S146" i="7" l="1"/>
  <c r="T146" i="7" s="1"/>
  <c r="U146" i="7" s="1"/>
  <c r="S142" i="7"/>
  <c r="S144" i="7"/>
  <c r="T144" i="7" s="1"/>
  <c r="S148" i="7"/>
  <c r="T148" i="7" s="1"/>
  <c r="U148" i="7" s="1"/>
  <c r="N192" i="17" s="1"/>
  <c r="J192" i="17" s="1"/>
  <c r="S147" i="7"/>
  <c r="T147" i="7" s="1"/>
  <c r="S143" i="7"/>
  <c r="T143" i="7" s="1"/>
  <c r="S145" i="7"/>
  <c r="T145" i="7" s="1"/>
  <c r="U143" i="7" l="1"/>
  <c r="N187" i="17" s="1"/>
  <c r="J187" i="17" s="1"/>
  <c r="N190" i="17"/>
  <c r="J190" i="17" s="1"/>
  <c r="N197" i="17"/>
  <c r="J197" i="17" s="1"/>
  <c r="T142" i="7"/>
  <c r="U142" i="7" s="1"/>
  <c r="N186" i="17" s="1"/>
  <c r="J186" i="17" s="1"/>
  <c r="U147" i="7"/>
  <c r="N191" i="17" s="1"/>
  <c r="J191" i="17" s="1"/>
  <c r="U144" i="7"/>
  <c r="N188" i="17" s="1"/>
  <c r="J188" i="17" s="1"/>
  <c r="U145" i="7"/>
  <c r="N189" i="17" s="1"/>
  <c r="J189" i="17" s="1"/>
  <c r="N195" i="17" l="1"/>
  <c r="J195" i="17" s="1"/>
  <c r="N196" i="17"/>
  <c r="J196" i="17" s="1"/>
  <c r="N194" i="17"/>
  <c r="J194" i="17" s="1"/>
  <c r="C102" i="7"/>
  <c r="H102" i="7" s="1"/>
  <c r="I102" i="7" l="1"/>
  <c r="J102" i="7" s="1"/>
  <c r="G88" i="17" l="1"/>
  <c r="C88" i="17" s="1"/>
  <c r="K88" i="17" s="1"/>
  <c r="K102" i="7"/>
  <c r="L21" i="17" l="1"/>
  <c r="L17" i="17"/>
  <c r="E48" i="23" s="1"/>
  <c r="Y48" i="23" s="1"/>
  <c r="L15" i="17"/>
  <c r="M15" i="17"/>
  <c r="E17" i="24" s="1"/>
  <c r="Y17" i="24" s="1"/>
  <c r="M17" i="17"/>
  <c r="E48" i="24" s="1"/>
  <c r="Y48" i="24" s="1"/>
  <c r="L18" i="17"/>
  <c r="E49" i="23" s="1"/>
  <c r="Y49" i="23" s="1"/>
  <c r="L19" i="17"/>
  <c r="M16" i="17"/>
  <c r="E18" i="24" s="1"/>
  <c r="Y18" i="24" s="1"/>
  <c r="M26" i="17"/>
  <c r="E28" i="24" s="1"/>
  <c r="Y28" i="24" s="1"/>
  <c r="M20" i="17"/>
  <c r="E51" i="24" s="1"/>
  <c r="Y51" i="24" s="1"/>
  <c r="M18" i="17"/>
  <c r="M19" i="17"/>
  <c r="L16" i="17"/>
  <c r="E47" i="23" s="1"/>
  <c r="Y47" i="23" s="1"/>
  <c r="F24" i="7"/>
  <c r="L20" i="17"/>
  <c r="E51" i="23" s="1"/>
  <c r="Y51" i="23" s="1"/>
  <c r="M21" i="17"/>
  <c r="L28" i="17"/>
  <c r="E30" i="23" s="1"/>
  <c r="Y30" i="23" s="1"/>
  <c r="L9" i="17"/>
  <c r="E11" i="23" s="1"/>
  <c r="Y11" i="23" s="1"/>
  <c r="M8" i="17"/>
  <c r="E10" i="24" s="1"/>
  <c r="Y10" i="24" s="1"/>
  <c r="M10" i="17"/>
  <c r="E12" i="24" s="1"/>
  <c r="Y12" i="24" s="1"/>
  <c r="L26" i="17"/>
  <c r="E28" i="23" s="1"/>
  <c r="Y28" i="23" s="1"/>
  <c r="M13" i="17"/>
  <c r="L8" i="17"/>
  <c r="M12" i="17"/>
  <c r="E14" i="24" s="1"/>
  <c r="Y14" i="24" s="1"/>
  <c r="L23" i="17"/>
  <c r="M29" i="17"/>
  <c r="M11" i="17"/>
  <c r="E13" i="24" s="1"/>
  <c r="Y13" i="24" s="1"/>
  <c r="M9" i="17"/>
  <c r="E11" i="24" s="1"/>
  <c r="Y11" i="24" s="1"/>
  <c r="M28" i="17"/>
  <c r="E30" i="24" s="1"/>
  <c r="Y30" i="24" s="1"/>
  <c r="F37" i="7"/>
  <c r="L13" i="17"/>
  <c r="E15" i="23" s="1"/>
  <c r="Y15" i="23" s="1"/>
  <c r="M23" i="17"/>
  <c r="L24" i="17"/>
  <c r="E26" i="23" s="1"/>
  <c r="Y26" i="23" s="1"/>
  <c r="M25" i="17"/>
  <c r="L10" i="17"/>
  <c r="L29" i="17"/>
  <c r="E31" i="23" s="1"/>
  <c r="Y31" i="23" s="1"/>
  <c r="L25" i="17"/>
  <c r="L11" i="17"/>
  <c r="E13" i="23" s="1"/>
  <c r="Y13" i="23" s="1"/>
  <c r="M24" i="17"/>
  <c r="E26" i="24" s="1"/>
  <c r="Y26" i="24" s="1"/>
  <c r="L12" i="17"/>
  <c r="E14" i="23" s="1"/>
  <c r="Y14" i="23" s="1"/>
  <c r="L7" i="17"/>
  <c r="E9" i="23" s="1"/>
  <c r="Y9" i="23" s="1"/>
  <c r="M7" i="17"/>
  <c r="E38" i="24" l="1"/>
  <c r="Y38" i="24" s="1"/>
  <c r="E9" i="24"/>
  <c r="Y9" i="24" s="1"/>
  <c r="P13" i="23"/>
  <c r="T13" i="23"/>
  <c r="P9" i="23"/>
  <c r="T9" i="23"/>
  <c r="T15" i="23"/>
  <c r="P15" i="23"/>
  <c r="T47" i="23"/>
  <c r="P47" i="23"/>
  <c r="T14" i="23"/>
  <c r="P14" i="23"/>
  <c r="T11" i="23"/>
  <c r="P11" i="23"/>
  <c r="T51" i="23"/>
  <c r="P51" i="23"/>
  <c r="P49" i="23"/>
  <c r="T49" i="23"/>
  <c r="T48" i="23"/>
  <c r="P48" i="23"/>
  <c r="P31" i="23"/>
  <c r="T31" i="23"/>
  <c r="T30" i="23"/>
  <c r="P30" i="23"/>
  <c r="P26" i="23"/>
  <c r="T26" i="23"/>
  <c r="T28" i="23"/>
  <c r="P28" i="23"/>
  <c r="P30" i="24"/>
  <c r="T30" i="24"/>
  <c r="T14" i="24"/>
  <c r="P14" i="24"/>
  <c r="T10" i="24"/>
  <c r="P10" i="24"/>
  <c r="T17" i="24"/>
  <c r="P17" i="24"/>
  <c r="P26" i="24"/>
  <c r="T26" i="24"/>
  <c r="P11" i="24"/>
  <c r="T11" i="24"/>
  <c r="T12" i="24"/>
  <c r="P12" i="24"/>
  <c r="P51" i="24"/>
  <c r="T51" i="24"/>
  <c r="T28" i="24"/>
  <c r="P28" i="24"/>
  <c r="P48" i="24"/>
  <c r="T48" i="24"/>
  <c r="T13" i="24"/>
  <c r="P13" i="24"/>
  <c r="T18" i="24"/>
  <c r="P18" i="24"/>
  <c r="F29" i="7"/>
  <c r="F42" i="7"/>
  <c r="F27" i="7"/>
  <c r="F39" i="7"/>
  <c r="F30" i="7"/>
  <c r="E40" i="23"/>
  <c r="Y40" i="23" s="1"/>
  <c r="F31" i="7"/>
  <c r="E22" i="23"/>
  <c r="Y22" i="23" s="1"/>
  <c r="F34" i="7"/>
  <c r="F33" i="7"/>
  <c r="F38" i="7"/>
  <c r="F21" i="7"/>
  <c r="F23" i="7"/>
  <c r="F40" i="7"/>
  <c r="F32" i="7"/>
  <c r="F35" i="7"/>
  <c r="E40" i="24"/>
  <c r="Y40" i="24" s="1"/>
  <c r="E55" i="24"/>
  <c r="Y55" i="24" s="1"/>
  <c r="E47" i="24"/>
  <c r="Y47" i="24" s="1"/>
  <c r="E42" i="23"/>
  <c r="Y42" i="23" s="1"/>
  <c r="E44" i="23"/>
  <c r="Y44" i="23" s="1"/>
  <c r="E42" i="24"/>
  <c r="Y42" i="24" s="1"/>
  <c r="E43" i="24"/>
  <c r="Y43" i="24" s="1"/>
  <c r="E38" i="23"/>
  <c r="Y38" i="23" s="1"/>
  <c r="E43" i="23"/>
  <c r="Y43" i="23" s="1"/>
  <c r="E60" i="23"/>
  <c r="Y60" i="23" s="1"/>
  <c r="E59" i="24"/>
  <c r="Y59" i="24" s="1"/>
  <c r="E22" i="24"/>
  <c r="Y22" i="24" s="1"/>
  <c r="E20" i="23"/>
  <c r="Y20" i="23" s="1"/>
  <c r="F25" i="7"/>
  <c r="E55" i="23"/>
  <c r="Y55" i="23" s="1"/>
  <c r="E57" i="24"/>
  <c r="Y57" i="24" s="1"/>
  <c r="E19" i="23"/>
  <c r="Y19" i="23" s="1"/>
  <c r="E56" i="23"/>
  <c r="Y56" i="23" s="1"/>
  <c r="E27" i="23"/>
  <c r="Y27" i="23" s="1"/>
  <c r="E25" i="23"/>
  <c r="Y25" i="23" s="1"/>
  <c r="E54" i="23"/>
  <c r="Y54" i="23" s="1"/>
  <c r="E15" i="24"/>
  <c r="Y15" i="24" s="1"/>
  <c r="E44" i="24"/>
  <c r="Y44" i="24" s="1"/>
  <c r="E12" i="23"/>
  <c r="Y12" i="23" s="1"/>
  <c r="E41" i="23"/>
  <c r="Y41" i="23" s="1"/>
  <c r="E39" i="23"/>
  <c r="Y39" i="23" s="1"/>
  <c r="E10" i="23"/>
  <c r="Y10" i="23" s="1"/>
  <c r="E25" i="24"/>
  <c r="Y25" i="24" s="1"/>
  <c r="E54" i="24"/>
  <c r="Y54" i="24" s="1"/>
  <c r="E31" i="24"/>
  <c r="Y31" i="24" s="1"/>
  <c r="E60" i="24"/>
  <c r="Y60" i="24" s="1"/>
  <c r="E56" i="24"/>
  <c r="Y56" i="24" s="1"/>
  <c r="E27" i="24"/>
  <c r="Y27" i="24" s="1"/>
  <c r="F26" i="7"/>
  <c r="E57" i="23"/>
  <c r="Y57" i="23" s="1"/>
  <c r="E41" i="24"/>
  <c r="Y41" i="24" s="1"/>
  <c r="E39" i="24"/>
  <c r="Y39" i="24" s="1"/>
  <c r="F43" i="7"/>
  <c r="F22" i="7"/>
  <c r="E52" i="24"/>
  <c r="Y52" i="24" s="1"/>
  <c r="E23" i="24"/>
  <c r="Y23" i="24" s="1"/>
  <c r="E46" i="24"/>
  <c r="Y46" i="24" s="1"/>
  <c r="E59" i="23"/>
  <c r="Y59" i="23" s="1"/>
  <c r="E21" i="23"/>
  <c r="Y21" i="23" s="1"/>
  <c r="E50" i="23"/>
  <c r="Y50" i="23" s="1"/>
  <c r="E18" i="23"/>
  <c r="Y18" i="23" s="1"/>
  <c r="E20" i="24"/>
  <c r="Y20" i="24" s="1"/>
  <c r="E49" i="24"/>
  <c r="Y49" i="24" s="1"/>
  <c r="E17" i="23"/>
  <c r="Y17" i="23" s="1"/>
  <c r="E46" i="23"/>
  <c r="Y46" i="23" s="1"/>
  <c r="E19" i="24"/>
  <c r="Y19" i="24" s="1"/>
  <c r="E23" i="23"/>
  <c r="Y23" i="23" s="1"/>
  <c r="E52" i="23"/>
  <c r="Y52" i="23" s="1"/>
  <c r="E50" i="24"/>
  <c r="Y50" i="24" s="1"/>
  <c r="E21" i="24"/>
  <c r="Y21" i="24" s="1"/>
  <c r="P9" i="24" l="1"/>
  <c r="T9" i="24"/>
  <c r="T38" i="24"/>
  <c r="P38" i="24"/>
  <c r="P41" i="23"/>
  <c r="T41" i="23"/>
  <c r="P54" i="23"/>
  <c r="T54" i="23"/>
  <c r="T19" i="23"/>
  <c r="P19" i="23"/>
  <c r="T20" i="23"/>
  <c r="P20" i="23"/>
  <c r="Y72" i="23"/>
  <c r="T43" i="23"/>
  <c r="T72" i="23" s="1"/>
  <c r="P43" i="23"/>
  <c r="P72" i="23" s="1"/>
  <c r="Y73" i="23"/>
  <c r="P44" i="23"/>
  <c r="P73" i="23" s="1"/>
  <c r="T44" i="23"/>
  <c r="T73" i="23" s="1"/>
  <c r="P17" i="23"/>
  <c r="T17" i="23"/>
  <c r="T23" i="23"/>
  <c r="P23" i="23"/>
  <c r="P21" i="23"/>
  <c r="T21" i="23"/>
  <c r="P12" i="23"/>
  <c r="T12" i="23"/>
  <c r="Y67" i="23"/>
  <c r="P38" i="23"/>
  <c r="P67" i="23" s="1"/>
  <c r="T38" i="23"/>
  <c r="T67" i="23" s="1"/>
  <c r="Y71" i="23"/>
  <c r="T42" i="23"/>
  <c r="T71" i="23" s="1"/>
  <c r="P42" i="23"/>
  <c r="P71" i="23" s="1"/>
  <c r="E80" i="23"/>
  <c r="Y80" i="23" s="1"/>
  <c r="P22" i="23"/>
  <c r="T22" i="23"/>
  <c r="P50" i="23"/>
  <c r="T50" i="23"/>
  <c r="Y88" i="23"/>
  <c r="P59" i="23"/>
  <c r="P88" i="23" s="1"/>
  <c r="T59" i="23"/>
  <c r="T88" i="23" s="1"/>
  <c r="Y86" i="23"/>
  <c r="T57" i="23"/>
  <c r="P57" i="23"/>
  <c r="T10" i="23"/>
  <c r="P10" i="23"/>
  <c r="Y84" i="23"/>
  <c r="T55" i="23"/>
  <c r="T84" i="23" s="1"/>
  <c r="P55" i="23"/>
  <c r="P84" i="23" s="1"/>
  <c r="T52" i="23"/>
  <c r="P52" i="23"/>
  <c r="P46" i="23"/>
  <c r="T46" i="23"/>
  <c r="E76" i="23"/>
  <c r="P76" i="23" s="1"/>
  <c r="P18" i="23"/>
  <c r="T18" i="23"/>
  <c r="T39" i="23"/>
  <c r="P39" i="23"/>
  <c r="T56" i="23"/>
  <c r="P56" i="23"/>
  <c r="Y89" i="23"/>
  <c r="T60" i="23"/>
  <c r="T89" i="23" s="1"/>
  <c r="P60" i="23"/>
  <c r="P89" i="23" s="1"/>
  <c r="P40" i="23"/>
  <c r="P69" i="23" s="1"/>
  <c r="T40" i="23"/>
  <c r="T69" i="23" s="1"/>
  <c r="T27" i="23"/>
  <c r="P27" i="23"/>
  <c r="T25" i="23"/>
  <c r="P25" i="23"/>
  <c r="T19" i="24"/>
  <c r="P19" i="24"/>
  <c r="P52" i="24"/>
  <c r="T52" i="24"/>
  <c r="T41" i="24"/>
  <c r="T70" i="24" s="1"/>
  <c r="P41" i="24"/>
  <c r="P70" i="24" s="1"/>
  <c r="P56" i="24"/>
  <c r="T56" i="24"/>
  <c r="P25" i="24"/>
  <c r="T25" i="24"/>
  <c r="P57" i="24"/>
  <c r="P86" i="24" s="1"/>
  <c r="T57" i="24"/>
  <c r="T86" i="24" s="1"/>
  <c r="T22" i="24"/>
  <c r="P22" i="24"/>
  <c r="P21" i="24"/>
  <c r="T21" i="24"/>
  <c r="T50" i="24"/>
  <c r="P50" i="24"/>
  <c r="P20" i="24"/>
  <c r="T20" i="24"/>
  <c r="T60" i="24"/>
  <c r="P60" i="24"/>
  <c r="P44" i="24"/>
  <c r="T44" i="24"/>
  <c r="P59" i="24"/>
  <c r="P88" i="24" s="1"/>
  <c r="T59" i="24"/>
  <c r="T88" i="24" s="1"/>
  <c r="P43" i="24"/>
  <c r="P72" i="24" s="1"/>
  <c r="T43" i="24"/>
  <c r="T72" i="24" s="1"/>
  <c r="P47" i="24"/>
  <c r="T47" i="24"/>
  <c r="P49" i="24"/>
  <c r="T49" i="24"/>
  <c r="T46" i="24"/>
  <c r="P46" i="24"/>
  <c r="P31" i="24"/>
  <c r="T31" i="24"/>
  <c r="P15" i="24"/>
  <c r="T15" i="24"/>
  <c r="P42" i="24"/>
  <c r="P71" i="24" s="1"/>
  <c r="T42" i="24"/>
  <c r="T71" i="24" s="1"/>
  <c r="T55" i="24"/>
  <c r="T84" i="24" s="1"/>
  <c r="P55" i="24"/>
  <c r="P84" i="24" s="1"/>
  <c r="T23" i="24"/>
  <c r="P23" i="24"/>
  <c r="P39" i="24"/>
  <c r="P68" i="24" s="1"/>
  <c r="T39" i="24"/>
  <c r="T68" i="24" s="1"/>
  <c r="T27" i="24"/>
  <c r="P27" i="24"/>
  <c r="P54" i="24"/>
  <c r="T54" i="24"/>
  <c r="T40" i="24"/>
  <c r="T69" i="24" s="1"/>
  <c r="P40" i="24"/>
  <c r="P69" i="24" s="1"/>
  <c r="L72" i="23"/>
  <c r="E71" i="24"/>
  <c r="E77" i="23"/>
  <c r="P77" i="23" s="1"/>
  <c r="E78" i="23"/>
  <c r="Y71" i="24"/>
  <c r="Y72" i="24"/>
  <c r="E69" i="23"/>
  <c r="Y69" i="24"/>
  <c r="L86" i="24"/>
  <c r="E86" i="24"/>
  <c r="E72" i="24"/>
  <c r="E69" i="24"/>
  <c r="L69" i="24"/>
  <c r="E73" i="23"/>
  <c r="Y86" i="24"/>
  <c r="E72" i="23"/>
  <c r="Y84" i="24"/>
  <c r="E84" i="24"/>
  <c r="E67" i="23"/>
  <c r="L72" i="24"/>
  <c r="L71" i="23"/>
  <c r="Y88" i="24"/>
  <c r="L88" i="24"/>
  <c r="L84" i="23"/>
  <c r="E84" i="23"/>
  <c r="E88" i="24"/>
  <c r="E71" i="23"/>
  <c r="L67" i="23"/>
  <c r="L89" i="23"/>
  <c r="E89" i="23"/>
  <c r="E88" i="23"/>
  <c r="L88" i="23"/>
  <c r="E70" i="24"/>
  <c r="L70" i="24"/>
  <c r="Y70" i="24"/>
  <c r="E83" i="23"/>
  <c r="Y69" i="23"/>
  <c r="L71" i="24"/>
  <c r="E68" i="23"/>
  <c r="E61" i="23"/>
  <c r="P12" i="25" s="1"/>
  <c r="E32" i="24"/>
  <c r="I12" i="25" s="1"/>
  <c r="E68" i="24"/>
  <c r="L68" i="24"/>
  <c r="Y68" i="24"/>
  <c r="E79" i="23"/>
  <c r="E86" i="23"/>
  <c r="P86" i="23"/>
  <c r="T86" i="23"/>
  <c r="L86" i="23"/>
  <c r="E81" i="23"/>
  <c r="E75" i="23"/>
  <c r="L69" i="23"/>
  <c r="E85" i="24"/>
  <c r="E89" i="24"/>
  <c r="E83" i="24"/>
  <c r="E32" i="23"/>
  <c r="O12" i="25" s="1"/>
  <c r="E73" i="24"/>
  <c r="E67" i="24"/>
  <c r="E61" i="24"/>
  <c r="J12" i="25" s="1"/>
  <c r="E70" i="23"/>
  <c r="L84" i="24"/>
  <c r="E85" i="23"/>
  <c r="P80" i="23" l="1"/>
  <c r="T80" i="23"/>
  <c r="Y78" i="23"/>
  <c r="P78" i="23"/>
  <c r="T78" i="23"/>
  <c r="Y77" i="23"/>
  <c r="Y76" i="23"/>
  <c r="T76" i="23"/>
  <c r="T77" i="23"/>
  <c r="Y83" i="24"/>
  <c r="L83" i="24"/>
  <c r="P89" i="24"/>
  <c r="L85" i="23"/>
  <c r="Y89" i="24"/>
  <c r="P83" i="24"/>
  <c r="P85" i="24"/>
  <c r="L89" i="24"/>
  <c r="T73" i="24"/>
  <c r="T85" i="24"/>
  <c r="Y68" i="23"/>
  <c r="L70" i="23"/>
  <c r="T83" i="24"/>
  <c r="T89" i="24"/>
  <c r="L85" i="24"/>
  <c r="T70" i="23"/>
  <c r="T68" i="23"/>
  <c r="L68" i="23"/>
  <c r="Y85" i="23"/>
  <c r="L32" i="23"/>
  <c r="O22" i="25" s="1"/>
  <c r="O46" i="25" s="1"/>
  <c r="O54" i="25" s="1"/>
  <c r="P70" i="23"/>
  <c r="Y70" i="23"/>
  <c r="Y85" i="24"/>
  <c r="T32" i="23"/>
  <c r="O31" i="25" s="1"/>
  <c r="O48" i="25" s="1"/>
  <c r="E90" i="23"/>
  <c r="L83" i="23"/>
  <c r="T61" i="23"/>
  <c r="P31" i="25" s="1"/>
  <c r="P48" i="25" s="1"/>
  <c r="P85" i="23"/>
  <c r="K12" i="25"/>
  <c r="T83" i="23"/>
  <c r="P32" i="23"/>
  <c r="O26" i="25" s="1"/>
  <c r="O47" i="25" s="1"/>
  <c r="P61" i="23"/>
  <c r="P26" i="25" s="1"/>
  <c r="Y75" i="23"/>
  <c r="T75" i="23"/>
  <c r="P75" i="23"/>
  <c r="T81" i="23"/>
  <c r="Y81" i="23"/>
  <c r="P81" i="23"/>
  <c r="Y32" i="24"/>
  <c r="I38" i="25" s="1"/>
  <c r="P32" i="24"/>
  <c r="I26" i="25" s="1"/>
  <c r="I47" i="25" s="1"/>
  <c r="P68" i="23"/>
  <c r="Y61" i="23"/>
  <c r="P38" i="25" s="1"/>
  <c r="P49" i="25" s="1"/>
  <c r="Y83" i="23"/>
  <c r="Y32" i="23"/>
  <c r="O38" i="25" s="1"/>
  <c r="T85" i="23"/>
  <c r="L67" i="24"/>
  <c r="L61" i="24"/>
  <c r="J22" i="25" s="1"/>
  <c r="T67" i="24"/>
  <c r="T61" i="24"/>
  <c r="J31" i="25" s="1"/>
  <c r="Y73" i="24"/>
  <c r="P73" i="24"/>
  <c r="Y79" i="23"/>
  <c r="P79" i="23"/>
  <c r="T79" i="23"/>
  <c r="L32" i="24"/>
  <c r="I22" i="25" s="1"/>
  <c r="I46" i="25" s="1"/>
  <c r="Q12" i="25"/>
  <c r="L61" i="23"/>
  <c r="P22" i="25" s="1"/>
  <c r="P61" i="24"/>
  <c r="J26" i="25" s="1"/>
  <c r="P67" i="24"/>
  <c r="Y67" i="24"/>
  <c r="Y61" i="24"/>
  <c r="J38" i="25" s="1"/>
  <c r="J49" i="25" s="1"/>
  <c r="L73" i="24"/>
  <c r="T32" i="24"/>
  <c r="I31" i="25" s="1"/>
  <c r="I48" i="25" s="1"/>
  <c r="P83" i="23"/>
  <c r="O49" i="25" l="1"/>
  <c r="O56" i="25" s="1"/>
  <c r="I49" i="25"/>
  <c r="I56" i="25" s="1"/>
  <c r="O55" i="25"/>
  <c r="L90" i="23"/>
  <c r="T90" i="23"/>
  <c r="Q31" i="25"/>
  <c r="Y90" i="23"/>
  <c r="Q48" i="25"/>
  <c r="P90" i="23"/>
  <c r="K26" i="25"/>
  <c r="J47" i="25"/>
  <c r="K47" i="25" s="1"/>
  <c r="J48" i="25"/>
  <c r="K48" i="25" s="1"/>
  <c r="K31" i="25"/>
  <c r="I55" i="25"/>
  <c r="I54" i="25"/>
  <c r="Q38" i="25"/>
  <c r="Q26" i="25"/>
  <c r="P47" i="25"/>
  <c r="Q47" i="25" s="1"/>
  <c r="K38" i="25"/>
  <c r="P46" i="25"/>
  <c r="Q22" i="25"/>
  <c r="J46" i="25"/>
  <c r="K22" i="25"/>
  <c r="Q49" i="25" l="1"/>
  <c r="Q46" i="25"/>
  <c r="P54" i="25"/>
  <c r="Q54" i="25" s="1"/>
  <c r="O64" i="25" s="1"/>
  <c r="Q64" i="25" s="1"/>
  <c r="P55" i="25"/>
  <c r="Q55" i="25" s="1"/>
  <c r="O65" i="25" s="1"/>
  <c r="Q65" i="25" s="1"/>
  <c r="K49" i="25"/>
  <c r="J56" i="25"/>
  <c r="K56" i="25" s="1"/>
  <c r="K46" i="25"/>
  <c r="J54" i="25"/>
  <c r="K54" i="25" s="1"/>
  <c r="I64" i="25" s="1"/>
  <c r="K64" i="25" s="1"/>
  <c r="J55" i="25"/>
  <c r="K55" i="25" s="1"/>
  <c r="I65" i="25" s="1"/>
  <c r="K65" i="25" s="1"/>
  <c r="P56" i="25"/>
  <c r="Q56" i="25" s="1"/>
  <c r="W61" i="25" l="1"/>
  <c r="W60" i="25"/>
  <c r="AI4" i="27" s="1"/>
  <c r="O61" i="25"/>
  <c r="Q61" i="25" s="1"/>
  <c r="O60" i="25"/>
  <c r="Q60" i="25" s="1"/>
  <c r="I60" i="25"/>
  <c r="I61" i="25"/>
  <c r="K61" i="25" s="1"/>
  <c r="AG4" i="27" l="1"/>
  <c r="AK4" i="27"/>
  <c r="Q4" i="27"/>
  <c r="I4" i="27"/>
  <c r="C2" i="27" s="1"/>
  <c r="AA4" i="27"/>
  <c r="U4" i="27"/>
  <c r="AE4" i="27"/>
  <c r="O4" i="27"/>
  <c r="AC4" i="27"/>
  <c r="W4" i="27"/>
  <c r="K4" i="27"/>
  <c r="S4" i="27"/>
  <c r="M4" i="27"/>
  <c r="Y4" i="27"/>
  <c r="K60" i="25"/>
  <c r="H134" i="7"/>
  <c r="I134" i="7" s="1"/>
  <c r="C5" i="28" l="1"/>
  <c r="J134" i="7"/>
  <c r="G178" i="17" l="1"/>
  <c r="F5" i="12" s="1"/>
  <c r="H137" i="7"/>
  <c r="I137" i="7" s="1"/>
  <c r="H140" i="7"/>
  <c r="I140" i="7" s="1"/>
  <c r="H135" i="7"/>
  <c r="I135" i="7" s="1"/>
  <c r="H136" i="7"/>
  <c r="I136" i="7" s="1"/>
  <c r="H139" i="7"/>
  <c r="I139" i="7" s="1"/>
  <c r="J139" i="7" s="1"/>
  <c r="H138" i="7"/>
  <c r="I138" i="7" s="1"/>
  <c r="G183" i="17" l="1"/>
  <c r="J136" i="7"/>
  <c r="G180" i="17" s="1"/>
  <c r="J138" i="7"/>
  <c r="J135" i="7"/>
  <c r="J140" i="7"/>
  <c r="J137" i="7"/>
  <c r="H146" i="7"/>
  <c r="I146" i="7" s="1"/>
  <c r="H145" i="7"/>
  <c r="I145" i="7" s="1"/>
  <c r="H148" i="7"/>
  <c r="I148" i="7" s="1"/>
  <c r="H147" i="7"/>
  <c r="I147" i="7" s="1"/>
  <c r="H143" i="7"/>
  <c r="I143" i="7" s="1"/>
  <c r="H142" i="7"/>
  <c r="I142" i="7" s="1"/>
  <c r="H144" i="7"/>
  <c r="I144" i="7" s="1"/>
  <c r="G182" i="17" l="1"/>
  <c r="G181" i="17"/>
  <c r="G184" i="17"/>
  <c r="G179" i="17"/>
  <c r="J145" i="7"/>
  <c r="J144" i="7"/>
  <c r="G188" i="17" s="1"/>
  <c r="J148" i="7"/>
  <c r="G192" i="17" s="1"/>
  <c r="J142" i="7"/>
  <c r="G186" i="17" s="1"/>
  <c r="J143" i="7"/>
  <c r="G187" i="17" s="1"/>
  <c r="J147" i="7"/>
  <c r="J146" i="7"/>
  <c r="H150" i="7"/>
  <c r="I150" i="7" s="1"/>
  <c r="J150" i="7" s="1"/>
  <c r="H151" i="7"/>
  <c r="I151" i="7" s="1"/>
  <c r="J151" i="7" s="1"/>
  <c r="G195" i="17" s="1"/>
  <c r="H153" i="7"/>
  <c r="I153" i="7" s="1"/>
  <c r="H152" i="7"/>
  <c r="I152" i="7" s="1"/>
  <c r="J152" i="7" s="1"/>
  <c r="G196" i="17" s="1"/>
  <c r="G194" i="17" l="1"/>
  <c r="G190" i="17"/>
  <c r="G191" i="17"/>
  <c r="G189" i="17"/>
  <c r="J153" i="7"/>
  <c r="G197" i="17" s="1"/>
  <c r="H156" i="7"/>
  <c r="I156" i="7" s="1"/>
  <c r="H155" i="7"/>
  <c r="I155" i="7" s="1"/>
  <c r="J155" i="7" l="1"/>
  <c r="G199" i="17" s="1"/>
  <c r="J156" i="7"/>
  <c r="G200" i="17" s="1"/>
  <c r="H21" i="7"/>
  <c r="I21" i="7" s="1"/>
  <c r="J21" i="7" l="1"/>
  <c r="K21" i="7" l="1"/>
  <c r="G7" i="17"/>
  <c r="C7" i="17" s="1"/>
  <c r="K7" i="17" s="1"/>
  <c r="E38" i="4" l="1"/>
  <c r="Y38" i="4" s="1"/>
  <c r="E9" i="4"/>
  <c r="Y9" i="4" s="1"/>
  <c r="P9" i="4" l="1"/>
  <c r="T9" i="4"/>
  <c r="T38" i="4"/>
  <c r="P38" i="4"/>
  <c r="E67" i="4"/>
  <c r="H24" i="7"/>
  <c r="I24" i="7" s="1"/>
  <c r="H27" i="7"/>
  <c r="I27" i="7" s="1"/>
  <c r="H23" i="7"/>
  <c r="I23" i="7" s="1"/>
  <c r="H25" i="7"/>
  <c r="I25" i="7" s="1"/>
  <c r="H22" i="7"/>
  <c r="I22" i="7" s="1"/>
  <c r="H26" i="7"/>
  <c r="I26" i="7" s="1"/>
  <c r="J26" i="7" s="1"/>
  <c r="J25" i="7" l="1"/>
  <c r="K25" i="7" s="1"/>
  <c r="J24" i="7"/>
  <c r="K24" i="7" s="1"/>
  <c r="J22" i="7"/>
  <c r="K22" i="7" s="1"/>
  <c r="K26" i="7"/>
  <c r="G12" i="17"/>
  <c r="C12" i="17" s="1"/>
  <c r="K12" i="17" s="1"/>
  <c r="J27" i="7"/>
  <c r="J23" i="7"/>
  <c r="G11" i="17" l="1"/>
  <c r="C11" i="17" s="1"/>
  <c r="K11" i="17" s="1"/>
  <c r="E13" i="4" s="1"/>
  <c r="Y13" i="4" s="1"/>
  <c r="G10" i="17"/>
  <c r="C10" i="17" s="1"/>
  <c r="K10" i="17" s="1"/>
  <c r="E41" i="4" s="1"/>
  <c r="Y41" i="4" s="1"/>
  <c r="G8" i="17"/>
  <c r="C8" i="17" s="1"/>
  <c r="K8" i="17" s="1"/>
  <c r="E10" i="4" s="1"/>
  <c r="Y10" i="4" s="1"/>
  <c r="E14" i="4"/>
  <c r="Y14" i="4" s="1"/>
  <c r="E43" i="4"/>
  <c r="Y43" i="4" s="1"/>
  <c r="K23" i="7"/>
  <c r="G9" i="17"/>
  <c r="C9" i="17" s="1"/>
  <c r="K9" i="17" s="1"/>
  <c r="K27" i="7"/>
  <c r="G13" i="17"/>
  <c r="C13" i="17" s="1"/>
  <c r="K13" i="17" s="1"/>
  <c r="E42" i="4" l="1"/>
  <c r="Y42" i="4" s="1"/>
  <c r="T13" i="4"/>
  <c r="P13" i="4"/>
  <c r="T43" i="4"/>
  <c r="P43" i="4"/>
  <c r="T10" i="4"/>
  <c r="P10" i="4"/>
  <c r="T14" i="4"/>
  <c r="P14" i="4"/>
  <c r="P41" i="4"/>
  <c r="T41" i="4"/>
  <c r="E39" i="4"/>
  <c r="Y39" i="4" s="1"/>
  <c r="E12" i="4"/>
  <c r="Y12" i="4" s="1"/>
  <c r="E11" i="4"/>
  <c r="Y11" i="4" s="1"/>
  <c r="E40" i="4"/>
  <c r="Y40" i="4" s="1"/>
  <c r="E72" i="4"/>
  <c r="E15" i="4"/>
  <c r="Y15" i="4" s="1"/>
  <c r="E44" i="4"/>
  <c r="Y44" i="4" s="1"/>
  <c r="E71" i="4" l="1"/>
  <c r="T42" i="4"/>
  <c r="P42" i="4"/>
  <c r="T40" i="4"/>
  <c r="P40" i="4"/>
  <c r="T44" i="4"/>
  <c r="P44" i="4"/>
  <c r="T15" i="4"/>
  <c r="P15" i="4"/>
  <c r="E70" i="4"/>
  <c r="P12" i="4"/>
  <c r="T12" i="4"/>
  <c r="T11" i="4"/>
  <c r="P11" i="4"/>
  <c r="T39" i="4"/>
  <c r="P39" i="4"/>
  <c r="E68" i="4"/>
  <c r="E69" i="4"/>
  <c r="E73" i="4"/>
  <c r="H29" i="7"/>
  <c r="I29" i="7" s="1"/>
  <c r="H33" i="7"/>
  <c r="I33" i="7" s="1"/>
  <c r="H30" i="7"/>
  <c r="I30" i="7" s="1"/>
  <c r="H31" i="7"/>
  <c r="H35" i="7"/>
  <c r="I35" i="7" s="1"/>
  <c r="H32" i="7"/>
  <c r="I32" i="7" s="1"/>
  <c r="H34" i="7"/>
  <c r="I34" i="7" s="1"/>
  <c r="J34" i="7" s="1"/>
  <c r="J29" i="7" l="1"/>
  <c r="K29" i="7" s="1"/>
  <c r="K34" i="7"/>
  <c r="G20" i="17"/>
  <c r="C20" i="17" s="1"/>
  <c r="K20" i="17" s="1"/>
  <c r="J32" i="7"/>
  <c r="I31" i="7"/>
  <c r="J31" i="7" s="1"/>
  <c r="J35" i="7"/>
  <c r="J30" i="7"/>
  <c r="J33" i="7"/>
  <c r="G15" i="17" l="1"/>
  <c r="C15" i="17" s="1"/>
  <c r="K15" i="17" s="1"/>
  <c r="E46" i="4" s="1"/>
  <c r="Y46" i="4" s="1"/>
  <c r="K31" i="7"/>
  <c r="G17" i="17"/>
  <c r="C17" i="17" s="1"/>
  <c r="K17" i="17" s="1"/>
  <c r="K33" i="7"/>
  <c r="G19" i="17"/>
  <c r="C19" i="17" s="1"/>
  <c r="K19" i="17" s="1"/>
  <c r="K32" i="7"/>
  <c r="G18" i="17"/>
  <c r="C18" i="17" s="1"/>
  <c r="K18" i="17" s="1"/>
  <c r="K30" i="7"/>
  <c r="G16" i="17"/>
  <c r="C16" i="17" s="1"/>
  <c r="K16" i="17" s="1"/>
  <c r="E22" i="4"/>
  <c r="Y22" i="4" s="1"/>
  <c r="E51" i="4"/>
  <c r="Y51" i="4" s="1"/>
  <c r="K35" i="7"/>
  <c r="G21" i="17"/>
  <c r="C21" i="17" s="1"/>
  <c r="K21" i="17" s="1"/>
  <c r="T51" i="4" l="1"/>
  <c r="P51" i="4"/>
  <c r="P22" i="4"/>
  <c r="T22" i="4"/>
  <c r="P46" i="4"/>
  <c r="T46" i="4"/>
  <c r="E17" i="4"/>
  <c r="Y17" i="4" s="1"/>
  <c r="E23" i="4"/>
  <c r="Y23" i="4" s="1"/>
  <c r="E52" i="4"/>
  <c r="Y52" i="4" s="1"/>
  <c r="E21" i="4"/>
  <c r="Y21" i="4" s="1"/>
  <c r="E50" i="4"/>
  <c r="Y50" i="4" s="1"/>
  <c r="E18" i="4"/>
  <c r="Y18" i="4" s="1"/>
  <c r="E47" i="4"/>
  <c r="Y47" i="4" s="1"/>
  <c r="E80" i="4"/>
  <c r="E19" i="4"/>
  <c r="Y19" i="4" s="1"/>
  <c r="E48" i="4"/>
  <c r="Y48" i="4" s="1"/>
  <c r="E20" i="4"/>
  <c r="Y20" i="4" s="1"/>
  <c r="E49" i="4"/>
  <c r="Y49" i="4" s="1"/>
  <c r="T48" i="4" l="1"/>
  <c r="P48" i="4"/>
  <c r="E75" i="4"/>
  <c r="P17" i="4"/>
  <c r="T17" i="4"/>
  <c r="P18" i="4"/>
  <c r="T18" i="4"/>
  <c r="T19" i="4"/>
  <c r="P19" i="4"/>
  <c r="T49" i="4"/>
  <c r="P49" i="4"/>
  <c r="P21" i="4"/>
  <c r="T21" i="4"/>
  <c r="T23" i="4"/>
  <c r="P23" i="4"/>
  <c r="P50" i="4"/>
  <c r="T50" i="4"/>
  <c r="T20" i="4"/>
  <c r="P20" i="4"/>
  <c r="P47" i="4"/>
  <c r="T47" i="4"/>
  <c r="T52" i="4"/>
  <c r="P52" i="4"/>
  <c r="E78" i="4"/>
  <c r="E79" i="4"/>
  <c r="E76" i="4"/>
  <c r="E81" i="4"/>
  <c r="E77" i="4"/>
  <c r="H38" i="7"/>
  <c r="I38" i="7" s="1"/>
  <c r="H40" i="7"/>
  <c r="H39" i="7"/>
  <c r="I39" i="7" s="1"/>
  <c r="H37" i="7"/>
  <c r="I37" i="7" s="1"/>
  <c r="J37" i="7" l="1"/>
  <c r="J38" i="7"/>
  <c r="I40" i="7"/>
  <c r="J40" i="7" s="1"/>
  <c r="J39" i="7"/>
  <c r="K40" i="7" l="1"/>
  <c r="G26" i="17"/>
  <c r="C26" i="17" s="1"/>
  <c r="K26" i="17" s="1"/>
  <c r="K38" i="7"/>
  <c r="G24" i="17"/>
  <c r="C24" i="17" s="1"/>
  <c r="K24" i="17" s="1"/>
  <c r="K37" i="7"/>
  <c r="G23" i="17"/>
  <c r="C23" i="17" s="1"/>
  <c r="K23" i="17" s="1"/>
  <c r="K39" i="7"/>
  <c r="G25" i="17"/>
  <c r="C25" i="17" s="1"/>
  <c r="K25" i="17" s="1"/>
  <c r="E26" i="4" l="1"/>
  <c r="Y26" i="4" s="1"/>
  <c r="E55" i="4"/>
  <c r="Y55" i="4" s="1"/>
  <c r="E54" i="4"/>
  <c r="Y54" i="4" s="1"/>
  <c r="E25" i="4"/>
  <c r="Y25" i="4" s="1"/>
  <c r="E27" i="4"/>
  <c r="Y27" i="4" s="1"/>
  <c r="E56" i="4"/>
  <c r="Y56" i="4" s="1"/>
  <c r="E28" i="4"/>
  <c r="Y28" i="4" s="1"/>
  <c r="E57" i="4"/>
  <c r="Y57" i="4" s="1"/>
  <c r="T54" i="4" l="1"/>
  <c r="P54" i="4"/>
  <c r="T57" i="4"/>
  <c r="P57" i="4"/>
  <c r="T28" i="4"/>
  <c r="P28" i="4"/>
  <c r="P55" i="4"/>
  <c r="T55" i="4"/>
  <c r="T25" i="4"/>
  <c r="P25" i="4"/>
  <c r="T56" i="4"/>
  <c r="P56" i="4"/>
  <c r="T27" i="4"/>
  <c r="P27" i="4"/>
  <c r="P26" i="4"/>
  <c r="T26" i="4"/>
  <c r="E86" i="4"/>
  <c r="E83" i="4"/>
  <c r="E85" i="4"/>
  <c r="E84" i="4"/>
  <c r="H43" i="7"/>
  <c r="I43" i="7" s="1"/>
  <c r="J43" i="7" s="1"/>
  <c r="K43" i="7" s="1"/>
  <c r="H42" i="7"/>
  <c r="I42" i="7" s="1"/>
  <c r="J42" i="7" l="1"/>
  <c r="G29" i="17"/>
  <c r="C29" i="17" s="1"/>
  <c r="K29" i="17" s="1"/>
  <c r="E31" i="4" l="1"/>
  <c r="Y31" i="4" s="1"/>
  <c r="E60" i="4"/>
  <c r="Y60" i="4" s="1"/>
  <c r="G28" i="17"/>
  <c r="C28" i="17" s="1"/>
  <c r="K28" i="17" s="1"/>
  <c r="K42" i="7"/>
  <c r="P60" i="4" l="1"/>
  <c r="T60" i="4"/>
  <c r="P31" i="4"/>
  <c r="T31" i="4"/>
  <c r="E89" i="4"/>
  <c r="E30" i="4"/>
  <c r="Y30" i="4" s="1"/>
  <c r="E59" i="4"/>
  <c r="Y59" i="4" s="1"/>
  <c r="T59" i="4" l="1"/>
  <c r="P59" i="4"/>
  <c r="T30" i="4"/>
  <c r="P30" i="4"/>
  <c r="E32" i="4"/>
  <c r="C12" i="25" s="1"/>
  <c r="E88" i="4"/>
  <c r="E61" i="4"/>
  <c r="E90" i="4" l="1"/>
  <c r="D12" i="25"/>
  <c r="E12" i="25" s="1"/>
  <c r="H162" i="7"/>
  <c r="I162" i="7" s="1"/>
  <c r="J162" i="7" l="1"/>
  <c r="G206" i="17" s="1"/>
  <c r="F38" i="4" l="1"/>
  <c r="F9" i="4"/>
  <c r="G9" i="4"/>
  <c r="AA9" i="4" s="1"/>
  <c r="G38" i="4"/>
  <c r="Z9" i="4" l="1"/>
  <c r="Z38" i="4"/>
  <c r="U9" i="4"/>
  <c r="Q9" i="4"/>
  <c r="L9" i="4"/>
  <c r="U38" i="4"/>
  <c r="Q38" i="4"/>
  <c r="L38" i="4"/>
  <c r="R9" i="4"/>
  <c r="N9" i="4"/>
  <c r="V9" i="4"/>
  <c r="R38" i="4"/>
  <c r="G67" i="4"/>
  <c r="AA38" i="4"/>
  <c r="N38" i="4"/>
  <c r="V38" i="4"/>
  <c r="F67" i="4"/>
  <c r="Z67" i="4" l="1"/>
  <c r="L67" i="4"/>
  <c r="AA67" i="4"/>
  <c r="T67" i="4"/>
  <c r="Q67" i="4"/>
  <c r="P67" i="4"/>
  <c r="V67" i="4"/>
  <c r="Y67" i="4"/>
  <c r="U67" i="4"/>
  <c r="N67" i="4"/>
  <c r="R67" i="4"/>
  <c r="H165" i="7"/>
  <c r="H184" i="7"/>
  <c r="I184" i="7" s="1"/>
  <c r="H178" i="7"/>
  <c r="I178" i="7" s="1"/>
  <c r="J178" i="7" s="1"/>
  <c r="G222" i="17" s="1"/>
  <c r="H171" i="7"/>
  <c r="I171" i="7" s="1"/>
  <c r="J171" i="7"/>
  <c r="G215" i="17" s="1"/>
  <c r="H168" i="7"/>
  <c r="H166" i="7"/>
  <c r="J180" i="7"/>
  <c r="G224" i="17" s="1"/>
  <c r="H174" i="7"/>
  <c r="I174" i="7" s="1"/>
  <c r="H170" i="7"/>
  <c r="H181" i="7"/>
  <c r="H167" i="7"/>
  <c r="I167" i="7" s="1"/>
  <c r="H173" i="7"/>
  <c r="I173" i="7" s="1"/>
  <c r="H175" i="7"/>
  <c r="I175" i="7" s="1"/>
  <c r="H183" i="7"/>
  <c r="I183" i="7" s="1"/>
  <c r="J183" i="7" s="1"/>
  <c r="G227" i="17" s="1"/>
  <c r="H179" i="7"/>
  <c r="I179" i="7" s="1"/>
  <c r="H164" i="7"/>
  <c r="I164" i="7" s="1"/>
  <c r="H163" i="7"/>
  <c r="I163" i="7" s="1"/>
  <c r="H172" i="7"/>
  <c r="I172" i="7" s="1"/>
  <c r="H176" i="7"/>
  <c r="I176" i="7" s="1"/>
  <c r="J164" i="7" l="1"/>
  <c r="G208" i="17" s="1"/>
  <c r="J167" i="7"/>
  <c r="G211" i="17" s="1"/>
  <c r="G43" i="4" s="1"/>
  <c r="V43" i="4" s="1"/>
  <c r="J179" i="7"/>
  <c r="G223" i="17" s="1"/>
  <c r="G26" i="4" s="1"/>
  <c r="F30" i="4"/>
  <c r="G30" i="4"/>
  <c r="F59" i="4"/>
  <c r="G59" i="4"/>
  <c r="V59" i="4" s="1"/>
  <c r="F11" i="4"/>
  <c r="G11" i="4"/>
  <c r="G40" i="4"/>
  <c r="V40" i="4" s="1"/>
  <c r="F40" i="4"/>
  <c r="I181" i="7"/>
  <c r="J181" i="7" s="1"/>
  <c r="G225" i="17" s="1"/>
  <c r="J176" i="7"/>
  <c r="G220" i="17" s="1"/>
  <c r="J163" i="7"/>
  <c r="G207" i="17" s="1"/>
  <c r="I166" i="7"/>
  <c r="J166" i="7" s="1"/>
  <c r="G210" i="17" s="1"/>
  <c r="J173" i="7"/>
  <c r="G217" i="17" s="1"/>
  <c r="I170" i="7"/>
  <c r="J170" i="7" s="1"/>
  <c r="G214" i="17" s="1"/>
  <c r="G27" i="4"/>
  <c r="F27" i="4"/>
  <c r="F56" i="4"/>
  <c r="G56" i="4"/>
  <c r="V56" i="4" s="1"/>
  <c r="I168" i="7"/>
  <c r="J168" i="7" s="1"/>
  <c r="G212" i="17" s="1"/>
  <c r="J172" i="7"/>
  <c r="G216" i="17" s="1"/>
  <c r="J175" i="7"/>
  <c r="G219" i="17" s="1"/>
  <c r="G25" i="4"/>
  <c r="F25" i="4"/>
  <c r="F54" i="4"/>
  <c r="G54" i="4"/>
  <c r="V54" i="4" s="1"/>
  <c r="F18" i="4"/>
  <c r="G18" i="4"/>
  <c r="F47" i="4"/>
  <c r="G47" i="4"/>
  <c r="V47" i="4" s="1"/>
  <c r="I165" i="7"/>
  <c r="J165" i="7" s="1"/>
  <c r="G209" i="17" s="1"/>
  <c r="J174" i="7"/>
  <c r="G218" i="17" s="1"/>
  <c r="J184" i="7"/>
  <c r="G228" i="17" s="1"/>
  <c r="Z25" i="4" l="1"/>
  <c r="Z59" i="4"/>
  <c r="Z56" i="4"/>
  <c r="Z11" i="4"/>
  <c r="Z30" i="4"/>
  <c r="Z18" i="4"/>
  <c r="Z47" i="4"/>
  <c r="Z27" i="4"/>
  <c r="Z40" i="4"/>
  <c r="Z54" i="4"/>
  <c r="F14" i="4"/>
  <c r="Q14" i="4" s="1"/>
  <c r="F43" i="4"/>
  <c r="G14" i="4"/>
  <c r="G72" i="4" s="1"/>
  <c r="L59" i="4"/>
  <c r="U59" i="4"/>
  <c r="Q59" i="4"/>
  <c r="U18" i="4"/>
  <c r="Q18" i="4"/>
  <c r="L18" i="4"/>
  <c r="Q25" i="4"/>
  <c r="L25" i="4"/>
  <c r="U25" i="4"/>
  <c r="U56" i="4"/>
  <c r="Q56" i="4"/>
  <c r="L56" i="4"/>
  <c r="Q11" i="4"/>
  <c r="L11" i="4"/>
  <c r="U11" i="4"/>
  <c r="Q30" i="4"/>
  <c r="L30" i="4"/>
  <c r="U30" i="4"/>
  <c r="U47" i="4"/>
  <c r="Q47" i="4"/>
  <c r="L47" i="4"/>
  <c r="L54" i="4"/>
  <c r="Q54" i="4"/>
  <c r="U54" i="4"/>
  <c r="L27" i="4"/>
  <c r="U27" i="4"/>
  <c r="Q27" i="4"/>
  <c r="L40" i="4"/>
  <c r="Q40" i="4"/>
  <c r="U40" i="4"/>
  <c r="F55" i="4"/>
  <c r="G55" i="4"/>
  <c r="V55" i="4" s="1"/>
  <c r="F26" i="4"/>
  <c r="Z26" i="4" s="1"/>
  <c r="F17" i="4"/>
  <c r="G17" i="4"/>
  <c r="G46" i="4"/>
  <c r="V46" i="4" s="1"/>
  <c r="F46" i="4"/>
  <c r="G12" i="4"/>
  <c r="F12" i="4"/>
  <c r="G41" i="4"/>
  <c r="V41" i="4" s="1"/>
  <c r="F41" i="4"/>
  <c r="G15" i="4"/>
  <c r="F15" i="4"/>
  <c r="G44" i="4"/>
  <c r="V44" i="4" s="1"/>
  <c r="F44" i="4"/>
  <c r="G76" i="4"/>
  <c r="AA47" i="4"/>
  <c r="R47" i="4"/>
  <c r="N47" i="4"/>
  <c r="G83" i="4"/>
  <c r="N54" i="4"/>
  <c r="R54" i="4"/>
  <c r="AA54" i="4"/>
  <c r="G21" i="4"/>
  <c r="F21" i="4"/>
  <c r="F50" i="4"/>
  <c r="G50" i="4"/>
  <c r="V50" i="4" s="1"/>
  <c r="AA18" i="4"/>
  <c r="R18" i="4"/>
  <c r="N18" i="4"/>
  <c r="V18" i="4"/>
  <c r="F85" i="4"/>
  <c r="G10" i="4"/>
  <c r="F39" i="4"/>
  <c r="F10" i="4"/>
  <c r="G39" i="4"/>
  <c r="V39" i="4" s="1"/>
  <c r="R43" i="4"/>
  <c r="AA43" i="4"/>
  <c r="N43" i="4"/>
  <c r="F69" i="4"/>
  <c r="G88" i="4"/>
  <c r="N59" i="4"/>
  <c r="AA59" i="4"/>
  <c r="R59" i="4"/>
  <c r="F22" i="4"/>
  <c r="G22" i="4"/>
  <c r="G51" i="4"/>
  <c r="V51" i="4" s="1"/>
  <c r="F51" i="4"/>
  <c r="R27" i="4"/>
  <c r="AA27" i="4"/>
  <c r="V27" i="4"/>
  <c r="N27" i="4"/>
  <c r="V25" i="4"/>
  <c r="N25" i="4"/>
  <c r="AA25" i="4"/>
  <c r="R25" i="4"/>
  <c r="G20" i="4"/>
  <c r="F20" i="4"/>
  <c r="F49" i="4"/>
  <c r="G49" i="4"/>
  <c r="V49" i="4" s="1"/>
  <c r="F23" i="4"/>
  <c r="G23" i="4"/>
  <c r="G52" i="4"/>
  <c r="V52" i="4" s="1"/>
  <c r="F52" i="4"/>
  <c r="AA40" i="4"/>
  <c r="G69" i="4"/>
  <c r="R40" i="4"/>
  <c r="N40" i="4"/>
  <c r="F88" i="4"/>
  <c r="G13" i="4"/>
  <c r="F13" i="4"/>
  <c r="F42" i="4"/>
  <c r="G42" i="4"/>
  <c r="V42" i="4" s="1"/>
  <c r="G28" i="4"/>
  <c r="F28" i="4"/>
  <c r="G57" i="4"/>
  <c r="V57" i="4" s="1"/>
  <c r="F57" i="4"/>
  <c r="R11" i="4"/>
  <c r="V11" i="4"/>
  <c r="N11" i="4"/>
  <c r="AA11" i="4"/>
  <c r="N30" i="4"/>
  <c r="R30" i="4"/>
  <c r="V30" i="4"/>
  <c r="AA30" i="4"/>
  <c r="F31" i="4"/>
  <c r="G31" i="4"/>
  <c r="G60" i="4"/>
  <c r="V60" i="4" s="1"/>
  <c r="F60" i="4"/>
  <c r="F76" i="4"/>
  <c r="F83" i="4"/>
  <c r="F19" i="4"/>
  <c r="G19" i="4"/>
  <c r="F48" i="4"/>
  <c r="G48" i="4"/>
  <c r="V48" i="4" s="1"/>
  <c r="G85" i="4"/>
  <c r="R56" i="4"/>
  <c r="N56" i="4"/>
  <c r="AA56" i="4"/>
  <c r="N26" i="4"/>
  <c r="R26" i="4"/>
  <c r="V26" i="4"/>
  <c r="AA26" i="4"/>
  <c r="Z88" i="4" l="1"/>
  <c r="F72" i="4"/>
  <c r="R14" i="4"/>
  <c r="R72" i="4" s="1"/>
  <c r="Z69" i="4"/>
  <c r="Z19" i="4"/>
  <c r="Z42" i="4"/>
  <c r="Z23" i="4"/>
  <c r="Z22" i="4"/>
  <c r="Z21" i="4"/>
  <c r="Z15" i="4"/>
  <c r="Z12" i="4"/>
  <c r="Z55" i="4"/>
  <c r="Z84" i="4" s="1"/>
  <c r="Z44" i="4"/>
  <c r="Z41" i="4"/>
  <c r="Z46" i="4"/>
  <c r="Z28" i="4"/>
  <c r="Z13" i="4"/>
  <c r="Z52" i="4"/>
  <c r="Z17" i="4"/>
  <c r="Z48" i="4"/>
  <c r="Z31" i="4"/>
  <c r="Z49" i="4"/>
  <c r="Z10" i="4"/>
  <c r="U14" i="4"/>
  <c r="Z14" i="4"/>
  <c r="Z60" i="4"/>
  <c r="Z20" i="4"/>
  <c r="Z39" i="4"/>
  <c r="Z76" i="4"/>
  <c r="Z85" i="4"/>
  <c r="Z51" i="4"/>
  <c r="Z50" i="4"/>
  <c r="Q43" i="4"/>
  <c r="Q72" i="4" s="1"/>
  <c r="Z43" i="4"/>
  <c r="Z57" i="4"/>
  <c r="Z83" i="4"/>
  <c r="L14" i="4"/>
  <c r="N14" i="4"/>
  <c r="N72" i="4" s="1"/>
  <c r="L43" i="4"/>
  <c r="U43" i="4"/>
  <c r="AA14" i="4"/>
  <c r="AA72" i="4" s="1"/>
  <c r="V14" i="4"/>
  <c r="V72" i="4" s="1"/>
  <c r="U57" i="4"/>
  <c r="Q57" i="4"/>
  <c r="L57" i="4"/>
  <c r="L49" i="4"/>
  <c r="U49" i="4"/>
  <c r="Q49" i="4"/>
  <c r="U22" i="4"/>
  <c r="Q22" i="4"/>
  <c r="L22" i="4"/>
  <c r="L21" i="4"/>
  <c r="U21" i="4"/>
  <c r="Q21" i="4"/>
  <c r="L44" i="4"/>
  <c r="Q44" i="4"/>
  <c r="U44" i="4"/>
  <c r="U41" i="4"/>
  <c r="L41" i="4"/>
  <c r="Q41" i="4"/>
  <c r="U46" i="4"/>
  <c r="Q46" i="4"/>
  <c r="L46" i="4"/>
  <c r="Q26" i="4"/>
  <c r="U26" i="4"/>
  <c r="L26" i="4"/>
  <c r="U31" i="4"/>
  <c r="L31" i="4"/>
  <c r="Q31" i="4"/>
  <c r="U42" i="4"/>
  <c r="Q42" i="4"/>
  <c r="L42" i="4"/>
  <c r="Q20" i="4"/>
  <c r="L20" i="4"/>
  <c r="U20" i="4"/>
  <c r="Q51" i="4"/>
  <c r="U51" i="4"/>
  <c r="L51" i="4"/>
  <c r="U10" i="4"/>
  <c r="Q10" i="4"/>
  <c r="L10" i="4"/>
  <c r="U19" i="4"/>
  <c r="Q19" i="4"/>
  <c r="L19" i="4"/>
  <c r="U52" i="4"/>
  <c r="Q52" i="4"/>
  <c r="L52" i="4"/>
  <c r="U50" i="4"/>
  <c r="L50" i="4"/>
  <c r="Q50" i="4"/>
  <c r="U17" i="4"/>
  <c r="Q17" i="4"/>
  <c r="L17" i="4"/>
  <c r="U48" i="4"/>
  <c r="Q48" i="4"/>
  <c r="L48" i="4"/>
  <c r="U60" i="4"/>
  <c r="L60" i="4"/>
  <c r="Q60" i="4"/>
  <c r="U28" i="4"/>
  <c r="Q28" i="4"/>
  <c r="L28" i="4"/>
  <c r="L13" i="4"/>
  <c r="U13" i="4"/>
  <c r="Q13" i="4"/>
  <c r="U23" i="4"/>
  <c r="Q23" i="4"/>
  <c r="L23" i="4"/>
  <c r="U39" i="4"/>
  <c r="Q39" i="4"/>
  <c r="L39" i="4"/>
  <c r="Q15" i="4"/>
  <c r="L15" i="4"/>
  <c r="U15" i="4"/>
  <c r="U12" i="4"/>
  <c r="L12" i="4"/>
  <c r="Q12" i="4"/>
  <c r="U55" i="4"/>
  <c r="Q55" i="4"/>
  <c r="L55" i="4"/>
  <c r="AA55" i="4"/>
  <c r="AA84" i="4" s="1"/>
  <c r="N55" i="4"/>
  <c r="N84" i="4" s="1"/>
  <c r="Y84" i="4"/>
  <c r="P83" i="4"/>
  <c r="Y85" i="4"/>
  <c r="R55" i="4"/>
  <c r="R84" i="4" s="1"/>
  <c r="G84" i="4"/>
  <c r="Q83" i="4"/>
  <c r="AA85" i="4"/>
  <c r="P84" i="4"/>
  <c r="F84" i="4"/>
  <c r="R85" i="4"/>
  <c r="V85" i="4"/>
  <c r="U76" i="4"/>
  <c r="T83" i="4"/>
  <c r="T76" i="4"/>
  <c r="U83" i="4"/>
  <c r="N85" i="4"/>
  <c r="L85" i="4"/>
  <c r="P76" i="4"/>
  <c r="Q76" i="4"/>
  <c r="G89" i="4"/>
  <c r="R60" i="4"/>
  <c r="AA60" i="4"/>
  <c r="N60" i="4"/>
  <c r="G86" i="4"/>
  <c r="R57" i="4"/>
  <c r="AA57" i="4"/>
  <c r="N57" i="4"/>
  <c r="F71" i="4"/>
  <c r="U88" i="4"/>
  <c r="L69" i="4"/>
  <c r="Y69" i="4"/>
  <c r="V84" i="4"/>
  <c r="P72" i="4"/>
  <c r="AA52" i="4"/>
  <c r="G81" i="4"/>
  <c r="R52" i="4"/>
  <c r="N52" i="4"/>
  <c r="F78" i="4"/>
  <c r="G80" i="4"/>
  <c r="R51" i="4"/>
  <c r="N51" i="4"/>
  <c r="AA51" i="4"/>
  <c r="L88" i="4"/>
  <c r="Y72" i="4"/>
  <c r="F32" i="4"/>
  <c r="C13" i="25" s="1"/>
  <c r="R83" i="4"/>
  <c r="Y76" i="4"/>
  <c r="F73" i="4"/>
  <c r="F70" i="4"/>
  <c r="F75" i="4"/>
  <c r="G77" i="4"/>
  <c r="AA48" i="4"/>
  <c r="R48" i="4"/>
  <c r="N48" i="4"/>
  <c r="N31" i="4"/>
  <c r="R31" i="4"/>
  <c r="V31" i="4"/>
  <c r="AA31" i="4"/>
  <c r="Q88" i="4"/>
  <c r="N69" i="4"/>
  <c r="N23" i="4"/>
  <c r="V23" i="4"/>
  <c r="R23" i="4"/>
  <c r="AA23" i="4"/>
  <c r="R22" i="4"/>
  <c r="V22" i="4"/>
  <c r="N22" i="4"/>
  <c r="AA22" i="4"/>
  <c r="R88" i="4"/>
  <c r="Y88" i="4"/>
  <c r="Q69" i="4"/>
  <c r="F68" i="4"/>
  <c r="F61" i="4"/>
  <c r="T85" i="4"/>
  <c r="N21" i="4"/>
  <c r="AA21" i="4"/>
  <c r="V21" i="4"/>
  <c r="R21" i="4"/>
  <c r="N83" i="4"/>
  <c r="N76" i="4"/>
  <c r="AA76" i="4"/>
  <c r="G73" i="4"/>
  <c r="R44" i="4"/>
  <c r="N44" i="4"/>
  <c r="AA44" i="4"/>
  <c r="G70" i="4"/>
  <c r="N41" i="4"/>
  <c r="R41" i="4"/>
  <c r="AA41" i="4"/>
  <c r="R46" i="4"/>
  <c r="G75" i="4"/>
  <c r="AA46" i="4"/>
  <c r="N46" i="4"/>
  <c r="F77" i="4"/>
  <c r="R28" i="4"/>
  <c r="V28" i="4"/>
  <c r="N28" i="4"/>
  <c r="AA28" i="4"/>
  <c r="V13" i="4"/>
  <c r="N13" i="4"/>
  <c r="AA13" i="4"/>
  <c r="R13" i="4"/>
  <c r="P88" i="4"/>
  <c r="V69" i="4"/>
  <c r="AA69" i="4"/>
  <c r="T72" i="4"/>
  <c r="V20" i="4"/>
  <c r="AA20" i="4"/>
  <c r="R20" i="4"/>
  <c r="N20" i="4"/>
  <c r="AA88" i="4"/>
  <c r="P69" i="4"/>
  <c r="U69" i="4"/>
  <c r="R10" i="4"/>
  <c r="V10" i="4"/>
  <c r="G32" i="4"/>
  <c r="C14" i="25" s="1"/>
  <c r="N10" i="4"/>
  <c r="AA10" i="4"/>
  <c r="Q85" i="4"/>
  <c r="N50" i="4"/>
  <c r="G79" i="4"/>
  <c r="R50" i="4"/>
  <c r="AA50" i="4"/>
  <c r="L83" i="4"/>
  <c r="Y83" i="4"/>
  <c r="V76" i="4"/>
  <c r="L76" i="4"/>
  <c r="N17" i="4"/>
  <c r="R17" i="4"/>
  <c r="AA17" i="4"/>
  <c r="V17" i="4"/>
  <c r="AA19" i="4"/>
  <c r="N19" i="4"/>
  <c r="R19" i="4"/>
  <c r="V19" i="4"/>
  <c r="F89" i="4"/>
  <c r="F86" i="4"/>
  <c r="G71" i="4"/>
  <c r="AA42" i="4"/>
  <c r="N42" i="4"/>
  <c r="R42" i="4"/>
  <c r="T88" i="4"/>
  <c r="R69" i="4"/>
  <c r="F81" i="4"/>
  <c r="G78" i="4"/>
  <c r="N49" i="4"/>
  <c r="R49" i="4"/>
  <c r="AA49" i="4"/>
  <c r="F80" i="4"/>
  <c r="V88" i="4"/>
  <c r="N88" i="4"/>
  <c r="T69" i="4"/>
  <c r="G68" i="4"/>
  <c r="R39" i="4"/>
  <c r="G61" i="4"/>
  <c r="AA39" i="4"/>
  <c r="N39" i="4"/>
  <c r="U85" i="4"/>
  <c r="P85" i="4"/>
  <c r="F79" i="4"/>
  <c r="AA83" i="4"/>
  <c r="V83" i="4"/>
  <c r="R76" i="4"/>
  <c r="R15" i="4"/>
  <c r="N15" i="4"/>
  <c r="V15" i="4"/>
  <c r="AA15" i="4"/>
  <c r="AA12" i="4"/>
  <c r="V12" i="4"/>
  <c r="N12" i="4"/>
  <c r="R12" i="4"/>
  <c r="U72" i="4" l="1"/>
  <c r="Z79" i="4"/>
  <c r="Z89" i="4"/>
  <c r="L84" i="4"/>
  <c r="Z73" i="4"/>
  <c r="Z77" i="4"/>
  <c r="Z81" i="4"/>
  <c r="Z75" i="4"/>
  <c r="Z68" i="4"/>
  <c r="Z70" i="4"/>
  <c r="Z86" i="4"/>
  <c r="Z80" i="4"/>
  <c r="Z71" i="4"/>
  <c r="Z72" i="4"/>
  <c r="L72" i="4"/>
  <c r="Z61" i="4"/>
  <c r="Z32" i="4"/>
  <c r="Z78" i="4"/>
  <c r="U84" i="4"/>
  <c r="Q32" i="4"/>
  <c r="C27" i="25" s="1"/>
  <c r="L32" i="4"/>
  <c r="C22" i="25" s="1"/>
  <c r="U81" i="4"/>
  <c r="Y71" i="4"/>
  <c r="V71" i="4"/>
  <c r="Q84" i="4"/>
  <c r="P80" i="4"/>
  <c r="T81" i="4"/>
  <c r="R71" i="4"/>
  <c r="T84" i="4"/>
  <c r="R78" i="4"/>
  <c r="T86" i="4"/>
  <c r="T77" i="4"/>
  <c r="Q86" i="4"/>
  <c r="T80" i="4"/>
  <c r="AA71" i="4"/>
  <c r="V79" i="4"/>
  <c r="Y78" i="4"/>
  <c r="T79" i="4"/>
  <c r="L78" i="4"/>
  <c r="L71" i="4"/>
  <c r="Q89" i="4"/>
  <c r="R79" i="4"/>
  <c r="P77" i="4"/>
  <c r="Q79" i="4"/>
  <c r="Q81" i="4"/>
  <c r="P86" i="4"/>
  <c r="Q80" i="4"/>
  <c r="AA79" i="4"/>
  <c r="V78" i="4"/>
  <c r="N78" i="4"/>
  <c r="P81" i="4"/>
  <c r="U89" i="4"/>
  <c r="T89" i="4"/>
  <c r="Q77" i="4"/>
  <c r="L75" i="4"/>
  <c r="AA73" i="4"/>
  <c r="P75" i="4"/>
  <c r="P70" i="4"/>
  <c r="R80" i="4"/>
  <c r="Q71" i="4"/>
  <c r="Y89" i="4"/>
  <c r="V75" i="4"/>
  <c r="V70" i="4"/>
  <c r="L77" i="4"/>
  <c r="T70" i="4"/>
  <c r="Q73" i="4"/>
  <c r="L86" i="4"/>
  <c r="R86" i="4"/>
  <c r="R68" i="4"/>
  <c r="R61" i="4"/>
  <c r="D28" i="25" s="1"/>
  <c r="V32" i="4"/>
  <c r="C33" i="25" s="1"/>
  <c r="Y73" i="4"/>
  <c r="T75" i="4"/>
  <c r="Q70" i="4"/>
  <c r="P32" i="4"/>
  <c r="C26" i="25" s="1"/>
  <c r="V80" i="4"/>
  <c r="V81" i="4"/>
  <c r="T71" i="4"/>
  <c r="L89" i="4"/>
  <c r="U79" i="4"/>
  <c r="AA68" i="4"/>
  <c r="AA61" i="4"/>
  <c r="D39" i="25" s="1"/>
  <c r="V68" i="4"/>
  <c r="V61" i="4"/>
  <c r="D33" i="25" s="1"/>
  <c r="U80" i="4"/>
  <c r="N71" i="4"/>
  <c r="U86" i="4"/>
  <c r="Y79" i="4"/>
  <c r="N79" i="4"/>
  <c r="N32" i="4"/>
  <c r="C24" i="25" s="1"/>
  <c r="R32" i="4"/>
  <c r="C28" i="25" s="1"/>
  <c r="U77" i="4"/>
  <c r="Y75" i="4"/>
  <c r="R75" i="4"/>
  <c r="R70" i="4"/>
  <c r="V73" i="4"/>
  <c r="R73" i="4"/>
  <c r="Q61" i="4"/>
  <c r="D27" i="25" s="1"/>
  <c r="Q68" i="4"/>
  <c r="N77" i="4"/>
  <c r="V77" i="4"/>
  <c r="U75" i="4"/>
  <c r="U70" i="4"/>
  <c r="T73" i="4"/>
  <c r="U32" i="4"/>
  <c r="C32" i="25" s="1"/>
  <c r="AA80" i="4"/>
  <c r="Y80" i="4"/>
  <c r="Q78" i="4"/>
  <c r="L81" i="4"/>
  <c r="R81" i="4"/>
  <c r="U71" i="4"/>
  <c r="Y86" i="4"/>
  <c r="AA89" i="4"/>
  <c r="Y68" i="4"/>
  <c r="Y61" i="4"/>
  <c r="D38" i="25" s="1"/>
  <c r="N70" i="4"/>
  <c r="D13" i="25"/>
  <c r="E13" i="25" s="1"/>
  <c r="F90" i="4"/>
  <c r="R77" i="4"/>
  <c r="T78" i="4"/>
  <c r="L70" i="4"/>
  <c r="U68" i="4"/>
  <c r="U61" i="4"/>
  <c r="D32" i="25" s="1"/>
  <c r="U73" i="4"/>
  <c r="T32" i="4"/>
  <c r="C31" i="25" s="1"/>
  <c r="L80" i="4"/>
  <c r="Y81" i="4"/>
  <c r="V86" i="4"/>
  <c r="R89" i="4"/>
  <c r="P79" i="4"/>
  <c r="N68" i="4"/>
  <c r="N61" i="4"/>
  <c r="D24" i="25" s="1"/>
  <c r="G90" i="4"/>
  <c r="D14" i="25"/>
  <c r="E14" i="25" s="1"/>
  <c r="AA78" i="4"/>
  <c r="P89" i="4"/>
  <c r="L79" i="4"/>
  <c r="Y32" i="4"/>
  <c r="C38" i="25" s="1"/>
  <c r="N75" i="4"/>
  <c r="AA70" i="4"/>
  <c r="Y70" i="4"/>
  <c r="N73" i="4"/>
  <c r="L73" i="4"/>
  <c r="T68" i="4"/>
  <c r="T61" i="4"/>
  <c r="D31" i="25" s="1"/>
  <c r="AA77" i="4"/>
  <c r="Q75" i="4"/>
  <c r="P73" i="4"/>
  <c r="N80" i="4"/>
  <c r="U78" i="4"/>
  <c r="N81" i="4"/>
  <c r="AA81" i="4"/>
  <c r="P71" i="4"/>
  <c r="N86" i="4"/>
  <c r="AA86" i="4"/>
  <c r="N89" i="4"/>
  <c r="V89" i="4"/>
  <c r="L68" i="4"/>
  <c r="L61" i="4"/>
  <c r="D22" i="25" s="1"/>
  <c r="AA32" i="4"/>
  <c r="C39" i="25" s="1"/>
  <c r="AA75" i="4"/>
  <c r="P61" i="4"/>
  <c r="D26" i="25" s="1"/>
  <c r="P68" i="4"/>
  <c r="Y77" i="4"/>
  <c r="P78" i="4"/>
  <c r="Z90" i="4" l="1"/>
  <c r="E24" i="25"/>
  <c r="C46" i="25"/>
  <c r="C54" i="25" s="1"/>
  <c r="E32" i="25"/>
  <c r="L90" i="4"/>
  <c r="T90" i="4"/>
  <c r="Q90" i="4"/>
  <c r="P90" i="4"/>
  <c r="E22" i="25"/>
  <c r="D46" i="25"/>
  <c r="E33" i="25"/>
  <c r="N90" i="4"/>
  <c r="E38" i="25"/>
  <c r="V90" i="4"/>
  <c r="C47" i="25"/>
  <c r="D47" i="25"/>
  <c r="E26" i="25"/>
  <c r="E31" i="25"/>
  <c r="U90" i="4"/>
  <c r="Y90" i="4"/>
  <c r="E27" i="25"/>
  <c r="E39" i="25"/>
  <c r="E28" i="25"/>
  <c r="AA90" i="4"/>
  <c r="R90" i="4"/>
  <c r="E46" i="25" l="1"/>
  <c r="D54" i="25"/>
  <c r="E54" i="25" s="1"/>
  <c r="E47" i="25"/>
  <c r="H189" i="7"/>
  <c r="I189" i="7" s="1"/>
  <c r="I5" i="8" l="1"/>
  <c r="J189" i="7"/>
  <c r="G234" i="17" s="1"/>
  <c r="H38" i="4" s="1"/>
  <c r="H9" i="4" l="1"/>
  <c r="AD9" i="4" s="1"/>
  <c r="AD38" i="4"/>
  <c r="AB38" i="4"/>
  <c r="W38" i="4"/>
  <c r="H67" i="4" l="1"/>
  <c r="W9" i="4"/>
  <c r="W67" i="4" s="1"/>
  <c r="AB9" i="4"/>
  <c r="AB67" i="4" s="1"/>
  <c r="AD67" i="4"/>
  <c r="H192" i="7"/>
  <c r="I192" i="7" s="1"/>
  <c r="H193" i="7"/>
  <c r="I193" i="7" s="1"/>
  <c r="H207" i="7"/>
  <c r="I207" i="7" s="1"/>
  <c r="J207" i="7" s="1"/>
  <c r="G252" i="17" s="1"/>
  <c r="H201" i="7"/>
  <c r="I201" i="7" s="1"/>
  <c r="J201" i="7" s="1"/>
  <c r="G246" i="17" s="1"/>
  <c r="H198" i="7"/>
  <c r="I198" i="7" s="1"/>
  <c r="H205" i="7"/>
  <c r="I205" i="7" s="1"/>
  <c r="J205" i="7" s="1"/>
  <c r="G250" i="17" s="1"/>
  <c r="H208" i="7"/>
  <c r="I208" i="7" s="1"/>
  <c r="J208" i="7"/>
  <c r="G253" i="17" s="1"/>
  <c r="H200" i="7"/>
  <c r="I200" i="7" s="1"/>
  <c r="H206" i="7"/>
  <c r="I206" i="7" s="1"/>
  <c r="H202" i="7"/>
  <c r="I202" i="7" s="1"/>
  <c r="H195" i="7"/>
  <c r="I195" i="7" s="1"/>
  <c r="H203" i="7"/>
  <c r="I203" i="7" s="1"/>
  <c r="J203" i="7"/>
  <c r="G248" i="17" s="1"/>
  <c r="H199" i="7"/>
  <c r="I199" i="7" s="1"/>
  <c r="J199" i="7"/>
  <c r="G244" i="17" s="1"/>
  <c r="H210" i="7"/>
  <c r="I210" i="7" s="1"/>
  <c r="J210" i="7"/>
  <c r="G255" i="17" s="1"/>
  <c r="H211" i="7"/>
  <c r="I211" i="7" s="1"/>
  <c r="J211" i="7"/>
  <c r="G256" i="17" s="1"/>
  <c r="H191" i="7"/>
  <c r="I191" i="7" s="1"/>
  <c r="J191" i="7" s="1"/>
  <c r="G236" i="17" s="1"/>
  <c r="H194" i="7"/>
  <c r="I194" i="7" s="1"/>
  <c r="H190" i="7"/>
  <c r="I190" i="7" s="1"/>
  <c r="H197" i="7"/>
  <c r="I197" i="7" s="1"/>
  <c r="J197" i="7" l="1"/>
  <c r="G242" i="17" s="1"/>
  <c r="H17" i="4" s="1"/>
  <c r="J194" i="7"/>
  <c r="G239" i="17" s="1"/>
  <c r="H43" i="4" s="1"/>
  <c r="J202" i="7"/>
  <c r="G247" i="17" s="1"/>
  <c r="E78" i="24" s="1"/>
  <c r="J200" i="7"/>
  <c r="G245" i="17" s="1"/>
  <c r="E76" i="24" s="1"/>
  <c r="J190" i="7"/>
  <c r="G235" i="17" s="1"/>
  <c r="H39" i="4" s="1"/>
  <c r="J206" i="7"/>
  <c r="G251" i="17" s="1"/>
  <c r="H55" i="4" s="1"/>
  <c r="H30" i="4"/>
  <c r="H59" i="4"/>
  <c r="H11" i="4"/>
  <c r="H40" i="4"/>
  <c r="H50" i="4"/>
  <c r="H21" i="4"/>
  <c r="E77" i="24"/>
  <c r="H27" i="4"/>
  <c r="H56" i="4"/>
  <c r="H23" i="4"/>
  <c r="H52" i="4"/>
  <c r="E79" i="24"/>
  <c r="H28" i="4"/>
  <c r="H57" i="4"/>
  <c r="H31" i="4"/>
  <c r="H60" i="4"/>
  <c r="H19" i="4"/>
  <c r="H48" i="4"/>
  <c r="E75" i="24"/>
  <c r="H25" i="4"/>
  <c r="H54" i="4"/>
  <c r="E81" i="24"/>
  <c r="J195" i="7"/>
  <c r="G240" i="17" s="1"/>
  <c r="J198" i="7"/>
  <c r="G243" i="17" s="1"/>
  <c r="J193" i="7"/>
  <c r="G238" i="17" s="1"/>
  <c r="J192" i="7"/>
  <c r="G237" i="17" s="1"/>
  <c r="H51" i="4" l="1"/>
  <c r="W51" i="4" s="1"/>
  <c r="H49" i="4"/>
  <c r="AD49" i="4" s="1"/>
  <c r="H20" i="4"/>
  <c r="AB20" i="4" s="1"/>
  <c r="H22" i="4"/>
  <c r="AB22" i="4" s="1"/>
  <c r="H14" i="4"/>
  <c r="AD14" i="4" s="1"/>
  <c r="H26" i="4"/>
  <c r="AB26" i="4" s="1"/>
  <c r="H10" i="4"/>
  <c r="AD10" i="4" s="1"/>
  <c r="H46" i="4"/>
  <c r="AD46" i="4" s="1"/>
  <c r="AB48" i="4"/>
  <c r="H77" i="4"/>
  <c r="W48" i="4"/>
  <c r="AD48" i="4"/>
  <c r="H13" i="4"/>
  <c r="H42" i="4"/>
  <c r="W54" i="4"/>
  <c r="AB54" i="4"/>
  <c r="AD54" i="4"/>
  <c r="H83" i="4"/>
  <c r="W19" i="4"/>
  <c r="AB19" i="4"/>
  <c r="AD19" i="4"/>
  <c r="H81" i="4"/>
  <c r="AD52" i="4"/>
  <c r="W52" i="4"/>
  <c r="AB52" i="4"/>
  <c r="T76" i="24"/>
  <c r="L76" i="24"/>
  <c r="P76" i="24"/>
  <c r="Y76" i="24"/>
  <c r="AB21" i="4"/>
  <c r="AD21" i="4"/>
  <c r="W21" i="4"/>
  <c r="H69" i="4"/>
  <c r="W40" i="4"/>
  <c r="AB40" i="4"/>
  <c r="AD40" i="4"/>
  <c r="T81" i="24"/>
  <c r="P81" i="24"/>
  <c r="Y81" i="24"/>
  <c r="L81" i="24"/>
  <c r="L79" i="24"/>
  <c r="T79" i="24"/>
  <c r="P79" i="24"/>
  <c r="Y79" i="24"/>
  <c r="Y77" i="24"/>
  <c r="T77" i="24"/>
  <c r="P77" i="24"/>
  <c r="L77" i="24"/>
  <c r="AD30" i="4"/>
  <c r="W30" i="4"/>
  <c r="AB30" i="4"/>
  <c r="H18" i="4"/>
  <c r="H47" i="4"/>
  <c r="W25" i="4"/>
  <c r="AB25" i="4"/>
  <c r="AD25" i="4"/>
  <c r="H89" i="4"/>
  <c r="AD60" i="4"/>
  <c r="W60" i="4"/>
  <c r="AB60" i="4"/>
  <c r="W57" i="4"/>
  <c r="AD57" i="4"/>
  <c r="H86" i="4"/>
  <c r="AB57" i="4"/>
  <c r="W23" i="4"/>
  <c r="AB23" i="4"/>
  <c r="AD23" i="4"/>
  <c r="H79" i="4"/>
  <c r="AD50" i="4"/>
  <c r="AB50" i="4"/>
  <c r="W50" i="4"/>
  <c r="AD11" i="4"/>
  <c r="W11" i="4"/>
  <c r="AB11" i="4"/>
  <c r="Y78" i="24"/>
  <c r="P78" i="24"/>
  <c r="T78" i="24"/>
  <c r="L78" i="24"/>
  <c r="H41" i="4"/>
  <c r="H12" i="4"/>
  <c r="AB39" i="4"/>
  <c r="W39" i="4"/>
  <c r="AD39" i="4"/>
  <c r="AD27" i="4"/>
  <c r="W27" i="4"/>
  <c r="AB27" i="4"/>
  <c r="AD55" i="4"/>
  <c r="AB55" i="4"/>
  <c r="W55" i="4"/>
  <c r="AB43" i="4"/>
  <c r="AD43" i="4"/>
  <c r="W43" i="4"/>
  <c r="H15" i="4"/>
  <c r="H44" i="4"/>
  <c r="P75" i="24"/>
  <c r="E90" i="24"/>
  <c r="L75" i="24"/>
  <c r="T75" i="24"/>
  <c r="Y75" i="24"/>
  <c r="W31" i="4"/>
  <c r="AB31" i="4"/>
  <c r="AD31" i="4"/>
  <c r="W28" i="4"/>
  <c r="AD28" i="4"/>
  <c r="AB28" i="4"/>
  <c r="AD56" i="4"/>
  <c r="H85" i="4"/>
  <c r="AB56" i="4"/>
  <c r="W56" i="4"/>
  <c r="H88" i="4"/>
  <c r="W59" i="4"/>
  <c r="AD59" i="4"/>
  <c r="AB59" i="4"/>
  <c r="AD17" i="4"/>
  <c r="W17" i="4"/>
  <c r="AB17" i="4"/>
  <c r="AB51" i="4" l="1"/>
  <c r="AB80" i="4" s="1"/>
  <c r="AD26" i="4"/>
  <c r="AD84" i="4" s="1"/>
  <c r="H84" i="4"/>
  <c r="AB49" i="4"/>
  <c r="AB78" i="4" s="1"/>
  <c r="AD51" i="4"/>
  <c r="W20" i="4"/>
  <c r="AB14" i="4"/>
  <c r="AB72" i="4" s="1"/>
  <c r="W49" i="4"/>
  <c r="W26" i="4"/>
  <c r="W84" i="4" s="1"/>
  <c r="AD85" i="4"/>
  <c r="AB46" i="4"/>
  <c r="AB75" i="4" s="1"/>
  <c r="W46" i="4"/>
  <c r="W75" i="4" s="1"/>
  <c r="W22" i="4"/>
  <c r="W80" i="4" s="1"/>
  <c r="H80" i="4"/>
  <c r="AD20" i="4"/>
  <c r="AD78" i="4" s="1"/>
  <c r="H68" i="4"/>
  <c r="H78" i="4"/>
  <c r="AB85" i="4"/>
  <c r="H72" i="4"/>
  <c r="AD22" i="4"/>
  <c r="H75" i="4"/>
  <c r="W14" i="4"/>
  <c r="W72" i="4" s="1"/>
  <c r="AB10" i="4"/>
  <c r="AB68" i="4" s="1"/>
  <c r="W10" i="4"/>
  <c r="W68" i="4" s="1"/>
  <c r="AD79" i="4"/>
  <c r="W88" i="4"/>
  <c r="L90" i="24"/>
  <c r="W85" i="4"/>
  <c r="AB88" i="4"/>
  <c r="AD72" i="4"/>
  <c r="AB79" i="4"/>
  <c r="AD77" i="4"/>
  <c r="AB83" i="4"/>
  <c r="W86" i="4"/>
  <c r="H61" i="4"/>
  <c r="D15" i="25" s="1"/>
  <c r="AD69" i="4"/>
  <c r="AD12" i="4"/>
  <c r="AB12" i="4"/>
  <c r="W12" i="4"/>
  <c r="AB86" i="4"/>
  <c r="AB89" i="4"/>
  <c r="AD18" i="4"/>
  <c r="W18" i="4"/>
  <c r="AB18" i="4"/>
  <c r="AB69" i="4"/>
  <c r="AD81" i="4"/>
  <c r="W83" i="4"/>
  <c r="W77" i="4"/>
  <c r="AB15" i="4"/>
  <c r="W15" i="4"/>
  <c r="AD15" i="4"/>
  <c r="AD68" i="4"/>
  <c r="W81" i="4"/>
  <c r="Y90" i="24"/>
  <c r="P90" i="24"/>
  <c r="AB84" i="4"/>
  <c r="H70" i="4"/>
  <c r="W41" i="4"/>
  <c r="AD41" i="4"/>
  <c r="AB41" i="4"/>
  <c r="AD75" i="4"/>
  <c r="W79" i="4"/>
  <c r="W89" i="4"/>
  <c r="W69" i="4"/>
  <c r="H32" i="4"/>
  <c r="C15" i="25" s="1"/>
  <c r="AD42" i="4"/>
  <c r="H71" i="4"/>
  <c r="W42" i="4"/>
  <c r="AB42" i="4"/>
  <c r="AD47" i="4"/>
  <c r="H76" i="4"/>
  <c r="AB47" i="4"/>
  <c r="W47" i="4"/>
  <c r="AD88" i="4"/>
  <c r="T90" i="24"/>
  <c r="W44" i="4"/>
  <c r="H73" i="4"/>
  <c r="AB44" i="4"/>
  <c r="AD44" i="4"/>
  <c r="AD86" i="4"/>
  <c r="AD89" i="4"/>
  <c r="AB81" i="4"/>
  <c r="AD83" i="4"/>
  <c r="AD13" i="4"/>
  <c r="W13" i="4"/>
  <c r="AB13" i="4"/>
  <c r="AB77" i="4"/>
  <c r="W78" i="4" l="1"/>
  <c r="AD80" i="4"/>
  <c r="AD76" i="4"/>
  <c r="AB76" i="4"/>
  <c r="AD32" i="4"/>
  <c r="C42" i="25" s="1"/>
  <c r="C50" i="25" s="1"/>
  <c r="C57" i="25" s="1"/>
  <c r="AD73" i="4"/>
  <c r="AD70" i="4"/>
  <c r="W76" i="4"/>
  <c r="W73" i="4"/>
  <c r="AB73" i="4"/>
  <c r="W70" i="4"/>
  <c r="W32" i="4"/>
  <c r="C34" i="25" s="1"/>
  <c r="C48" i="25" s="1"/>
  <c r="C55" i="25" s="1"/>
  <c r="AB32" i="4"/>
  <c r="C40" i="25" s="1"/>
  <c r="C49" i="25" s="1"/>
  <c r="C56" i="25" s="1"/>
  <c r="W61" i="4"/>
  <c r="D34" i="25" s="1"/>
  <c r="AD71" i="4"/>
  <c r="AB70" i="4"/>
  <c r="AB71" i="4"/>
  <c r="AB61" i="4"/>
  <c r="D40" i="25" s="1"/>
  <c r="W71" i="4"/>
  <c r="H90" i="4"/>
  <c r="AD61" i="4"/>
  <c r="D42" i="25" s="1"/>
  <c r="E15" i="25"/>
  <c r="AD90" i="4" l="1"/>
  <c r="W90" i="4"/>
  <c r="E34" i="25"/>
  <c r="AB90" i="4"/>
  <c r="D48" i="25"/>
  <c r="E48" i="25" s="1"/>
  <c r="E40" i="25"/>
  <c r="D49" i="25"/>
  <c r="E42" i="25"/>
  <c r="D50" i="25"/>
  <c r="D55" i="25" l="1"/>
  <c r="E55" i="25" s="1"/>
  <c r="D57" i="25"/>
  <c r="E57" i="25" s="1"/>
  <c r="E50" i="25"/>
  <c r="D56" i="25"/>
  <c r="E56" i="25" s="1"/>
  <c r="E49" i="25"/>
  <c r="H5" i="8" l="1"/>
  <c r="J5" i="8" s="1"/>
  <c r="O5" i="8"/>
  <c r="C61" i="25"/>
  <c r="E61" i="25" s="1"/>
  <c r="C60" i="25"/>
  <c r="E60" i="25" s="1"/>
  <c r="C64" i="25"/>
  <c r="E64" i="25" s="1"/>
  <c r="C65" i="25"/>
  <c r="E65" i="25" s="1"/>
  <c r="Q5" i="8" l="1"/>
  <c r="N5" i="8"/>
  <c r="M5" i="8"/>
  <c r="K5" i="8"/>
  <c r="L5" i="8"/>
  <c r="R5" i="8"/>
  <c r="P5" i="8"/>
  <c r="S5" i="8"/>
  <c r="T5" i="8"/>
  <c r="E4" i="2"/>
  <c r="R17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Sipke</author>
  </authors>
  <commentList>
    <comment ref="C7" authorId="0" shapeId="0" xr:uid="{00000000-0006-0000-0100-000001000000}">
      <text>
        <r>
          <rPr>
            <sz val="9"/>
            <color indexed="81"/>
            <rFont val="Tahoma"/>
            <family val="2"/>
          </rPr>
          <t xml:space="preserve">
</t>
        </r>
      </text>
    </comment>
    <comment ref="C104" authorId="0" shapeId="0" xr:uid="{00000000-0006-0000-0100-000002000000}">
      <text>
        <r>
          <rPr>
            <b/>
            <sz val="9"/>
            <color indexed="81"/>
            <rFont val="Tahoma"/>
            <family val="2"/>
          </rPr>
          <t>Keep this value 0%.</t>
        </r>
        <r>
          <rPr>
            <sz val="9"/>
            <color indexed="81"/>
            <rFont val="Tahoma"/>
            <family val="2"/>
          </rPr>
          <t xml:space="preserve">
Idee: kinderen &lt;6m kunnen niet gevaccineerd worden.
</t>
        </r>
      </text>
    </comment>
    <comment ref="H104" authorId="0" shapeId="0" xr:uid="{00000000-0006-0000-0100-000003000000}">
      <text>
        <r>
          <rPr>
            <b/>
            <sz val="9"/>
            <color indexed="81"/>
            <rFont val="Tahoma"/>
            <family val="2"/>
          </rPr>
          <t>Keep this value 0%.</t>
        </r>
        <r>
          <rPr>
            <sz val="9"/>
            <color indexed="81"/>
            <rFont val="Tahoma"/>
            <family val="2"/>
          </rPr>
          <t xml:space="preserve">
Idee: kinderen &lt;6m kunnen niet gevaccineerd worden.
</t>
        </r>
      </text>
    </comment>
    <comment ref="C106" authorId="0" shapeId="0" xr:uid="{00000000-0006-0000-0100-000004000000}">
      <text>
        <r>
          <rPr>
            <b/>
            <sz val="9"/>
            <color indexed="81"/>
            <rFont val="Tahoma"/>
            <family val="2"/>
          </rPr>
          <t>Keep this value 0%.</t>
        </r>
        <r>
          <rPr>
            <sz val="9"/>
            <color indexed="81"/>
            <rFont val="Tahoma"/>
            <family val="2"/>
          </rPr>
          <t xml:space="preserve">
Idee: kinderen &lt;6m kunnen niet gevaccineerd worden.
</t>
        </r>
      </text>
    </comment>
    <comment ref="H106" authorId="0" shapeId="0" xr:uid="{00000000-0006-0000-0100-000005000000}">
      <text>
        <r>
          <rPr>
            <b/>
            <sz val="9"/>
            <color indexed="81"/>
            <rFont val="Tahoma"/>
            <family val="2"/>
          </rPr>
          <t>Keep this value 0%.</t>
        </r>
        <r>
          <rPr>
            <sz val="9"/>
            <color indexed="81"/>
            <rFont val="Tahoma"/>
            <family val="2"/>
          </rPr>
          <t xml:space="preserve">
Idee: kinderen &lt;6m kunnen niet gevaccineerd worden.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S9" authorId="0" shapeId="0" xr:uid="{00000000-0006-0000-1200-000001000000}">
      <text>
        <r>
          <rPr>
            <sz val="10"/>
            <rFont val="Arial"/>
            <family val="2"/>
          </rPr>
          <t xml:space="preserve">[12] Job coverage: Main job currently held
</t>
        </r>
      </text>
    </comment>
    <comment ref="DT9" authorId="0" shapeId="0" xr:uid="{00000000-0006-0000-1200-000002000000}">
      <text>
        <r>
          <rPr>
            <sz val="10"/>
            <rFont val="Arial"/>
            <family val="2"/>
          </rPr>
          <t xml:space="preserve">[12] Job coverage: Main job currently held
</t>
        </r>
      </text>
    </comment>
    <comment ref="DU9" authorId="0" shapeId="0" xr:uid="{00000000-0006-0000-1200-000003000000}">
      <text>
        <r>
          <rPr>
            <sz val="10"/>
            <rFont val="Arial"/>
            <family val="2"/>
          </rPr>
          <t xml:space="preserve">[12] Job coverage: Main job currently held
</t>
        </r>
      </text>
    </comment>
    <comment ref="DV9" authorId="0" shapeId="0" xr:uid="{00000000-0006-0000-1200-000004000000}">
      <text>
        <r>
          <rPr>
            <sz val="10"/>
            <rFont val="Arial"/>
            <family val="2"/>
          </rPr>
          <t xml:space="preserve">[12] Job coverage: Main job currently held
</t>
        </r>
      </text>
    </comment>
    <comment ref="DW9" authorId="0" shapeId="0" xr:uid="{00000000-0006-0000-1200-000005000000}">
      <text>
        <r>
          <rPr>
            <sz val="10"/>
            <rFont val="Arial"/>
            <family val="2"/>
          </rPr>
          <t xml:space="preserve">[12] Job coverage: Main job currently held
</t>
        </r>
      </text>
    </comment>
    <comment ref="DN10" authorId="0" shapeId="0" xr:uid="{00000000-0006-0000-1200-000006000000}">
      <text>
        <r>
          <rPr>
            <sz val="10"/>
            <rFont val="Arial"/>
            <family val="2"/>
          </rPr>
          <t xml:space="preserve">[15] Working time concept: Hours usually worked
</t>
        </r>
      </text>
    </comment>
    <comment ref="DN13" authorId="0" shapeId="0" xr:uid="{00000000-0006-0000-1200-000007000000}">
      <text>
        <r>
          <rPr>
            <sz val="10"/>
            <rFont val="Arial"/>
            <family val="2"/>
          </rPr>
          <t xml:space="preserve">[2] Geographical coverage: Urban areas only
[7] Time unit: Per hour
[18] Remarks: Warning on the use of statistical series: Statistical series published after January 2007 and before December 2015 should be used with caution.  The INDEC, based on  what is stated in decrees 181/15 and 55/16,  is undertaking the investigations required to ensure the regularity of data collection, processing and dissemination procedures.
</t>
        </r>
      </text>
    </comment>
    <comment ref="ED13" authorId="0" shapeId="0" xr:uid="{00000000-0006-0000-1200-000008000000}">
      <text>
        <r>
          <rPr>
            <sz val="10"/>
            <rFont val="Arial"/>
            <family val="2"/>
          </rPr>
          <t xml:space="preserve">[2] Geographical coverage: Main cities or metropolitan areas
</t>
        </r>
      </text>
    </comment>
    <comment ref="EE13" authorId="0" shapeId="0" xr:uid="{00000000-0006-0000-1200-000009000000}">
      <text>
        <r>
          <rPr>
            <sz val="10"/>
            <rFont val="Arial"/>
            <family val="2"/>
          </rPr>
          <t xml:space="preserve">[9] Break in series: Other or unspecified type of break
</t>
        </r>
      </text>
    </comment>
    <comment ref="EH13" authorId="0" shapeId="0" xr:uid="{00000000-0006-0000-1200-00000A000000}">
      <text>
        <r>
          <rPr>
            <sz val="10"/>
            <rFont val="Arial"/>
            <family val="2"/>
          </rPr>
          <t xml:space="preserve">[14] Remarks: Warning on the use of statistical series: Statistical series published after January 2007 and before December 2015 should be used with caution.  The INDEC, based on  what is stated in decrees 181/15 and 55/16,  is undertaking the investigations required to ensure the regularity of data collection, processing and dissemination procedures.
</t>
        </r>
      </text>
    </comment>
    <comment ref="DV14" authorId="0" shapeId="0" xr:uid="{00000000-0006-0000-1200-00000B000000}">
      <text>
        <r>
          <rPr>
            <sz val="10"/>
            <rFont val="Arial"/>
            <family val="2"/>
          </rPr>
          <t xml:space="preserve">[12] Job coverage: Main job currently held
</t>
        </r>
      </text>
    </comment>
    <comment ref="DW14" authorId="0" shapeId="0" xr:uid="{00000000-0006-0000-1200-00000C000000}">
      <text>
        <r>
          <rPr>
            <sz val="10"/>
            <rFont val="Arial"/>
            <family val="2"/>
          </rPr>
          <t xml:space="preserve">[11] Central tendency measure: Weighted mean
</t>
        </r>
      </text>
    </comment>
    <comment ref="DN15" authorId="0" shapeId="0" xr:uid="{00000000-0006-0000-1200-00000D000000}">
      <text>
        <r>
          <rPr>
            <sz val="10"/>
            <rFont val="Arial"/>
            <family val="2"/>
          </rPr>
          <t xml:space="preserve">[12] Job coverage: Main job currently held
</t>
        </r>
      </text>
    </comment>
    <comment ref="DS17" authorId="0" shapeId="0" xr:uid="{00000000-0006-0000-1200-00000E000000}">
      <text>
        <r>
          <rPr>
            <sz val="10"/>
            <rFont val="Arial"/>
            <family val="2"/>
          </rPr>
          <t xml:space="preserve">[17] Break in series: Definition(s) revised
</t>
        </r>
      </text>
    </comment>
    <comment ref="DN18" authorId="0" shapeId="0" xr:uid="{00000000-0006-0000-1200-00000F000000}">
      <text>
        <r>
          <rPr>
            <sz val="10"/>
            <rFont val="Arial"/>
            <family val="2"/>
          </rPr>
          <t xml:space="preserve">[8] Time unit: Per month
</t>
        </r>
      </text>
    </comment>
    <comment ref="DS24" authorId="0" shapeId="0" xr:uid="{00000000-0006-0000-1200-000010000000}">
      <text>
        <r>
          <rPr>
            <sz val="10"/>
            <rFont val="Arial"/>
            <family val="2"/>
          </rPr>
          <t xml:space="preserve">[17] Break in series: Definition(s) revised
</t>
        </r>
      </text>
    </comment>
    <comment ref="EJ24" authorId="0" shapeId="0" xr:uid="{00000000-0006-0000-1200-000011000000}">
      <text>
        <r>
          <rPr>
            <sz val="10"/>
            <rFont val="Arial"/>
            <family val="2"/>
          </rPr>
          <t xml:space="preserve">[12] Break in series: Definition(s) revised
[10] Break in series: Methodology revised
</t>
        </r>
      </text>
    </comment>
    <comment ref="DN25" authorId="0" shapeId="0" xr:uid="{00000000-0006-0000-1200-000012000000}">
      <text>
        <r>
          <rPr>
            <sz val="10"/>
            <rFont val="Arial"/>
            <family val="2"/>
          </rPr>
          <t xml:space="preserve">[12] Job coverage: Main job currently held
</t>
        </r>
      </text>
    </comment>
    <comment ref="DN27" authorId="0" shapeId="0" xr:uid="{00000000-0006-0000-1200-000013000000}">
      <text>
        <r>
          <rPr>
            <sz val="10"/>
            <rFont val="Arial"/>
            <family val="2"/>
          </rPr>
          <t xml:space="preserve">[12] Job coverage: Main job currently held
</t>
        </r>
      </text>
    </comment>
    <comment ref="DN28" authorId="0" shapeId="0" xr:uid="{00000000-0006-0000-1200-000014000000}">
      <text>
        <r>
          <rPr>
            <sz val="10"/>
            <rFont val="Arial"/>
            <family val="2"/>
          </rPr>
          <t xml:space="preserve">[12] Job coverage: Main job currently held
</t>
        </r>
      </text>
    </comment>
    <comment ref="DN29" authorId="0" shapeId="0" xr:uid="{00000000-0006-0000-1200-000015000000}">
      <text>
        <r>
          <rPr>
            <sz val="10"/>
            <rFont val="Arial"/>
            <family val="2"/>
          </rPr>
          <t xml:space="preserve">[15] Working time concept: Hours usually worked
</t>
        </r>
      </text>
    </comment>
    <comment ref="DP33" authorId="0" shapeId="0" xr:uid="{00000000-0006-0000-1200-000016000000}">
      <text>
        <r>
          <rPr>
            <sz val="10"/>
            <rFont val="Arial"/>
            <family val="2"/>
          </rPr>
          <t xml:space="preserve">[17] Break in series: Definition(s) revised
</t>
        </r>
      </text>
    </comment>
    <comment ref="DR33" authorId="0" shapeId="0" xr:uid="{00000000-0006-0000-1200-000017000000}">
      <text>
        <r>
          <rPr>
            <sz val="10"/>
            <rFont val="Arial"/>
            <family val="2"/>
          </rPr>
          <t xml:space="preserve">[17] Break in series: Definition(s) revised
</t>
        </r>
      </text>
    </comment>
    <comment ref="DS33" authorId="0" shapeId="0" xr:uid="{00000000-0006-0000-1200-000018000000}">
      <text>
        <r>
          <rPr>
            <sz val="10"/>
            <rFont val="Arial"/>
            <family val="2"/>
          </rPr>
          <t xml:space="preserve">[17] Break in series: Definition(s) revised
</t>
        </r>
      </text>
    </comment>
    <comment ref="EG33" authorId="0" shapeId="0" xr:uid="{00000000-0006-0000-1200-000019000000}">
      <text>
        <r>
          <rPr>
            <sz val="10"/>
            <rFont val="Arial"/>
            <family val="2"/>
          </rPr>
          <t xml:space="preserve">[12] Break in series: Definition(s) revised
[10] Break in series: Methodology revised
</t>
        </r>
      </text>
    </comment>
    <comment ref="EI33" authorId="0" shapeId="0" xr:uid="{00000000-0006-0000-1200-00001A000000}">
      <text>
        <r>
          <rPr>
            <sz val="10"/>
            <rFont val="Arial"/>
            <family val="2"/>
          </rPr>
          <t xml:space="preserve">[12] Break in series: Definition(s) revised
[10] Break in series: Methodology revised
</t>
        </r>
      </text>
    </comment>
    <comment ref="EJ33" authorId="0" shapeId="0" xr:uid="{00000000-0006-0000-1200-00001B000000}">
      <text>
        <r>
          <rPr>
            <sz val="10"/>
            <rFont val="Arial"/>
            <family val="2"/>
          </rPr>
          <t xml:space="preserve">[12] Break in series: Definition(s) revised
[10] Break in series: Methodology revised
</t>
        </r>
      </text>
    </comment>
    <comment ref="DN37" authorId="0" shapeId="0" xr:uid="{00000000-0006-0000-1200-00001C000000}">
      <text>
        <r>
          <rPr>
            <sz val="10"/>
            <rFont val="Arial"/>
            <family val="2"/>
          </rPr>
          <t xml:space="preserve">[12] Job coverage: Main job currently held
[14] Working time arrangement coverage: Full-time workers
</t>
        </r>
      </text>
    </comment>
    <comment ref="EF37" authorId="0" shapeId="0" xr:uid="{00000000-0006-0000-1200-00001D000000}">
      <text>
        <r>
          <rPr>
            <sz val="10"/>
            <rFont val="Arial"/>
            <family val="2"/>
          </rPr>
          <t xml:space="preserve">[12] Break in series: Definition(s) revised
</t>
        </r>
      </text>
    </comment>
    <comment ref="DN39" authorId="0" shapeId="0" xr:uid="{00000000-0006-0000-1200-00001E000000}">
      <text>
        <r>
          <rPr>
            <sz val="10"/>
            <rFont val="Arial"/>
            <family val="2"/>
          </rPr>
          <t xml:space="preserve">[12] Job coverage: Main job currently held
</t>
        </r>
      </text>
    </comment>
    <comment ref="DN42" authorId="0" shapeId="0" xr:uid="{00000000-0006-0000-1200-00001F000000}">
      <text>
        <r>
          <rPr>
            <sz val="10"/>
            <rFont val="Arial"/>
            <family val="2"/>
          </rPr>
          <t xml:space="preserve">[11] Central tendency measure: Weighted mean
[12] Job coverage: Main job currently held
</t>
        </r>
      </text>
    </comment>
    <comment ref="EE42" authorId="0" shapeId="0" xr:uid="{00000000-0006-0000-1200-000020000000}">
      <text>
        <r>
          <rPr>
            <sz val="10"/>
            <rFont val="Arial"/>
            <family val="2"/>
          </rPr>
          <t xml:space="preserve">[10] Break in series: Methodology revised
</t>
        </r>
      </text>
    </comment>
    <comment ref="EF42" authorId="0" shapeId="0" xr:uid="{00000000-0006-0000-1200-000021000000}">
      <text>
        <r>
          <rPr>
            <sz val="10"/>
            <rFont val="Arial"/>
            <family val="2"/>
          </rPr>
          <t xml:space="preserve">[10] Break in series: Methodology revised
</t>
        </r>
      </text>
    </comment>
    <comment ref="EG42" authorId="0" shapeId="0" xr:uid="{00000000-0006-0000-1200-000022000000}">
      <text>
        <r>
          <rPr>
            <sz val="10"/>
            <rFont val="Arial"/>
            <family val="2"/>
          </rPr>
          <t xml:space="preserve">[10] Break in series: Methodology revised
</t>
        </r>
      </text>
    </comment>
    <comment ref="DN43" authorId="0" shapeId="0" xr:uid="{00000000-0006-0000-1200-000023000000}">
      <text>
        <r>
          <rPr>
            <sz val="10"/>
            <rFont val="Arial"/>
            <family val="2"/>
          </rPr>
          <t xml:space="preserve">[2] Geographical coverage: Urban areas only
[14] Working time arrangement coverage: Full-time workers
</t>
        </r>
      </text>
    </comment>
    <comment ref="DN44" authorId="0" shapeId="0" xr:uid="{00000000-0006-0000-1200-000024000000}">
      <text>
        <r>
          <rPr>
            <sz val="10"/>
            <rFont val="Arial"/>
            <family val="2"/>
          </rPr>
          <t xml:space="preserve">[12] Job coverage: Main job currently held
</t>
        </r>
      </text>
    </comment>
    <comment ref="EM44" authorId="0" shapeId="0" xr:uid="{00000000-0006-0000-1200-000025000000}">
      <text>
        <r>
          <rPr>
            <sz val="10"/>
            <rFont val="Arial"/>
            <family val="2"/>
          </rPr>
          <t xml:space="preserve">[10] Break in series: Methodology revised
</t>
        </r>
      </text>
    </comment>
    <comment ref="ED46" authorId="0" shapeId="0" xr:uid="{00000000-0006-0000-1200-000026000000}">
      <text>
        <r>
          <rPr>
            <sz val="10"/>
            <rFont val="Arial"/>
            <family val="2"/>
          </rPr>
          <t xml:space="preserve">[2] Geographical coverage: Main cities or metropolitan areas
</t>
        </r>
      </text>
    </comment>
    <comment ref="DN47" authorId="0" shapeId="0" xr:uid="{00000000-0006-0000-1200-000027000000}">
      <text>
        <r>
          <rPr>
            <sz val="10"/>
            <rFont val="Arial"/>
            <family val="2"/>
          </rPr>
          <t xml:space="preserve">[9] Time unit: Per year
[12] Job coverage: Main job currently held
</t>
        </r>
      </text>
    </comment>
    <comment ref="EI48" authorId="0" shapeId="0" xr:uid="{00000000-0006-0000-1200-000028000000}">
      <text>
        <r>
          <rPr>
            <sz val="10"/>
            <rFont val="Arial"/>
            <family val="2"/>
          </rPr>
          <t xml:space="preserve">[10] Break in series: Methodology revised
[16] Nonstandard age group: Including not specified
</t>
        </r>
      </text>
    </comment>
    <comment ref="DS49" authorId="0" shapeId="0" xr:uid="{00000000-0006-0000-1200-000029000000}">
      <text>
        <r>
          <rPr>
            <sz val="10"/>
            <rFont val="Arial"/>
            <family val="2"/>
          </rPr>
          <t xml:space="preserve">[17] Break in series: Definition(s) revised
</t>
        </r>
      </text>
    </comment>
    <comment ref="DV49" authorId="0" shapeId="0" xr:uid="{00000000-0006-0000-1200-00002A000000}">
      <text>
        <r>
          <rPr>
            <sz val="10"/>
            <rFont val="Arial"/>
            <family val="2"/>
          </rPr>
          <t xml:space="preserve">[17] Break in series: Definition(s) revised
</t>
        </r>
      </text>
    </comment>
    <comment ref="EE49" authorId="0" shapeId="0" xr:uid="{00000000-0006-0000-1200-00002B000000}">
      <text>
        <r>
          <rPr>
            <sz val="10"/>
            <rFont val="Arial"/>
            <family val="2"/>
          </rPr>
          <t xml:space="preserve">[12] Break in series: Definition(s) revised
[10] Break in series: Methodology revised
</t>
        </r>
      </text>
    </comment>
    <comment ref="DQ52" authorId="0" shapeId="0" xr:uid="{00000000-0006-0000-1200-00002C000000}">
      <text>
        <r>
          <rPr>
            <sz val="10"/>
            <rFont val="Arial"/>
            <family val="2"/>
          </rPr>
          <t xml:space="preserve">[17] Break in series: Definition(s) revised
</t>
        </r>
      </text>
    </comment>
    <comment ref="DS52" authorId="0" shapeId="0" xr:uid="{00000000-0006-0000-1200-00002D000000}">
      <text>
        <r>
          <rPr>
            <sz val="10"/>
            <rFont val="Arial"/>
            <family val="2"/>
          </rPr>
          <t xml:space="preserve">[17] Break in series: Definition(s) revised
</t>
        </r>
      </text>
    </comment>
    <comment ref="EH52" authorId="0" shapeId="0" xr:uid="{00000000-0006-0000-1200-00002E000000}">
      <text>
        <r>
          <rPr>
            <sz val="10"/>
            <rFont val="Arial"/>
            <family val="2"/>
          </rPr>
          <t xml:space="preserve">[12] Break in series: Definition(s) revised
[10] Break in series: Methodology revised
</t>
        </r>
      </text>
    </comment>
    <comment ref="DR53" authorId="0" shapeId="0" xr:uid="{00000000-0006-0000-1200-00002F000000}">
      <text>
        <r>
          <rPr>
            <sz val="10"/>
            <rFont val="Arial"/>
            <family val="2"/>
          </rPr>
          <t xml:space="preserve">[17] Break in series: Definition(s) revised
</t>
        </r>
      </text>
    </comment>
    <comment ref="DS53" authorId="0" shapeId="0" xr:uid="{00000000-0006-0000-1200-000030000000}">
      <text>
        <r>
          <rPr>
            <sz val="10"/>
            <rFont val="Arial"/>
            <family val="2"/>
          </rPr>
          <t xml:space="preserve">[17] Break in series: Definition(s) revised
</t>
        </r>
      </text>
    </comment>
    <comment ref="EJ53" authorId="0" shapeId="0" xr:uid="{00000000-0006-0000-1200-000031000000}">
      <text>
        <r>
          <rPr>
            <sz val="10"/>
            <rFont val="Arial"/>
            <family val="2"/>
          </rPr>
          <t xml:space="preserve">[12] Break in series: Definition(s) revised
[10] Break in series: Methodology revised
</t>
        </r>
      </text>
    </comment>
    <comment ref="DS56" authorId="0" shapeId="0" xr:uid="{00000000-0006-0000-1200-000032000000}">
      <text>
        <r>
          <rPr>
            <sz val="10"/>
            <rFont val="Arial"/>
            <family val="2"/>
          </rPr>
          <t xml:space="preserve">[17] Break in series: Definition(s) revised
</t>
        </r>
      </text>
    </comment>
    <comment ref="DN58" authorId="0" shapeId="0" xr:uid="{00000000-0006-0000-1200-000033000000}">
      <text>
        <r>
          <rPr>
            <sz val="10"/>
            <rFont val="Arial"/>
            <family val="2"/>
          </rPr>
          <t xml:space="preserve">[12] Job coverage: Main job currently held
</t>
        </r>
      </text>
    </comment>
    <comment ref="DQ58" authorId="0" shapeId="0" xr:uid="{00000000-0006-0000-1200-000034000000}">
      <text>
        <r>
          <rPr>
            <sz val="10"/>
            <rFont val="Arial"/>
            <family val="2"/>
          </rPr>
          <t xml:space="preserve">[9] Time unit: Per year
[15] Working time concept: Hours usually worked
</t>
        </r>
      </text>
    </comment>
    <comment ref="DR58" authorId="0" shapeId="0" xr:uid="{00000000-0006-0000-1200-000035000000}">
      <text>
        <r>
          <rPr>
            <sz val="10"/>
            <rFont val="Arial"/>
            <family val="2"/>
          </rPr>
          <t xml:space="preserve">[9] Time unit: Per year
[15] Working time concept: Hours usually worked
</t>
        </r>
      </text>
    </comment>
    <comment ref="DS58" authorId="0" shapeId="0" xr:uid="{00000000-0006-0000-1200-000036000000}">
      <text>
        <r>
          <rPr>
            <sz val="10"/>
            <rFont val="Arial"/>
            <family val="2"/>
          </rPr>
          <t xml:space="preserve">[15] Working time concept: Hours usually worked
</t>
        </r>
      </text>
    </comment>
    <comment ref="DT58" authorId="0" shapeId="0" xr:uid="{00000000-0006-0000-1200-000037000000}">
      <text>
        <r>
          <rPr>
            <sz val="10"/>
            <rFont val="Arial"/>
            <family val="2"/>
          </rPr>
          <t xml:space="preserve">[15] Working time concept: Hours usually worked
</t>
        </r>
      </text>
    </comment>
    <comment ref="DU58" authorId="0" shapeId="0" xr:uid="{00000000-0006-0000-1200-000038000000}">
      <text>
        <r>
          <rPr>
            <sz val="10"/>
            <rFont val="Arial"/>
            <family val="2"/>
          </rPr>
          <t xml:space="preserve">[15] Working time concept: Hours usually worked
</t>
        </r>
      </text>
    </comment>
    <comment ref="DV58" authorId="0" shapeId="0" xr:uid="{00000000-0006-0000-1200-000039000000}">
      <text>
        <r>
          <rPr>
            <sz val="10"/>
            <rFont val="Arial"/>
            <family val="2"/>
          </rPr>
          <t xml:space="preserve">[11] Central tendency measure: Weighted mean
</t>
        </r>
      </text>
    </comment>
    <comment ref="DW58" authorId="0" shapeId="0" xr:uid="{00000000-0006-0000-1200-00003A000000}">
      <text>
        <r>
          <rPr>
            <sz val="10"/>
            <rFont val="Arial"/>
            <family val="2"/>
          </rPr>
          <t xml:space="preserve">[11] Central tendency measure: Weighted mean
[15] Working time concept: Hours usually worked
</t>
        </r>
      </text>
    </comment>
    <comment ref="EE59" authorId="0" shapeId="0" xr:uid="{00000000-0006-0000-1200-00003B000000}">
      <text>
        <r>
          <rPr>
            <sz val="10"/>
            <rFont val="Arial"/>
            <family val="2"/>
          </rPr>
          <t xml:space="preserve">[3] Geographical coverage: Urban areas only
</t>
        </r>
      </text>
    </comment>
    <comment ref="EF59" authorId="0" shapeId="0" xr:uid="{00000000-0006-0000-1200-00003C000000}">
      <text>
        <r>
          <rPr>
            <sz val="10"/>
            <rFont val="Arial"/>
            <family val="2"/>
          </rPr>
          <t xml:space="preserve">[3] Geographical coverage: Urban areas only
</t>
        </r>
      </text>
    </comment>
    <comment ref="EG59" authorId="0" shapeId="0" xr:uid="{00000000-0006-0000-1200-00003D000000}">
      <text>
        <r>
          <rPr>
            <sz val="10"/>
            <rFont val="Arial"/>
            <family val="2"/>
          </rPr>
          <t xml:space="preserve">[3] Geographical coverage: Urban areas only
</t>
        </r>
      </text>
    </comment>
    <comment ref="EH59" authorId="0" shapeId="0" xr:uid="{00000000-0006-0000-1200-00003E000000}">
      <text>
        <r>
          <rPr>
            <sz val="10"/>
            <rFont val="Arial"/>
            <family val="2"/>
          </rPr>
          <t xml:space="preserve">[10] Break in series: Methodology revised
</t>
        </r>
      </text>
    </comment>
    <comment ref="DN60" authorId="0" shapeId="0" xr:uid="{00000000-0006-0000-1200-00003F000000}">
      <text>
        <r>
          <rPr>
            <sz val="10"/>
            <rFont val="Arial"/>
            <family val="2"/>
          </rPr>
          <t xml:space="preserve">[14] Working time arrangement coverage: Full-time workers
</t>
        </r>
      </text>
    </comment>
    <comment ref="DS60" authorId="0" shapeId="0" xr:uid="{00000000-0006-0000-1200-000040000000}">
      <text>
        <r>
          <rPr>
            <sz val="10"/>
            <rFont val="Arial"/>
            <family val="2"/>
          </rPr>
          <t xml:space="preserve">[12] Job coverage: Main job currently held
</t>
        </r>
      </text>
    </comment>
    <comment ref="DT60" authorId="0" shapeId="0" xr:uid="{00000000-0006-0000-1200-000041000000}">
      <text>
        <r>
          <rPr>
            <sz val="10"/>
            <rFont val="Arial"/>
            <family val="2"/>
          </rPr>
          <t xml:space="preserve">[12] Job coverage: Main job currently held
</t>
        </r>
      </text>
    </comment>
    <comment ref="DT61" authorId="0" shapeId="0" xr:uid="{00000000-0006-0000-1200-000042000000}">
      <text>
        <r>
          <rPr>
            <sz val="10"/>
            <rFont val="Arial"/>
            <family val="2"/>
          </rPr>
          <t xml:space="preserve">[12] Job coverage: Main job currently held
[15] Working time concept: Hours usually worked
</t>
        </r>
      </text>
    </comment>
    <comment ref="EF61" authorId="0" shapeId="0" xr:uid="{00000000-0006-0000-1200-000043000000}">
      <text>
        <r>
          <rPr>
            <sz val="10"/>
            <rFont val="Arial"/>
            <family val="2"/>
          </rPr>
          <t xml:space="preserve">[10] Break in series: Methodology revised
</t>
        </r>
      </text>
    </comment>
    <comment ref="DQ64" authorId="0" shapeId="0" xr:uid="{00000000-0006-0000-1200-000044000000}">
      <text>
        <r>
          <rPr>
            <sz val="10"/>
            <rFont val="Arial"/>
            <family val="2"/>
          </rPr>
          <t xml:space="preserve">[17] Break in series: Definition(s) revised
</t>
        </r>
      </text>
    </comment>
    <comment ref="DS64" authorId="0" shapeId="0" xr:uid="{00000000-0006-0000-1200-000045000000}">
      <text>
        <r>
          <rPr>
            <sz val="10"/>
            <rFont val="Arial"/>
            <family val="2"/>
          </rPr>
          <t xml:space="preserve">[17] Break in series: Definition(s) revised
</t>
        </r>
      </text>
    </comment>
    <comment ref="DP67" authorId="0" shapeId="0" xr:uid="{00000000-0006-0000-1200-000046000000}">
      <text>
        <r>
          <rPr>
            <sz val="10"/>
            <rFont val="Arial"/>
            <family val="2"/>
          </rPr>
          <t xml:space="preserve">[17] Break in series: Definition(s) revised
</t>
        </r>
      </text>
    </comment>
    <comment ref="DS67" authorId="0" shapeId="0" xr:uid="{00000000-0006-0000-1200-000047000000}">
      <text>
        <r>
          <rPr>
            <sz val="10"/>
            <rFont val="Arial"/>
            <family val="2"/>
          </rPr>
          <t xml:space="preserve">[17] Break in series: Definition(s) revised
</t>
        </r>
      </text>
    </comment>
    <comment ref="EG67" authorId="0" shapeId="0" xr:uid="{00000000-0006-0000-1200-000048000000}">
      <text>
        <r>
          <rPr>
            <sz val="10"/>
            <rFont val="Arial"/>
            <family val="2"/>
          </rPr>
          <t xml:space="preserve">[12] Break in series: Definition(s) revised
[10] Break in series: Methodology revised
</t>
        </r>
      </text>
    </comment>
    <comment ref="DS68" authorId="0" shapeId="0" xr:uid="{00000000-0006-0000-1200-000049000000}">
      <text>
        <r>
          <rPr>
            <sz val="10"/>
            <rFont val="Arial"/>
            <family val="2"/>
          </rPr>
          <t xml:space="preserve">[17] Break in series: Definition(s) revised
</t>
        </r>
      </text>
    </comment>
    <comment ref="DU68" authorId="0" shapeId="0" xr:uid="{00000000-0006-0000-1200-00004A000000}">
      <text>
        <r>
          <rPr>
            <sz val="10"/>
            <rFont val="Arial"/>
            <family val="2"/>
          </rPr>
          <t xml:space="preserve">[17] Break in series: Definition(s) revised
</t>
        </r>
      </text>
    </comment>
    <comment ref="DV68" authorId="0" shapeId="0" xr:uid="{00000000-0006-0000-1200-00004B000000}">
      <text>
        <r>
          <rPr>
            <sz val="10"/>
            <rFont val="Arial"/>
            <family val="2"/>
          </rPr>
          <t xml:space="preserve">[17] Break in series: Definition(s) revised
</t>
        </r>
      </text>
    </comment>
    <comment ref="EM68" authorId="0" shapeId="0" xr:uid="{00000000-0006-0000-1200-00004C000000}">
      <text>
        <r>
          <rPr>
            <sz val="10"/>
            <rFont val="Arial"/>
            <family val="2"/>
          </rPr>
          <t xml:space="preserve">[12] Break in series: Definition(s) revised
[10] Break in series: Methodology revised
</t>
        </r>
      </text>
    </comment>
    <comment ref="DR69" authorId="0" shapeId="0" xr:uid="{00000000-0006-0000-1200-00004D000000}">
      <text>
        <r>
          <rPr>
            <sz val="10"/>
            <rFont val="Arial"/>
            <family val="2"/>
          </rPr>
          <t xml:space="preserve">[17] Break in series: Definition(s) revised
</t>
        </r>
      </text>
    </comment>
    <comment ref="DS69" authorId="0" shapeId="0" xr:uid="{00000000-0006-0000-1200-00004E000000}">
      <text>
        <r>
          <rPr>
            <sz val="10"/>
            <rFont val="Arial"/>
            <family val="2"/>
          </rPr>
          <t xml:space="preserve">[17] Break in series: Definition(s) revised
</t>
        </r>
      </text>
    </comment>
    <comment ref="DT69" authorId="0" shapeId="0" xr:uid="{00000000-0006-0000-1200-00004F000000}">
      <text>
        <r>
          <rPr>
            <sz val="10"/>
            <rFont val="Arial"/>
            <family val="2"/>
          </rPr>
          <t xml:space="preserve">[17] Break in series: Definition(s) revised
</t>
        </r>
      </text>
    </comment>
    <comment ref="EI72" authorId="0" shapeId="0" xr:uid="{00000000-0006-0000-1200-000050000000}">
      <text>
        <r>
          <rPr>
            <sz val="10"/>
            <rFont val="Arial"/>
            <family val="2"/>
          </rPr>
          <t xml:space="preserve">[12] Break in series: Definition(s) revised
[10] Break in series: Methodology revised
</t>
        </r>
      </text>
    </comment>
    <comment ref="EJ72" authorId="0" shapeId="0" xr:uid="{00000000-0006-0000-1200-000051000000}">
      <text>
        <r>
          <rPr>
            <sz val="10"/>
            <rFont val="Arial"/>
            <family val="2"/>
          </rPr>
          <t xml:space="preserve">[12] Break in series: Definition(s) revised
[10] Break in series: Methodology revised
</t>
        </r>
      </text>
    </comment>
    <comment ref="DQ74" authorId="0" shapeId="0" xr:uid="{00000000-0006-0000-1200-000052000000}">
      <text>
        <r>
          <rPr>
            <sz val="10"/>
            <rFont val="Arial"/>
            <family val="2"/>
          </rPr>
          <t xml:space="preserve">[17] Break in series: Definition(s) revised
</t>
        </r>
      </text>
    </comment>
    <comment ref="DS74" authorId="0" shapeId="0" xr:uid="{00000000-0006-0000-1200-000053000000}">
      <text>
        <r>
          <rPr>
            <sz val="10"/>
            <rFont val="Arial"/>
            <family val="2"/>
          </rPr>
          <t xml:space="preserve">[17] Break in series: Definition(s) revised
</t>
        </r>
      </text>
    </comment>
    <comment ref="EH74" authorId="0" shapeId="0" xr:uid="{00000000-0006-0000-1200-000054000000}">
      <text>
        <r>
          <rPr>
            <sz val="10"/>
            <rFont val="Arial"/>
            <family val="2"/>
          </rPr>
          <t xml:space="preserve">[12] Break in series: Definition(s) revised
[10] Break in series: Methodology revised
</t>
        </r>
      </text>
    </comment>
    <comment ref="DN76" authorId="0" shapeId="0" xr:uid="{00000000-0006-0000-1200-000055000000}">
      <text>
        <r>
          <rPr>
            <sz val="10"/>
            <rFont val="Arial"/>
            <family val="2"/>
          </rPr>
          <t xml:space="preserve">[12] Job coverage: Main job currently held
</t>
        </r>
      </text>
    </comment>
    <comment ref="DS76" authorId="0" shapeId="0" xr:uid="{00000000-0006-0000-1200-000056000000}">
      <text>
        <r>
          <rPr>
            <sz val="10"/>
            <rFont val="Arial"/>
            <family val="2"/>
          </rPr>
          <t xml:space="preserve">[13] Working time arrangement coverage: Full-time equivalents
</t>
        </r>
      </text>
    </comment>
    <comment ref="DT76" authorId="0" shapeId="0" xr:uid="{00000000-0006-0000-1200-000057000000}">
      <text>
        <r>
          <rPr>
            <sz val="10"/>
            <rFont val="Arial"/>
            <family val="2"/>
          </rPr>
          <t xml:space="preserve">[13] Working time arrangement coverage: Full-time equivalents
</t>
        </r>
      </text>
    </comment>
    <comment ref="DU76" authorId="0" shapeId="0" xr:uid="{00000000-0006-0000-1200-000058000000}">
      <text>
        <r>
          <rPr>
            <sz val="10"/>
            <rFont val="Arial"/>
            <family val="2"/>
          </rPr>
          <t xml:space="preserve">[15] Working time concept: Hours usually worked
</t>
        </r>
      </text>
    </comment>
    <comment ref="DV76" authorId="0" shapeId="0" xr:uid="{00000000-0006-0000-1200-000059000000}">
      <text>
        <r>
          <rPr>
            <sz val="10"/>
            <rFont val="Arial"/>
            <family val="2"/>
          </rPr>
          <t xml:space="preserve">[15] Working time concept: Hours usually worked
</t>
        </r>
      </text>
    </comment>
    <comment ref="DW76" authorId="0" shapeId="0" xr:uid="{00000000-0006-0000-1200-00005A000000}">
      <text>
        <r>
          <rPr>
            <sz val="10"/>
            <rFont val="Arial"/>
            <family val="2"/>
          </rPr>
          <t xml:space="preserve">[15] Working time concept: Hours usually worked
</t>
        </r>
      </text>
    </comment>
    <comment ref="EE76" authorId="0" shapeId="0" xr:uid="{00000000-0006-0000-1200-00005B000000}">
      <text>
        <r>
          <rPr>
            <sz val="10"/>
            <rFont val="Arial"/>
            <family val="2"/>
          </rPr>
          <t xml:space="preserve">[10] Break in series: Methodology revised
</t>
        </r>
      </text>
    </comment>
    <comment ref="EI76" authorId="0" shapeId="0" xr:uid="{00000000-0006-0000-1200-00005C000000}">
      <text>
        <r>
          <rPr>
            <sz val="10"/>
            <rFont val="Arial"/>
            <family val="2"/>
          </rPr>
          <t xml:space="preserve">[2] Geographical coverage: Main cities or metropolitan areas
</t>
        </r>
      </text>
    </comment>
    <comment ref="EJ76" authorId="0" shapeId="0" xr:uid="{00000000-0006-0000-1200-00005D000000}">
      <text>
        <r>
          <rPr>
            <sz val="10"/>
            <rFont val="Arial"/>
            <family val="2"/>
          </rPr>
          <t xml:space="preserve">[10] Break in series: Methodology revised
</t>
        </r>
      </text>
    </comment>
    <comment ref="DS82" authorId="0" shapeId="0" xr:uid="{00000000-0006-0000-1200-00005E000000}">
      <text>
        <r>
          <rPr>
            <sz val="10"/>
            <rFont val="Arial"/>
            <family val="2"/>
          </rPr>
          <t xml:space="preserve">[17] Break in series: Definition(s) revised
</t>
        </r>
      </text>
    </comment>
    <comment ref="DS83" authorId="0" shapeId="0" xr:uid="{00000000-0006-0000-1200-00005F000000}">
      <text>
        <r>
          <rPr>
            <sz val="10"/>
            <rFont val="Arial"/>
            <family val="2"/>
          </rPr>
          <t xml:space="preserve">[17] Break in series: Definition(s) revised
</t>
        </r>
      </text>
    </comment>
    <comment ref="DW85" authorId="0" shapeId="0" xr:uid="{00000000-0006-0000-1200-000060000000}">
      <text>
        <r>
          <rPr>
            <sz val="10"/>
            <rFont val="Arial"/>
            <family val="2"/>
          </rPr>
          <t xml:space="preserve">[11] Central tendency measure: Weighted mean
[12] Job coverage: Main job currently held
</t>
        </r>
      </text>
    </comment>
    <comment ref="DS88" authorId="0" shapeId="0" xr:uid="{00000000-0006-0000-1200-000061000000}">
      <text>
        <r>
          <rPr>
            <sz val="10"/>
            <rFont val="Arial"/>
            <family val="2"/>
          </rPr>
          <t xml:space="preserve">[17] Break in series: Definition(s) revised
</t>
        </r>
      </text>
    </comment>
    <comment ref="DS90" authorId="0" shapeId="0" xr:uid="{00000000-0006-0000-1200-000062000000}">
      <text>
        <r>
          <rPr>
            <sz val="10"/>
            <rFont val="Arial"/>
            <family val="2"/>
          </rPr>
          <t xml:space="preserve">[17] Break in series: Definition(s) revised
</t>
        </r>
      </text>
    </comment>
    <comment ref="DT92" authorId="0" shapeId="0" xr:uid="{00000000-0006-0000-1200-000063000000}">
      <text>
        <r>
          <rPr>
            <sz val="10"/>
            <rFont val="Arial"/>
            <family val="2"/>
          </rPr>
          <t xml:space="preserve">[12] Job coverage: Main job currently held
</t>
        </r>
      </text>
    </comment>
    <comment ref="DU92" authorId="0" shapeId="0" xr:uid="{00000000-0006-0000-1200-000064000000}">
      <text>
        <r>
          <rPr>
            <sz val="10"/>
            <rFont val="Arial"/>
            <family val="2"/>
          </rPr>
          <t xml:space="preserve">[7] Time unit: Per hour
[12] Job coverage: Main job currently held
</t>
        </r>
      </text>
    </comment>
    <comment ref="DV92" authorId="0" shapeId="0" xr:uid="{00000000-0006-0000-1200-000065000000}">
      <text>
        <r>
          <rPr>
            <sz val="10"/>
            <rFont val="Arial"/>
            <family val="2"/>
          </rPr>
          <t xml:space="preserve">[7] Time unit: Per hour
</t>
        </r>
      </text>
    </comment>
    <comment ref="DW92" authorId="0" shapeId="0" xr:uid="{00000000-0006-0000-1200-000066000000}">
      <text>
        <r>
          <rPr>
            <sz val="10"/>
            <rFont val="Arial"/>
            <family val="2"/>
          </rPr>
          <t xml:space="preserve">[12] Job coverage: Main job currently held
</t>
        </r>
      </text>
    </comment>
    <comment ref="DN94" authorId="0" shapeId="0" xr:uid="{00000000-0006-0000-1200-000067000000}">
      <text>
        <r>
          <rPr>
            <sz val="10"/>
            <rFont val="Arial"/>
            <family val="2"/>
          </rPr>
          <t xml:space="preserve">[12] Job coverage: Main job currently held
</t>
        </r>
      </text>
    </comment>
    <comment ref="DS94" authorId="0" shapeId="0" xr:uid="{00000000-0006-0000-1200-000068000000}">
      <text>
        <r>
          <rPr>
            <sz val="10"/>
            <rFont val="Arial"/>
            <family val="2"/>
          </rPr>
          <t xml:space="preserve">[10] Central tendency measure: Median
</t>
        </r>
      </text>
    </comment>
    <comment ref="DT94" authorId="0" shapeId="0" xr:uid="{00000000-0006-0000-1200-000069000000}">
      <text>
        <r>
          <rPr>
            <sz val="10"/>
            <rFont val="Arial"/>
            <family val="2"/>
          </rPr>
          <t xml:space="preserve">[10] Central tendency measure: Median
</t>
        </r>
      </text>
    </comment>
    <comment ref="DU94" authorId="0" shapeId="0" xr:uid="{00000000-0006-0000-1200-00006A000000}">
      <text>
        <r>
          <rPr>
            <sz val="10"/>
            <rFont val="Arial"/>
            <family val="2"/>
          </rPr>
          <t xml:space="preserve">[10] Central tendency measure: Median
</t>
        </r>
      </text>
    </comment>
    <comment ref="DN98" authorId="0" shapeId="0" xr:uid="{00000000-0006-0000-1200-00006B000000}">
      <text>
        <r>
          <rPr>
            <sz val="10"/>
            <rFont val="Arial"/>
            <family val="2"/>
          </rPr>
          <t xml:space="preserve">[12] Job coverage: Main job currently held
</t>
        </r>
      </text>
    </comment>
    <comment ref="DS100" authorId="0" shapeId="0" xr:uid="{00000000-0006-0000-1200-00006C000000}">
      <text>
        <r>
          <rPr>
            <sz val="10"/>
            <rFont val="Arial"/>
            <family val="2"/>
          </rPr>
          <t xml:space="preserve">[17] Break in series: Definition(s) revised
</t>
        </r>
      </text>
    </comment>
    <comment ref="DS105" authorId="0" shapeId="0" xr:uid="{00000000-0006-0000-1200-00006D000000}">
      <text>
        <r>
          <rPr>
            <sz val="10"/>
            <rFont val="Arial"/>
            <family val="2"/>
          </rPr>
          <t xml:space="preserve">[17] Break in series: Definition(s) revised
</t>
        </r>
      </text>
    </comment>
    <comment ref="DO106" authorId="0" shapeId="0" xr:uid="{00000000-0006-0000-1200-00006E000000}">
      <text>
        <r>
          <rPr>
            <sz val="10"/>
            <rFont val="Arial"/>
            <family val="2"/>
          </rPr>
          <t xml:space="preserve">[17] Break in series: Definition(s) revised
</t>
        </r>
      </text>
    </comment>
    <comment ref="DQ106" authorId="0" shapeId="0" xr:uid="{00000000-0006-0000-1200-00006F000000}">
      <text>
        <r>
          <rPr>
            <sz val="10"/>
            <rFont val="Arial"/>
            <family val="2"/>
          </rPr>
          <t xml:space="preserve">[17] Break in series: Definition(s) revised
</t>
        </r>
      </text>
    </comment>
    <comment ref="DS106" authorId="0" shapeId="0" xr:uid="{00000000-0006-0000-1200-000070000000}">
      <text>
        <r>
          <rPr>
            <sz val="10"/>
            <rFont val="Arial"/>
            <family val="2"/>
          </rPr>
          <t xml:space="preserve">[17] Break in series: Definition(s) revised
</t>
        </r>
      </text>
    </comment>
    <comment ref="DW106" authorId="0" shapeId="0" xr:uid="{00000000-0006-0000-1200-000071000000}">
      <text>
        <r>
          <rPr>
            <sz val="10"/>
            <rFont val="Arial"/>
            <family val="2"/>
          </rPr>
          <t xml:space="preserve">[17] Break in series: Definition(s) revised
</t>
        </r>
      </text>
    </comment>
    <comment ref="EF106" authorId="0" shapeId="0" xr:uid="{00000000-0006-0000-1200-000072000000}">
      <text>
        <r>
          <rPr>
            <sz val="10"/>
            <rFont val="Arial"/>
            <family val="2"/>
          </rPr>
          <t xml:space="preserve">[12] Break in series: Definition(s) revised
[10] Break in series: Methodology revised
</t>
        </r>
      </text>
    </comment>
    <comment ref="EH106" authorId="0" shapeId="0" xr:uid="{00000000-0006-0000-1200-000073000000}">
      <text>
        <r>
          <rPr>
            <sz val="10"/>
            <rFont val="Arial"/>
            <family val="2"/>
          </rPr>
          <t xml:space="preserve">[12] Break in series: Definition(s) revised
[10] Break in series: Methodology revised
</t>
        </r>
      </text>
    </comment>
    <comment ref="EN106" authorId="0" shapeId="0" xr:uid="{00000000-0006-0000-1200-000074000000}">
      <text>
        <r>
          <rPr>
            <sz val="10"/>
            <rFont val="Arial"/>
            <family val="2"/>
          </rPr>
          <t xml:space="preserve">[12] Break in series: Definition(s) revised
[10] Break in series: Methodology revised
</t>
        </r>
      </text>
    </comment>
    <comment ref="DN107" authorId="0" shapeId="0" xr:uid="{00000000-0006-0000-1200-000075000000}">
      <text>
        <r>
          <rPr>
            <sz val="10"/>
            <rFont val="Arial"/>
            <family val="2"/>
          </rPr>
          <t xml:space="preserve">[12] Job coverage: Main job currently held
</t>
        </r>
      </text>
    </comment>
    <comment ref="EN107" authorId="0" shapeId="0" xr:uid="{00000000-0006-0000-1200-000076000000}">
      <text>
        <r>
          <rPr>
            <sz val="10"/>
            <rFont val="Arial"/>
            <family val="2"/>
          </rPr>
          <t xml:space="preserve">[10] Break in series: Methodology revised
</t>
        </r>
      </text>
    </comment>
    <comment ref="DS109" authorId="0" shapeId="0" xr:uid="{00000000-0006-0000-1200-000077000000}">
      <text>
        <r>
          <rPr>
            <sz val="10"/>
            <rFont val="Arial"/>
            <family val="2"/>
          </rPr>
          <t xml:space="preserve">[12] Job coverage: Main job currently held
</t>
        </r>
      </text>
    </comment>
    <comment ref="DT109" authorId="0" shapeId="0" xr:uid="{00000000-0006-0000-1200-000078000000}">
      <text>
        <r>
          <rPr>
            <sz val="10"/>
            <rFont val="Arial"/>
            <family val="2"/>
          </rPr>
          <t xml:space="preserve">[12] Job coverage: Main job currently held
</t>
        </r>
      </text>
    </comment>
    <comment ref="DU109" authorId="0" shapeId="0" xr:uid="{00000000-0006-0000-1200-000079000000}">
      <text>
        <r>
          <rPr>
            <sz val="10"/>
            <rFont val="Arial"/>
            <family val="2"/>
          </rPr>
          <t xml:space="preserve">[12] Job coverage: Main job currently held
</t>
        </r>
      </text>
    </comment>
    <comment ref="DV109" authorId="0" shapeId="0" xr:uid="{00000000-0006-0000-1200-00007A000000}">
      <text>
        <r>
          <rPr>
            <sz val="10"/>
            <rFont val="Arial"/>
            <family val="2"/>
          </rPr>
          <t xml:space="preserve">[12] Job coverage: Main job currently held
</t>
        </r>
      </text>
    </comment>
    <comment ref="DW109" authorId="0" shapeId="0" xr:uid="{00000000-0006-0000-1200-00007B000000}">
      <text>
        <r>
          <rPr>
            <sz val="10"/>
            <rFont val="Arial"/>
            <family val="2"/>
          </rPr>
          <t xml:space="preserve">[12] Job coverage: Main job currently held
</t>
        </r>
      </text>
    </comment>
    <comment ref="ED110" authorId="0" shapeId="0" xr:uid="{00000000-0006-0000-1200-00007C000000}">
      <text>
        <r>
          <rPr>
            <sz val="10"/>
            <rFont val="Arial"/>
            <family val="2"/>
          </rPr>
          <t xml:space="preserve">[16] Nonstandard age group: Including not specified
</t>
        </r>
      </text>
    </comment>
    <comment ref="DS112" authorId="0" shapeId="0" xr:uid="{00000000-0006-0000-1200-00007D000000}">
      <text>
        <r>
          <rPr>
            <sz val="10"/>
            <rFont val="Arial"/>
            <family val="2"/>
          </rPr>
          <t xml:space="preserve">[17] Break in series: Definition(s) revised
</t>
        </r>
      </text>
    </comment>
    <comment ref="EK114" authorId="0" shapeId="0" xr:uid="{00000000-0006-0000-1200-00007E000000}">
      <text>
        <r>
          <rPr>
            <sz val="10"/>
            <rFont val="Arial"/>
            <family val="2"/>
          </rPr>
          <t>[P] Provisional</t>
        </r>
      </text>
    </comment>
    <comment ref="DN115" authorId="0" shapeId="0" xr:uid="{00000000-0006-0000-1200-00007F000000}">
      <text>
        <r>
          <rPr>
            <sz val="10"/>
            <rFont val="Arial"/>
            <family val="2"/>
          </rPr>
          <t xml:space="preserve">[4] Population coverage: Nationals, residents
</t>
        </r>
      </text>
    </comment>
    <comment ref="DW115" authorId="0" shapeId="0" xr:uid="{00000000-0006-0000-1200-000080000000}">
      <text>
        <r>
          <rPr>
            <sz val="10"/>
            <rFont val="Arial"/>
            <family val="2"/>
          </rPr>
          <t xml:space="preserve">[11] Central tendency measure: Weighted mean
</t>
        </r>
      </text>
    </comment>
    <comment ref="EF115" authorId="0" shapeId="0" xr:uid="{00000000-0006-0000-1200-000081000000}">
      <text>
        <r>
          <rPr>
            <sz val="10"/>
            <rFont val="Arial"/>
            <family val="2"/>
          </rPr>
          <t xml:space="preserve">[9] Break in series: Other or unspecified type of break
</t>
        </r>
      </text>
    </comment>
    <comment ref="EH115" authorId="0" shapeId="0" xr:uid="{00000000-0006-0000-1200-000082000000}">
      <text>
        <r>
          <rPr>
            <sz val="10"/>
            <rFont val="Arial"/>
            <family val="2"/>
          </rPr>
          <t xml:space="preserve">[5] Population coverage: Nationals, residents
</t>
        </r>
      </text>
    </comment>
    <comment ref="EI115" authorId="0" shapeId="0" xr:uid="{00000000-0006-0000-1200-000083000000}">
      <text>
        <r>
          <rPr>
            <sz val="10"/>
            <rFont val="Arial"/>
            <family val="2"/>
          </rPr>
          <t xml:space="preserve">[5] Population coverage: Nationals, residents
</t>
        </r>
      </text>
    </comment>
    <comment ref="EJ115" authorId="0" shapeId="0" xr:uid="{00000000-0006-0000-1200-000084000000}">
      <text>
        <r>
          <rPr>
            <sz val="10"/>
            <rFont val="Arial"/>
            <family val="2"/>
          </rPr>
          <t xml:space="preserve">[5] Population coverage: Nationals, residents
</t>
        </r>
      </text>
    </comment>
    <comment ref="EK115" authorId="0" shapeId="0" xr:uid="{00000000-0006-0000-1200-000085000000}">
      <text>
        <r>
          <rPr>
            <sz val="10"/>
            <rFont val="Arial"/>
            <family val="2"/>
          </rPr>
          <t xml:space="preserve">[5] Population coverage: Nationals, residents
</t>
        </r>
      </text>
    </comment>
    <comment ref="EL115" authorId="0" shapeId="0" xr:uid="{00000000-0006-0000-1200-000086000000}">
      <text>
        <r>
          <rPr>
            <sz val="10"/>
            <rFont val="Arial"/>
            <family val="2"/>
          </rPr>
          <t xml:space="preserve">[5] Population coverage: Nationals, residents
</t>
        </r>
      </text>
    </comment>
    <comment ref="EN115" authorId="0" shapeId="0" xr:uid="{00000000-0006-0000-1200-000087000000}">
      <text>
        <r>
          <rPr>
            <sz val="10"/>
            <rFont val="Arial"/>
            <family val="2"/>
          </rPr>
          <t xml:space="preserve">[5] Population coverage: Nationals, residents
</t>
        </r>
      </text>
    </comment>
    <comment ref="DN116" authorId="0" shapeId="0" xr:uid="{00000000-0006-0000-1200-000088000000}">
      <text>
        <r>
          <rPr>
            <sz val="10"/>
            <rFont val="Arial"/>
            <family val="2"/>
          </rPr>
          <t xml:space="preserve">[12] Job coverage: Main job currently held
</t>
        </r>
      </text>
    </comment>
    <comment ref="EH116" authorId="0" shapeId="0" xr:uid="{00000000-0006-0000-1200-000089000000}">
      <text>
        <r>
          <rPr>
            <sz val="10"/>
            <rFont val="Arial"/>
            <family val="2"/>
          </rPr>
          <t xml:space="preserve">[13] Remarks: Including those not classified
</t>
        </r>
      </text>
    </comment>
    <comment ref="EI116" authorId="0" shapeId="0" xr:uid="{00000000-0006-0000-1200-00008A000000}">
      <text>
        <r>
          <rPr>
            <sz val="10"/>
            <rFont val="Arial"/>
            <family val="2"/>
          </rPr>
          <t xml:space="preserve">[13] Remarks: Including those not classified
</t>
        </r>
      </text>
    </comment>
    <comment ref="DN118" authorId="0" shapeId="0" xr:uid="{00000000-0006-0000-1200-00008B000000}">
      <text>
        <r>
          <rPr>
            <sz val="10"/>
            <rFont val="Arial"/>
            <family val="2"/>
          </rPr>
          <t xml:space="preserve">[12] Job coverage: Main job currently held
</t>
        </r>
      </text>
    </comment>
    <comment ref="ED123" authorId="0" shapeId="0" xr:uid="{00000000-0006-0000-1200-00008C000000}">
      <text>
        <r>
          <rPr>
            <sz val="10"/>
            <rFont val="Arial"/>
            <family val="2"/>
          </rPr>
          <t xml:space="preserve">[13] Remarks: Including those not classified
</t>
        </r>
      </text>
    </comment>
    <comment ref="DN124" authorId="0" shapeId="0" xr:uid="{00000000-0006-0000-1200-00008D000000}">
      <text>
        <r>
          <rPr>
            <sz val="10"/>
            <rFont val="Arial"/>
            <family val="2"/>
          </rPr>
          <t xml:space="preserve">[12] Job coverage: Main job currently held
</t>
        </r>
      </text>
    </comment>
    <comment ref="DR125" authorId="0" shapeId="0" xr:uid="{00000000-0006-0000-1200-00008E000000}">
      <text>
        <r>
          <rPr>
            <sz val="10"/>
            <rFont val="Arial"/>
            <family val="2"/>
          </rPr>
          <t xml:space="preserve">[17] Break in series: Definition(s) revised
</t>
        </r>
      </text>
    </comment>
    <comment ref="DS125" authorId="0" shapeId="0" xr:uid="{00000000-0006-0000-1200-00008F000000}">
      <text>
        <r>
          <rPr>
            <sz val="10"/>
            <rFont val="Arial"/>
            <family val="2"/>
          </rPr>
          <t xml:space="preserve">[17] Break in series: Definition(s) revised
</t>
        </r>
      </text>
    </comment>
    <comment ref="DU125" authorId="0" shapeId="0" xr:uid="{00000000-0006-0000-1200-000090000000}">
      <text>
        <r>
          <rPr>
            <sz val="10"/>
            <rFont val="Arial"/>
            <family val="2"/>
          </rPr>
          <t xml:space="preserve">[17] Break in series: Definition(s) revised
</t>
        </r>
      </text>
    </comment>
    <comment ref="EI125" authorId="0" shapeId="0" xr:uid="{00000000-0006-0000-1200-000091000000}">
      <text>
        <r>
          <rPr>
            <sz val="10"/>
            <rFont val="Arial"/>
            <family val="2"/>
          </rPr>
          <t xml:space="preserve">[12] Break in series: Definition(s) revised
[10] Break in series: Methodology revised
</t>
        </r>
      </text>
    </comment>
    <comment ref="EJ125" authorId="0" shapeId="0" xr:uid="{00000000-0006-0000-1200-000092000000}">
      <text>
        <r>
          <rPr>
            <sz val="10"/>
            <rFont val="Arial"/>
            <family val="2"/>
          </rPr>
          <t xml:space="preserve">[12] Break in series: Definition(s) revised
[10] Break in series: Methodology revised
</t>
        </r>
      </text>
    </comment>
    <comment ref="DQ131" authorId="0" shapeId="0" xr:uid="{00000000-0006-0000-1200-000093000000}">
      <text>
        <r>
          <rPr>
            <sz val="10"/>
            <rFont val="Arial"/>
            <family val="2"/>
          </rPr>
          <t xml:space="preserve">[12] Job coverage: Main job currently held
</t>
        </r>
      </text>
    </comment>
    <comment ref="DS131" authorId="0" shapeId="0" xr:uid="{00000000-0006-0000-1200-000094000000}">
      <text>
        <r>
          <rPr>
            <sz val="10"/>
            <rFont val="Arial"/>
            <family val="2"/>
          </rPr>
          <t xml:space="preserve">[17] Break in series: Definition(s) revised
</t>
        </r>
      </text>
    </comment>
    <comment ref="EE131" authorId="0" shapeId="0" xr:uid="{00000000-0006-0000-1200-000095000000}">
      <text>
        <r>
          <rPr>
            <sz val="10"/>
            <rFont val="Arial"/>
            <family val="2"/>
          </rPr>
          <t xml:space="preserve">[12] Break in series: Definition(s) revised
[10] Break in series: Methodology revised
</t>
        </r>
      </text>
    </comment>
    <comment ref="DQ134" authorId="0" shapeId="0" xr:uid="{00000000-0006-0000-1200-000096000000}">
      <text>
        <r>
          <rPr>
            <sz val="10"/>
            <rFont val="Arial"/>
            <family val="2"/>
          </rPr>
          <t xml:space="preserve">[12] Job coverage: Main job currently held
</t>
        </r>
      </text>
    </comment>
    <comment ref="DR134" authorId="0" shapeId="0" xr:uid="{00000000-0006-0000-1200-000097000000}">
      <text>
        <r>
          <rPr>
            <sz val="10"/>
            <rFont val="Arial"/>
            <family val="2"/>
          </rPr>
          <t xml:space="preserve">[12] Job coverage: Main job currently held
</t>
        </r>
      </text>
    </comment>
    <comment ref="DT134" authorId="0" shapeId="0" xr:uid="{00000000-0006-0000-1200-000098000000}">
      <text>
        <r>
          <rPr>
            <sz val="10"/>
            <rFont val="Arial"/>
            <family val="2"/>
          </rPr>
          <t xml:space="preserve">[7] Time unit: Per hour
[14] Working time arrangement coverage: Full-time workers
</t>
        </r>
      </text>
    </comment>
    <comment ref="DV134" authorId="0" shapeId="0" xr:uid="{00000000-0006-0000-1200-000099000000}">
      <text>
        <r>
          <rPr>
            <sz val="10"/>
            <rFont val="Arial"/>
            <family val="2"/>
          </rPr>
          <t xml:space="preserve">[12] Job coverage: Main job currently held
[16] Working time concept: Normal hours of work
</t>
        </r>
      </text>
    </comment>
    <comment ref="DN136" authorId="0" shapeId="0" xr:uid="{00000000-0006-0000-1200-00009A000000}">
      <text>
        <r>
          <rPr>
            <sz val="10"/>
            <rFont val="Arial"/>
            <family val="2"/>
          </rPr>
          <t xml:space="preserve">[15] Working time concept: Hours usually worked
</t>
        </r>
      </text>
    </comment>
    <comment ref="DQ136" authorId="0" shapeId="0" xr:uid="{00000000-0006-0000-1200-00009B000000}">
      <text>
        <r>
          <rPr>
            <sz val="10"/>
            <rFont val="Arial"/>
            <family val="2"/>
          </rPr>
          <t xml:space="preserve">[12] Job coverage: Main job currently held
</t>
        </r>
      </text>
    </comment>
    <comment ref="DR136" authorId="0" shapeId="0" xr:uid="{00000000-0006-0000-1200-00009C000000}">
      <text>
        <r>
          <rPr>
            <sz val="10"/>
            <rFont val="Arial"/>
            <family val="2"/>
          </rPr>
          <t xml:space="preserve">[12] Job coverage: Main job currently held
</t>
        </r>
      </text>
    </comment>
    <comment ref="ED137" authorId="0" shapeId="0" xr:uid="{00000000-0006-0000-1200-00009D000000}">
      <text>
        <r>
          <rPr>
            <sz val="10"/>
            <rFont val="Arial"/>
            <family val="2"/>
          </rPr>
          <t xml:space="preserve">[1] Geographical coverage: Main city or metropolitan area
</t>
        </r>
      </text>
    </comment>
    <comment ref="DN138" authorId="0" shapeId="0" xr:uid="{00000000-0006-0000-1200-00009E000000}">
      <text>
        <r>
          <rPr>
            <sz val="10"/>
            <rFont val="Arial"/>
            <family val="2"/>
          </rPr>
          <t xml:space="preserve">[12] Job coverage: Main job currently held
</t>
        </r>
      </text>
    </comment>
    <comment ref="DV138" authorId="0" shapeId="0" xr:uid="{00000000-0006-0000-1200-00009F000000}">
      <text>
        <r>
          <rPr>
            <sz val="10"/>
            <rFont val="Arial"/>
            <family val="2"/>
          </rPr>
          <t xml:space="preserve">[11] Central tendency measure: Weighted mean
</t>
        </r>
      </text>
    </comment>
    <comment ref="EH138" authorId="0" shapeId="0" xr:uid="{00000000-0006-0000-1200-0000A0000000}">
      <text>
        <r>
          <rPr>
            <sz val="10"/>
            <rFont val="Arial"/>
            <family val="2"/>
          </rPr>
          <t xml:space="preserve">[16] Nonstandard age group: Including not specified
</t>
        </r>
      </text>
    </comment>
    <comment ref="EI138" authorId="0" shapeId="0" xr:uid="{00000000-0006-0000-1200-0000A1000000}">
      <text>
        <r>
          <rPr>
            <sz val="10"/>
            <rFont val="Arial"/>
            <family val="2"/>
          </rPr>
          <t xml:space="preserve">[16] Nonstandard age group: Including not specified
</t>
        </r>
      </text>
    </comment>
    <comment ref="DS139" authorId="0" shapeId="0" xr:uid="{00000000-0006-0000-1200-0000A2000000}">
      <text>
        <r>
          <rPr>
            <sz val="10"/>
            <rFont val="Arial"/>
            <family val="2"/>
          </rPr>
          <t xml:space="preserve">[17] Break in series: Definition(s) revised
</t>
        </r>
      </text>
    </comment>
    <comment ref="DS140" authorId="0" shapeId="0" xr:uid="{00000000-0006-0000-1200-0000A3000000}">
      <text>
        <r>
          <rPr>
            <sz val="10"/>
            <rFont val="Arial"/>
            <family val="2"/>
          </rPr>
          <t xml:space="preserve">[17] Break in series: Definition(s) revised
</t>
        </r>
      </text>
    </comment>
    <comment ref="DW142" authorId="0" shapeId="0" xr:uid="{00000000-0006-0000-1200-0000A4000000}">
      <text>
        <r>
          <rPr>
            <sz val="10"/>
            <rFont val="Arial"/>
            <family val="2"/>
          </rPr>
          <t xml:space="preserve">[11] Central tendency measure: Weighted mean
</t>
        </r>
      </text>
    </comment>
    <comment ref="DN143" authorId="0" shapeId="0" xr:uid="{00000000-0006-0000-1200-0000A5000000}">
      <text>
        <r>
          <rPr>
            <sz val="10"/>
            <rFont val="Arial"/>
            <family val="2"/>
          </rPr>
          <t xml:space="preserve">[12] Job coverage: Main job currently held
</t>
        </r>
      </text>
    </comment>
    <comment ref="DR144" authorId="0" shapeId="0" xr:uid="{00000000-0006-0000-1200-0000A6000000}">
      <text>
        <r>
          <rPr>
            <sz val="10"/>
            <rFont val="Arial"/>
            <family val="2"/>
          </rPr>
          <t xml:space="preserve">[17] Break in series: Definition(s) revised
</t>
        </r>
      </text>
    </comment>
    <comment ref="DS144" authorId="0" shapeId="0" xr:uid="{00000000-0006-0000-1200-0000A7000000}">
      <text>
        <r>
          <rPr>
            <sz val="10"/>
            <rFont val="Arial"/>
            <family val="2"/>
          </rPr>
          <t xml:space="preserve">[17] Break in series: Definition(s) revised
</t>
        </r>
      </text>
    </comment>
    <comment ref="EI144" authorId="0" shapeId="0" xr:uid="{00000000-0006-0000-1200-0000A8000000}">
      <text>
        <r>
          <rPr>
            <sz val="10"/>
            <rFont val="Arial"/>
            <family val="2"/>
          </rPr>
          <t xml:space="preserve">[12] Break in series: Definition(s) revised
[10] Break in series: Methodology revised
</t>
        </r>
      </text>
    </comment>
    <comment ref="DN145" authorId="0" shapeId="0" xr:uid="{00000000-0006-0000-1200-0000A9000000}">
      <text>
        <r>
          <rPr>
            <sz val="10"/>
            <rFont val="Arial"/>
            <family val="2"/>
          </rPr>
          <t xml:space="preserve">[12] Job coverage: Main job currently held
</t>
        </r>
      </text>
    </comment>
    <comment ref="DV149" authorId="0" shapeId="0" xr:uid="{00000000-0006-0000-1200-0000AA000000}">
      <text>
        <r>
          <rPr>
            <sz val="10"/>
            <rFont val="Arial"/>
            <family val="2"/>
          </rPr>
          <t xml:space="preserve">[12] Job coverage: Main job currently held
[14] Working time arrangement coverage: Full-time workers
[15] Working time concept: Hours usually worked
</t>
        </r>
      </text>
    </comment>
    <comment ref="DN151" authorId="0" shapeId="0" xr:uid="{00000000-0006-0000-1200-0000AB000000}">
      <text>
        <r>
          <rPr>
            <sz val="10"/>
            <rFont val="Arial"/>
            <family val="2"/>
          </rPr>
          <t xml:space="preserve">[11] Central tendency measure: Weighted mean
</t>
        </r>
      </text>
    </comment>
    <comment ref="DV151" authorId="0" shapeId="0" xr:uid="{00000000-0006-0000-1200-0000AC000000}">
      <text>
        <r>
          <rPr>
            <sz val="10"/>
            <rFont val="Arial"/>
            <family val="2"/>
          </rPr>
          <t xml:space="preserve">[15] Working time concept: Hours usually worked
</t>
        </r>
      </text>
    </comment>
    <comment ref="DQ153" authorId="0" shapeId="0" xr:uid="{00000000-0006-0000-1200-0000AD000000}">
      <text>
        <r>
          <rPr>
            <sz val="10"/>
            <rFont val="Arial"/>
            <family val="2"/>
          </rPr>
          <t xml:space="preserve">[12] Job coverage: Main job currently held
</t>
        </r>
      </text>
    </comment>
    <comment ref="DR153" authorId="0" shapeId="0" xr:uid="{00000000-0006-0000-1200-0000AE000000}">
      <text>
        <r>
          <rPr>
            <sz val="10"/>
            <rFont val="Arial"/>
            <family val="2"/>
          </rPr>
          <t xml:space="preserve">[12] Job coverage: Main job currently held
</t>
        </r>
      </text>
    </comment>
    <comment ref="DN154" authorId="0" shapeId="0" xr:uid="{00000000-0006-0000-1200-0000AF000000}">
      <text>
        <r>
          <rPr>
            <sz val="10"/>
            <rFont val="Arial"/>
            <family val="2"/>
          </rPr>
          <t xml:space="preserve">[7] Time unit: Per hour
[12] Job coverage: Main job currently held
</t>
        </r>
      </text>
    </comment>
    <comment ref="DN156" authorId="0" shapeId="0" xr:uid="{00000000-0006-0000-1200-0000B0000000}">
      <text>
        <r>
          <rPr>
            <sz val="10"/>
            <rFont val="Arial"/>
            <family val="2"/>
          </rPr>
          <t xml:space="preserve">[4] Population coverage: Nationals, residents
[15] Working time concept: Hours usually worked
</t>
        </r>
      </text>
    </comment>
    <comment ref="ED156" authorId="0" shapeId="0" xr:uid="{00000000-0006-0000-1200-0000B1000000}">
      <text>
        <r>
          <rPr>
            <sz val="10"/>
            <rFont val="Arial"/>
            <family val="2"/>
          </rPr>
          <t xml:space="preserve">[5] Population coverage: Nationals, residents
</t>
        </r>
      </text>
    </comment>
    <comment ref="EE156" authorId="0" shapeId="0" xr:uid="{00000000-0006-0000-1200-0000B2000000}">
      <text>
        <r>
          <rPr>
            <sz val="10"/>
            <rFont val="Arial"/>
            <family val="2"/>
          </rPr>
          <t xml:space="preserve">[10] Break in series: Methodology revised
</t>
        </r>
      </text>
    </comment>
    <comment ref="DS157" authorId="0" shapeId="0" xr:uid="{00000000-0006-0000-1200-0000B3000000}">
      <text>
        <r>
          <rPr>
            <sz val="10"/>
            <rFont val="Arial"/>
            <family val="2"/>
          </rPr>
          <t xml:space="preserve">[17] Break in series: Definition(s) revised
</t>
        </r>
      </text>
    </comment>
    <comment ref="DS158" authorId="0" shapeId="0" xr:uid="{00000000-0006-0000-1200-0000B4000000}">
      <text>
        <r>
          <rPr>
            <sz val="10"/>
            <rFont val="Arial"/>
            <family val="2"/>
          </rPr>
          <t xml:space="preserve">[17] Break in series: Definition(s) revised
</t>
        </r>
      </text>
    </comment>
    <comment ref="DU161" authorId="0" shapeId="0" xr:uid="{00000000-0006-0000-1200-0000B5000000}">
      <text>
        <r>
          <rPr>
            <sz val="10"/>
            <rFont val="Arial"/>
            <family val="2"/>
          </rPr>
          <t xml:space="preserve">[10] Central tendency measure: Median
[12] Job coverage: Main job currently held
</t>
        </r>
      </text>
    </comment>
    <comment ref="DV161" authorId="0" shapeId="0" xr:uid="{00000000-0006-0000-1200-0000B6000000}">
      <text>
        <r>
          <rPr>
            <sz val="10"/>
            <rFont val="Arial"/>
            <family val="2"/>
          </rPr>
          <t xml:space="preserve">[10] Central tendency measure: Median
</t>
        </r>
      </text>
    </comment>
    <comment ref="DW161" authorId="0" shapeId="0" xr:uid="{00000000-0006-0000-1200-0000B7000000}">
      <text>
        <r>
          <rPr>
            <sz val="10"/>
            <rFont val="Arial"/>
            <family val="2"/>
          </rPr>
          <t xml:space="preserve">[10] Central tendency measure: Median
[12] Job coverage: Main job currently held
</t>
        </r>
      </text>
    </comment>
    <comment ref="EG161" authorId="0" shapeId="0" xr:uid="{00000000-0006-0000-1200-0000B8000000}">
      <text>
        <r>
          <rPr>
            <sz val="10"/>
            <rFont val="Arial"/>
            <family val="2"/>
          </rPr>
          <t xml:space="preserve">[9] Break in series: Other or unspecified type of break
</t>
        </r>
      </text>
    </comment>
    <comment ref="DQ163" authorId="0" shapeId="0" xr:uid="{00000000-0006-0000-1200-0000B9000000}">
      <text>
        <r>
          <rPr>
            <sz val="10"/>
            <rFont val="Arial"/>
            <family val="2"/>
          </rPr>
          <t xml:space="preserve">[17] Break in series: Definition(s) revised
</t>
        </r>
      </text>
    </comment>
    <comment ref="DS163" authorId="0" shapeId="0" xr:uid="{00000000-0006-0000-1200-0000BA000000}">
      <text>
        <r>
          <rPr>
            <sz val="10"/>
            <rFont val="Arial"/>
            <family val="2"/>
          </rPr>
          <t xml:space="preserve">[17] Break in series: Definition(s) revised
</t>
        </r>
      </text>
    </comment>
    <comment ref="DN164" authorId="0" shapeId="0" xr:uid="{00000000-0006-0000-1200-0000BB000000}">
      <text>
        <r>
          <rPr>
            <sz val="10"/>
            <rFont val="Arial"/>
            <family val="2"/>
          </rPr>
          <t xml:space="preserve">[12] Job coverage: Main job currently held
</t>
        </r>
      </text>
    </comment>
    <comment ref="DS164" authorId="0" shapeId="0" xr:uid="{00000000-0006-0000-1200-0000BC000000}">
      <text>
        <r>
          <rPr>
            <sz val="10"/>
            <rFont val="Arial"/>
            <family val="2"/>
          </rPr>
          <t xml:space="preserve">[14] Working time arrangement coverage: Full-time workers
</t>
        </r>
      </text>
    </comment>
    <comment ref="DT164" authorId="0" shapeId="0" xr:uid="{00000000-0006-0000-1200-0000BD000000}">
      <text>
        <r>
          <rPr>
            <sz val="10"/>
            <rFont val="Arial"/>
            <family val="2"/>
          </rPr>
          <t xml:space="preserve">[14] Working time arrangement coverage: Full-time workers
</t>
        </r>
      </text>
    </comment>
    <comment ref="DU164" authorId="0" shapeId="0" xr:uid="{00000000-0006-0000-1200-0000BE000000}">
      <text>
        <r>
          <rPr>
            <sz val="10"/>
            <rFont val="Arial"/>
            <family val="2"/>
          </rPr>
          <t xml:space="preserve">[14] Working time arrangement coverage: Full-time workers
</t>
        </r>
      </text>
    </comment>
    <comment ref="DV164" authorId="0" shapeId="0" xr:uid="{00000000-0006-0000-1200-0000BF000000}">
      <text>
        <r>
          <rPr>
            <sz val="10"/>
            <rFont val="Arial"/>
            <family val="2"/>
          </rPr>
          <t xml:space="preserve">[14] Working time arrangement coverage: Full-time workers
</t>
        </r>
      </text>
    </comment>
    <comment ref="EJ164" authorId="0" shapeId="0" xr:uid="{00000000-0006-0000-1200-0000C0000000}">
      <text>
        <r>
          <rPr>
            <sz val="10"/>
            <rFont val="Arial"/>
            <family val="2"/>
          </rPr>
          <t xml:space="preserve">[11] Break in series: Sample redesigned
</t>
        </r>
      </text>
    </comment>
    <comment ref="DW165" authorId="0" shapeId="0" xr:uid="{00000000-0006-0000-1200-0000C1000000}">
      <text>
        <r>
          <rPr>
            <sz val="10"/>
            <rFont val="Arial"/>
            <family val="2"/>
          </rPr>
          <t xml:space="preserve">[11] Central tendency measure: Weighted mean
</t>
        </r>
      </text>
    </comment>
    <comment ref="ED167" authorId="0" shapeId="0" xr:uid="{00000000-0006-0000-1200-0000C2000000}">
      <text>
        <r>
          <rPr>
            <sz val="10"/>
            <rFont val="Arial"/>
            <family val="2"/>
          </rPr>
          <t xml:space="preserve">[3] Geographical coverage: Urban areas only
</t>
        </r>
      </text>
    </comment>
    <comment ref="DS169" authorId="0" shapeId="0" xr:uid="{00000000-0006-0000-1200-0000C3000000}">
      <text>
        <r>
          <rPr>
            <sz val="10"/>
            <rFont val="Arial"/>
            <family val="2"/>
          </rPr>
          <t xml:space="preserve">[17] Break in series: Definition(s) revised
</t>
        </r>
      </text>
    </comment>
    <comment ref="DS170" authorId="0" shapeId="0" xr:uid="{00000000-0006-0000-1200-0000C4000000}">
      <text>
        <r>
          <rPr>
            <sz val="10"/>
            <rFont val="Arial"/>
            <family val="2"/>
          </rPr>
          <t xml:space="preserve">[17] Break in series: Definition(s) revised
</t>
        </r>
      </text>
    </comment>
    <comment ref="DS173" authorId="0" shapeId="0" xr:uid="{00000000-0006-0000-1200-0000C5000000}">
      <text>
        <r>
          <rPr>
            <sz val="10"/>
            <rFont val="Arial"/>
            <family val="2"/>
          </rPr>
          <t xml:space="preserve">[17] Break in series: Definition(s) revised
</t>
        </r>
      </text>
    </comment>
    <comment ref="DU174" authorId="0" shapeId="0" xr:uid="{00000000-0006-0000-1200-0000C6000000}">
      <text>
        <r>
          <rPr>
            <sz val="10"/>
            <rFont val="Arial"/>
            <family val="2"/>
          </rPr>
          <t xml:space="preserve">[12] Job coverage: Main job currently held
</t>
        </r>
      </text>
    </comment>
    <comment ref="DV174" authorId="0" shapeId="0" xr:uid="{00000000-0006-0000-1200-0000C7000000}">
      <text>
        <r>
          <rPr>
            <sz val="10"/>
            <rFont val="Arial"/>
            <family val="2"/>
          </rPr>
          <t xml:space="preserve">[12] Job coverage: Main job currently held
</t>
        </r>
      </text>
    </comment>
    <comment ref="EL174" authorId="0" shapeId="0" xr:uid="{00000000-0006-0000-1200-0000C8000000}">
      <text>
        <r>
          <rPr>
            <sz val="10"/>
            <rFont val="Arial"/>
            <family val="2"/>
          </rPr>
          <t xml:space="preserve">[8] Reference group coverage: Including seasonal workers who were currently not employed nor seeking work
</t>
        </r>
      </text>
    </comment>
    <comment ref="EM174" authorId="0" shapeId="0" xr:uid="{00000000-0006-0000-1200-0000C9000000}">
      <text>
        <r>
          <rPr>
            <sz val="10"/>
            <rFont val="Arial"/>
            <family val="2"/>
          </rPr>
          <t xml:space="preserve">[8] Reference group coverage: Including seasonal workers who were currently not employed nor seeking work
</t>
        </r>
      </text>
    </comment>
    <comment ref="DS180" authorId="0" shapeId="0" xr:uid="{00000000-0006-0000-1200-0000CA000000}">
      <text>
        <r>
          <rPr>
            <sz val="10"/>
            <rFont val="Arial"/>
            <family val="2"/>
          </rPr>
          <t xml:space="preserve">[17] Break in series: Definition(s) revised
</t>
        </r>
      </text>
    </comment>
    <comment ref="DN182" authorId="0" shapeId="0" xr:uid="{00000000-0006-0000-1200-0000CB000000}">
      <text>
        <r>
          <rPr>
            <sz val="10"/>
            <rFont val="Arial"/>
            <family val="2"/>
          </rPr>
          <t xml:space="preserve">[11] Central tendency measure: Weighted mean
</t>
        </r>
      </text>
    </comment>
    <comment ref="DN183" authorId="0" shapeId="0" xr:uid="{00000000-0006-0000-1200-0000CC000000}">
      <text>
        <r>
          <rPr>
            <sz val="10"/>
            <rFont val="Arial"/>
            <family val="2"/>
          </rPr>
          <t xml:space="preserve">[11] Central tendency measure: Weighted mean
</t>
        </r>
      </text>
    </comment>
    <comment ref="DV183" authorId="0" shapeId="0" xr:uid="{00000000-0006-0000-1200-0000CD000000}">
      <text>
        <r>
          <rPr>
            <sz val="10"/>
            <rFont val="Arial"/>
            <family val="2"/>
          </rPr>
          <t xml:space="preserve">[12] Job coverage: Main job currently held
</t>
        </r>
      </text>
    </comment>
    <comment ref="DW183" authorId="0" shapeId="0" xr:uid="{00000000-0006-0000-1200-0000CE000000}">
      <text>
        <r>
          <rPr>
            <sz val="10"/>
            <rFont val="Arial"/>
            <family val="2"/>
          </rPr>
          <t xml:space="preserve">[12] Job coverage: Main job currently held
</t>
        </r>
      </text>
    </comment>
    <comment ref="DN184" authorId="0" shapeId="0" xr:uid="{00000000-0006-0000-1200-0000CF000000}">
      <text>
        <r>
          <rPr>
            <sz val="10"/>
            <rFont val="Arial"/>
            <family val="2"/>
          </rPr>
          <t xml:space="preserve">[3] Population coverage: Excluding labour camps
</t>
        </r>
      </text>
    </comment>
    <comment ref="EH184" authorId="0" shapeId="0" xr:uid="{00000000-0006-0000-1200-0000D0000000}">
      <text>
        <r>
          <rPr>
            <sz val="10"/>
            <rFont val="Arial"/>
            <family val="2"/>
          </rPr>
          <t xml:space="preserve">[4] Population coverage: Excluding labour camps
</t>
        </r>
      </text>
    </comment>
    <comment ref="DS185" authorId="0" shapeId="0" xr:uid="{00000000-0006-0000-1200-0000D1000000}">
      <text>
        <r>
          <rPr>
            <sz val="10"/>
            <rFont val="Arial"/>
            <family val="2"/>
          </rPr>
          <t xml:space="preserve">[17] Break in series: Definition(s) revised
</t>
        </r>
      </text>
    </comment>
    <comment ref="DN186" authorId="0" shapeId="0" xr:uid="{00000000-0006-0000-1200-0000D2000000}">
      <text>
        <r>
          <rPr>
            <sz val="10"/>
            <rFont val="Arial"/>
            <family val="2"/>
          </rPr>
          <t xml:space="preserve">[12] Job coverage: Main job currently held
</t>
        </r>
      </text>
    </comment>
    <comment ref="DN188" authorId="0" shapeId="0" xr:uid="{00000000-0006-0000-1200-0000D3000000}">
      <text>
        <r>
          <rPr>
            <sz val="10"/>
            <rFont val="Arial"/>
            <family val="2"/>
          </rPr>
          <t xml:space="preserve">[15] Working time concept: Hours usually worked
</t>
        </r>
      </text>
    </comment>
    <comment ref="EE188" authorId="0" shapeId="0" xr:uid="{00000000-0006-0000-1200-0000D4000000}">
      <text>
        <r>
          <rPr>
            <sz val="10"/>
            <rFont val="Arial"/>
            <family val="2"/>
          </rPr>
          <t xml:space="preserve">[9] Break in series: Other or unspecified type of break
</t>
        </r>
      </text>
    </comment>
    <comment ref="DN191" authorId="0" shapeId="0" xr:uid="{00000000-0006-0000-1200-0000D5000000}">
      <text>
        <r>
          <rPr>
            <sz val="10"/>
            <rFont val="Arial"/>
            <family val="2"/>
          </rPr>
          <t xml:space="preserve">[12] Job coverage: Main job currently held
</t>
        </r>
      </text>
    </comment>
    <comment ref="DV192" authorId="0" shapeId="0" xr:uid="{00000000-0006-0000-1200-0000D6000000}">
      <text>
        <r>
          <rPr>
            <sz val="10"/>
            <rFont val="Arial"/>
            <family val="2"/>
          </rPr>
          <t xml:space="preserve">[11] Central tendency measure: Weighted mean
</t>
        </r>
      </text>
    </comment>
    <comment ref="DW192" authorId="0" shapeId="0" xr:uid="{00000000-0006-0000-1200-0000D7000000}">
      <text>
        <r>
          <rPr>
            <sz val="10"/>
            <rFont val="Arial"/>
            <family val="2"/>
          </rPr>
          <t xml:space="preserve">[11] Central tendency measure: Weighted mean
</t>
        </r>
      </text>
    </comment>
  </commentList>
</comments>
</file>

<file path=xl/sharedStrings.xml><?xml version="1.0" encoding="utf-8"?>
<sst xmlns="http://schemas.openxmlformats.org/spreadsheetml/2006/main" count="15422" uniqueCount="1615">
  <si>
    <t>Currency</t>
  </si>
  <si>
    <t>Age-group</t>
  </si>
  <si>
    <t>6 &lt; 12m</t>
  </si>
  <si>
    <t>1 &lt; 2y</t>
  </si>
  <si>
    <t>2 &lt; 5y</t>
  </si>
  <si>
    <t>5 &lt; 15y</t>
  </si>
  <si>
    <t>15 &lt; 50y</t>
  </si>
  <si>
    <t>50 &lt; 65y</t>
  </si>
  <si>
    <t>&lt; 6m</t>
  </si>
  <si>
    <t>Mortality</t>
  </si>
  <si>
    <t>Productivity losses</t>
  </si>
  <si>
    <r>
      <t xml:space="preserve">65y </t>
    </r>
    <r>
      <rPr>
        <b/>
        <sz val="11"/>
        <color theme="1"/>
        <rFont val="Calibri"/>
        <family val="2"/>
      </rPr>
      <t>≤</t>
    </r>
  </si>
  <si>
    <t>Cost for vaccination</t>
  </si>
  <si>
    <t>0-4</t>
  </si>
  <si>
    <t>5-9</t>
  </si>
  <si>
    <t>10-14</t>
  </si>
  <si>
    <t>15-19</t>
  </si>
  <si>
    <t>20-24</t>
  </si>
  <si>
    <t>25-29</t>
  </si>
  <si>
    <t>30-34</t>
  </si>
  <si>
    <t>35-39</t>
  </si>
  <si>
    <t>40-44</t>
  </si>
  <si>
    <t>45-49</t>
  </si>
  <si>
    <t>50-54</t>
  </si>
  <si>
    <t>55-59</t>
  </si>
  <si>
    <t>60-64</t>
  </si>
  <si>
    <t>65-69</t>
  </si>
  <si>
    <t>70-74</t>
  </si>
  <si>
    <t>75-79</t>
  </si>
  <si>
    <t>80-84</t>
  </si>
  <si>
    <t>85-89</t>
  </si>
  <si>
    <t>90-94</t>
  </si>
  <si>
    <t>95-99</t>
  </si>
  <si>
    <t>100+</t>
  </si>
  <si>
    <t>Burundi</t>
  </si>
  <si>
    <t>Comoros</t>
  </si>
  <si>
    <t>Djibouti</t>
  </si>
  <si>
    <t>Eritrea</t>
  </si>
  <si>
    <t>Ethiopia</t>
  </si>
  <si>
    <t>Kenya</t>
  </si>
  <si>
    <t>Madagascar</t>
  </si>
  <si>
    <t>Malawi</t>
  </si>
  <si>
    <t>Mauritius</t>
  </si>
  <si>
    <t>Mozambique</t>
  </si>
  <si>
    <t>Rwanda</t>
  </si>
  <si>
    <t>Seychelles</t>
  </si>
  <si>
    <t>Somalia</t>
  </si>
  <si>
    <t>South Sudan</t>
  </si>
  <si>
    <t>Uganda</t>
  </si>
  <si>
    <t>United Republic of Tanzania</t>
  </si>
  <si>
    <t>Zambia</t>
  </si>
  <si>
    <t>Zimbabwe</t>
  </si>
  <si>
    <t>Angola</t>
  </si>
  <si>
    <t>Cameroon</t>
  </si>
  <si>
    <t>Central African Republic</t>
  </si>
  <si>
    <t>Chad</t>
  </si>
  <si>
    <t>Congo</t>
  </si>
  <si>
    <t>Democratic Republic of the Congo</t>
  </si>
  <si>
    <t>Equatorial Guinea</t>
  </si>
  <si>
    <t>Gabon</t>
  </si>
  <si>
    <t>Sao Tome and Principe</t>
  </si>
  <si>
    <t>Algeria</t>
  </si>
  <si>
    <t>Egypt</t>
  </si>
  <si>
    <t>Libya</t>
  </si>
  <si>
    <t>Morocco</t>
  </si>
  <si>
    <t>Sudan</t>
  </si>
  <si>
    <t>Tunisia</t>
  </si>
  <si>
    <t>Botswana</t>
  </si>
  <si>
    <t>Lesotho</t>
  </si>
  <si>
    <t>Namibia</t>
  </si>
  <si>
    <t>South Africa</t>
  </si>
  <si>
    <t>Swaziland</t>
  </si>
  <si>
    <t>Benin</t>
  </si>
  <si>
    <t>Burkina Faso</t>
  </si>
  <si>
    <t>Cabo Verde</t>
  </si>
  <si>
    <t>Côte d'Ivoire</t>
  </si>
  <si>
    <t>Gambia</t>
  </si>
  <si>
    <t>Ghana</t>
  </si>
  <si>
    <t>Guinea</t>
  </si>
  <si>
    <t>Guinea-Bissau</t>
  </si>
  <si>
    <t>Liberia</t>
  </si>
  <si>
    <t>Mali</t>
  </si>
  <si>
    <t>Mauritania</t>
  </si>
  <si>
    <t>Niger</t>
  </si>
  <si>
    <t>Nigeria</t>
  </si>
  <si>
    <t>Senegal</t>
  </si>
  <si>
    <t>Sierra Leone</t>
  </si>
  <si>
    <t>Togo</t>
  </si>
  <si>
    <t>China</t>
  </si>
  <si>
    <t>Dem. People's Republic of Korea</t>
  </si>
  <si>
    <t>Japan</t>
  </si>
  <si>
    <t>Mongolia</t>
  </si>
  <si>
    <t>Republic of Korea</t>
  </si>
  <si>
    <t>Kazakhstan</t>
  </si>
  <si>
    <t>Kyrgyzstan</t>
  </si>
  <si>
    <t>Tajikistan</t>
  </si>
  <si>
    <t>Turkmenistan</t>
  </si>
  <si>
    <t>Uzbekistan</t>
  </si>
  <si>
    <t>Afghanistan</t>
  </si>
  <si>
    <t>Bangladesh</t>
  </si>
  <si>
    <t>Bhutan</t>
  </si>
  <si>
    <t>India</t>
  </si>
  <si>
    <t>Iran (Islamic Republic of)</t>
  </si>
  <si>
    <t>Maldives</t>
  </si>
  <si>
    <t>Nepal</t>
  </si>
  <si>
    <t>Pakistan</t>
  </si>
  <si>
    <t>Sri Lanka</t>
  </si>
  <si>
    <t>Brunei Darussalam</t>
  </si>
  <si>
    <t>Cambodia</t>
  </si>
  <si>
    <t>Indonesia</t>
  </si>
  <si>
    <t>Lao People's Democratic Republic</t>
  </si>
  <si>
    <t>Malaysia</t>
  </si>
  <si>
    <t>Myanmar</t>
  </si>
  <si>
    <t>Philippines</t>
  </si>
  <si>
    <t>Singapore</t>
  </si>
  <si>
    <t>Thailand</t>
  </si>
  <si>
    <t>Timor-Leste</t>
  </si>
  <si>
    <t>Viet Nam</t>
  </si>
  <si>
    <t>Armenia</t>
  </si>
  <si>
    <t>Azerbaijan</t>
  </si>
  <si>
    <t>Bahrain</t>
  </si>
  <si>
    <t>Cyprus</t>
  </si>
  <si>
    <t>Georgia</t>
  </si>
  <si>
    <t>Iraq</t>
  </si>
  <si>
    <t>Israel</t>
  </si>
  <si>
    <t>Jordan</t>
  </si>
  <si>
    <t>Kuwait</t>
  </si>
  <si>
    <t>Lebanon</t>
  </si>
  <si>
    <t>Oman</t>
  </si>
  <si>
    <t>Qatar</t>
  </si>
  <si>
    <t>Saudi Arabia</t>
  </si>
  <si>
    <t>State of Palestine</t>
  </si>
  <si>
    <t>Syrian Arab Republic</t>
  </si>
  <si>
    <t>Turkey</t>
  </si>
  <si>
    <t>United Arab Emirates</t>
  </si>
  <si>
    <t>Yemen</t>
  </si>
  <si>
    <t>Belarus</t>
  </si>
  <si>
    <t>Bulgaria</t>
  </si>
  <si>
    <t>Czech Republic</t>
  </si>
  <si>
    <t>Hungary</t>
  </si>
  <si>
    <t>Poland</t>
  </si>
  <si>
    <t>Republic of Moldova</t>
  </si>
  <si>
    <t>Romania</t>
  </si>
  <si>
    <t>Russian Federation</t>
  </si>
  <si>
    <t>Slovakia</t>
  </si>
  <si>
    <t>Ukraine</t>
  </si>
  <si>
    <t>Denmark</t>
  </si>
  <si>
    <t>Estonia</t>
  </si>
  <si>
    <t>Finland</t>
  </si>
  <si>
    <t>Iceland</t>
  </si>
  <si>
    <t>Ireland</t>
  </si>
  <si>
    <t>Latvia</t>
  </si>
  <si>
    <t>Lithuania</t>
  </si>
  <si>
    <t>Norway</t>
  </si>
  <si>
    <t>Sweden</t>
  </si>
  <si>
    <t>United Kingdom</t>
  </si>
  <si>
    <t>Albania</t>
  </si>
  <si>
    <t>Bosnia and Herzegovina</t>
  </si>
  <si>
    <t>Croatia</t>
  </si>
  <si>
    <t>Greece</t>
  </si>
  <si>
    <t>Italy</t>
  </si>
  <si>
    <t>Malta</t>
  </si>
  <si>
    <t>Montenegro</t>
  </si>
  <si>
    <t>Portugal</t>
  </si>
  <si>
    <t>Serbia</t>
  </si>
  <si>
    <t>Slovenia</t>
  </si>
  <si>
    <t>Spain</t>
  </si>
  <si>
    <t>TFYR Macedonia</t>
  </si>
  <si>
    <t>Austria</t>
  </si>
  <si>
    <t>Belgium</t>
  </si>
  <si>
    <t>France</t>
  </si>
  <si>
    <t>Germany</t>
  </si>
  <si>
    <t>Luxembourg</t>
  </si>
  <si>
    <t>Netherlands</t>
  </si>
  <si>
    <t>Switzerland</t>
  </si>
  <si>
    <t>Antigua and Barbuda</t>
  </si>
  <si>
    <t>Aruba</t>
  </si>
  <si>
    <t>Bahamas</t>
  </si>
  <si>
    <t>Barbados</t>
  </si>
  <si>
    <t>Cuba</t>
  </si>
  <si>
    <t>Curaçao</t>
  </si>
  <si>
    <t>Dominican Republic</t>
  </si>
  <si>
    <t>Grenada</t>
  </si>
  <si>
    <t>Haiti</t>
  </si>
  <si>
    <t>Jamaica</t>
  </si>
  <si>
    <t>Martinique</t>
  </si>
  <si>
    <t>Saint Lucia</t>
  </si>
  <si>
    <t>Saint Vincent and the Grenadines</t>
  </si>
  <si>
    <t>Trinidad and Tobago</t>
  </si>
  <si>
    <t>United States Virgin Islands</t>
  </si>
  <si>
    <t>Belize</t>
  </si>
  <si>
    <t>Costa Rica</t>
  </si>
  <si>
    <t>El Salvador</t>
  </si>
  <si>
    <t>Guatemala</t>
  </si>
  <si>
    <t>Honduras</t>
  </si>
  <si>
    <t>Mexico</t>
  </si>
  <si>
    <t>Nicaragua</t>
  </si>
  <si>
    <t>Panama</t>
  </si>
  <si>
    <t>Argentina</t>
  </si>
  <si>
    <t>Bolivia (Plurinational State of)</t>
  </si>
  <si>
    <t>Brazil</t>
  </si>
  <si>
    <t>Chile</t>
  </si>
  <si>
    <t>Colombia</t>
  </si>
  <si>
    <t>Ecuador</t>
  </si>
  <si>
    <t>Guyana</t>
  </si>
  <si>
    <t>Paraguay</t>
  </si>
  <si>
    <t>Peru</t>
  </si>
  <si>
    <t>Suriname</t>
  </si>
  <si>
    <t>Uruguay</t>
  </si>
  <si>
    <t>Venezuela (Bolivarian Republic of)</t>
  </si>
  <si>
    <t>Canada</t>
  </si>
  <si>
    <t>United States of America</t>
  </si>
  <si>
    <t>Australia</t>
  </si>
  <si>
    <t>New Zealand</t>
  </si>
  <si>
    <t>Fiji</t>
  </si>
  <si>
    <t>New Caledonia</t>
  </si>
  <si>
    <t>Papua New Guinea</t>
  </si>
  <si>
    <t>Solomon Islands</t>
  </si>
  <si>
    <t>Vanuatu</t>
  </si>
  <si>
    <t>Kiribati</t>
  </si>
  <si>
    <t>Micronesia (Fed. States of)</t>
  </si>
  <si>
    <t>Samoa</t>
  </si>
  <si>
    <t>Tonga</t>
  </si>
  <si>
    <t>List of countries</t>
  </si>
  <si>
    <t>Influenza cases</t>
  </si>
  <si>
    <t>Deaths</t>
  </si>
  <si>
    <t>QALYs lost</t>
  </si>
  <si>
    <t>Pregnant women</t>
  </si>
  <si>
    <t>Curacao</t>
  </si>
  <si>
    <t>Birth rates</t>
  </si>
  <si>
    <t>Denominators</t>
  </si>
  <si>
    <t>Attack rate</t>
  </si>
  <si>
    <t>Hospitalisation incidence</t>
  </si>
  <si>
    <t>Total</t>
  </si>
  <si>
    <t>Attack rate for symptomatic influenza in non vaccinated population(unit)</t>
  </si>
  <si>
    <t xml:space="preserve">Incidence for hospitalized influenza (SARI) cases (/100,000 population) </t>
  </si>
  <si>
    <t>ICER</t>
  </si>
  <si>
    <t>Average mortality rate</t>
  </si>
  <si>
    <t>Probability of death</t>
  </si>
  <si>
    <t>Cohort</t>
  </si>
  <si>
    <t>Total deaths</t>
  </si>
  <si>
    <t>Lifeyears(x)</t>
  </si>
  <si>
    <t>Total years</t>
  </si>
  <si>
    <t>Lifeyears discounted</t>
  </si>
  <si>
    <t>Total years (discounted)</t>
  </si>
  <si>
    <t>Life expectancy (undiscounted)</t>
  </si>
  <si>
    <t>Life expectancy (discounted)</t>
  </si>
  <si>
    <t>LY undiscounted</t>
  </si>
  <si>
    <t>Average age of death</t>
  </si>
  <si>
    <t>LE</t>
  </si>
  <si>
    <t>LE (d)</t>
  </si>
  <si>
    <t>LE QALY</t>
  </si>
  <si>
    <t>LE QALY (d)</t>
  </si>
  <si>
    <t>Age</t>
  </si>
  <si>
    <t>Afghan afghani</t>
  </si>
  <si>
    <t>AFN</t>
  </si>
  <si>
    <t>European euro</t>
  </si>
  <si>
    <t>EUR</t>
  </si>
  <si>
    <t>Albanian lek</t>
  </si>
  <si>
    <t>ALL</t>
  </si>
  <si>
    <t>Algerian dinar</t>
  </si>
  <si>
    <t>DZD</t>
  </si>
  <si>
    <t>United States dollar</t>
  </si>
  <si>
    <t>USD</t>
  </si>
  <si>
    <t>Angolan kwanza</t>
  </si>
  <si>
    <t>AOA</t>
  </si>
  <si>
    <t>East Caribbean dollar</t>
  </si>
  <si>
    <t>XCD</t>
  </si>
  <si>
    <t>Argentine peso</t>
  </si>
  <si>
    <t>ARS</t>
  </si>
  <si>
    <t>Armenian dram</t>
  </si>
  <si>
    <t>AMD</t>
  </si>
  <si>
    <t>Aruban florin</t>
  </si>
  <si>
    <t>AWG</t>
  </si>
  <si>
    <t>Australian dollar</t>
  </si>
  <si>
    <t>AUD</t>
  </si>
  <si>
    <t>Azerbaijani manat</t>
  </si>
  <si>
    <t>AZN</t>
  </si>
  <si>
    <t>Bahamian dollar</t>
  </si>
  <si>
    <t>BSD</t>
  </si>
  <si>
    <t>Bahraini dinar</t>
  </si>
  <si>
    <t>BHD</t>
  </si>
  <si>
    <t>Bangladeshi taka</t>
  </si>
  <si>
    <t>BDT</t>
  </si>
  <si>
    <t>Barbadian dollar</t>
  </si>
  <si>
    <t>BBD</t>
  </si>
  <si>
    <t>Belarusian ruble</t>
  </si>
  <si>
    <t>BYR</t>
  </si>
  <si>
    <t>Belize dollar</t>
  </si>
  <si>
    <t>BZD</t>
  </si>
  <si>
    <t>West African CFA franc</t>
  </si>
  <si>
    <t>XOF</t>
  </si>
  <si>
    <t>Bhutanese ngultrum</t>
  </si>
  <si>
    <t>BTN</t>
  </si>
  <si>
    <t>Bolivian boliviano</t>
  </si>
  <si>
    <t>BOB</t>
  </si>
  <si>
    <t>Bosnia and Herzegovina convertible mark</t>
  </si>
  <si>
    <t>BAM</t>
  </si>
  <si>
    <t>Botswana pula</t>
  </si>
  <si>
    <t>BWP</t>
  </si>
  <si>
    <t>Brazilian real</t>
  </si>
  <si>
    <t>BRL</t>
  </si>
  <si>
    <t>Brunei dollar</t>
  </si>
  <si>
    <t>BND</t>
  </si>
  <si>
    <t>Bulgarian lev</t>
  </si>
  <si>
    <t>BGN</t>
  </si>
  <si>
    <t>Burundi franc</t>
  </si>
  <si>
    <t>BIF</t>
  </si>
  <si>
    <t>Cape Verdean escudo</t>
  </si>
  <si>
    <t>CVE</t>
  </si>
  <si>
    <t>Cambodian riel</t>
  </si>
  <si>
    <t>KHR</t>
  </si>
  <si>
    <t>Central African CFA franc</t>
  </si>
  <si>
    <t>XAF</t>
  </si>
  <si>
    <t>Canadian dollar</t>
  </si>
  <si>
    <t>CAD</t>
  </si>
  <si>
    <t>Chilean peso</t>
  </si>
  <si>
    <t>CLP</t>
  </si>
  <si>
    <t>Chinese Yuan Renminbi</t>
  </si>
  <si>
    <t>CNY</t>
  </si>
  <si>
    <t>Colombian peso</t>
  </si>
  <si>
    <t>COP</t>
  </si>
  <si>
    <t>Comorian franc</t>
  </si>
  <si>
    <t>KMF</t>
  </si>
  <si>
    <t>Congolese franc</t>
  </si>
  <si>
    <t>CDF</t>
  </si>
  <si>
    <t>Costa Rican colon</t>
  </si>
  <si>
    <t>CRC</t>
  </si>
  <si>
    <t>Croatian kuna</t>
  </si>
  <si>
    <t>HRK</t>
  </si>
  <si>
    <t>Cuban peso</t>
  </si>
  <si>
    <t>CUP</t>
  </si>
  <si>
    <t>Netherlands Antillean guilder</t>
  </si>
  <si>
    <t>ANG</t>
  </si>
  <si>
    <t>Czech koruna</t>
  </si>
  <si>
    <t>CZK</t>
  </si>
  <si>
    <t>Danish krone</t>
  </si>
  <si>
    <t>DKK</t>
  </si>
  <si>
    <t>Djiboutian franc</t>
  </si>
  <si>
    <t>DJF</t>
  </si>
  <si>
    <t>Dominican peso</t>
  </si>
  <si>
    <t>DOP</t>
  </si>
  <si>
    <t>Egyptian pound</t>
  </si>
  <si>
    <t>EGP</t>
  </si>
  <si>
    <t>Eritrean nakfa</t>
  </si>
  <si>
    <t>ERN</t>
  </si>
  <si>
    <t>Ethiopian birr</t>
  </si>
  <si>
    <t>ETB</t>
  </si>
  <si>
    <t>Fijian dollar</t>
  </si>
  <si>
    <t>FJD</t>
  </si>
  <si>
    <t>CFP franc</t>
  </si>
  <si>
    <t>XPF</t>
  </si>
  <si>
    <t>Gambian dalasi</t>
  </si>
  <si>
    <t>GMD</t>
  </si>
  <si>
    <t>Georgian lari</t>
  </si>
  <si>
    <t>GEL</t>
  </si>
  <si>
    <t>Ghanaian cedi</t>
  </si>
  <si>
    <t>GHS</t>
  </si>
  <si>
    <t>Guatemalan quetzal</t>
  </si>
  <si>
    <t>GTQ</t>
  </si>
  <si>
    <t>Guinean franc</t>
  </si>
  <si>
    <t>GNF</t>
  </si>
  <si>
    <t>Guyanese dollar</t>
  </si>
  <si>
    <t>GYD</t>
  </si>
  <si>
    <t>Haitian gourde</t>
  </si>
  <si>
    <t>HTG</t>
  </si>
  <si>
    <t>Honduran lempira</t>
  </si>
  <si>
    <t>HNL</t>
  </si>
  <si>
    <t>Hungarian forint</t>
  </si>
  <si>
    <t>HUF</t>
  </si>
  <si>
    <t>Icelandic krona</t>
  </si>
  <si>
    <t>ISK</t>
  </si>
  <si>
    <t>Indian rupee</t>
  </si>
  <si>
    <t>INR</t>
  </si>
  <si>
    <t>Indonesian rupiah</t>
  </si>
  <si>
    <t>IDR</t>
  </si>
  <si>
    <t>Iranian rial</t>
  </si>
  <si>
    <t>IRR</t>
  </si>
  <si>
    <t>Iraqi dinar</t>
  </si>
  <si>
    <t>IQD</t>
  </si>
  <si>
    <t>Israeli new sheqel</t>
  </si>
  <si>
    <t>ILS</t>
  </si>
  <si>
    <t>Jamaican dollar</t>
  </si>
  <si>
    <t>JMD</t>
  </si>
  <si>
    <t>Japanese yen</t>
  </si>
  <si>
    <t>JPY</t>
  </si>
  <si>
    <t>Jordanian dinar</t>
  </si>
  <si>
    <t>JOD</t>
  </si>
  <si>
    <t>Kazakhstani tenge</t>
  </si>
  <si>
    <t>KZT</t>
  </si>
  <si>
    <t>Kenyan shilling</t>
  </si>
  <si>
    <t>KES</t>
  </si>
  <si>
    <t>Kuwaiti dinar</t>
  </si>
  <si>
    <t>KWD</t>
  </si>
  <si>
    <t>Kyrgyzstani som</t>
  </si>
  <si>
    <t>KGS</t>
  </si>
  <si>
    <t>Lao kip</t>
  </si>
  <si>
    <t>LAK</t>
  </si>
  <si>
    <t>Lebanese pound</t>
  </si>
  <si>
    <t>LBP</t>
  </si>
  <si>
    <t>Lesotho loti</t>
  </si>
  <si>
    <t>LSL</t>
  </si>
  <si>
    <t>Liberian dollar</t>
  </si>
  <si>
    <t>LRD</t>
  </si>
  <si>
    <t>Libyan dinar</t>
  </si>
  <si>
    <t>LYD</t>
  </si>
  <si>
    <t>Swiss franc</t>
  </si>
  <si>
    <t>CHF</t>
  </si>
  <si>
    <t>Macedonian denar</t>
  </si>
  <si>
    <t>MKD</t>
  </si>
  <si>
    <t>Malagasy ariary</t>
  </si>
  <si>
    <t>MGA</t>
  </si>
  <si>
    <t>Malawian kwacha</t>
  </si>
  <si>
    <t>MWK</t>
  </si>
  <si>
    <t>Malaysian ringgit</t>
  </si>
  <si>
    <t>MYR</t>
  </si>
  <si>
    <t>Maldivian rufiyaa</t>
  </si>
  <si>
    <t>MVR</t>
  </si>
  <si>
    <t>Mauritanian ouguiya</t>
  </si>
  <si>
    <t>MRO</t>
  </si>
  <si>
    <t>Mauritian rupee</t>
  </si>
  <si>
    <t>MUR</t>
  </si>
  <si>
    <t>Mexican peso</t>
  </si>
  <si>
    <t>MXN</t>
  </si>
  <si>
    <t>Moldovan leu</t>
  </si>
  <si>
    <t>MDL</t>
  </si>
  <si>
    <t>Mongolian tugrik</t>
  </si>
  <si>
    <t>MNT</t>
  </si>
  <si>
    <t>Moroccan dirham</t>
  </si>
  <si>
    <t>MAD</t>
  </si>
  <si>
    <t>Mozambican metical</t>
  </si>
  <si>
    <t>MZN</t>
  </si>
  <si>
    <t>Myanmar kyat</t>
  </si>
  <si>
    <t>MMK</t>
  </si>
  <si>
    <t>Namibian dollar</t>
  </si>
  <si>
    <t>NAD</t>
  </si>
  <si>
    <t>Nepalese rupee</t>
  </si>
  <si>
    <t>NPR</t>
  </si>
  <si>
    <t>New Zealand dollar</t>
  </si>
  <si>
    <t>NZD</t>
  </si>
  <si>
    <t>Nicaraguan cordoba</t>
  </si>
  <si>
    <t>NIO</t>
  </si>
  <si>
    <t>Nigerian naira</t>
  </si>
  <si>
    <t>NGN</t>
  </si>
  <si>
    <t>North Korean won</t>
  </si>
  <si>
    <t>KPW</t>
  </si>
  <si>
    <t>Norwegian krone</t>
  </si>
  <si>
    <t>NOK</t>
  </si>
  <si>
    <t>Omani rial</t>
  </si>
  <si>
    <t>OMR</t>
  </si>
  <si>
    <t>Pakistani rupee</t>
  </si>
  <si>
    <t>PKR</t>
  </si>
  <si>
    <t>Papua New Guinean kina</t>
  </si>
  <si>
    <t>PGK</t>
  </si>
  <si>
    <t>Paraguayan guarani</t>
  </si>
  <si>
    <t>PYG</t>
  </si>
  <si>
    <t>Peruvian nuevo sol</t>
  </si>
  <si>
    <t>PEN</t>
  </si>
  <si>
    <t>Philippine peso</t>
  </si>
  <si>
    <t>PHP</t>
  </si>
  <si>
    <t>Polish zloty</t>
  </si>
  <si>
    <t>PLN</t>
  </si>
  <si>
    <t>Qatari riyal</t>
  </si>
  <si>
    <t>QAR</t>
  </si>
  <si>
    <t>Romanian leu</t>
  </si>
  <si>
    <t>RON</t>
  </si>
  <si>
    <t>Russian ruble</t>
  </si>
  <si>
    <t>RUB</t>
  </si>
  <si>
    <t>Rwandan franc</t>
  </si>
  <si>
    <t>RWF</t>
  </si>
  <si>
    <t>Samoan tala</t>
  </si>
  <si>
    <t>WST</t>
  </si>
  <si>
    <t>Sao Tome and Principe dobra</t>
  </si>
  <si>
    <t>STD</t>
  </si>
  <si>
    <t>Saudi riyal</t>
  </si>
  <si>
    <t>SAR</t>
  </si>
  <si>
    <t>Serbian dinar</t>
  </si>
  <si>
    <t>RSD</t>
  </si>
  <si>
    <t>Seychellois rupee</t>
  </si>
  <si>
    <t>SCR</t>
  </si>
  <si>
    <t>Sierra Leonean leone</t>
  </si>
  <si>
    <t>SLL</t>
  </si>
  <si>
    <t>Singapore dollar</t>
  </si>
  <si>
    <t>SGD</t>
  </si>
  <si>
    <t>Solomon Islands dollar</t>
  </si>
  <si>
    <t>SBD</t>
  </si>
  <si>
    <t>Somali shilling</t>
  </si>
  <si>
    <t>SOS</t>
  </si>
  <si>
    <t>South African rand</t>
  </si>
  <si>
    <t>ZAR</t>
  </si>
  <si>
    <t>Pound sterling</t>
  </si>
  <si>
    <t>GBP</t>
  </si>
  <si>
    <t>South Korean won</t>
  </si>
  <si>
    <t>KRW</t>
  </si>
  <si>
    <t>South Sudanese pound</t>
  </si>
  <si>
    <t>SSP</t>
  </si>
  <si>
    <t>Sri Lankan rupee</t>
  </si>
  <si>
    <t>LKR</t>
  </si>
  <si>
    <t>Sudanese pound</t>
  </si>
  <si>
    <t>SDG</t>
  </si>
  <si>
    <t>Surinamese dollar</t>
  </si>
  <si>
    <t>SRD</t>
  </si>
  <si>
    <t>Swazi lilangeni</t>
  </si>
  <si>
    <t>SZL</t>
  </si>
  <si>
    <t>Swedish krona</t>
  </si>
  <si>
    <t>SEK</t>
  </si>
  <si>
    <t>Syrian pound</t>
  </si>
  <si>
    <t>SYP</t>
  </si>
  <si>
    <t>Tajikistani somoni</t>
  </si>
  <si>
    <t>TJS</t>
  </si>
  <si>
    <t>Tanzanian shilling</t>
  </si>
  <si>
    <t>TZS</t>
  </si>
  <si>
    <t>Thai baht</t>
  </si>
  <si>
    <t>THB</t>
  </si>
  <si>
    <t>Tongan paʻanga</t>
  </si>
  <si>
    <t>TOP</t>
  </si>
  <si>
    <t>Trinidad and Tobago dollar</t>
  </si>
  <si>
    <t>TTD</t>
  </si>
  <si>
    <t>Tunisian dinar</t>
  </si>
  <si>
    <t>TND</t>
  </si>
  <si>
    <t>Turkish lira</t>
  </si>
  <si>
    <t>TRY</t>
  </si>
  <si>
    <t>Turkmenistani manat</t>
  </si>
  <si>
    <t>TMT</t>
  </si>
  <si>
    <t>Ugandan shilling</t>
  </si>
  <si>
    <t>UGX</t>
  </si>
  <si>
    <t>Ukrainian hryvnia</t>
  </si>
  <si>
    <t>UAH</t>
  </si>
  <si>
    <t>UAE dirham</t>
  </si>
  <si>
    <t>AED</t>
  </si>
  <si>
    <t>Uruguayan peso</t>
  </si>
  <si>
    <t>UYU</t>
  </si>
  <si>
    <t>Uzbekistani som</t>
  </si>
  <si>
    <t>UZS</t>
  </si>
  <si>
    <t>Mortality for influenza (/100000 population)</t>
  </si>
  <si>
    <t xml:space="preserve">Cost per influenza-related hospitalization/SARI </t>
  </si>
  <si>
    <t>Vaccine price per unit</t>
  </si>
  <si>
    <t>Mortality rate</t>
  </si>
  <si>
    <t>&lt;1</t>
  </si>
  <si>
    <t>1-4</t>
  </si>
  <si>
    <t>Lifeyears undiscounted</t>
  </si>
  <si>
    <t>QALYs undiscounted</t>
  </si>
  <si>
    <t>Mortality rates from input slide</t>
  </si>
  <si>
    <t>Background utilities from input slide</t>
  </si>
  <si>
    <t>Life expectancy</t>
  </si>
  <si>
    <t>Life expectancy in QALYs</t>
  </si>
  <si>
    <t>Life expectancy in QALYs (Discounted)</t>
  </si>
  <si>
    <t>Background utility of general population</t>
  </si>
  <si>
    <t>Utilities of influenza illness</t>
  </si>
  <si>
    <t>QALY loss per non-hospitalized influenza episode</t>
  </si>
  <si>
    <t>QALY loss hospitalized influenza episode</t>
  </si>
  <si>
    <t>Vaccine related parameters</t>
  </si>
  <si>
    <t>Current / Reference</t>
  </si>
  <si>
    <t>New / Intervention</t>
  </si>
  <si>
    <t>Vaccine efficacy (VE)</t>
  </si>
  <si>
    <t>VE against influenza illness</t>
  </si>
  <si>
    <t>VE against influenza mortality</t>
  </si>
  <si>
    <t>VE against influenza hospitalization</t>
  </si>
  <si>
    <t>Burden of disease parameters</t>
  </si>
  <si>
    <t>Utilities &amp; Demographics</t>
  </si>
  <si>
    <t>Difference</t>
  </si>
  <si>
    <t>Results</t>
  </si>
  <si>
    <t>Disease burden</t>
  </si>
  <si>
    <t>Costs</t>
  </si>
  <si>
    <t>Health effects</t>
  </si>
  <si>
    <t>Current/Reference</t>
  </si>
  <si>
    <t>New/Intervention</t>
  </si>
  <si>
    <t>Basecase</t>
  </si>
  <si>
    <t>p1 and p2 are defined as below:</t>
  </si>
  <si>
    <t>Distribution</t>
  </si>
  <si>
    <t>p1</t>
  </si>
  <si>
    <t>p2</t>
  </si>
  <si>
    <t>Normal</t>
  </si>
  <si>
    <t>Mean</t>
  </si>
  <si>
    <t>Lognormal</t>
  </si>
  <si>
    <t>Gamma</t>
  </si>
  <si>
    <t>Shape</t>
  </si>
  <si>
    <t>Scale</t>
  </si>
  <si>
    <t>Beta</t>
  </si>
  <si>
    <r>
      <t>Shape (</t>
    </r>
    <r>
      <rPr>
        <sz val="10"/>
        <color indexed="8"/>
        <rFont val="Calibri"/>
        <family val="2"/>
      </rPr>
      <t>α)</t>
    </r>
  </si>
  <si>
    <r>
      <t>Shape (</t>
    </r>
    <r>
      <rPr>
        <sz val="10"/>
        <color indexed="8"/>
        <rFont val="Calibri"/>
        <family val="2"/>
      </rPr>
      <t>β)</t>
    </r>
  </si>
  <si>
    <t>P1</t>
  </si>
  <si>
    <t>P2</t>
  </si>
  <si>
    <t>PSA output</t>
  </si>
  <si>
    <t>Standard error</t>
  </si>
  <si>
    <t>Utility of general population</t>
  </si>
  <si>
    <t>Country</t>
  </si>
  <si>
    <t>Female</t>
  </si>
  <si>
    <t>&lt;1 year</t>
  </si>
  <si>
    <t>Male</t>
  </si>
  <si>
    <t>Row nr</t>
  </si>
  <si>
    <t>Remark</t>
  </si>
  <si>
    <t>Source</t>
  </si>
  <si>
    <t>Equal to Healthy adults</t>
  </si>
  <si>
    <t>Pooled estimate of 2 RCTs</t>
  </si>
  <si>
    <t>Hollmann, PlosOne 2013</t>
  </si>
  <si>
    <t>100y ≤</t>
  </si>
  <si>
    <t>&lt; 1y</t>
  </si>
  <si>
    <t>1 &lt; 5y</t>
  </si>
  <si>
    <t>5 &lt; 10</t>
  </si>
  <si>
    <t>10 &lt; 15y</t>
  </si>
  <si>
    <t>15 &lt; 20y</t>
  </si>
  <si>
    <t>20 &lt; 25y</t>
  </si>
  <si>
    <t>25 &lt; 30y</t>
  </si>
  <si>
    <t>30 &lt; 35y</t>
  </si>
  <si>
    <t>35 &lt; 40y</t>
  </si>
  <si>
    <t>40 &lt; 45y</t>
  </si>
  <si>
    <t>45 &lt; 50y</t>
  </si>
  <si>
    <t>50 &lt; 55y</t>
  </si>
  <si>
    <t>55 &lt; 60y</t>
  </si>
  <si>
    <t>60 &lt; 65y</t>
  </si>
  <si>
    <t>65 &lt; 70y</t>
  </si>
  <si>
    <t>70 &lt; 75y</t>
  </si>
  <si>
    <t>75 &lt; 80y</t>
  </si>
  <si>
    <t>80 &lt; 85y</t>
  </si>
  <si>
    <t>85 &lt; 90y</t>
  </si>
  <si>
    <t>90 &lt; 95y</t>
  </si>
  <si>
    <t>95 &lt; 100</t>
  </si>
  <si>
    <t>Average</t>
  </si>
  <si>
    <t>Rate (%)</t>
  </si>
  <si>
    <t>Rate</t>
  </si>
  <si>
    <t>CI-</t>
  </si>
  <si>
    <t>CI+</t>
  </si>
  <si>
    <t>Americas</t>
  </si>
  <si>
    <t>Western Pacific region</t>
  </si>
  <si>
    <t>South-East Asia</t>
  </si>
  <si>
    <t>African region</t>
  </si>
  <si>
    <t>European region</t>
  </si>
  <si>
    <t>Eastern Mediterranean Region</t>
  </si>
  <si>
    <t>By WHO region</t>
  </si>
  <si>
    <t>Costs (I$)</t>
  </si>
  <si>
    <t>EMR</t>
  </si>
  <si>
    <t>AFR</t>
  </si>
  <si>
    <t>AMR</t>
  </si>
  <si>
    <t>WPR</t>
  </si>
  <si>
    <t>SEAR</t>
  </si>
  <si>
    <t>Region</t>
  </si>
  <si>
    <t>Vanuatu vatu</t>
  </si>
  <si>
    <t>VUV</t>
  </si>
  <si>
    <t>Venezuelan bolivar</t>
  </si>
  <si>
    <t>VEF</t>
  </si>
  <si>
    <t>Vietnamese dong</t>
  </si>
  <si>
    <t>VND</t>
  </si>
  <si>
    <t>Yemeni rial</t>
  </si>
  <si>
    <t>YER</t>
  </si>
  <si>
    <t>Zambian kwacha</t>
  </si>
  <si>
    <t>ZMW</t>
  </si>
  <si>
    <t>Abbr.</t>
  </si>
  <si>
    <t>Kol.nr.</t>
  </si>
  <si>
    <t>Select box to include parameter in PSA</t>
  </si>
  <si>
    <t>Probabilistic sensitivity analysis (PSA)</t>
  </si>
  <si>
    <t>New / Alternative</t>
  </si>
  <si>
    <t>Vaccine efficacy Current/Reference</t>
  </si>
  <si>
    <t>Burden of disease</t>
  </si>
  <si>
    <t>Summary of included parameter in the PSA</t>
  </si>
  <si>
    <t>PSA General</t>
  </si>
  <si>
    <t>PSA status activated</t>
  </si>
  <si>
    <t>Ref</t>
  </si>
  <si>
    <t>Incr. Costs</t>
  </si>
  <si>
    <t>Incr. QALYs</t>
  </si>
  <si>
    <t>Sim#</t>
  </si>
  <si>
    <t>Posterior distributions</t>
  </si>
  <si>
    <t>2.5th percentile</t>
  </si>
  <si>
    <t>97.5th percentile</t>
  </si>
  <si>
    <t>Incremental QALYs</t>
  </si>
  <si>
    <t>ICERs</t>
  </si>
  <si>
    <t>Cost-effectiveness plane</t>
  </si>
  <si>
    <t>CEAC</t>
  </si>
  <si>
    <t>Probabilities of dominance</t>
  </si>
  <si>
    <t>NE quadrant</t>
  </si>
  <si>
    <t>SW quadrant</t>
  </si>
  <si>
    <t>NW quadrant (Dominant )</t>
  </si>
  <si>
    <t>SE quadrant (Dominated)</t>
  </si>
  <si>
    <t>WTP</t>
  </si>
  <si>
    <t>iNMB</t>
  </si>
  <si>
    <t>WTP input</t>
  </si>
  <si>
    <t>Population size</t>
  </si>
  <si>
    <t>Check</t>
  </si>
  <si>
    <t># births</t>
  </si>
  <si>
    <t>BoD Lists'!A1</t>
  </si>
  <si>
    <t>Cells contain links. Details of life-table available at worksheet Life Table (Link below)</t>
  </si>
  <si>
    <t>Life table'!A1</t>
  </si>
  <si>
    <t>Cells contain links to other cells. Enter local numbers in worksheet BoD Lists (Link below)</t>
  </si>
  <si>
    <t>95%CI-</t>
  </si>
  <si>
    <t>95%CI+</t>
  </si>
  <si>
    <t>Med</t>
  </si>
  <si>
    <t>Min</t>
  </si>
  <si>
    <t>Max</t>
  </si>
  <si>
    <t>LMIC</t>
  </si>
  <si>
    <t>UMIC</t>
  </si>
  <si>
    <t>HIC</t>
  </si>
  <si>
    <t>LIC</t>
  </si>
  <si>
    <t>https://datahelpdesk.worldbank.org/knowledgebase/articles/906519-world-bank-country-and-lending-groups</t>
  </si>
  <si>
    <t>Month of conception</t>
  </si>
  <si>
    <t>Vaccinated</t>
  </si>
  <si>
    <t>Delivery</t>
  </si>
  <si>
    <t>While pregnant</t>
  </si>
  <si>
    <t>Delivered</t>
  </si>
  <si>
    <t>Infants</t>
  </si>
  <si>
    <t>January</t>
  </si>
  <si>
    <t>September</t>
  </si>
  <si>
    <t>October</t>
  </si>
  <si>
    <t>February</t>
  </si>
  <si>
    <t>November</t>
  </si>
  <si>
    <t>March</t>
  </si>
  <si>
    <t>December</t>
  </si>
  <si>
    <t>April</t>
  </si>
  <si>
    <t>May</t>
  </si>
  <si>
    <t>June</t>
  </si>
  <si>
    <t>July</t>
  </si>
  <si>
    <t>August</t>
  </si>
  <si>
    <t xml:space="preserve">Average </t>
  </si>
  <si>
    <t>Seasonality</t>
  </si>
  <si>
    <t>No seanonality</t>
  </si>
  <si>
    <t>All months</t>
  </si>
  <si>
    <t>Month</t>
  </si>
  <si>
    <t>% of influenza cases</t>
  </si>
  <si>
    <t>Assumptions</t>
  </si>
  <si>
    <t>No change of viral strains for the next season</t>
  </si>
  <si>
    <t>Vaccination month</t>
  </si>
  <si>
    <t>End of influenza season</t>
  </si>
  <si>
    <t>Start of influenza season</t>
  </si>
  <si>
    <t>WHO region</t>
  </si>
  <si>
    <t>Cost-effective?</t>
  </si>
  <si>
    <t>Input</t>
  </si>
  <si>
    <t>General lists</t>
  </si>
  <si>
    <t>CPI</t>
  </si>
  <si>
    <t>2. Inpatient visit costs</t>
  </si>
  <si>
    <t xml:space="preserve">3. Outpatient visit costs   </t>
  </si>
  <si>
    <t>Primary-level hospital</t>
  </si>
  <si>
    <t>Secondary-level hospital</t>
  </si>
  <si>
    <t>Teaching hospital</t>
  </si>
  <si>
    <t>Health Centre (no beds)</t>
  </si>
  <si>
    <t>Health Centre (with beds)</t>
  </si>
  <si>
    <t>country</t>
  </si>
  <si>
    <t>Population (in millions)</t>
  </si>
  <si>
    <t>Number of persons engaged (in millions)</t>
  </si>
  <si>
    <t>Average annual hours worked by persons engaged</t>
  </si>
  <si>
    <t>Output-side real GDP at current PPPs (in mil. 2011US$)</t>
  </si>
  <si>
    <t>Share of labour compensation in GDP at current national prices</t>
  </si>
  <si>
    <t>ASSUMPTION</t>
  </si>
  <si>
    <t>Series footnotes</t>
  </si>
  <si>
    <t>2006</t>
  </si>
  <si>
    <t>2007</t>
  </si>
  <si>
    <t>2008</t>
  </si>
  <si>
    <t>2009</t>
  </si>
  <si>
    <t>2010</t>
  </si>
  <si>
    <t>2011</t>
  </si>
  <si>
    <t>2012</t>
  </si>
  <si>
    <t>2013</t>
  </si>
  <si>
    <t>2014</t>
  </si>
  <si>
    <t>2015</t>
  </si>
  <si>
    <t>LFS - Encuesta Permanente de Hogares</t>
  </si>
  <si>
    <t>LFS - Encuesta Anual de Hogares Urbanos</t>
  </si>
  <si>
    <t/>
  </si>
  <si>
    <t>PC - Population and Housing Census Aruba</t>
  </si>
  <si>
    <t>LFS - Labour force survey</t>
  </si>
  <si>
    <t xml:space="preserve">LFS - Labour Force Survey </t>
  </si>
  <si>
    <t>HIES - Encuesta de Hogares</t>
  </si>
  <si>
    <t>LFS - Pesquisa Nacional por Amostra de Domicílios</t>
  </si>
  <si>
    <t>LFS - Labour Force Survey</t>
  </si>
  <si>
    <t>LFS - Gran Encuesta Integrada de Hogares</t>
  </si>
  <si>
    <t>LFS - Enquête sur l'emploi et le secteur informel</t>
  </si>
  <si>
    <t>LFS - Encuesta Continua de Empleo</t>
  </si>
  <si>
    <t>LFS - Encuesta Nacional de Ocupación</t>
  </si>
  <si>
    <t>LFS - Encuesta Nacional de Fuerza de Trabajo</t>
  </si>
  <si>
    <t>LFS - Encuesta Nacional de Empleo, Desempleo y Subempleo</t>
  </si>
  <si>
    <t>LFS - National Labor Force Survey</t>
  </si>
  <si>
    <t>PC - Population census</t>
  </si>
  <si>
    <t>LFS - Encuesta Nacional de Empleo e Ingresos</t>
  </si>
  <si>
    <t>LFS - Employment-Unemployment Survey</t>
  </si>
  <si>
    <t>LFS - National Labour Force Survey</t>
  </si>
  <si>
    <t>[14]</t>
  </si>
  <si>
    <t>LFS - Enquête Nationale sur l'Emploi et le Secteur Informel</t>
  </si>
  <si>
    <t>HIES - Household income and Expenditure Survey</t>
  </si>
  <si>
    <t>LFS - Continuous Multi-Purpose Household Survey</t>
  </si>
  <si>
    <t>[5]</t>
  </si>
  <si>
    <t>LFS - Encuesta Nacional de Ocupación y Empleo</t>
  </si>
  <si>
    <t>LFS - Encuesta Continua de Hogares</t>
  </si>
  <si>
    <t>LFS - Palestinian labour force survey</t>
  </si>
  <si>
    <t>LFS - Encuesta de Mercado Laboral</t>
  </si>
  <si>
    <t>HIES - Encuesta Nacional de Hogares</t>
  </si>
  <si>
    <t>LFS - Labor Force Survey</t>
  </si>
  <si>
    <t>LFS - Labor force sample survey</t>
  </si>
  <si>
    <t>OE - Official Estimates</t>
  </si>
  <si>
    <t>LFS - Comprehensive Labour Force Survey</t>
  </si>
  <si>
    <t>LFS - Quarterly Labour Force Survey</t>
  </si>
  <si>
    <t>LFS - Sri Lanka Labour Force Survey</t>
  </si>
  <si>
    <t>HIES - Uganda National Household Survey</t>
  </si>
  <si>
    <t>LFS - Current Population Survey</t>
  </si>
  <si>
    <t>LFS - Encuesta de Hogares por Muestreo</t>
  </si>
  <si>
    <t>CLS - Child Labour Survey</t>
  </si>
  <si>
    <t>HS - Living Condition Survey</t>
  </si>
  <si>
    <t>LFS - Enquête Emploi auprès des Ménages</t>
  </si>
  <si>
    <t>[2]</t>
  </si>
  <si>
    <t xml:space="preserve">LFS - Household Labour Force Survey </t>
  </si>
  <si>
    <t>LFS - EU Labour Force Survey</t>
  </si>
  <si>
    <t xml:space="preserve">LFS - Labour Force &amp; Household Survey </t>
  </si>
  <si>
    <t>OE - Estimates of Central informatics organization</t>
  </si>
  <si>
    <t>OE - Labour resources estimates</t>
  </si>
  <si>
    <t>HIES - Enquête de suivi de l'Enquête Modulaire et Intégrée sur les Conditions de Vie des Ménages</t>
  </si>
  <si>
    <t>LFS - Labour Force Survey Report</t>
  </si>
  <si>
    <t>HS - Botswana Core Welfare Indicators (Poverty) Survey</t>
  </si>
  <si>
    <t>PC - Recensements de population</t>
  </si>
  <si>
    <t>HIES - National Socio-Economic Survey</t>
  </si>
  <si>
    <t>HS - Enquête sur l'emploi et le secteur informel</t>
  </si>
  <si>
    <t>LFS - Nueva Encuesta Nacional de Empleo</t>
  </si>
  <si>
    <t>LFS - Labour force sample survey</t>
  </si>
  <si>
    <t>HS - Encuesta de Hogares de Propósitos Múltiples</t>
  </si>
  <si>
    <t>[3]</t>
  </si>
  <si>
    <t>LFS - Enquête emploi</t>
  </si>
  <si>
    <t>PC - Recensement de la population</t>
  </si>
  <si>
    <t>LFS - Enquête Nationale sur l'Emploi et le Chômage</t>
  </si>
  <si>
    <t>LFS - Integrated Household Survey</t>
  </si>
  <si>
    <t>HS - Living Standards Survey</t>
  </si>
  <si>
    <t>LFS - Encuesta Permanente de Hogares de Propósitos Múltiples</t>
  </si>
  <si>
    <t xml:space="preserve">LFS - EU Labour Force Survey </t>
  </si>
  <si>
    <t xml:space="preserve">LFS - Labour force survey </t>
  </si>
  <si>
    <t>LFS - Employment and Unemployment Survey</t>
  </si>
  <si>
    <t>LFS - Sample Survey of Employment</t>
  </si>
  <si>
    <t>LFS - Economically Active Population Survey</t>
  </si>
  <si>
    <t>HS - Living Conditions Survey</t>
  </si>
  <si>
    <t>LFS - Lesotho Integrated Labour Force Survey</t>
  </si>
  <si>
    <t>LFS - Liberia Labour Force Survey</t>
  </si>
  <si>
    <t>[16]</t>
  </si>
  <si>
    <t>PC - Population and Housing Census</t>
  </si>
  <si>
    <t>LFS - Enquête Emploi Permanente Auprès des Ménages (EPAM)</t>
  </si>
  <si>
    <t>LFS - Enquête nationale de référence sur l’emploi et le secteur informel</t>
  </si>
  <si>
    <t>LFS - Enquête nationale sur l’emploi</t>
  </si>
  <si>
    <t xml:space="preserve">HS - Inquérito Contínuo aos Agregados Familiares </t>
  </si>
  <si>
    <t>[13]</t>
  </si>
  <si>
    <t>HS - Annual Household Survey</t>
  </si>
  <si>
    <t>[1]</t>
  </si>
  <si>
    <t>LFS - National Integrated Survey of Households</t>
  </si>
  <si>
    <t>PC - Genereal Census of Population Housing &amp; Establishment</t>
  </si>
  <si>
    <t>LFS - Encuesta Especializada de Niveles de Empleo</t>
  </si>
  <si>
    <t>LFS - Population survey on employment problems</t>
  </si>
  <si>
    <t>OE - Estimaciones oficiales</t>
  </si>
  <si>
    <t>HS - Enquête de Suivi de la Pauvreté au Sénégal</t>
  </si>
  <si>
    <t>LFS - Continuous Household Sample Survey</t>
  </si>
  <si>
    <t>LFS - Continuous Sample Survey of the Population</t>
  </si>
  <si>
    <t>LFS - Enquête nationale sur la population et l'emploi</t>
  </si>
  <si>
    <t>LFS - Sample survey of the population (households) on economic activity</t>
  </si>
  <si>
    <t>PC - National Population and Housing Census</t>
  </si>
  <si>
    <t>OE - Official estimates</t>
  </si>
  <si>
    <t>[15]</t>
  </si>
  <si>
    <t>[2][7][18]</t>
  </si>
  <si>
    <t>[12]</t>
  </si>
  <si>
    <t>[12][14]</t>
  </si>
  <si>
    <t>[11][12]</t>
  </si>
  <si>
    <t>[2][14]</t>
  </si>
  <si>
    <t>[9][12]</t>
  </si>
  <si>
    <t>[4]</t>
  </si>
  <si>
    <t>LFS - Nepal Labour Force Survey</t>
  </si>
  <si>
    <t>[11]</t>
  </si>
  <si>
    <t>[7][12]</t>
  </si>
  <si>
    <t>[4][15]</t>
  </si>
  <si>
    <t>Baseyear</t>
  </si>
  <si>
    <t>Avg earnings per employee per year</t>
  </si>
  <si>
    <t>Most recent</t>
  </si>
  <si>
    <t>Hours per day</t>
  </si>
  <si>
    <t>Daily wage corrected for employment</t>
  </si>
  <si>
    <t>Average earnings per day</t>
  </si>
  <si>
    <t>Avg earnings per employee per hour old baseyear</t>
  </si>
  <si>
    <t>Avg earnings per employee per hour 2015</t>
  </si>
  <si>
    <t>Days</t>
  </si>
  <si>
    <t>Heikkinen, JID 2004</t>
  </si>
  <si>
    <t>Carrat, Arch Int. Med. 2002</t>
  </si>
  <si>
    <t>Carrat, Arch Int. Med. 2003</t>
  </si>
  <si>
    <t>Assumption</t>
  </si>
  <si>
    <t>Fowlkes, Lancet Resp. Med. 2015</t>
  </si>
  <si>
    <t xml:space="preserve"> Cromer, J. Infect. 2014</t>
  </si>
  <si>
    <t xml:space="preserve"> Guo, PlosOne 2012</t>
  </si>
  <si>
    <t>Jacks, Eurosurveillance 2012</t>
  </si>
  <si>
    <t>Parental</t>
  </si>
  <si>
    <t>Daily earnings corrected for employment rate</t>
  </si>
  <si>
    <t>Retired</t>
  </si>
  <si>
    <t>Hospitalisations</t>
  </si>
  <si>
    <t>Vaccinees</t>
  </si>
  <si>
    <t>1-4 y</t>
  </si>
  <si>
    <t>5-9 y</t>
  </si>
  <si>
    <t>10-14 y</t>
  </si>
  <si>
    <t>15-19  y</t>
  </si>
  <si>
    <t>20-24 y</t>
  </si>
  <si>
    <t>25-29 y</t>
  </si>
  <si>
    <t>30-34 y</t>
  </si>
  <si>
    <t>35-39 y</t>
  </si>
  <si>
    <t>40-44 y</t>
  </si>
  <si>
    <t>45-49 y</t>
  </si>
  <si>
    <t>50-54 y</t>
  </si>
  <si>
    <t>55-59 y</t>
  </si>
  <si>
    <t>60-64 y</t>
  </si>
  <si>
    <t>65-69 y</t>
  </si>
  <si>
    <t>70-74 y</t>
  </si>
  <si>
    <t>75-79 y</t>
  </si>
  <si>
    <t>80-84 y</t>
  </si>
  <si>
    <t>85-89 y</t>
  </si>
  <si>
    <t>90-94 y</t>
  </si>
  <si>
    <t>95-99 y</t>
  </si>
  <si>
    <t>100+ y</t>
  </si>
  <si>
    <t>http://apps.who.int/gho/data/?theme=main&amp;vid=60000</t>
  </si>
  <si>
    <t>Health care payer perspective</t>
  </si>
  <si>
    <t>Societal perspective</t>
  </si>
  <si>
    <t>Life years lost</t>
  </si>
  <si>
    <t>VE input sheet</t>
  </si>
  <si>
    <t>Hospitalization</t>
  </si>
  <si>
    <t>Outcome</t>
  </si>
  <si>
    <t>Cost input'!A1</t>
  </si>
  <si>
    <t>QoL input'!A1</t>
  </si>
  <si>
    <t>Cells contain links to other cells. Enter numbers manually in worksheet Cost input (Link below)</t>
  </si>
  <si>
    <t>Weighted average</t>
  </si>
  <si>
    <t>Delivery costs per unit</t>
  </si>
  <si>
    <t>Incremental costs HCP perspective</t>
  </si>
  <si>
    <t>Incremental cost societal perspective</t>
  </si>
  <si>
    <t>HCP perspective</t>
  </si>
  <si>
    <t>HCP</t>
  </si>
  <si>
    <t>Societal</t>
  </si>
  <si>
    <t>HC payer</t>
  </si>
  <si>
    <t>Annual rate</t>
  </si>
  <si>
    <t>QALYs / Life years</t>
  </si>
  <si>
    <t>Health care workers</t>
  </si>
  <si>
    <t>GDP per capita (I$ 2015)</t>
  </si>
  <si>
    <t>World Bank</t>
  </si>
  <si>
    <t>Income level classification</t>
  </si>
  <si>
    <t>Month nr.</t>
  </si>
  <si>
    <r>
      <t>2</t>
    </r>
    <r>
      <rPr>
        <vertAlign val="superscript"/>
        <sz val="10"/>
        <color theme="1"/>
        <rFont val="Calibri"/>
        <family val="2"/>
        <scheme val="minor"/>
      </rPr>
      <t>nd</t>
    </r>
    <r>
      <rPr>
        <sz val="10"/>
        <color theme="1"/>
        <rFont val="Calibri"/>
        <family val="2"/>
        <scheme val="minor"/>
      </rPr>
      <t xml:space="preserve"> month</t>
    </r>
  </si>
  <si>
    <r>
      <t>9</t>
    </r>
    <r>
      <rPr>
        <vertAlign val="superscript"/>
        <sz val="10"/>
        <color theme="1"/>
        <rFont val="Calibri"/>
        <family val="2"/>
        <scheme val="minor"/>
      </rPr>
      <t>th</t>
    </r>
    <r>
      <rPr>
        <sz val="10"/>
        <color theme="1"/>
        <rFont val="Calibri"/>
        <family val="2"/>
        <scheme val="minor"/>
      </rPr>
      <t xml:space="preserve"> month</t>
    </r>
  </si>
  <si>
    <t>Seasonal pattern</t>
  </si>
  <si>
    <t>Total (check = 100%)</t>
  </si>
  <si>
    <t>Month #</t>
  </si>
  <si>
    <t>Duration of efficacy of mother persists till end of influenza season</t>
  </si>
  <si>
    <t>Duration of efficacy of newborn persists six months or till end of season</t>
  </si>
  <si>
    <t>Events (Conception, vaccination, delivery) are assumed to happen all on the 1st of the month</t>
  </si>
  <si>
    <t>Any month</t>
  </si>
  <si>
    <t>Conception</t>
  </si>
  <si>
    <t>Child</t>
  </si>
  <si>
    <t>Mother during pregnancy</t>
  </si>
  <si>
    <t>Mother after pregnancy</t>
  </si>
  <si>
    <t>Vaccination</t>
  </si>
  <si>
    <t>End of protection</t>
  </si>
  <si>
    <t>Probability of contracting influenza</t>
  </si>
  <si>
    <t>No seasonality</t>
  </si>
  <si>
    <t>Duration of vaccine efficacy is 12 months</t>
  </si>
  <si>
    <t xml:space="preserve">Maximum duration of vaccine efficacy in the newborn is 6 months </t>
  </si>
  <si>
    <t xml:space="preserve">The maximum of the sum of durations of vaccine efficacy in pregnant woman and newborn is 12 months </t>
  </si>
  <si>
    <t>Probability of infection in mother during pregnancy</t>
  </si>
  <si>
    <t>Probability of infection in mother after delivery</t>
  </si>
  <si>
    <t>Probability of infection in newborn after delivery</t>
  </si>
  <si>
    <t>WHO</t>
  </si>
  <si>
    <t>UN</t>
  </si>
  <si>
    <t>Target group</t>
  </si>
  <si>
    <r>
      <t xml:space="preserve">Relative risk of GP visit due to influenza (high risk </t>
    </r>
    <r>
      <rPr>
        <i/>
        <sz val="10"/>
        <color theme="1"/>
        <rFont val="Calibri"/>
        <family val="2"/>
        <scheme val="minor"/>
      </rPr>
      <t>versus</t>
    </r>
    <r>
      <rPr>
        <sz val="10"/>
        <color theme="1"/>
        <rFont val="Calibri"/>
        <family val="2"/>
        <scheme val="minor"/>
      </rPr>
      <t xml:space="preserve"> non-high risk)</t>
    </r>
  </si>
  <si>
    <t>Assumed equal to hospitalization</t>
  </si>
  <si>
    <t>Cromer, Journal of Infection 2014</t>
  </si>
  <si>
    <t>Based on South Africa data. Regression analysis, pneumonia and influenza diagnoses</t>
  </si>
  <si>
    <t>Based on New Zealand data</t>
  </si>
  <si>
    <t>Based on Hong Kong data</t>
  </si>
  <si>
    <t>Emukule, PlosOne 2014</t>
  </si>
  <si>
    <t>Based on Kenya data</t>
  </si>
  <si>
    <t>US data</t>
  </si>
  <si>
    <t>Based on China data</t>
  </si>
  <si>
    <t xml:space="preserve">Kyeyagalire, BMC infectious diseases 2014 </t>
  </si>
  <si>
    <t>Kyeyagalire, BMC infectious diseases 2014</t>
  </si>
  <si>
    <t>Based on Finland data</t>
  </si>
  <si>
    <t>UK data</t>
  </si>
  <si>
    <t xml:space="preserve"> </t>
  </si>
  <si>
    <t>Out-of-pocket costs</t>
  </si>
  <si>
    <t>Daily wage uncorrected for employment</t>
  </si>
  <si>
    <t>Daily earnings NOT corrected for employment rate</t>
  </si>
  <si>
    <t>Equal to 15-50y group, but only in first and second trimester</t>
  </si>
  <si>
    <t>Parental, day of admission and day of leaving</t>
  </si>
  <si>
    <t>Duration of admission</t>
  </si>
  <si>
    <t>Human capital approach</t>
  </si>
  <si>
    <t>Age-specific loss of life years and QALYs due to influenza mortality</t>
  </si>
  <si>
    <t>Based on Life expectancy</t>
  </si>
  <si>
    <t>World bank</t>
  </si>
  <si>
    <t>Coverage (%)</t>
  </si>
  <si>
    <t>Decider</t>
  </si>
  <si>
    <t>Risk-group</t>
  </si>
  <si>
    <t>Code</t>
  </si>
  <si>
    <t>Patients</t>
  </si>
  <si>
    <t>Vaccine costs</t>
  </si>
  <si>
    <t>Delivery costs</t>
  </si>
  <si>
    <t>Clinical outcomes</t>
  </si>
  <si>
    <t>%</t>
  </si>
  <si>
    <t>Lower</t>
  </si>
  <si>
    <t>Upper</t>
  </si>
  <si>
    <t>Target-group</t>
  </si>
  <si>
    <t>Children / Chronically ill / Elderly</t>
  </si>
  <si>
    <t>Incidence of influenza-associated mortality per 100,000 population</t>
  </si>
  <si>
    <t>Incidence of influenza-associated hospitalizations per 100,000 population</t>
  </si>
  <si>
    <t>Total costs per outpatient visit</t>
  </si>
  <si>
    <t>Incidence of influenza-associated illness per 100,000 population</t>
  </si>
  <si>
    <t>Unvaccinated population</t>
  </si>
  <si>
    <t>Assumed equal to 65+</t>
  </si>
  <si>
    <t>Deterministic</t>
  </si>
  <si>
    <t>Probabilistic</t>
  </si>
  <si>
    <t>Vaccine efficacy parameters</t>
  </si>
  <si>
    <t>Vaccine efficacy (VE) against influenza illness</t>
  </si>
  <si>
    <t>Vaccine efficacy (VE) against influenza hospitalization</t>
  </si>
  <si>
    <t>Vaccine efficacy (VE) against influenza mortality</t>
  </si>
  <si>
    <t>Price parity labour days missed</t>
  </si>
  <si>
    <t>Health care costs</t>
  </si>
  <si>
    <t>Labour days missed per vaccination</t>
  </si>
  <si>
    <t>Influenza associated ILI case</t>
  </si>
  <si>
    <t>Influenza associated hospitalization</t>
  </si>
  <si>
    <t>Influenza associated death</t>
  </si>
  <si>
    <t>Daily income</t>
  </si>
  <si>
    <t>Lost income per day</t>
  </si>
  <si>
    <t>Influenza associated hospitalized case</t>
  </si>
  <si>
    <t>Hospitalized influenza case</t>
  </si>
  <si>
    <t>QALY loss per ILI episode</t>
  </si>
  <si>
    <t>QALY loss per hospitalized influenza episode</t>
  </si>
  <si>
    <t>Influenza associated mortality</t>
  </si>
  <si>
    <t>Price parity vaccination costs New / Intervention versus Current/Reference</t>
  </si>
  <si>
    <t>Vaccination costs Current/Reference</t>
  </si>
  <si>
    <t>Treatment costs influenza illness</t>
  </si>
  <si>
    <t>Length of stay due to influenza associated hospitalization</t>
  </si>
  <si>
    <t>Number of workdays lost due to influenza associated ILI</t>
  </si>
  <si>
    <t>Number of workdays lost due to influenza associated hospitalization</t>
  </si>
  <si>
    <t>Number of workdays lost due to influenza associated mortality</t>
  </si>
  <si>
    <t>Daily earnings</t>
  </si>
  <si>
    <t>Number of work days lost due to influenza vaccination Current/Reference</t>
  </si>
  <si>
    <t>Parity of work days lost due to influenza vaccination New/Intervention as compared with Current/Reference</t>
  </si>
  <si>
    <t>Treatment costs</t>
  </si>
  <si>
    <t>Outpatient visit</t>
  </si>
  <si>
    <t>Out of pocket costs</t>
  </si>
  <si>
    <t>ILI cases</t>
  </si>
  <si>
    <t>Hospitalizations</t>
  </si>
  <si>
    <t>QALY loss ILI cases</t>
  </si>
  <si>
    <t>QALY losses hospitalizations</t>
  </si>
  <si>
    <t>QALY loss mortality</t>
  </si>
  <si>
    <t>Life years lost mortality</t>
  </si>
  <si>
    <t>Population</t>
  </si>
  <si>
    <t>Avoid double count</t>
  </si>
  <si>
    <t>Hide</t>
  </si>
  <si>
    <t>Contraindicated</t>
  </si>
  <si>
    <t>Cost outcomes</t>
  </si>
  <si>
    <t>Health outcomes</t>
  </si>
  <si>
    <t>Totals</t>
  </si>
  <si>
    <t>Total treatment costs</t>
  </si>
  <si>
    <t>Total out-of-pocket costs</t>
  </si>
  <si>
    <t>Total LY lost</t>
  </si>
  <si>
    <t>Total QALY lost</t>
  </si>
  <si>
    <t>Hide?</t>
  </si>
  <si>
    <t>Prob. of infection</t>
  </si>
  <si>
    <t>Treatment</t>
  </si>
  <si>
    <t>Out of pocket</t>
  </si>
  <si>
    <t>% chronically ill</t>
  </si>
  <si>
    <t>Human capital approach, 260 workdays per year</t>
  </si>
  <si>
    <t>Yearly earnings</t>
  </si>
  <si>
    <t>Lifetime earnings</t>
  </si>
  <si>
    <t>Producitivity loss</t>
  </si>
  <si>
    <t>Productivity loss (discounted)</t>
  </si>
  <si>
    <t>Step 1: general input selections</t>
  </si>
  <si>
    <t>Parameter</t>
  </si>
  <si>
    <t>Value</t>
  </si>
  <si>
    <t>Step 2: Burden of disease (BoD) input parameters</t>
  </si>
  <si>
    <t>Cost Effectiveness tool for influenza vaccination</t>
  </si>
  <si>
    <t>This will pre-select the included population and the number of vaccinees below.</t>
  </si>
  <si>
    <r>
      <rPr>
        <b/>
        <sz val="11"/>
        <color theme="3" tint="0.39997558519241921"/>
        <rFont val="Calibri"/>
        <family val="2"/>
        <scheme val="minor"/>
      </rPr>
      <t>Step 1.1:</t>
    </r>
    <r>
      <rPr>
        <sz val="11"/>
        <color theme="3" tint="0.39997558519241921"/>
        <rFont val="Calibri"/>
        <family val="2"/>
        <scheme val="minor"/>
      </rPr>
      <t xml:space="preserve"> Select country</t>
    </r>
  </si>
  <si>
    <t>Population included in the</t>
  </si>
  <si>
    <t>analysis</t>
  </si>
  <si>
    <r>
      <rPr>
        <b/>
        <sz val="11"/>
        <color theme="3" tint="0.39997558519241921"/>
        <rFont val="Calibri"/>
        <family val="2"/>
        <scheme val="minor"/>
      </rPr>
      <t>Step 1.6:</t>
    </r>
    <r>
      <rPr>
        <sz val="11"/>
        <color theme="3" tint="0.39997558519241921"/>
        <rFont val="Calibri"/>
        <family val="2"/>
        <scheme val="minor"/>
      </rPr>
      <t xml:space="preserve"> Enter discount rates</t>
    </r>
  </si>
  <si>
    <r>
      <rPr>
        <b/>
        <sz val="11"/>
        <color theme="1"/>
        <rFont val="Calibri"/>
        <family val="2"/>
        <scheme val="minor"/>
      </rPr>
      <t>Note</t>
    </r>
    <r>
      <rPr>
        <sz val="11"/>
        <color theme="1"/>
        <rFont val="Calibri"/>
        <family val="2"/>
        <scheme val="minor"/>
      </rPr>
      <t>: If the estimated unit cost is prior to the index year, it must be adjusted to the index year's value.</t>
    </r>
  </si>
  <si>
    <t>Selected in step 1:</t>
  </si>
  <si>
    <t> </t>
  </si>
  <si>
    <t>Step 3: Vaccine efficacy (VE) input parameters</t>
  </si>
  <si>
    <t>Step 5: Quality of life (QoL) input parameters</t>
  </si>
  <si>
    <r>
      <rPr>
        <b/>
        <sz val="11"/>
        <color theme="3" tint="0.39997558519241921"/>
        <rFont val="Calibri"/>
        <family val="2"/>
        <scheme val="minor"/>
      </rPr>
      <t>Step 5.1:</t>
    </r>
    <r>
      <rPr>
        <sz val="11"/>
        <color theme="3" tint="0.39997558519241921"/>
        <rFont val="Calibri"/>
        <family val="2"/>
        <scheme val="minor"/>
      </rPr>
      <t xml:space="preserve"> Enter the QALY loss per non-hospitalized influenza episode</t>
    </r>
  </si>
  <si>
    <r>
      <rPr>
        <b/>
        <sz val="11"/>
        <color theme="3" tint="0.39997558519241921"/>
        <rFont val="Calibri"/>
        <family val="2"/>
        <scheme val="minor"/>
      </rPr>
      <t>Step 5.2:</t>
    </r>
    <r>
      <rPr>
        <sz val="11"/>
        <color theme="3" tint="0.39997558519241921"/>
        <rFont val="Calibri"/>
        <family val="2"/>
        <scheme val="minor"/>
      </rPr>
      <t xml:space="preserve"> Enter the QALY loss hospitalized influenza episode</t>
    </r>
  </si>
  <si>
    <t>Step 4: Cost input parameters</t>
  </si>
  <si>
    <t>Current / Reference vaccine price per unit</t>
  </si>
  <si>
    <t>Current / Reference delivery costs per unit</t>
  </si>
  <si>
    <t>Current / Reference labour days missed per vaccination</t>
  </si>
  <si>
    <t>New/ Intervention price parity labour days missed</t>
  </si>
  <si>
    <t>Costs per outpatient visit</t>
  </si>
  <si>
    <t>New/ Intervention vaccine price per unit</t>
  </si>
  <si>
    <t>New/ Intervention delivery costs per unit</t>
  </si>
  <si>
    <t>Totals for cost-effectiveness calculations</t>
  </si>
  <si>
    <t>Total productivity losses</t>
  </si>
  <si>
    <t>Moyes</t>
  </si>
  <si>
    <t>6&lt;12m</t>
  </si>
  <si>
    <t>1&lt;2y</t>
  </si>
  <si>
    <t>2&lt;5y</t>
  </si>
  <si>
    <t>5&lt;15y</t>
  </si>
  <si>
    <t>15&lt;50y</t>
  </si>
  <si>
    <t>50&lt;60y</t>
  </si>
  <si>
    <t>Custom</t>
  </si>
  <si>
    <r>
      <rPr>
        <b/>
        <sz val="11"/>
        <color theme="3" tint="0.39997558519241921"/>
        <rFont val="Calibri"/>
        <family val="2"/>
        <scheme val="minor"/>
      </rPr>
      <t>Step 1.4:</t>
    </r>
    <r>
      <rPr>
        <sz val="11"/>
        <color theme="3" tint="0.39997558519241921"/>
        <rFont val="Calibri"/>
        <family val="2"/>
        <scheme val="minor"/>
      </rPr>
      <t xml:space="preserve"> Enter % chronically ill.</t>
    </r>
  </si>
  <si>
    <t>Not preloaded in the model</t>
  </si>
  <si>
    <t>US$ exchange rate (2015)</t>
  </si>
  <si>
    <t>WHO, personal communication</t>
  </si>
  <si>
    <r>
      <rPr>
        <b/>
        <sz val="11"/>
        <color theme="3" tint="0.39997558519241921"/>
        <rFont val="Calibri"/>
        <family val="2"/>
        <scheme val="minor"/>
      </rPr>
      <t>Step 2.2:</t>
    </r>
    <r>
      <rPr>
        <sz val="11"/>
        <color theme="3" tint="0.39997558519241921"/>
        <rFont val="Calibri"/>
        <family val="2"/>
        <scheme val="minor"/>
      </rPr>
      <t xml:space="preserve"> Enter the incidence of influenza-associated GP visits per 100,000 population</t>
    </r>
  </si>
  <si>
    <r>
      <rPr>
        <b/>
        <sz val="11"/>
        <color theme="3" tint="0.39997558519241921"/>
        <rFont val="Calibri"/>
        <family val="2"/>
        <scheme val="minor"/>
      </rPr>
      <t>Step 2.1:</t>
    </r>
    <r>
      <rPr>
        <sz val="11"/>
        <color theme="3" tint="0.39997558519241921"/>
        <rFont val="Calibri"/>
        <family val="2"/>
        <scheme val="minor"/>
      </rPr>
      <t xml:space="preserve"> Enter the incidence of influenza-associated illness per 100,000 population</t>
    </r>
  </si>
  <si>
    <t>DEFAULT VALUE</t>
  </si>
  <si>
    <t>OVERRIDE VALUE</t>
  </si>
  <si>
    <t>Model input</t>
  </si>
  <si>
    <t>These columns should not be visible for users</t>
  </si>
  <si>
    <t>Age (years)</t>
  </si>
  <si>
    <t>Year</t>
  </si>
  <si>
    <t>Population grouped to model age-groups</t>
  </si>
  <si>
    <t>TOTAL</t>
  </si>
  <si>
    <t>World Bank income group (2015)</t>
  </si>
  <si>
    <t>Economic details</t>
  </si>
  <si>
    <t>Code bewaren</t>
  </si>
  <si>
    <t>World bank GDP per capita (local currency, 2015)</t>
  </si>
  <si>
    <t>World bank exchange rate, Local currency to US$, 2015</t>
  </si>
  <si>
    <r>
      <rPr>
        <b/>
        <sz val="11"/>
        <color theme="3" tint="0.39997558519241921"/>
        <rFont val="Calibri"/>
        <family val="2"/>
        <scheme val="minor"/>
      </rPr>
      <t>Step 1.2:</t>
    </r>
    <r>
      <rPr>
        <sz val="11"/>
        <color theme="3" tint="0.39997558519241921"/>
        <rFont val="Calibri"/>
        <family val="2"/>
        <scheme val="minor"/>
      </rPr>
      <t xml:space="preserve"> Enter index year</t>
    </r>
  </si>
  <si>
    <t>Local currency (LCU)</t>
  </si>
  <si>
    <t>LCU abbriviation</t>
  </si>
  <si>
    <t>GDP per capita (LCU, 2015)</t>
  </si>
  <si>
    <t>Default population size</t>
  </si>
  <si>
    <t>Income level</t>
  </si>
  <si>
    <t>Median</t>
  </si>
  <si>
    <t>http://apps.who.int/immunization/vaccineprice/en/Navigation/Load?menu=1095&amp;sub=1083</t>
  </si>
  <si>
    <t>PAHO price, bought as packages per 10 units</t>
  </si>
  <si>
    <t>Vaccine price, 2015 prices</t>
  </si>
  <si>
    <t>https://esa.un.org/unpd/wpp/Download/Standard/Population/</t>
  </si>
  <si>
    <t>Bahamas, The</t>
  </si>
  <si>
    <t>Bolivia</t>
  </si>
  <si>
    <t>Congo, Dem. Rep.</t>
  </si>
  <si>
    <t>Congo, Rep.</t>
  </si>
  <si>
    <t>Egypt, Arab Rep.</t>
  </si>
  <si>
    <t>Gambia, The</t>
  </si>
  <si>
    <t>Iran, Islamic Rep.</t>
  </si>
  <si>
    <t>Korea, Rep.</t>
  </si>
  <si>
    <t>Kyrgyz Republic</t>
  </si>
  <si>
    <t>Lao PDR</t>
  </si>
  <si>
    <t>Macedonia, FYR</t>
  </si>
  <si>
    <t>Micronesia, Fed. Sts.</t>
  </si>
  <si>
    <t>Moldova</t>
  </si>
  <si>
    <t>Slovak Republic</t>
  </si>
  <si>
    <t>St. Lucia</t>
  </si>
  <si>
    <t>St. Vincent and the Grenadines</t>
  </si>
  <si>
    <t>Tanzania</t>
  </si>
  <si>
    <t>United States</t>
  </si>
  <si>
    <t>Venezuela, RB</t>
  </si>
  <si>
    <t>Vietnam</t>
  </si>
  <si>
    <t>West Bank and Gaza</t>
  </si>
  <si>
    <t>Yemen, Rep.</t>
  </si>
  <si>
    <t>Median (US$)</t>
  </si>
  <si>
    <t>Lower (US$)</t>
  </si>
  <si>
    <t>Upper (US$)</t>
  </si>
  <si>
    <t>TIV price</t>
  </si>
  <si>
    <t>http://data.worldbank.org/indicator/FP.CPI.TOTL?page=5</t>
  </si>
  <si>
    <t>Country Name</t>
  </si>
  <si>
    <t>Country Code</t>
  </si>
  <si>
    <t>Indicator Name</t>
  </si>
  <si>
    <t>2003</t>
  </si>
  <si>
    <t>2004</t>
  </si>
  <si>
    <t>2005</t>
  </si>
  <si>
    <t>AFG</t>
  </si>
  <si>
    <t>Consumer price index (2010 = 100)</t>
  </si>
  <si>
    <t>ALB</t>
  </si>
  <si>
    <t>DZA</t>
  </si>
  <si>
    <t>AGO</t>
  </si>
  <si>
    <t>ATG</t>
  </si>
  <si>
    <t>ARG</t>
  </si>
  <si>
    <t>ARM</t>
  </si>
  <si>
    <t>ABW</t>
  </si>
  <si>
    <t>AUS</t>
  </si>
  <si>
    <t>AUT</t>
  </si>
  <si>
    <t>AZE</t>
  </si>
  <si>
    <t>BHS</t>
  </si>
  <si>
    <t>BHR</t>
  </si>
  <si>
    <t>BGD</t>
  </si>
  <si>
    <t>BRB</t>
  </si>
  <si>
    <t>BLR</t>
  </si>
  <si>
    <t>BEL</t>
  </si>
  <si>
    <t>BLZ</t>
  </si>
  <si>
    <t>BEN</t>
  </si>
  <si>
    <t>BOL</t>
  </si>
  <si>
    <t>BIH</t>
  </si>
  <si>
    <t>BWA</t>
  </si>
  <si>
    <t>BRA</t>
  </si>
  <si>
    <t>BRN</t>
  </si>
  <si>
    <t>BGR</t>
  </si>
  <si>
    <t>BFA</t>
  </si>
  <si>
    <t>BDI</t>
  </si>
  <si>
    <t>CPV</t>
  </si>
  <si>
    <t>KHM</t>
  </si>
  <si>
    <t>CMR</t>
  </si>
  <si>
    <t>CAN</t>
  </si>
  <si>
    <t>CAF</t>
  </si>
  <si>
    <t>TCD</t>
  </si>
  <si>
    <t>CHL</t>
  </si>
  <si>
    <t>CHN</t>
  </si>
  <si>
    <t>COL</t>
  </si>
  <si>
    <t>COM</t>
  </si>
  <si>
    <t>COD</t>
  </si>
  <si>
    <t>COG</t>
  </si>
  <si>
    <t>CRI</t>
  </si>
  <si>
    <t>Cote d'Ivoire</t>
  </si>
  <si>
    <t>CIV</t>
  </si>
  <si>
    <t>HRV</t>
  </si>
  <si>
    <t>CUB</t>
  </si>
  <si>
    <t>CUW</t>
  </si>
  <si>
    <t>CYP</t>
  </si>
  <si>
    <t>CZE</t>
  </si>
  <si>
    <t>Dem. People’s Rep. Korea</t>
  </si>
  <si>
    <t>PRK</t>
  </si>
  <si>
    <t>DNK</t>
  </si>
  <si>
    <t>DJI</t>
  </si>
  <si>
    <t>DOM</t>
  </si>
  <si>
    <t>ECU</t>
  </si>
  <si>
    <t>EGY</t>
  </si>
  <si>
    <t>SLV</t>
  </si>
  <si>
    <t>GNQ</t>
  </si>
  <si>
    <t>ERI</t>
  </si>
  <si>
    <t>EST</t>
  </si>
  <si>
    <t>ETH</t>
  </si>
  <si>
    <t>FJI</t>
  </si>
  <si>
    <t>FIN</t>
  </si>
  <si>
    <t>FRA</t>
  </si>
  <si>
    <t>GAB</t>
  </si>
  <si>
    <t>GMB</t>
  </si>
  <si>
    <t>GEO</t>
  </si>
  <si>
    <t>DEU</t>
  </si>
  <si>
    <t>GHA</t>
  </si>
  <si>
    <t>GRC</t>
  </si>
  <si>
    <t>GRD</t>
  </si>
  <si>
    <t>GTM</t>
  </si>
  <si>
    <t>GIN</t>
  </si>
  <si>
    <t>GNB</t>
  </si>
  <si>
    <t>GUY</t>
  </si>
  <si>
    <t>HTI</t>
  </si>
  <si>
    <t>HND</t>
  </si>
  <si>
    <t>HUN</t>
  </si>
  <si>
    <t>ISL</t>
  </si>
  <si>
    <t>IND</t>
  </si>
  <si>
    <t>IDN</t>
  </si>
  <si>
    <t>IRN</t>
  </si>
  <si>
    <t>IRQ</t>
  </si>
  <si>
    <t>IRL</t>
  </si>
  <si>
    <t>ISR</t>
  </si>
  <si>
    <t>ITA</t>
  </si>
  <si>
    <t>JAM</t>
  </si>
  <si>
    <t>JPN</t>
  </si>
  <si>
    <t>JOR</t>
  </si>
  <si>
    <t>KAZ</t>
  </si>
  <si>
    <t>KEN</t>
  </si>
  <si>
    <t>KIR</t>
  </si>
  <si>
    <t>KOR</t>
  </si>
  <si>
    <t>KWT</t>
  </si>
  <si>
    <t>KGZ</t>
  </si>
  <si>
    <t>LAO</t>
  </si>
  <si>
    <t>LVA</t>
  </si>
  <si>
    <t>LBN</t>
  </si>
  <si>
    <t>LSO</t>
  </si>
  <si>
    <t>LBR</t>
  </si>
  <si>
    <t>LBY</t>
  </si>
  <si>
    <t>LTU</t>
  </si>
  <si>
    <t>LUX</t>
  </si>
  <si>
    <t>MDG</t>
  </si>
  <si>
    <t>MWI</t>
  </si>
  <si>
    <t>MYS</t>
  </si>
  <si>
    <t>MDV</t>
  </si>
  <si>
    <t>MLI</t>
  </si>
  <si>
    <t>MLT</t>
  </si>
  <si>
    <t>MRT</t>
  </si>
  <si>
    <t>MUS</t>
  </si>
  <si>
    <t>MEX</t>
  </si>
  <si>
    <t>FSM</t>
  </si>
  <si>
    <t>MDA</t>
  </si>
  <si>
    <t>MNG</t>
  </si>
  <si>
    <t>MNE</t>
  </si>
  <si>
    <t>MAR</t>
  </si>
  <si>
    <t>MOZ</t>
  </si>
  <si>
    <t>MMR</t>
  </si>
  <si>
    <t>NAM</t>
  </si>
  <si>
    <t>NPL</t>
  </si>
  <si>
    <t>NLD</t>
  </si>
  <si>
    <t>NCL</t>
  </si>
  <si>
    <t>NZL</t>
  </si>
  <si>
    <t>NIC</t>
  </si>
  <si>
    <t>NER</t>
  </si>
  <si>
    <t>NGA</t>
  </si>
  <si>
    <t>NOR</t>
  </si>
  <si>
    <t>OMN</t>
  </si>
  <si>
    <t>PAK</t>
  </si>
  <si>
    <t>PAN</t>
  </si>
  <si>
    <t>PNG</t>
  </si>
  <si>
    <t>PRY</t>
  </si>
  <si>
    <t>PER</t>
  </si>
  <si>
    <t>PHL</t>
  </si>
  <si>
    <t>POL</t>
  </si>
  <si>
    <t>PRT</t>
  </si>
  <si>
    <t>QAT</t>
  </si>
  <si>
    <t>ROU</t>
  </si>
  <si>
    <t>RUS</t>
  </si>
  <si>
    <t>RWA</t>
  </si>
  <si>
    <t>WSM</t>
  </si>
  <si>
    <t>STP</t>
  </si>
  <si>
    <t>SAU</t>
  </si>
  <si>
    <t>SEN</t>
  </si>
  <si>
    <t>SRB</t>
  </si>
  <si>
    <t>SYC</t>
  </si>
  <si>
    <t>SLE</t>
  </si>
  <si>
    <t>SGP</t>
  </si>
  <si>
    <t>SVK</t>
  </si>
  <si>
    <t>SVN</t>
  </si>
  <si>
    <t>SLB</t>
  </si>
  <si>
    <t>SOM</t>
  </si>
  <si>
    <t>ZAF</t>
  </si>
  <si>
    <t>SSD</t>
  </si>
  <si>
    <t>ESP</t>
  </si>
  <si>
    <t>LKA</t>
  </si>
  <si>
    <t>LCA</t>
  </si>
  <si>
    <t>VCT</t>
  </si>
  <si>
    <t>SDN</t>
  </si>
  <si>
    <t>SUR</t>
  </si>
  <si>
    <t>SWZ</t>
  </si>
  <si>
    <t>SWE</t>
  </si>
  <si>
    <t>CHE</t>
  </si>
  <si>
    <t>SYR</t>
  </si>
  <si>
    <t>TJK</t>
  </si>
  <si>
    <t>TZA</t>
  </si>
  <si>
    <t>THA</t>
  </si>
  <si>
    <t>TLS</t>
  </si>
  <si>
    <t>TGO</t>
  </si>
  <si>
    <t>TON</t>
  </si>
  <si>
    <t>TTO</t>
  </si>
  <si>
    <t>TUN</t>
  </si>
  <si>
    <t>TUR</t>
  </si>
  <si>
    <t>TKM</t>
  </si>
  <si>
    <t>UGA</t>
  </si>
  <si>
    <t>UKR</t>
  </si>
  <si>
    <t>ARE</t>
  </si>
  <si>
    <t>GBR</t>
  </si>
  <si>
    <t>USA</t>
  </si>
  <si>
    <t>URY</t>
  </si>
  <si>
    <t>UZB</t>
  </si>
  <si>
    <t>VUT</t>
  </si>
  <si>
    <t>VEN</t>
  </si>
  <si>
    <t>VNM</t>
  </si>
  <si>
    <t>PSE</t>
  </si>
  <si>
    <t>YEM</t>
  </si>
  <si>
    <t>ZMB</t>
  </si>
  <si>
    <t>ZWE</t>
  </si>
  <si>
    <t>Price year</t>
  </si>
  <si>
    <t>Vaccine price Orinigal soucre</t>
  </si>
  <si>
    <t>Pric year</t>
  </si>
  <si>
    <t>V3P</t>
  </si>
  <si>
    <t>WHO Choice cost estimator</t>
  </si>
  <si>
    <t>Original source</t>
  </si>
  <si>
    <t>Converted to 2015</t>
  </si>
  <si>
    <t>Costs per hospitalization day</t>
  </si>
  <si>
    <t>Average hospital stay</t>
  </si>
  <si>
    <t xml:space="preserve">                  </t>
  </si>
  <si>
    <t>Background utility by age-group</t>
  </si>
  <si>
    <t>Mortality rate by age-group</t>
  </si>
  <si>
    <t>Lifetable</t>
  </si>
  <si>
    <t>GP visits</t>
  </si>
  <si>
    <t>Incidence of influenza-associated GP visits per 100,000 population</t>
  </si>
  <si>
    <t>Background utility</t>
  </si>
  <si>
    <t>Av earnings per employee per hour, not corrected for population</t>
  </si>
  <si>
    <t>Unknown</t>
  </si>
  <si>
    <t>Fill in double price for children that need to be vaccinated twice</t>
  </si>
  <si>
    <r>
      <rPr>
        <b/>
        <sz val="11"/>
        <color theme="3" tint="0.39997558519241921"/>
        <rFont val="Calibri"/>
        <family val="2"/>
        <scheme val="minor"/>
      </rPr>
      <t>Step 4.3:</t>
    </r>
    <r>
      <rPr>
        <sz val="11"/>
        <color theme="3" tint="0.39997558519241921"/>
        <rFont val="Calibri"/>
        <family val="2"/>
        <scheme val="minor"/>
      </rPr>
      <t xml:space="preserve"> - Enter the medical costs per outpatient visit.</t>
    </r>
  </si>
  <si>
    <r>
      <rPr>
        <b/>
        <sz val="11"/>
        <color theme="3" tint="0.39997558519241921"/>
        <rFont val="Calibri"/>
        <family val="2"/>
        <scheme val="minor"/>
      </rPr>
      <t>Step 4.4:</t>
    </r>
    <r>
      <rPr>
        <sz val="11"/>
        <color theme="3" tint="0.39997558519241921"/>
        <rFont val="Calibri"/>
        <family val="2"/>
        <scheme val="minor"/>
      </rPr>
      <t xml:space="preserve"> - Enter the length of hospital stay per influenza admission and the costs per bed day.</t>
    </r>
  </si>
  <si>
    <t>Direct medical costs</t>
  </si>
  <si>
    <r>
      <rPr>
        <b/>
        <sz val="11"/>
        <color theme="3" tint="0.39997558519241921"/>
        <rFont val="Calibri"/>
        <family val="2"/>
        <scheme val="minor"/>
      </rPr>
      <t>Step 4.2:</t>
    </r>
    <r>
      <rPr>
        <sz val="11"/>
        <color theme="3" tint="0.39997558519241921"/>
        <rFont val="Calibri"/>
        <family val="2"/>
        <scheme val="minor"/>
      </rPr>
      <t xml:space="preserve"> - Enter the delivery costs per unit of the current/reference and the new/intervention alternative</t>
    </r>
  </si>
  <si>
    <r>
      <rPr>
        <b/>
        <sz val="11"/>
        <color theme="3" tint="0.39997558519241921"/>
        <rFont val="Calibri"/>
        <family val="2"/>
        <scheme val="minor"/>
      </rPr>
      <t>Step 4.1:</t>
    </r>
    <r>
      <rPr>
        <sz val="11"/>
        <color theme="3" tint="0.39997558519241921"/>
        <rFont val="Calibri"/>
        <family val="2"/>
        <scheme val="minor"/>
      </rPr>
      <t xml:space="preserve"> - Enter the vaccine price per unit of the current / reference and the new / intervention alternative</t>
    </r>
  </si>
  <si>
    <t>Direct non-medical costs</t>
  </si>
  <si>
    <t xml:space="preserve">Current/reference direct non-medical costs per vaccinated individual </t>
  </si>
  <si>
    <t xml:space="preserve">New/intervention direct non-medical costs per vaccinated individual </t>
  </si>
  <si>
    <t>Direct non-medical costs for non-medical attented influenza illness</t>
  </si>
  <si>
    <t>Direct non-medical costs for influenza-related outpatient visit</t>
  </si>
  <si>
    <t>Direct non-medical costs for influenza-related hospitalization</t>
  </si>
  <si>
    <t>Labour days missed non-medical attended influenza</t>
  </si>
  <si>
    <t>Labour days missed outpatient visit</t>
  </si>
  <si>
    <t>Labour days missed hospitalized influenza</t>
  </si>
  <si>
    <t>Labour days missed influenza mortality</t>
  </si>
  <si>
    <t>Income per day</t>
  </si>
  <si>
    <t>Influenza-related costs per outpatient visit</t>
  </si>
  <si>
    <t>Influenza associated outpatient visit</t>
  </si>
  <si>
    <t>Outpatient visits</t>
  </si>
  <si>
    <t>VE -&gt; Lower = upper</t>
  </si>
  <si>
    <t>Rate (per 100,000 py)</t>
  </si>
  <si>
    <r>
      <rPr>
        <b/>
        <sz val="11"/>
        <color theme="3" tint="0.39997558519241921"/>
        <rFont val="Calibri"/>
        <family val="2"/>
        <scheme val="minor"/>
      </rPr>
      <t>Step 1.3</t>
    </r>
    <r>
      <rPr>
        <sz val="11"/>
        <color theme="3" tint="0.39997558519241921"/>
        <rFont val="Calibri"/>
        <family val="2"/>
        <scheme val="minor"/>
      </rPr>
      <t>: Select risk groups (according to WHO position paper)</t>
    </r>
  </si>
  <si>
    <r>
      <rPr>
        <b/>
        <sz val="11"/>
        <color theme="3" tint="0.39997558519241921"/>
        <rFont val="Calibri"/>
        <family val="2"/>
        <scheme val="minor"/>
      </rPr>
      <t>Step 1.4:</t>
    </r>
    <r>
      <rPr>
        <sz val="11"/>
        <color theme="3" tint="0.39997558519241921"/>
        <rFont val="Calibri"/>
        <family val="2"/>
        <scheme val="minor"/>
      </rPr>
      <t xml:space="preserve"> Check target / age groups below you would like to include in the analysis</t>
    </r>
  </si>
  <si>
    <t>LY loss</t>
  </si>
  <si>
    <t>Life tables, WHO mortality</t>
  </si>
  <si>
    <t>General population mortality</t>
  </si>
  <si>
    <t>QALY loss non-hospitalized influenza</t>
  </si>
  <si>
    <t>QALY loss hospitalized influenza</t>
  </si>
  <si>
    <t>Life years lost preterm influenza mortality</t>
  </si>
  <si>
    <t>EQ5D guide</t>
  </si>
  <si>
    <t>Life years lost corrected for background utility weights of the general population</t>
  </si>
  <si>
    <t>Population included</t>
  </si>
  <si>
    <t>Non-medically attended</t>
  </si>
  <si>
    <t>Non-medical attended</t>
  </si>
  <si>
    <r>
      <rPr>
        <b/>
        <sz val="11"/>
        <color theme="3" tint="0.39997558519241921"/>
        <rFont val="Calibri"/>
        <family val="2"/>
        <scheme val="minor"/>
      </rPr>
      <t>Step 1.6:</t>
    </r>
    <r>
      <rPr>
        <sz val="11"/>
        <color theme="3" tint="0.39997558519241921"/>
        <rFont val="Calibri"/>
        <family val="2"/>
        <scheme val="minor"/>
      </rPr>
      <t xml:space="preserve"> Enter the vaccine coverage for the current situation, and the new situation.</t>
    </r>
  </si>
  <si>
    <t>ICER (LCU per QALY gained)</t>
  </si>
  <si>
    <t>ICER (LCU per LY gained)</t>
  </si>
  <si>
    <t>Average 1999-2011</t>
  </si>
  <si>
    <t>Glamour study</t>
  </si>
  <si>
    <t>INPUT</t>
  </si>
  <si>
    <t>Results Basecase</t>
  </si>
  <si>
    <t>Results higher</t>
  </si>
  <si>
    <t>Results Lower</t>
  </si>
  <si>
    <t>US$</t>
  </si>
  <si>
    <t>Vaccination costs</t>
  </si>
  <si>
    <t>Duration of stay</t>
  </si>
  <si>
    <t>Hospitalization costs per day</t>
  </si>
  <si>
    <t>Influenza outpatient visit</t>
  </si>
  <si>
    <t>Influenza non-medically attended</t>
  </si>
  <si>
    <t>Labour days missed non-medically attended</t>
  </si>
  <si>
    <t>Labour days missed hospitalization</t>
  </si>
  <si>
    <t>Labour days missed death</t>
  </si>
  <si>
    <t>Influenza associated non-medically attended</t>
  </si>
  <si>
    <r>
      <rPr>
        <b/>
        <sz val="11"/>
        <color theme="3" tint="0.39997558519241921"/>
        <rFont val="Calibri"/>
        <family val="2"/>
        <scheme val="minor"/>
      </rPr>
      <t>Step 3.3:</t>
    </r>
    <r>
      <rPr>
        <sz val="11"/>
        <color theme="3" tint="0.39997558519241921"/>
        <rFont val="Calibri"/>
        <family val="2"/>
        <scheme val="minor"/>
      </rPr>
      <t xml:space="preserve"> - Enter the vaccine efficacy against influenza mortality for the current/reference vaccine and the new/intervention vaccine.</t>
    </r>
  </si>
  <si>
    <r>
      <rPr>
        <b/>
        <sz val="11"/>
        <color theme="3" tint="0.39997558519241921"/>
        <rFont val="Calibri"/>
        <family val="2"/>
        <scheme val="minor"/>
      </rPr>
      <t>Step 3.2:</t>
    </r>
    <r>
      <rPr>
        <sz val="11"/>
        <color theme="3" tint="0.39997558519241921"/>
        <rFont val="Calibri"/>
        <family val="2"/>
        <scheme val="minor"/>
      </rPr>
      <t xml:space="preserve">  - Enter the vaccine efficacy against influenza hospitalizaiton for the current/reference vaccine and the new/intervention vaccine.</t>
    </r>
  </si>
  <si>
    <r>
      <rPr>
        <b/>
        <sz val="11"/>
        <color theme="3" tint="0.39997558519241921"/>
        <rFont val="Calibri"/>
        <family val="2"/>
        <scheme val="minor"/>
      </rPr>
      <t>Step 3.1:</t>
    </r>
    <r>
      <rPr>
        <sz val="11"/>
        <color theme="3" tint="0.39997558519241921"/>
        <rFont val="Calibri"/>
        <family val="2"/>
        <scheme val="minor"/>
      </rPr>
      <t xml:space="preserve"> - Enter the vaccine efficacy against uncomplicated influenza illness or outpatient visit for the current/reference vaccine and the new/intervention vaccine.</t>
    </r>
  </si>
  <si>
    <t>Current / Reference: VE against uncomplicated influenza or outpatient visit</t>
  </si>
  <si>
    <t>New/ Intervention: VE against influenza illness &amp; outpatient visit</t>
  </si>
  <si>
    <t>Current / Reference: VE against influenza hospitalization</t>
  </si>
  <si>
    <t>New/ Intervention: VE against influenza hospitalization</t>
  </si>
  <si>
    <t>Current / Reference: VE against influenza mortality.</t>
  </si>
  <si>
    <t>New / Intervention: VE against influenza mortality.</t>
  </si>
  <si>
    <r>
      <rPr>
        <b/>
        <sz val="11"/>
        <color theme="3" tint="0.39997558519241921"/>
        <rFont val="Calibri"/>
        <family val="2"/>
        <scheme val="minor"/>
      </rPr>
      <t>Step 2.3:</t>
    </r>
    <r>
      <rPr>
        <sz val="11"/>
        <color theme="3" tint="0.39997558519241921"/>
        <rFont val="Calibri"/>
        <family val="2"/>
        <scheme val="minor"/>
      </rPr>
      <t xml:space="preserve"> Enter the incidence of influenza-associated hospitalizations per 100,000 population.</t>
    </r>
  </si>
  <si>
    <r>
      <rPr>
        <b/>
        <sz val="11"/>
        <color theme="3" tint="0.39997558519241921"/>
        <rFont val="Calibri"/>
        <family val="2"/>
        <scheme val="minor"/>
      </rPr>
      <t>Step 2.4:</t>
    </r>
    <r>
      <rPr>
        <sz val="11"/>
        <color theme="3" tint="0.39997558519241921"/>
        <rFont val="Calibri"/>
        <family val="2"/>
        <scheme val="minor"/>
      </rPr>
      <t xml:space="preserve"> Enter the incidence of influenza-associated mortality per 100,000 population.</t>
    </r>
  </si>
  <si>
    <t>use default values</t>
  </si>
  <si>
    <t>clear values</t>
  </si>
  <si>
    <t>Actions</t>
  </si>
  <si>
    <t>copy values from reference</t>
  </si>
  <si>
    <t>Base case</t>
  </si>
  <si>
    <t>use saved values</t>
  </si>
  <si>
    <t>societal</t>
  </si>
  <si>
    <t>health care payer</t>
  </si>
  <si>
    <t>beta</t>
  </si>
  <si>
    <t>gamma</t>
  </si>
  <si>
    <r>
      <rPr>
        <sz val="11"/>
        <color theme="1"/>
        <rFont val="Calibri"/>
        <family val="2"/>
      </rPr>
      <t>≥</t>
    </r>
    <r>
      <rPr>
        <sz val="11"/>
        <color theme="1"/>
        <rFont val="Calibri"/>
        <family val="2"/>
        <scheme val="minor"/>
      </rPr>
      <t>65</t>
    </r>
  </si>
  <si>
    <t>Children / Chronically ill / elderly - all with no HIV</t>
  </si>
  <si>
    <t>Children / Chronically ill / elderly - all with HIV</t>
  </si>
  <si>
    <t>HIV+</t>
  </si>
  <si>
    <t>Pregnant women, no HIV</t>
  </si>
  <si>
    <t>Pregnant women, HIV</t>
  </si>
  <si>
    <t>Newborn, no HIV</t>
  </si>
  <si>
    <t>Newborn, HIV</t>
  </si>
  <si>
    <t>Newborns, no HIV</t>
  </si>
  <si>
    <t>Newborns, HIV</t>
  </si>
  <si>
    <t>≥65</t>
  </si>
  <si>
    <t>HIV</t>
  </si>
  <si>
    <t>Children /Chronically ill adults/Elderly</t>
  </si>
  <si>
    <t>Mild adverse events costs per one episode</t>
  </si>
  <si>
    <t>Severe adverse events costs per one episode</t>
  </si>
  <si>
    <t>Incidence: Mild adverse events</t>
  </si>
  <si>
    <t>Incidence: Severe adverse events</t>
  </si>
  <si>
    <t>Children/Chronically ill adults/Elderly</t>
  </si>
  <si>
    <t>Newborns, HIV exposed</t>
  </si>
  <si>
    <t>Copy of hospitalization and consultation costs - NICD</t>
  </si>
  <si>
    <t>WHO Choice</t>
  </si>
  <si>
    <t xml:space="preserve">WHO CHOICE </t>
  </si>
  <si>
    <t>HC workers not included in our analysis for now</t>
  </si>
  <si>
    <t>Low</t>
  </si>
  <si>
    <t>High</t>
  </si>
  <si>
    <t>Output Differences</t>
  </si>
  <si>
    <t>Incidence: Influenza-related illness</t>
  </si>
  <si>
    <t>Incidence: Influenza-related hospital visits</t>
  </si>
  <si>
    <t>Incidence: Influenza-related mortality</t>
  </si>
  <si>
    <t>Vaccine efficacy: Influenza mortality</t>
  </si>
  <si>
    <t>Vaccine efficacy: Influenza illness</t>
  </si>
  <si>
    <t>Vaccine efficacy: Influenza hospitalisation</t>
  </si>
  <si>
    <t>Cost per influenza-related outpatient visit</t>
  </si>
  <si>
    <t>SA</t>
  </si>
  <si>
    <t>Sensitivity Analysis Switch</t>
  </si>
  <si>
    <t>SA Switch</t>
  </si>
  <si>
    <r>
      <t xml:space="preserve">65y </t>
    </r>
    <r>
      <rPr>
        <b/>
        <sz val="12"/>
        <color theme="1"/>
        <rFont val="Calibri"/>
        <family val="2"/>
      </rPr>
      <t>≤</t>
    </r>
  </si>
  <si>
    <t>BASE CASE ICER:</t>
  </si>
  <si>
    <t>Base</t>
  </si>
  <si>
    <t>Results SA</t>
  </si>
  <si>
    <t>Chronically ill adults</t>
  </si>
  <si>
    <t>Elderly (65+ years)</t>
  </si>
  <si>
    <t>Children (0.5-5 years)</t>
  </si>
  <si>
    <t>15&lt;64y</t>
  </si>
  <si>
    <t>BaseCase</t>
  </si>
  <si>
    <r>
      <rPr>
        <b/>
        <sz val="11"/>
        <color theme="3" tint="0.39997558519241921"/>
        <rFont val="Calibri"/>
        <family val="2"/>
        <scheme val="minor"/>
      </rPr>
      <t>Step 3.4:</t>
    </r>
    <r>
      <rPr>
        <sz val="11"/>
        <color theme="3" tint="0.39997558519241921"/>
        <rFont val="Calibri"/>
        <family val="2"/>
        <scheme val="minor"/>
      </rPr>
      <t xml:space="preserve"> - Enter the incidence of mild and serious adverse events from influenza vaccination</t>
    </r>
  </si>
  <si>
    <t>Intervention: Mild adverse events per 100,000</t>
  </si>
  <si>
    <t>Intervention: Serious adverse events per 100,000</t>
  </si>
  <si>
    <r>
      <rPr>
        <b/>
        <sz val="11"/>
        <color theme="3" tint="0.39997558519241921"/>
        <rFont val="Calibri"/>
        <family val="2"/>
        <scheme val="minor"/>
      </rPr>
      <t>Step 4.6:</t>
    </r>
    <r>
      <rPr>
        <sz val="11"/>
        <color theme="3" tint="0.39997558519241921"/>
        <rFont val="Calibri"/>
        <family val="2"/>
        <scheme val="minor"/>
      </rPr>
      <t xml:space="preserve"> - Enter the direct non-medical costs (travel costs, out-of-pocket costs) for the current/reference and the new/intervention alternative.</t>
    </r>
  </si>
  <si>
    <r>
      <rPr>
        <b/>
        <sz val="11"/>
        <color theme="3" tint="0.39997558519241921"/>
        <rFont val="Calibri"/>
        <family val="2"/>
        <scheme val="minor"/>
      </rPr>
      <t>Step 4.7:</t>
    </r>
    <r>
      <rPr>
        <sz val="11"/>
        <color theme="3" tint="0.39997558519241921"/>
        <rFont val="Calibri"/>
        <family val="2"/>
        <scheme val="minor"/>
      </rPr>
      <t xml:space="preserve"> - Enter the direct non-medical costs (travel costs, out-of-pocket costs) for non-medical attended influenza illness.</t>
    </r>
  </si>
  <si>
    <r>
      <rPr>
        <b/>
        <sz val="11"/>
        <color theme="3" tint="0.39997558519241921"/>
        <rFont val="Calibri"/>
        <family val="2"/>
        <scheme val="minor"/>
      </rPr>
      <t>Step 4.8:</t>
    </r>
    <r>
      <rPr>
        <sz val="11"/>
        <color theme="3" tint="0.39997558519241921"/>
        <rFont val="Calibri"/>
        <family val="2"/>
        <scheme val="minor"/>
      </rPr>
      <t xml:space="preserve"> - Enter the direct non-medical costs (travel costs, out-of-pocket costs) for influenza illness requiring outpatient visit</t>
    </r>
  </si>
  <si>
    <r>
      <rPr>
        <b/>
        <sz val="11"/>
        <color theme="3" tint="0.39997558519241921"/>
        <rFont val="Calibri"/>
        <family val="2"/>
        <scheme val="minor"/>
      </rPr>
      <t>Step 4.9:</t>
    </r>
    <r>
      <rPr>
        <sz val="11"/>
        <color theme="3" tint="0.39997558519241921"/>
        <rFont val="Calibri"/>
        <family val="2"/>
        <scheme val="minor"/>
      </rPr>
      <t xml:space="preserve"> - Enter the direct non-medical costs (travel costs, out-of-pocket costs) for influenza illness requiring hospitalization</t>
    </r>
  </si>
  <si>
    <r>
      <rPr>
        <b/>
        <sz val="11"/>
        <color theme="3" tint="0.39997558519241921"/>
        <rFont val="Calibri"/>
        <family val="2"/>
        <scheme val="minor"/>
      </rPr>
      <t>Step 4.10:</t>
    </r>
    <r>
      <rPr>
        <sz val="11"/>
        <color theme="3" tint="0.39997558519241921"/>
        <rFont val="Calibri"/>
        <family val="2"/>
        <scheme val="minor"/>
      </rPr>
      <t xml:space="preserve"> - Enter the current / reference labour days missed per vaccinated individual.</t>
    </r>
  </si>
  <si>
    <r>
      <rPr>
        <b/>
        <sz val="11"/>
        <color theme="3" tint="0.39997558519241921"/>
        <rFont val="Calibri"/>
        <family val="2"/>
        <scheme val="minor"/>
      </rPr>
      <t>Step 4.11:</t>
    </r>
    <r>
      <rPr>
        <sz val="11"/>
        <color theme="3" tint="0.39997558519241921"/>
        <rFont val="Calibri"/>
        <family val="2"/>
        <scheme val="minor"/>
      </rPr>
      <t xml:space="preserve"> Enter the influenza associated labour days missed per non-medically attended ILI case.</t>
    </r>
  </si>
  <si>
    <r>
      <rPr>
        <b/>
        <sz val="11"/>
        <color theme="3" tint="0.39997558519241921"/>
        <rFont val="Calibri"/>
        <family val="2"/>
        <scheme val="minor"/>
      </rPr>
      <t>Step 4.12:</t>
    </r>
    <r>
      <rPr>
        <sz val="11"/>
        <color theme="3" tint="0.39997558519241921"/>
        <rFont val="Calibri"/>
        <family val="2"/>
        <scheme val="minor"/>
      </rPr>
      <t xml:space="preserve"> Enter the influenza associated labour days missed per influenza case requiring outpatient visit.</t>
    </r>
  </si>
  <si>
    <r>
      <rPr>
        <b/>
        <sz val="11"/>
        <color theme="3" tint="0.39997558519241921"/>
        <rFont val="Calibri"/>
        <family val="2"/>
        <scheme val="minor"/>
      </rPr>
      <t>Step 4.13:</t>
    </r>
    <r>
      <rPr>
        <sz val="11"/>
        <color theme="3" tint="0.39997558519241921"/>
        <rFont val="Calibri"/>
        <family val="2"/>
        <scheme val="minor"/>
      </rPr>
      <t xml:space="preserve"> Enter the number of labour days missed per hospitalized influenza case.</t>
    </r>
  </si>
  <si>
    <r>
      <rPr>
        <b/>
        <sz val="11"/>
        <color theme="3" tint="0.39997558519241921"/>
        <rFont val="Calibri"/>
        <family val="2"/>
        <scheme val="minor"/>
      </rPr>
      <t>Step 4.14:</t>
    </r>
    <r>
      <rPr>
        <sz val="11"/>
        <color theme="3" tint="0.39997558519241921"/>
        <rFont val="Calibri"/>
        <family val="2"/>
        <scheme val="minor"/>
      </rPr>
      <t xml:space="preserve"> Enter the number of labour days missed per influenza death.</t>
    </r>
  </si>
  <si>
    <r>
      <rPr>
        <b/>
        <sz val="11"/>
        <color theme="3" tint="0.39997558519241921"/>
        <rFont val="Calibri"/>
        <family val="2"/>
        <scheme val="minor"/>
      </rPr>
      <t>Step 4.15</t>
    </r>
    <r>
      <rPr>
        <sz val="11"/>
        <color theme="3" tint="0.39997558519241921"/>
        <rFont val="Calibri"/>
        <family val="2"/>
        <scheme val="minor"/>
      </rPr>
      <t xml:space="preserve"> Enter the lost income per day.</t>
    </r>
  </si>
  <si>
    <t>Total costs per bed day</t>
  </si>
  <si>
    <t>QALY loss</t>
  </si>
  <si>
    <t>Adverse events</t>
  </si>
  <si>
    <t>Adverse event costs</t>
  </si>
  <si>
    <t>Number of workdays lost due to influenza outpatient visit</t>
  </si>
  <si>
    <t>VE of New / Intervention</t>
  </si>
  <si>
    <t>New Intervention</t>
  </si>
  <si>
    <t>Vaccine costs - current/reference</t>
  </si>
  <si>
    <t>Vaccine costs - new intervention</t>
  </si>
  <si>
    <t xml:space="preserve"> All preloaded unit costs have base year 2015.</t>
  </si>
  <si>
    <t>Combined: note, groups are not mutally exclusive</t>
  </si>
  <si>
    <t>US$ exchange rate (2015) (Stefano)</t>
  </si>
  <si>
    <t>Inflation function</t>
  </si>
  <si>
    <r>
      <t>Adjusted cost</t>
    </r>
    <r>
      <rPr>
        <vertAlign val="subscript"/>
        <sz val="10"/>
        <color theme="1"/>
        <rFont val="Calibri"/>
        <family val="2"/>
        <scheme val="minor"/>
      </rPr>
      <t>2018</t>
    </r>
    <r>
      <rPr>
        <sz val="10"/>
        <color theme="1"/>
        <rFont val="Calibri"/>
        <family val="2"/>
        <scheme val="minor"/>
      </rPr>
      <t xml:space="preserve"> = cost</t>
    </r>
    <r>
      <rPr>
        <vertAlign val="subscript"/>
        <sz val="10"/>
        <color theme="1"/>
        <rFont val="Calibri"/>
        <family val="2"/>
        <scheme val="minor"/>
      </rPr>
      <t xml:space="preserve">2015 </t>
    </r>
    <r>
      <rPr>
        <sz val="10"/>
        <color theme="1"/>
        <rFont val="Calibri"/>
        <family val="2"/>
        <scheme val="minor"/>
      </rPr>
      <t>* (CPI</t>
    </r>
    <r>
      <rPr>
        <vertAlign val="subscript"/>
        <sz val="10"/>
        <color theme="1"/>
        <rFont val="Calibri"/>
        <family val="2"/>
        <scheme val="minor"/>
      </rPr>
      <t>2018</t>
    </r>
    <r>
      <rPr>
        <sz val="10"/>
        <color theme="1"/>
        <rFont val="Calibri"/>
        <family val="2"/>
        <scheme val="minor"/>
      </rPr>
      <t>/CPI</t>
    </r>
    <r>
      <rPr>
        <vertAlign val="subscript"/>
        <sz val="10"/>
        <color theme="1"/>
        <rFont val="Calibri"/>
        <family val="2"/>
        <scheme val="minor"/>
      </rPr>
      <t>2015</t>
    </r>
    <r>
      <rPr>
        <sz val="10"/>
        <color theme="1"/>
        <rFont val="Calibri"/>
        <family val="2"/>
        <scheme val="minor"/>
      </rPr>
      <t>)</t>
    </r>
  </si>
  <si>
    <t>Daily earnings corrected for employment rate (NICD - calc's from 'Cost per day of proudictivity lost' sheet)</t>
  </si>
  <si>
    <t>Assume equal to cost of medically attended mild influenza * proportion of medically-attended mild illness</t>
  </si>
  <si>
    <t>(74.4% of mild influenza-associated illness is NON-medically attended, thus 25.6% applied, Tempia et al 2019)</t>
  </si>
  <si>
    <t>Assume equal to cost of hopsitalisation for influenza</t>
  </si>
  <si>
    <t xml:space="preserve">Tempia et al. </t>
  </si>
  <si>
    <t>From Stefano's paper no. 13: Table 1</t>
  </si>
  <si>
    <t>QALY loss adverse events</t>
  </si>
  <si>
    <t>QALYs lost per mild adverse event occurrence</t>
  </si>
  <si>
    <t>QALYs lost per severe adverse event occurrence</t>
  </si>
  <si>
    <t>QALY loss per severe adverse event episode</t>
  </si>
  <si>
    <t>QALY loss from adverse events</t>
  </si>
  <si>
    <t>Current intervention: QALY loss per mild adverse event episode</t>
  </si>
  <si>
    <t>New intervention: QALY loss per severe adverse event episode</t>
  </si>
  <si>
    <t>Current intervention: QALY loss per severe adverse event episode</t>
  </si>
  <si>
    <t>New intervention: QALY loss per mild adverse event episode</t>
  </si>
  <si>
    <t>CURRENT INTERVENTION:</t>
  </si>
  <si>
    <t>NEW INTERVENTION:</t>
  </si>
  <si>
    <t>Current Intervention: QALY loss per mild adverse event</t>
  </si>
  <si>
    <t>New Intervention: QALY loss per mild adverse event</t>
  </si>
  <si>
    <t>New intervention: QALY loss per severe adverse event</t>
  </si>
  <si>
    <t>Current intervention: QALY loss per severe adverse event</t>
  </si>
  <si>
    <t>New Intervention: QALY loss per severe adverse event episode</t>
  </si>
  <si>
    <t>Current</t>
  </si>
  <si>
    <t>New</t>
  </si>
  <si>
    <t>Current intervention: Incidence of mild adverse events</t>
  </si>
  <si>
    <t>Current intervention: Incidence of severe adverse events</t>
  </si>
  <si>
    <t>New intervention: Incidence of mild adverse events</t>
  </si>
  <si>
    <t>New intervention: Incidence of severe adverse events</t>
  </si>
  <si>
    <t>Adverse Events</t>
  </si>
  <si>
    <r>
      <rPr>
        <b/>
        <sz val="11"/>
        <color theme="3" tint="0.39997558519241921"/>
        <rFont val="Calibri"/>
        <family val="2"/>
        <scheme val="minor"/>
      </rPr>
      <t>Step 4.5:</t>
    </r>
    <r>
      <rPr>
        <sz val="11"/>
        <color theme="3" tint="0.39997558519241921"/>
        <rFont val="Calibri"/>
        <family val="2"/>
        <scheme val="minor"/>
      </rPr>
      <t xml:space="preserve"> - Enter the cost of mild and severe adverse events per day</t>
    </r>
  </si>
  <si>
    <t>Current Intervention</t>
  </si>
  <si>
    <r>
      <rPr>
        <b/>
        <sz val="11"/>
        <color rgb="FFFF0000"/>
        <rFont val="Calibri"/>
        <family val="2"/>
        <scheme val="minor"/>
      </rPr>
      <t>Current intervention:</t>
    </r>
    <r>
      <rPr>
        <b/>
        <sz val="11"/>
        <color theme="1"/>
        <rFont val="Calibri"/>
        <family val="2"/>
        <scheme val="minor"/>
      </rPr>
      <t xml:space="preserve"> Mild adverse events cost per one episode</t>
    </r>
  </si>
  <si>
    <r>
      <rPr>
        <b/>
        <sz val="11"/>
        <color rgb="FFFF0000"/>
        <rFont val="Calibri"/>
        <family val="2"/>
        <scheme val="minor"/>
      </rPr>
      <t>New intervention:</t>
    </r>
    <r>
      <rPr>
        <b/>
        <sz val="11"/>
        <color theme="1"/>
        <rFont val="Calibri"/>
        <family val="2"/>
        <scheme val="minor"/>
      </rPr>
      <t xml:space="preserve"> Mild adverse events cost per one episode</t>
    </r>
  </si>
  <si>
    <r>
      <rPr>
        <b/>
        <sz val="11"/>
        <color rgb="FFFF0000"/>
        <rFont val="Calibri"/>
        <family val="2"/>
        <scheme val="minor"/>
      </rPr>
      <t>Current intervention:</t>
    </r>
    <r>
      <rPr>
        <b/>
        <sz val="11"/>
        <color theme="1"/>
        <rFont val="Calibri"/>
        <family val="2"/>
        <scheme val="minor"/>
      </rPr>
      <t xml:space="preserve"> Severe adverse events cost per one episode</t>
    </r>
  </si>
  <si>
    <r>
      <rPr>
        <b/>
        <sz val="11"/>
        <color rgb="FFFF0000"/>
        <rFont val="Calibri"/>
        <family val="2"/>
        <scheme val="minor"/>
      </rPr>
      <t>New intervention:</t>
    </r>
    <r>
      <rPr>
        <b/>
        <sz val="11"/>
        <color theme="1"/>
        <rFont val="Calibri"/>
        <family val="2"/>
        <scheme val="minor"/>
      </rPr>
      <t xml:space="preserve"> Severe adverse events cost per one episode</t>
    </r>
  </si>
  <si>
    <t>Current intervention: Mild adverse events</t>
  </si>
  <si>
    <t>Current intervention: Severe adverse events</t>
  </si>
  <si>
    <t>New intervention: Mild adverse events</t>
  </si>
  <si>
    <t>New intervention: Severe adverse events</t>
  </si>
  <si>
    <t>Cost per influenza-related hospitalization/severe acute respiratory illness</t>
  </si>
  <si>
    <r>
      <rPr>
        <b/>
        <sz val="12"/>
        <color rgb="FFFF0000"/>
        <rFont val="Calibri"/>
        <family val="2"/>
        <scheme val="minor"/>
      </rPr>
      <t>Current Intervention:</t>
    </r>
    <r>
      <rPr>
        <b/>
        <sz val="12"/>
        <color theme="1"/>
        <rFont val="Calibri"/>
        <family val="2"/>
        <scheme val="minor"/>
      </rPr>
      <t xml:space="preserve"> QALY loss per mild adverse event</t>
    </r>
  </si>
  <si>
    <r>
      <rPr>
        <b/>
        <sz val="12"/>
        <color rgb="FFFF0000"/>
        <rFont val="Calibri"/>
        <family val="2"/>
        <scheme val="minor"/>
      </rPr>
      <t>New Intervention:</t>
    </r>
    <r>
      <rPr>
        <b/>
        <sz val="12"/>
        <color theme="1"/>
        <rFont val="Calibri"/>
        <family val="2"/>
        <scheme val="minor"/>
      </rPr>
      <t xml:space="preserve"> QALY loss per mild adverse event</t>
    </r>
  </si>
  <si>
    <r>
      <rPr>
        <b/>
        <sz val="12"/>
        <color rgb="FFFF0000"/>
        <rFont val="Calibri"/>
        <family val="2"/>
        <scheme val="minor"/>
      </rPr>
      <t>Current intervention:</t>
    </r>
    <r>
      <rPr>
        <b/>
        <sz val="12"/>
        <color theme="1"/>
        <rFont val="Calibri"/>
        <family val="2"/>
        <scheme val="minor"/>
      </rPr>
      <t xml:space="preserve"> QALY loss per severe adverse event</t>
    </r>
  </si>
  <si>
    <r>
      <rPr>
        <b/>
        <sz val="12"/>
        <color rgb="FFFF0000"/>
        <rFont val="Calibri"/>
        <family val="2"/>
        <scheme val="minor"/>
      </rPr>
      <t>New intervention:</t>
    </r>
    <r>
      <rPr>
        <b/>
        <sz val="12"/>
        <color theme="1"/>
        <rFont val="Calibri"/>
        <family val="2"/>
        <scheme val="minor"/>
      </rPr>
      <t xml:space="preserve"> QALY loss per severe adverse event</t>
    </r>
  </si>
  <si>
    <t>Switch</t>
  </si>
  <si>
    <t>Incidence of adverse events</t>
  </si>
  <si>
    <t>Cost of adverse events</t>
  </si>
  <si>
    <r>
      <rPr>
        <sz val="10"/>
        <color rgb="FFFF0000"/>
        <rFont val="Calibri"/>
        <family val="2"/>
        <scheme val="minor"/>
      </rPr>
      <t>New intervention:</t>
    </r>
    <r>
      <rPr>
        <sz val="10"/>
        <color theme="1"/>
        <rFont val="Calibri"/>
        <family val="2"/>
        <scheme val="minor"/>
      </rPr>
      <t xml:space="preserve"> QALY loss per mild adverse event episode</t>
    </r>
  </si>
  <si>
    <r>
      <rPr>
        <sz val="10"/>
        <color rgb="FFFF0000"/>
        <rFont val="Calibri"/>
        <family val="2"/>
        <scheme val="minor"/>
      </rPr>
      <t>Current intervention:</t>
    </r>
    <r>
      <rPr>
        <sz val="10"/>
        <color theme="1"/>
        <rFont val="Calibri"/>
        <family val="2"/>
        <scheme val="minor"/>
      </rPr>
      <t xml:space="preserve"> QALY loss per mild adverse event episode</t>
    </r>
  </si>
  <si>
    <t>Non-Medically Attended</t>
  </si>
  <si>
    <t>QALY loss outpatient</t>
  </si>
  <si>
    <t>Results are pulled from this table</t>
  </si>
  <si>
    <r>
      <t xml:space="preserve">To produce tornado diagram: (i) copy </t>
    </r>
    <r>
      <rPr>
        <b/>
        <sz val="12"/>
        <rFont val="Trebuchet MS"/>
        <family val="2"/>
      </rPr>
      <t xml:space="preserve">values </t>
    </r>
    <r>
      <rPr>
        <sz val="12"/>
        <rFont val="Trebuchet MS"/>
        <family val="2"/>
      </rPr>
      <t xml:space="preserve">in cells B8:E19 into cells I8:L19, (i) select cells I7:L19 and sort by output difference from largest to smallest, (iii) double-click the horizontal axis of the tornado diagram and manually type the value in cell C5 into the box labeled </t>
    </r>
    <r>
      <rPr>
        <i/>
        <sz val="12"/>
        <rFont val="Trebuchet MS"/>
        <family val="2"/>
      </rPr>
      <t>axis value</t>
    </r>
  </si>
  <si>
    <t>Base Case ICER:</t>
  </si>
  <si>
    <t>13. Tempia - Influenza Disease Burden RG - Supl Mat - $19-$07-$2019</t>
  </si>
  <si>
    <t>Table S1 + Table S2</t>
  </si>
  <si>
    <t>13. Tempia - Influenza Disease Burden RG - Supl Mat - 19-07-2019</t>
  </si>
  <si>
    <t>13. Tempia - Influenza Disease Burden RG - Supl Mat - $19-07-2019</t>
  </si>
  <si>
    <t>Table S4, mild + severe</t>
  </si>
  <si>
    <t>Note: this is the incidence of all non-medically attended illness (mild and severe)</t>
  </si>
  <si>
    <t>Meredith McMorrow</t>
  </si>
  <si>
    <t>Assume equal to elderly - obtained from Demicheli 2018</t>
  </si>
  <si>
    <t>Demicheli meta-analysis 2018</t>
  </si>
  <si>
    <t>Healthy adults multiplied by relative VE for HIV positive pregnant women compared to pregnant women (Nunes 2018)</t>
  </si>
  <si>
    <t>Demicheli 2018 sub-analysis: Madhi 2014 only study included</t>
  </si>
  <si>
    <t>From Demicheli 2018 Healthy adults meta-analysis</t>
  </si>
  <si>
    <t>Assume 10% of mild adverse events are medically attended</t>
  </si>
  <si>
    <t>GDP per capita</t>
  </si>
  <si>
    <t>Supply-side threshold</t>
  </si>
  <si>
    <t>MULTIPLIER</t>
  </si>
  <si>
    <t>QALY loss non-medically ttended</t>
  </si>
  <si>
    <t>proportion mild</t>
  </si>
  <si>
    <r>
      <rPr>
        <b/>
        <sz val="11"/>
        <color theme="3" tint="0.39997558519241921"/>
        <rFont val="Calibri"/>
        <family val="2"/>
        <scheme val="minor"/>
      </rPr>
      <t>Step 5.5:</t>
    </r>
    <r>
      <rPr>
        <sz val="11"/>
        <color theme="3" tint="0.39997558519241921"/>
        <rFont val="Calibri"/>
        <family val="2"/>
        <scheme val="minor"/>
      </rPr>
      <t xml:space="preserve"> Enter life years lost due to preterm influenza mortality</t>
    </r>
  </si>
  <si>
    <r>
      <rPr>
        <b/>
        <sz val="11"/>
        <color theme="3" tint="0.39997558519241921"/>
        <rFont val="Calibri"/>
        <family val="2"/>
        <scheme val="minor"/>
      </rPr>
      <t>Step 5.6:</t>
    </r>
    <r>
      <rPr>
        <sz val="11"/>
        <color theme="3" tint="0.39997558519241921"/>
        <rFont val="Calibri"/>
        <family val="2"/>
        <scheme val="minor"/>
      </rPr>
      <t xml:space="preserve"> Enter the QALY loss due to preterm influenza mortality</t>
    </r>
  </si>
  <si>
    <r>
      <rPr>
        <b/>
        <sz val="11"/>
        <color theme="3" tint="0.39997558519241921"/>
        <rFont val="Calibri"/>
        <family val="2"/>
        <scheme val="minor"/>
      </rPr>
      <t>Step 5.7:</t>
    </r>
    <r>
      <rPr>
        <sz val="11"/>
        <color theme="3" tint="0.39997558519241921"/>
        <rFont val="Calibri"/>
        <family val="2"/>
        <scheme val="minor"/>
      </rPr>
      <t xml:space="preserve"> QALY loss adverse events</t>
    </r>
  </si>
  <si>
    <t>mild:severe illness in non-medically attended influenza</t>
  </si>
  <si>
    <r>
      <rPr>
        <b/>
        <sz val="11"/>
        <color theme="3" tint="0.39997558519241921"/>
        <rFont val="Calibri"/>
        <family val="2"/>
        <scheme val="minor"/>
      </rPr>
      <t>Step 2.5:</t>
    </r>
    <r>
      <rPr>
        <sz val="11"/>
        <color theme="3" tint="0.39997558519241921"/>
        <rFont val="Calibri"/>
        <family val="2"/>
        <scheme val="minor"/>
      </rPr>
      <t xml:space="preserve"> Enter the proportion of mild to severe illness in non-medically attended influenza</t>
    </r>
  </si>
  <si>
    <t>Proportion of mild to severe illness in non-medically attended influenza</t>
  </si>
  <si>
    <r>
      <rPr>
        <b/>
        <sz val="11"/>
        <color theme="3" tint="0.39997558519241921"/>
        <rFont val="Calibri"/>
        <family val="2"/>
        <scheme val="minor"/>
      </rPr>
      <t>Step 2.6:</t>
    </r>
    <r>
      <rPr>
        <sz val="11"/>
        <color theme="3" tint="0.39997558519241921"/>
        <rFont val="Calibri"/>
        <family val="2"/>
        <scheme val="minor"/>
      </rPr>
      <t xml:space="preserve"> Enter the proportion of hospitalised individuals who previously attended GP</t>
    </r>
  </si>
  <si>
    <t>proportion hospitalised who previously attended GP</t>
  </si>
  <si>
    <t>Proportion hospitalised who previously attended GP</t>
  </si>
  <si>
    <t>QALY loss per mild influenza episode</t>
  </si>
  <si>
    <t>QALY loss per severe influenza episode</t>
  </si>
  <si>
    <t>Column Input:</t>
  </si>
  <si>
    <t>Mutiplier</t>
  </si>
  <si>
    <t>Multiplier</t>
  </si>
  <si>
    <t>Elderly</t>
  </si>
  <si>
    <t>UMC</t>
  </si>
  <si>
    <t>Children</t>
  </si>
  <si>
    <t>s</t>
  </si>
  <si>
    <t>13. Tempia</t>
  </si>
  <si>
    <t>Table S3, in-hosp+out of hosp</t>
  </si>
  <si>
    <t>Table S4 - mortality, medically attended+non-med attend</t>
  </si>
  <si>
    <t>No vaccinations in this group</t>
  </si>
  <si>
    <t>13. Tempia - Influenza Disease Burden RG - Supl Mat - 19-07-2019.</t>
  </si>
  <si>
    <t>Table S2. Medically Attended</t>
  </si>
  <si>
    <t>Used the same values as for adults with chronic conditions</t>
  </si>
  <si>
    <t>Table S1. Medically attended</t>
  </si>
  <si>
    <t>Table S1. Medically attended, HIV row</t>
  </si>
  <si>
    <t>Table S1. Medically attended, UMC row</t>
  </si>
  <si>
    <t>Table S1 + Table S2, UMC row</t>
  </si>
  <si>
    <t>Table S1 + Table S2, HIV row</t>
  </si>
  <si>
    <t>Table S2. Medically Attended, HIV row</t>
  </si>
  <si>
    <t>Table S2. Medically Attended, UMC row</t>
  </si>
  <si>
    <t>Table S4. Medically Attended</t>
  </si>
  <si>
    <t>Table S3, in-hosp+out of hosp, UMC row</t>
  </si>
  <si>
    <t>Table S3, in-hosp+out of hosp, HIV row</t>
  </si>
  <si>
    <t>UMC row</t>
  </si>
  <si>
    <t>SIICT results august 23</t>
  </si>
  <si>
    <t>Costing study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</si>
</sst>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8" formatCode="&quot;$&quot;#,##0.00_);[Red]\(&quot;$&quot;#,##0.00\)"/>
    <numFmt numFmtId="43" formatCode="_(* #,##0.00_);_(* \(#,##0.00\);_(* &quot;-&quot;??_);_(@_)"/>
    <numFmt numFmtId="164" formatCode="_-* #,##0.00_-;\-* #,##0.00_-;_-* &quot;-&quot;??_-;_-@_-"/>
    <numFmt numFmtId="165" formatCode="#\ ###\ ###\ ##0;\-#\ ###\ ###\ ##0;0"/>
    <numFmt numFmtId="166" formatCode="0.000"/>
    <numFmt numFmtId="167" formatCode="0.0"/>
    <numFmt numFmtId="168" formatCode="0.0000"/>
    <numFmt numFmtId="169" formatCode="0.000000"/>
    <numFmt numFmtId="170" formatCode="0.0000000"/>
    <numFmt numFmtId="171" formatCode="_ * #,##0.00000_ ;_ * \-#,##0.00000_ ;_ * &quot;-&quot;??_ ;_ @_ "/>
    <numFmt numFmtId="172" formatCode="_ * #,##0_ ;_ * \-#,##0_ ;_ * &quot;-&quot;??_ ;_ @_ "/>
    <numFmt numFmtId="173" formatCode="[$€-2]\ #,##0.00;\-[$€-2]\ #,##0.00"/>
    <numFmt numFmtId="174" formatCode="0.0%"/>
    <numFmt numFmtId="175" formatCode="0.000000000000000"/>
    <numFmt numFmtId="176" formatCode="_(* #,##0.0_);_(* \(#,##0.0\);_(* &quot;-&quot;??_);_(@_)"/>
    <numFmt numFmtId="177" formatCode="_(* #,##0_);_(* \(#,##0\);_(* &quot;-&quot;??_);_(@_)"/>
    <numFmt numFmtId="178" formatCode="_(* #,##0.000_);_(* \(#,##0.000\);_(* &quot;-&quot;??_);_(@_)"/>
    <numFmt numFmtId="179" formatCode="_(* #,##0.000000_);_(* \(#,##0.000000\);_(* &quot;-&quot;??_);_(@_)"/>
    <numFmt numFmtId="180" formatCode="[$$-1009]#,##0"/>
    <numFmt numFmtId="181" formatCode="0.00_ ;\-0.00\ "/>
    <numFmt numFmtId="182" formatCode="_(* #,##0.00000_);_(* \(#,##0.00000\);_(* &quot;-&quot;??_);_(@_)"/>
    <numFmt numFmtId="183" formatCode="#,##0.0"/>
    <numFmt numFmtId="184" formatCode="#,##0.0000"/>
    <numFmt numFmtId="185" formatCode="#,##0.000"/>
    <numFmt numFmtId="186" formatCode="_(* #,##0.0000000_);_(* \(#,##0.0000000\);_(* &quot;-&quot;??_);_(@_)"/>
    <numFmt numFmtId="187" formatCode="_(* #,##0.0000000000_);_(* \(#,##0.0000000000\);_(* &quot;-&quot;??_);_(@_)"/>
    <numFmt numFmtId="188" formatCode="[$$-1009]#,##0.00"/>
  </numFmts>
  <fonts count="123" x14ac:knownFonts="1">
    <font>
      <sz val="11"/>
      <color theme="1"/>
      <name val="Calibri"/>
      <family val="2"/>
      <scheme val="minor"/>
    </font>
    <font>
      <sz val="11"/>
      <color theme="1"/>
      <name val="Calibri"/>
      <family val="2"/>
      <scheme val="minor"/>
    </font>
    <font>
      <sz val="10"/>
      <color theme="1"/>
      <name val="Calibri"/>
      <family val="2"/>
      <scheme val="minor"/>
    </font>
    <font>
      <b/>
      <sz val="14"/>
      <color theme="0"/>
      <name val="Calibri"/>
      <family val="2"/>
      <scheme val="minor"/>
    </font>
    <font>
      <b/>
      <sz val="11"/>
      <color theme="1"/>
      <name val="Calibri"/>
      <family val="2"/>
      <scheme val="minor"/>
    </font>
    <font>
      <sz val="10"/>
      <color rgb="FF3F3F76"/>
      <name val="Calibri"/>
      <family val="2"/>
      <scheme val="minor"/>
    </font>
    <font>
      <b/>
      <sz val="10"/>
      <color theme="1"/>
      <name val="Calibri"/>
      <family val="2"/>
      <scheme val="minor"/>
    </font>
    <font>
      <b/>
      <sz val="11"/>
      <color theme="1"/>
      <name val="Calibri"/>
      <family val="2"/>
    </font>
    <font>
      <b/>
      <sz val="16"/>
      <color theme="0"/>
      <name val="Calibri"/>
      <family val="2"/>
      <scheme val="minor"/>
    </font>
    <font>
      <b/>
      <sz val="9"/>
      <color theme="1"/>
      <name val="Arial"/>
      <family val="2"/>
    </font>
    <font>
      <sz val="9"/>
      <color theme="1"/>
      <name val="Arial"/>
      <family val="2"/>
    </font>
    <font>
      <u/>
      <sz val="11"/>
      <color theme="10"/>
      <name val="Calibri"/>
      <family val="2"/>
      <scheme val="minor"/>
    </font>
    <font>
      <sz val="10"/>
      <name val="Calibri"/>
      <family val="2"/>
      <scheme val="minor"/>
    </font>
    <font>
      <sz val="11"/>
      <color rgb="FF000000"/>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1"/>
      <name val="Calibri"/>
      <family val="2"/>
      <scheme val="minor"/>
    </font>
    <font>
      <sz val="10"/>
      <name val="Arial"/>
      <family val="2"/>
    </font>
    <font>
      <b/>
      <sz val="10"/>
      <color rgb="FFFF0000"/>
      <name val="Arial"/>
      <family val="2"/>
    </font>
    <font>
      <b/>
      <sz val="10"/>
      <name val="Arial"/>
      <family val="2"/>
    </font>
    <font>
      <sz val="11"/>
      <name val="Calibri"/>
      <family val="2"/>
      <scheme val="minor"/>
    </font>
    <font>
      <sz val="11"/>
      <color theme="3" tint="0.39997558519241921"/>
      <name val="Calibri"/>
      <family val="2"/>
      <scheme val="minor"/>
    </font>
    <font>
      <sz val="11"/>
      <color theme="4"/>
      <name val="Calibri"/>
      <family val="2"/>
      <scheme val="minor"/>
    </font>
    <font>
      <b/>
      <sz val="8"/>
      <name val="Arial"/>
      <family val="2"/>
    </font>
    <font>
      <u/>
      <sz val="8"/>
      <color indexed="12"/>
      <name val="Arial"/>
      <family val="2"/>
    </font>
    <font>
      <sz val="11"/>
      <color rgb="FF3F3F76"/>
      <name val="Calibri"/>
      <family val="2"/>
      <scheme val="minor"/>
    </font>
    <font>
      <sz val="11"/>
      <color indexed="8"/>
      <name val="Calibri"/>
      <family val="2"/>
    </font>
    <font>
      <sz val="8"/>
      <name val="Arial"/>
      <family val="2"/>
    </font>
    <font>
      <sz val="10"/>
      <color theme="3" tint="-0.249977111117893"/>
      <name val="Calibri"/>
      <family val="2"/>
      <scheme val="minor"/>
    </font>
    <font>
      <sz val="10"/>
      <color theme="3" tint="-0.249977111117893"/>
      <name val="Arial"/>
      <family val="2"/>
    </font>
    <font>
      <b/>
      <sz val="11"/>
      <color theme="3" tint="-0.249977111117893"/>
      <name val="Calibri"/>
      <family val="2"/>
      <scheme val="minor"/>
    </font>
    <font>
      <sz val="11"/>
      <color theme="3" tint="-0.249977111117893"/>
      <name val="Calibri"/>
      <family val="2"/>
      <scheme val="minor"/>
    </font>
    <font>
      <sz val="14"/>
      <color theme="1"/>
      <name val="Calibri"/>
      <family val="2"/>
      <scheme val="minor"/>
    </font>
    <font>
      <b/>
      <sz val="11"/>
      <color rgb="FFFF0000"/>
      <name val="Calibri"/>
      <family val="2"/>
      <scheme val="minor"/>
    </font>
    <font>
      <b/>
      <sz val="11"/>
      <color indexed="9"/>
      <name val="Calibri"/>
      <family val="2"/>
    </font>
    <font>
      <b/>
      <sz val="10"/>
      <name val="Calibri"/>
      <family val="2"/>
    </font>
    <font>
      <sz val="10"/>
      <color indexed="8"/>
      <name val="Calibri"/>
      <family val="2"/>
    </font>
    <font>
      <sz val="10"/>
      <color theme="4" tint="-0.499984740745262"/>
      <name val="Calibri"/>
      <family val="2"/>
      <scheme val="minor"/>
    </font>
    <font>
      <sz val="16"/>
      <color theme="0"/>
      <name val="Calibri"/>
      <family val="2"/>
      <scheme val="minor"/>
    </font>
    <font>
      <b/>
      <sz val="12"/>
      <color rgb="FFFF0000"/>
      <name val="Calibri"/>
      <family val="2"/>
      <scheme val="minor"/>
    </font>
    <font>
      <b/>
      <sz val="12"/>
      <name val="Calibri"/>
      <family val="2"/>
      <scheme val="minor"/>
    </font>
    <font>
      <sz val="12"/>
      <name val="Calibri"/>
      <family val="2"/>
      <scheme val="minor"/>
    </font>
    <font>
      <sz val="11"/>
      <name val="Calibri"/>
      <family val="2"/>
    </font>
    <font>
      <sz val="10"/>
      <color indexed="22"/>
      <name val="Arial"/>
      <family val="2"/>
    </font>
    <font>
      <sz val="10"/>
      <color indexed="8"/>
      <name val="Arial"/>
      <family val="2"/>
    </font>
    <font>
      <i/>
      <sz val="10"/>
      <color theme="1"/>
      <name val="Calibri"/>
      <family val="2"/>
      <scheme val="minor"/>
    </font>
    <font>
      <i/>
      <sz val="11"/>
      <color theme="1"/>
      <name val="Calibri"/>
      <family val="2"/>
      <scheme val="minor"/>
    </font>
    <font>
      <sz val="11"/>
      <color theme="0" tint="-0.249977111117893"/>
      <name val="Calibri"/>
      <family val="2"/>
      <scheme val="minor"/>
    </font>
    <font>
      <sz val="10"/>
      <color rgb="FF002060"/>
      <name val="Calibri"/>
      <family val="2"/>
      <scheme val="minor"/>
    </font>
    <font>
      <sz val="11"/>
      <color rgb="FF002060"/>
      <name val="Calibri"/>
      <family val="2"/>
      <scheme val="minor"/>
    </font>
    <font>
      <sz val="10"/>
      <color theme="1"/>
      <name val="Times New Roman"/>
      <family val="1"/>
    </font>
    <font>
      <sz val="10"/>
      <color theme="3"/>
      <name val="Calibri"/>
      <family val="2"/>
      <scheme val="minor"/>
    </font>
    <font>
      <b/>
      <sz val="11"/>
      <name val="Calibri"/>
      <family val="2"/>
    </font>
    <font>
      <sz val="10"/>
      <name val="Calibri"/>
      <family val="2"/>
    </font>
    <font>
      <sz val="12"/>
      <color theme="1"/>
      <name val="Calibri"/>
      <family val="2"/>
      <scheme val="minor"/>
    </font>
    <font>
      <b/>
      <sz val="9"/>
      <name val="Arial"/>
      <family val="2"/>
    </font>
    <font>
      <sz val="9"/>
      <name val="Arial"/>
      <family val="2"/>
    </font>
    <font>
      <b/>
      <u/>
      <sz val="9"/>
      <name val="Arial"/>
      <family val="2"/>
    </font>
    <font>
      <b/>
      <sz val="18"/>
      <color theme="0"/>
      <name val="Calibri"/>
      <family val="2"/>
      <scheme val="minor"/>
    </font>
    <font>
      <sz val="10"/>
      <color rgb="FF000000"/>
      <name val="Calibri"/>
      <family val="2"/>
      <scheme val="minor"/>
    </font>
    <font>
      <sz val="10"/>
      <color theme="0" tint="-0.14999847407452621"/>
      <name val="Calibri"/>
      <family val="2"/>
      <scheme val="minor"/>
    </font>
    <font>
      <vertAlign val="superscript"/>
      <sz val="10"/>
      <color theme="1"/>
      <name val="Calibri"/>
      <family val="2"/>
      <scheme val="minor"/>
    </font>
    <font>
      <b/>
      <sz val="14"/>
      <name val="Calibri"/>
      <family val="2"/>
      <scheme val="minor"/>
    </font>
    <font>
      <b/>
      <sz val="16"/>
      <name val="Calibri"/>
      <family val="2"/>
      <scheme val="minor"/>
    </font>
    <font>
      <b/>
      <sz val="16"/>
      <color rgb="FFFF0000"/>
      <name val="Calibri"/>
      <family val="2"/>
      <scheme val="minor"/>
    </font>
    <font>
      <b/>
      <sz val="11"/>
      <color theme="9" tint="-0.249977111117893"/>
      <name val="Calibri"/>
      <family val="2"/>
      <scheme val="minor"/>
    </font>
    <font>
      <sz val="20"/>
      <color theme="1"/>
      <name val="Calibri"/>
      <family val="2"/>
      <scheme val="minor"/>
    </font>
    <font>
      <b/>
      <sz val="11"/>
      <color theme="3" tint="0.39997558519241921"/>
      <name val="Calibri"/>
      <family val="2"/>
      <scheme val="minor"/>
    </font>
    <font>
      <b/>
      <sz val="14"/>
      <color rgb="FFFF0000"/>
      <name val="Calibri"/>
      <family val="2"/>
      <scheme val="minor"/>
    </font>
    <font>
      <sz val="9"/>
      <color indexed="81"/>
      <name val="Tahoma"/>
      <family val="2"/>
    </font>
    <font>
      <b/>
      <sz val="14"/>
      <color rgb="FF7030A0"/>
      <name val="Calibri"/>
      <family val="2"/>
      <scheme val="minor"/>
    </font>
    <font>
      <b/>
      <sz val="9"/>
      <color indexed="81"/>
      <name val="Tahoma"/>
      <family val="2"/>
    </font>
    <font>
      <sz val="11"/>
      <color theme="3"/>
      <name val="Calibri"/>
      <family val="2"/>
      <scheme val="minor"/>
    </font>
    <font>
      <u/>
      <sz val="10"/>
      <color rgb="FF3F3F76"/>
      <name val="Calibri"/>
      <family val="2"/>
      <scheme val="minor"/>
    </font>
    <font>
      <b/>
      <sz val="14"/>
      <color theme="3" tint="0.39997558519241921"/>
      <name val="Calibri"/>
      <family val="2"/>
      <scheme val="minor"/>
    </font>
    <font>
      <b/>
      <sz val="12"/>
      <color theme="1"/>
      <name val="Calibri"/>
      <family val="2"/>
      <scheme val="minor"/>
    </font>
    <font>
      <b/>
      <sz val="11"/>
      <color theme="0" tint="-0.14999847407452621"/>
      <name val="Calibri"/>
      <family val="2"/>
      <scheme val="minor"/>
    </font>
    <font>
      <b/>
      <sz val="18"/>
      <color rgb="FFFF0000"/>
      <name val="Calibri"/>
      <family val="2"/>
      <scheme val="minor"/>
    </font>
    <font>
      <sz val="11"/>
      <color theme="1"/>
      <name val="Calibri"/>
      <family val="2"/>
    </font>
    <font>
      <b/>
      <sz val="10"/>
      <name val="Courier New"/>
      <family val="3"/>
    </font>
    <font>
      <sz val="10"/>
      <name val="Times New Roman"/>
      <family val="1"/>
    </font>
    <font>
      <sz val="10"/>
      <name val="Trebuchet MS"/>
      <family val="2"/>
    </font>
    <font>
      <sz val="10"/>
      <name val="Courier New"/>
      <family val="3"/>
    </font>
    <font>
      <b/>
      <sz val="10"/>
      <name val="Times New Roman"/>
      <family val="1"/>
    </font>
    <font>
      <b/>
      <sz val="12"/>
      <color theme="0"/>
      <name val="Calibri"/>
      <family val="2"/>
      <scheme val="minor"/>
    </font>
    <font>
      <b/>
      <sz val="12"/>
      <color theme="1"/>
      <name val="Calibri"/>
      <family val="2"/>
    </font>
    <font>
      <sz val="12"/>
      <color rgb="FF3F3F76"/>
      <name val="Calibri"/>
      <family val="2"/>
      <scheme val="minor"/>
    </font>
    <font>
      <b/>
      <sz val="12"/>
      <color theme="9" tint="-0.249977111117893"/>
      <name val="Calibri"/>
      <family val="2"/>
      <scheme val="minor"/>
    </font>
    <font>
      <sz val="12"/>
      <color theme="3" tint="-0.249977111117893"/>
      <name val="Calibri"/>
      <family val="2"/>
      <scheme val="minor"/>
    </font>
    <font>
      <i/>
      <sz val="12"/>
      <color theme="1"/>
      <name val="Calibri"/>
      <family val="2"/>
      <scheme val="minor"/>
    </font>
    <font>
      <u/>
      <sz val="12"/>
      <color theme="10"/>
      <name val="Calibri"/>
      <family val="2"/>
      <scheme val="minor"/>
    </font>
    <font>
      <sz val="16"/>
      <color theme="1"/>
      <name val="Calibri"/>
      <family val="2"/>
      <scheme val="minor"/>
    </font>
    <font>
      <sz val="16"/>
      <color theme="1"/>
      <name val="Trebuchet MS"/>
      <family val="2"/>
    </font>
    <font>
      <b/>
      <sz val="16"/>
      <name val="Trebuchet MS"/>
      <family val="2"/>
    </font>
    <font>
      <sz val="12"/>
      <color theme="0"/>
      <name val="Calibri"/>
      <family val="2"/>
      <scheme val="minor"/>
    </font>
    <font>
      <b/>
      <sz val="12"/>
      <color theme="3" tint="-0.249977111117893"/>
      <name val="Calibri"/>
      <family val="2"/>
      <scheme val="minor"/>
    </font>
    <font>
      <sz val="12"/>
      <color theme="3" tint="-0.249977111117893"/>
      <name val="Arial"/>
      <family val="2"/>
    </font>
    <font>
      <sz val="14"/>
      <name val="Trebuchet MS"/>
      <family val="2"/>
    </font>
    <font>
      <b/>
      <sz val="14"/>
      <color theme="1"/>
      <name val="Trebuchet MS"/>
      <family val="2"/>
    </font>
    <font>
      <sz val="10"/>
      <color rgb="FFFF0000"/>
      <name val="Calibri"/>
      <family val="2"/>
      <scheme val="minor"/>
    </font>
    <font>
      <sz val="12"/>
      <color rgb="FFFF0000"/>
      <name val="Calibri"/>
      <family val="2"/>
      <scheme val="minor"/>
    </font>
    <font>
      <vertAlign val="subscript"/>
      <sz val="10"/>
      <color theme="1"/>
      <name val="Calibri"/>
      <family val="2"/>
      <scheme val="minor"/>
    </font>
    <font>
      <b/>
      <sz val="11"/>
      <color theme="3" tint="-0.499984740745262"/>
      <name val="Calibri"/>
      <family val="2"/>
      <scheme val="minor"/>
    </font>
    <font>
      <sz val="12"/>
      <name val="Trebuchet MS"/>
      <family val="2"/>
    </font>
    <font>
      <b/>
      <sz val="12"/>
      <name val="Trebuchet MS"/>
      <family val="2"/>
    </font>
    <font>
      <i/>
      <sz val="12"/>
      <name val="Trebuchet MS"/>
      <family val="2"/>
    </font>
    <font>
      <u/>
      <sz val="12"/>
      <name val="Trebuchet MS"/>
      <family val="2"/>
    </font>
    <font>
      <sz val="11"/>
      <color rgb="FFC00000"/>
      <name val="Calibri"/>
      <family val="2"/>
      <scheme val="minor"/>
    </font>
    <font>
      <sz val="10"/>
      <color rgb="FFC00000"/>
      <name val="Calibri"/>
      <family val="2"/>
      <scheme val="minor"/>
    </font>
    <font>
      <sz val="28"/>
      <color rgb="FF000000"/>
      <name val="Calibri"/>
      <family val="2"/>
    </font>
  </fonts>
  <fills count="64">
    <fill>
      <patternFill patternType="none"/>
    </fill>
    <fill>
      <patternFill patternType="gray125"/>
    </fill>
    <fill>
      <patternFill patternType="solid">
        <fgColor rgb="FF00B050"/>
        <bgColor indexed="64"/>
      </patternFill>
    </fill>
    <fill>
      <patternFill patternType="solid">
        <fgColor rgb="FF92D050"/>
        <bgColor indexed="64"/>
      </patternFill>
    </fill>
    <fill>
      <patternFill patternType="solid">
        <fgColor theme="3" tint="0.79998168889431442"/>
        <bgColor indexed="64"/>
      </patternFill>
    </fill>
    <fill>
      <patternFill patternType="solid">
        <fgColor theme="6" tint="0.39994506668294322"/>
        <bgColor indexed="64"/>
      </patternFill>
    </fill>
    <fill>
      <patternFill patternType="solid">
        <fgColor theme="3" tint="0.59999389629810485"/>
        <bgColor indexed="64"/>
      </patternFill>
    </fill>
    <fill>
      <patternFill patternType="solid">
        <fgColor rgb="FF0070C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CC99"/>
      </patternFill>
    </fill>
    <fill>
      <patternFill patternType="solid">
        <fgColor theme="5" tint="0.39997558519241921"/>
        <bgColor indexed="64"/>
      </patternFill>
    </fill>
    <fill>
      <patternFill patternType="solid">
        <fgColor theme="3"/>
        <bgColor indexed="64"/>
      </patternFill>
    </fill>
    <fill>
      <patternFill patternType="solid">
        <fgColor indexed="9"/>
        <bgColor indexed="64"/>
      </patternFill>
    </fill>
    <fill>
      <patternFill patternType="solid">
        <fgColor rgb="FFFF0000"/>
        <bgColor indexed="64"/>
      </patternFill>
    </fill>
    <fill>
      <patternFill patternType="solid">
        <fgColor theme="5" tint="0.59999389629810485"/>
        <bgColor indexed="64"/>
      </patternFill>
    </fill>
    <fill>
      <patternFill patternType="solid">
        <fgColor rgb="FFFFC000"/>
        <bgColor indexed="64"/>
      </patternFill>
    </fill>
    <fill>
      <patternFill patternType="solid">
        <fgColor theme="6" tint="0.79998168889431442"/>
        <bgColor indexed="64"/>
      </patternFill>
    </fill>
    <fill>
      <patternFill patternType="solid">
        <fgColor them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bgColor indexed="64"/>
      </patternFill>
    </fill>
    <fill>
      <patternFill patternType="solid">
        <fgColor rgb="FFE7EEF5"/>
        <bgColor indexed="64"/>
      </patternFill>
    </fill>
    <fill>
      <patternFill patternType="solid">
        <fgColor rgb="FF00FFCC"/>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29FF9E"/>
        <bgColor indexed="64"/>
      </patternFill>
    </fill>
    <fill>
      <patternFill patternType="solid">
        <fgColor rgb="FF66FFCC"/>
        <bgColor indexed="64"/>
      </patternFill>
    </fill>
    <fill>
      <patternFill patternType="solid">
        <fgColor rgb="FF7030A0"/>
        <bgColor indexed="64"/>
      </patternFill>
    </fill>
    <fill>
      <patternFill patternType="solid">
        <fgColor theme="4" tint="-0.249977111117893"/>
        <bgColor indexed="64"/>
      </patternFill>
    </fill>
    <fill>
      <patternFill patternType="solid">
        <fgColor theme="1"/>
        <bgColor indexed="64"/>
      </patternFill>
    </fill>
  </fills>
  <borders count="56">
    <border>
      <left/>
      <right/>
      <top/>
      <bottom/>
      <diagonal/>
    </border>
    <border>
      <left style="thin">
        <color rgb="FF7F7F7F"/>
      </left>
      <right style="thin">
        <color rgb="FF7F7F7F"/>
      </right>
      <top style="thin">
        <color rgb="FF7F7F7F"/>
      </top>
      <bottom style="thin">
        <color rgb="FF7F7F7F"/>
      </bottom>
      <diagonal/>
    </border>
    <border>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77111117893"/>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right/>
      <top/>
      <bottom style="thin">
        <color theme="0" tint="-0.14996795556505021"/>
      </bottom>
      <diagonal/>
    </border>
    <border>
      <left/>
      <right/>
      <top/>
      <bottom style="medium">
        <color theme="0" tint="-0.1499374370555742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medium">
        <color theme="0" tint="-0.14996795556505021"/>
      </bottom>
      <diagonal/>
    </border>
    <border>
      <left/>
      <right/>
      <top style="thin">
        <color theme="0" tint="-0.24994659260841701"/>
      </top>
      <bottom style="thin">
        <color theme="0" tint="-0.24994659260841701"/>
      </bottom>
      <diagonal/>
    </border>
    <border>
      <left/>
      <right/>
      <top/>
      <bottom style="medium">
        <color theme="3" tint="0.5999633777886288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14996795556505021"/>
      </left>
      <right/>
      <top style="thin">
        <color theme="0" tint="-0.14996795556505021"/>
      </top>
      <bottom style="thin">
        <color theme="0" tint="-0.1499679555650502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style="thin">
        <color theme="0" tint="-0.14996795556505021"/>
      </left>
      <right style="thin">
        <color theme="0" tint="-0.14996795556505021"/>
      </right>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s>
  <cellStyleXfs count="1326">
    <xf numFmtId="0" fontId="0" fillId="0" borderId="0"/>
    <xf numFmtId="9" fontId="1" fillId="0" borderId="0" applyFont="0" applyFill="0" applyBorder="0" applyAlignment="0" applyProtection="0"/>
    <xf numFmtId="0" fontId="5" fillId="5" borderId="1" applyNumberFormat="0" applyAlignment="0" applyProtection="0"/>
    <xf numFmtId="0" fontId="11" fillId="0" borderId="0" applyNumberFormat="0" applyFill="0" applyBorder="0" applyAlignment="0" applyProtection="0"/>
    <xf numFmtId="43" fontId="1" fillId="0" borderId="0" applyFont="0" applyFill="0" applyBorder="0" applyAlignment="0" applyProtection="0"/>
    <xf numFmtId="173" fontId="1" fillId="15" borderId="0" applyNumberFormat="0" applyBorder="0" applyAlignment="0" applyProtection="0"/>
    <xf numFmtId="173" fontId="1" fillId="15"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16" borderId="0" applyNumberFormat="0" applyBorder="0" applyAlignment="0" applyProtection="0"/>
    <xf numFmtId="173" fontId="1" fillId="16" borderId="0" applyNumberFormat="0" applyBorder="0" applyAlignment="0" applyProtection="0"/>
    <xf numFmtId="173" fontId="1" fillId="20" borderId="0" applyNumberFormat="0" applyBorder="0" applyAlignment="0" applyProtection="0"/>
    <xf numFmtId="173" fontId="1" fillId="20" borderId="0" applyNumberFormat="0" applyBorder="0" applyAlignment="0" applyProtection="0"/>
    <xf numFmtId="173" fontId="1" fillId="24" borderId="0" applyNumberFormat="0" applyBorder="0" applyAlignment="0" applyProtection="0"/>
    <xf numFmtId="173" fontId="1" fillId="24" borderId="0" applyNumberFormat="0" applyBorder="0" applyAlignment="0" applyProtection="0"/>
    <xf numFmtId="173" fontId="1" fillId="28" borderId="0" applyNumberFormat="0" applyBorder="0" applyAlignment="0" applyProtection="0"/>
    <xf numFmtId="173" fontId="1" fillId="28" borderId="0" applyNumberFormat="0" applyBorder="0" applyAlignment="0" applyProtection="0"/>
    <xf numFmtId="173" fontId="1" fillId="32" borderId="0" applyNumberFormat="0" applyBorder="0" applyAlignment="0" applyProtection="0"/>
    <xf numFmtId="173" fontId="1" fillId="32" borderId="0" applyNumberFormat="0" applyBorder="0" applyAlignment="0" applyProtection="0"/>
    <xf numFmtId="173" fontId="1" fillId="36" borderId="0" applyNumberFormat="0" applyBorder="0" applyAlignment="0" applyProtection="0"/>
    <xf numFmtId="173" fontId="1" fillId="36" borderId="0" applyNumberFormat="0" applyBorder="0" applyAlignment="0" applyProtection="0"/>
    <xf numFmtId="173" fontId="28" fillId="17" borderId="0" applyNumberFormat="0" applyBorder="0" applyAlignment="0" applyProtection="0"/>
    <xf numFmtId="173" fontId="28" fillId="21" borderId="0" applyNumberFormat="0" applyBorder="0" applyAlignment="0" applyProtection="0"/>
    <xf numFmtId="173" fontId="28" fillId="25" borderId="0" applyNumberFormat="0" applyBorder="0" applyAlignment="0" applyProtection="0"/>
    <xf numFmtId="173" fontId="28" fillId="29" borderId="0" applyNumberFormat="0" applyBorder="0" applyAlignment="0" applyProtection="0"/>
    <xf numFmtId="173" fontId="28" fillId="33" borderId="0" applyNumberFormat="0" applyBorder="0" applyAlignment="0" applyProtection="0"/>
    <xf numFmtId="173" fontId="28" fillId="37" borderId="0" applyNumberFormat="0" applyBorder="0" applyAlignment="0" applyProtection="0"/>
    <xf numFmtId="173" fontId="28" fillId="14" borderId="0" applyNumberFormat="0" applyBorder="0" applyAlignment="0" applyProtection="0"/>
    <xf numFmtId="173" fontId="28" fillId="18" borderId="0" applyNumberFormat="0" applyBorder="0" applyAlignment="0" applyProtection="0"/>
    <xf numFmtId="173" fontId="28" fillId="22" borderId="0" applyNumberFormat="0" applyBorder="0" applyAlignment="0" applyProtection="0"/>
    <xf numFmtId="173" fontId="28" fillId="26" borderId="0" applyNumberFormat="0" applyBorder="0" applyAlignment="0" applyProtection="0"/>
    <xf numFmtId="173" fontId="28" fillId="30" borderId="0" applyNumberFormat="0" applyBorder="0" applyAlignment="0" applyProtection="0"/>
    <xf numFmtId="173" fontId="28" fillId="34" borderId="0" applyNumberFormat="0" applyBorder="0" applyAlignment="0" applyProtection="0"/>
    <xf numFmtId="173" fontId="23" fillId="11" borderId="1" applyNumberFormat="0" applyAlignment="0" applyProtection="0"/>
    <xf numFmtId="173" fontId="25" fillId="12" borderId="8" applyNumberFormat="0" applyAlignment="0" applyProtection="0"/>
    <xf numFmtId="173" fontId="24" fillId="0" borderId="7" applyNumberFormat="0" applyFill="0" applyAlignment="0" applyProtection="0"/>
    <xf numFmtId="173" fontId="19" fillId="8" borderId="0" applyNumberFormat="0" applyBorder="0" applyAlignment="0" applyProtection="0"/>
    <xf numFmtId="173" fontId="36" fillId="0" borderId="0"/>
    <xf numFmtId="173" fontId="36" fillId="0" borderId="0" applyNumberFormat="0" applyFill="0" applyBorder="0" applyProtection="0"/>
    <xf numFmtId="173" fontId="36" fillId="0" borderId="0" applyNumberFormat="0" applyFill="0" applyBorder="0" applyProtection="0"/>
    <xf numFmtId="173" fontId="36" fillId="0" borderId="0" applyNumberFormat="0" applyFill="0" applyBorder="0" applyProtection="0"/>
    <xf numFmtId="173" fontId="37" fillId="0" borderId="0" applyNumberFormat="0" applyFill="0" applyBorder="0" applyProtection="0"/>
    <xf numFmtId="173" fontId="38" fillId="39" borderId="1" applyNumberFormat="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73" fontId="16" fillId="0" borderId="3" applyNumberFormat="0" applyFill="0" applyAlignment="0" applyProtection="0"/>
    <xf numFmtId="173" fontId="17" fillId="0" borderId="4" applyNumberFormat="0" applyFill="0" applyAlignment="0" applyProtection="0"/>
    <xf numFmtId="173" fontId="18" fillId="0" borderId="5" applyNumberFormat="0" applyFill="0" applyAlignment="0" applyProtection="0"/>
    <xf numFmtId="173" fontId="18" fillId="0" borderId="0" applyNumberFormat="0" applyFill="0" applyBorder="0" applyAlignment="0" applyProtection="0"/>
    <xf numFmtId="173" fontId="21" fillId="10" borderId="0" applyNumberFormat="0" applyBorder="0" applyAlignment="0" applyProtection="0"/>
    <xf numFmtId="173" fontId="30" fillId="0" borderId="0"/>
    <xf numFmtId="0" fontId="30" fillId="0" borderId="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1"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1"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1"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1"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1"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39" fillId="13" borderId="9" applyNumberFormat="0" applyFont="0" applyAlignment="0" applyProtection="0"/>
    <xf numFmtId="173" fontId="20" fillId="9" borderId="0" applyNumberFormat="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173" fontId="40" fillId="0" borderId="0" applyNumberFormat="0" applyFill="0" applyBorder="0" applyProtection="0"/>
    <xf numFmtId="173" fontId="30" fillId="0" borderId="0"/>
    <xf numFmtId="173" fontId="30" fillId="0" borderId="0"/>
    <xf numFmtId="0" fontId="1" fillId="0" borderId="0"/>
    <xf numFmtId="0" fontId="1"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40"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40" fillId="0" borderId="0" applyNumberFormat="0" applyFill="0" applyBorder="0" applyProtection="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30" fillId="0" borderId="0"/>
    <xf numFmtId="173" fontId="1" fillId="0" borderId="0"/>
    <xf numFmtId="173" fontId="1" fillId="0" borderId="0"/>
    <xf numFmtId="173" fontId="1" fillId="0" borderId="0"/>
    <xf numFmtId="173" fontId="1" fillId="0" borderId="0"/>
    <xf numFmtId="173" fontId="1" fillId="0" borderId="0"/>
    <xf numFmtId="173" fontId="1" fillId="0" borderId="0"/>
    <xf numFmtId="173" fontId="30" fillId="0" borderId="0"/>
    <xf numFmtId="173" fontId="30" fillId="0" borderId="0"/>
    <xf numFmtId="173" fontId="30" fillId="0" borderId="0"/>
    <xf numFmtId="173" fontId="40" fillId="0" borderId="0" applyNumberFormat="0" applyFill="0" applyBorder="0" applyProtection="0"/>
    <xf numFmtId="173" fontId="15" fillId="0" borderId="0" applyNumberFormat="0" applyFill="0" applyBorder="0" applyAlignment="0" applyProtection="0"/>
    <xf numFmtId="173" fontId="15" fillId="0" borderId="0" applyNumberFormat="0" applyFill="0" applyBorder="0" applyAlignment="0" applyProtection="0"/>
    <xf numFmtId="173" fontId="15" fillId="0" borderId="0" applyNumberFormat="0" applyFill="0" applyBorder="0" applyAlignment="0" applyProtection="0"/>
    <xf numFmtId="173" fontId="15" fillId="0" borderId="0" applyNumberFormat="0" applyFill="0" applyBorder="0" applyAlignment="0" applyProtection="0"/>
    <xf numFmtId="173" fontId="15" fillId="0" borderId="0" applyNumberFormat="0" applyFill="0" applyBorder="0" applyAlignment="0" applyProtection="0"/>
    <xf numFmtId="173" fontId="15" fillId="0" borderId="0" applyNumberFormat="0" applyFill="0" applyBorder="0" applyAlignment="0" applyProtection="0"/>
    <xf numFmtId="173" fontId="15" fillId="0" borderId="0" applyNumberFormat="0" applyFill="0" applyBorder="0" applyAlignment="0" applyProtection="0"/>
    <xf numFmtId="173" fontId="15" fillId="0" borderId="0" applyNumberFormat="0" applyFill="0" applyBorder="0" applyAlignment="0" applyProtection="0"/>
    <xf numFmtId="173" fontId="15" fillId="0" borderId="0" applyNumberFormat="0" applyFill="0" applyBorder="0" applyAlignment="0" applyProtection="0"/>
    <xf numFmtId="173" fontId="15" fillId="0" borderId="0" applyNumberFormat="0" applyFill="0" applyBorder="0" applyAlignment="0" applyProtection="0"/>
    <xf numFmtId="173" fontId="15" fillId="0" borderId="0" applyNumberFormat="0" applyFill="0" applyBorder="0" applyAlignment="0" applyProtection="0"/>
    <xf numFmtId="173" fontId="15" fillId="0" borderId="0" applyNumberFormat="0" applyFill="0" applyBorder="0" applyAlignment="0" applyProtection="0"/>
    <xf numFmtId="173" fontId="32" fillId="0" borderId="0" applyNumberFormat="0" applyFill="0" applyBorder="0" applyProtection="0"/>
    <xf numFmtId="173" fontId="4" fillId="0" borderId="10" applyNumberFormat="0" applyFill="0" applyAlignment="0" applyProtection="0"/>
    <xf numFmtId="173" fontId="22" fillId="11" borderId="6" applyNumberFormat="0" applyAlignment="0" applyProtection="0"/>
    <xf numFmtId="173" fontId="27" fillId="0" borderId="0" applyNumberFormat="0" applyFill="0" applyBorder="0" applyAlignment="0" applyProtection="0"/>
    <xf numFmtId="173" fontId="26" fillId="0" borderId="0" applyNumberFormat="0" applyFill="0" applyBorder="0" applyAlignment="0" applyProtection="0"/>
    <xf numFmtId="43" fontId="1" fillId="0" borderId="0" applyFont="0" applyFill="0" applyBorder="0" applyAlignment="0" applyProtection="0"/>
    <xf numFmtId="0" fontId="55" fillId="0" borderId="0"/>
    <xf numFmtId="0" fontId="67" fillId="0" borderId="0"/>
    <xf numFmtId="0" fontId="20" fillId="9" borderId="0" applyNumberFormat="0" applyBorder="0" applyAlignment="0" applyProtection="0"/>
    <xf numFmtId="0" fontId="30" fillId="0" borderId="0" applyNumberFormat="0" applyFill="0" applyBorder="0" applyAlignment="0" applyProtection="0"/>
    <xf numFmtId="43" fontId="30" fillId="0" borderId="0" applyFont="0" applyFill="0" applyBorder="0" applyAlignment="0" applyProtection="0"/>
    <xf numFmtId="0" fontId="92" fillId="0" borderId="0"/>
    <xf numFmtId="43" fontId="95" fillId="0" borderId="0" applyFont="0" applyFill="0" applyBorder="0" applyAlignment="0" applyProtection="0"/>
    <xf numFmtId="0" fontId="38" fillId="39" borderId="1" applyNumberFormat="0" applyAlignment="0" applyProtection="0"/>
  </cellStyleXfs>
  <cellXfs count="799">
    <xf numFmtId="0" fontId="0" fillId="0" borderId="0" xfId="0"/>
    <xf numFmtId="0" fontId="0" fillId="0" borderId="0" xfId="0" applyAlignment="1">
      <alignment horizontal="center"/>
    </xf>
    <xf numFmtId="0" fontId="31" fillId="0" borderId="0" xfId="0" applyFont="1"/>
    <xf numFmtId="0" fontId="0" fillId="0" borderId="0" xfId="0" applyAlignment="1">
      <alignment wrapText="1"/>
    </xf>
    <xf numFmtId="0" fontId="30" fillId="0" borderId="0" xfId="0" applyFont="1" applyAlignment="1">
      <alignment wrapText="1"/>
    </xf>
    <xf numFmtId="1" fontId="30" fillId="0" borderId="0" xfId="0" applyNumberFormat="1" applyFont="1" applyAlignment="1">
      <alignment wrapText="1"/>
    </xf>
    <xf numFmtId="166" fontId="33" fillId="0" borderId="0" xfId="0" applyNumberFormat="1" applyFont="1" applyAlignment="1">
      <alignment wrapText="1"/>
    </xf>
    <xf numFmtId="172" fontId="33" fillId="0" borderId="0" xfId="4" applyNumberFormat="1" applyFont="1" applyFill="1" applyBorder="1" applyAlignment="1">
      <alignment wrapText="1"/>
    </xf>
    <xf numFmtId="0" fontId="0" fillId="0" borderId="0" xfId="0" applyProtection="1">
      <protection locked="0"/>
    </xf>
    <xf numFmtId="0" fontId="0" fillId="0" borderId="0" xfId="0" applyAlignment="1">
      <alignment horizontal="left"/>
    </xf>
    <xf numFmtId="166" fontId="34" fillId="0" borderId="0" xfId="0" applyNumberFormat="1" applyFont="1"/>
    <xf numFmtId="0" fontId="2" fillId="0" borderId="0" xfId="0" applyFont="1"/>
    <xf numFmtId="0" fontId="0" fillId="3" borderId="0" xfId="0" applyFill="1" applyAlignment="1">
      <alignment wrapText="1"/>
    </xf>
    <xf numFmtId="0" fontId="2" fillId="0" borderId="0" xfId="0" applyFont="1" applyAlignment="1">
      <alignment horizontal="center" wrapText="1"/>
    </xf>
    <xf numFmtId="0" fontId="3" fillId="41" borderId="0" xfId="0" applyFont="1" applyFill="1"/>
    <xf numFmtId="0" fontId="0" fillId="41" borderId="0" xfId="0" applyFill="1"/>
    <xf numFmtId="3" fontId="0" fillId="0" borderId="0" xfId="0" applyNumberFormat="1" applyAlignment="1">
      <alignment horizontal="right"/>
    </xf>
    <xf numFmtId="0" fontId="2" fillId="3" borderId="0" xfId="0" applyFont="1" applyFill="1" applyAlignment="1">
      <alignment vertical="center"/>
    </xf>
    <xf numFmtId="49" fontId="4" fillId="0" borderId="0" xfId="0" applyNumberFormat="1" applyFont="1" applyAlignment="1">
      <alignment wrapText="1"/>
    </xf>
    <xf numFmtId="0" fontId="2" fillId="3" borderId="0" xfId="0" applyFont="1" applyFill="1" applyAlignment="1">
      <alignment horizontal="left"/>
    </xf>
    <xf numFmtId="0" fontId="10" fillId="0" borderId="0" xfId="0" applyFont="1" applyAlignment="1">
      <alignment horizontal="left"/>
    </xf>
    <xf numFmtId="0" fontId="10" fillId="3" borderId="0" xfId="0" applyFont="1" applyFill="1" applyAlignment="1">
      <alignment horizontal="left"/>
    </xf>
    <xf numFmtId="0" fontId="46" fillId="0" borderId="0" xfId="0" applyFont="1"/>
    <xf numFmtId="0" fontId="4" fillId="0" borderId="0" xfId="0" applyFont="1"/>
    <xf numFmtId="0" fontId="4" fillId="3" borderId="0" xfId="0" applyFont="1" applyFill="1"/>
    <xf numFmtId="0" fontId="33" fillId="0" borderId="0" xfId="0" applyFont="1"/>
    <xf numFmtId="0" fontId="26" fillId="0" borderId="0" xfId="0" applyFont="1"/>
    <xf numFmtId="0" fontId="49" fillId="0" borderId="0" xfId="0" applyFont="1" applyAlignment="1">
      <alignment wrapText="1"/>
    </xf>
    <xf numFmtId="167" fontId="49" fillId="0" borderId="0" xfId="0" applyNumberFormat="1" applyFont="1"/>
    <xf numFmtId="3" fontId="0" fillId="0" borderId="0" xfId="0" applyNumberFormat="1"/>
    <xf numFmtId="177" fontId="0" fillId="0" borderId="0" xfId="1317" applyNumberFormat="1" applyFont="1" applyFill="1" applyBorder="1" applyAlignment="1"/>
    <xf numFmtId="49" fontId="4" fillId="0" borderId="0" xfId="0" applyNumberFormat="1" applyFont="1"/>
    <xf numFmtId="49" fontId="29" fillId="2" borderId="0" xfId="0" applyNumberFormat="1" applyFont="1" applyFill="1"/>
    <xf numFmtId="0" fontId="44" fillId="2" borderId="0" xfId="0" applyFont="1" applyFill="1"/>
    <xf numFmtId="0" fontId="44" fillId="3" borderId="0" xfId="0" applyFont="1" applyFill="1"/>
    <xf numFmtId="0" fontId="43" fillId="0" borderId="0" xfId="0" applyFont="1" applyAlignment="1">
      <alignment horizontal="left" wrapText="1"/>
    </xf>
    <xf numFmtId="0" fontId="43" fillId="0" borderId="0" xfId="0" quotePrefix="1" applyFont="1" applyAlignment="1">
      <alignment horizontal="left" wrapText="1"/>
    </xf>
    <xf numFmtId="0" fontId="30" fillId="0" borderId="0" xfId="0" applyFont="1"/>
    <xf numFmtId="0" fontId="32" fillId="0" borderId="0" xfId="0" applyFont="1"/>
    <xf numFmtId="0" fontId="0" fillId="0" borderId="11" xfId="0" applyBorder="1"/>
    <xf numFmtId="0" fontId="30" fillId="0" borderId="0" xfId="3" applyFont="1" applyFill="1" applyBorder="1" applyAlignment="1">
      <alignment horizontal="center" wrapText="1"/>
    </xf>
    <xf numFmtId="1" fontId="30" fillId="0" borderId="0" xfId="0" applyNumberFormat="1" applyFont="1"/>
    <xf numFmtId="0" fontId="0" fillId="0" borderId="0" xfId="0" quotePrefix="1"/>
    <xf numFmtId="0" fontId="0" fillId="0" borderId="12" xfId="0" applyBorder="1"/>
    <xf numFmtId="171" fontId="30" fillId="3" borderId="0" xfId="0" applyNumberFormat="1" applyFont="1" applyFill="1" applyAlignment="1">
      <alignment wrapText="1"/>
    </xf>
    <xf numFmtId="169" fontId="30" fillId="0" borderId="0" xfId="0" applyNumberFormat="1" applyFont="1"/>
    <xf numFmtId="175" fontId="30" fillId="0" borderId="0" xfId="0" applyNumberFormat="1" applyFont="1"/>
    <xf numFmtId="168" fontId="30" fillId="0" borderId="0" xfId="0" applyNumberFormat="1" applyFont="1"/>
    <xf numFmtId="43" fontId="30" fillId="0" borderId="0" xfId="0" applyNumberFormat="1" applyFont="1"/>
    <xf numFmtId="172" fontId="30" fillId="0" borderId="0" xfId="4" applyNumberFormat="1" applyFont="1" applyFill="1" applyBorder="1" applyAlignment="1"/>
    <xf numFmtId="2" fontId="30" fillId="0" borderId="0" xfId="0" applyNumberFormat="1" applyFont="1"/>
    <xf numFmtId="167" fontId="30" fillId="0" borderId="0" xfId="0" applyNumberFormat="1" applyFont="1"/>
    <xf numFmtId="1" fontId="0" fillId="0" borderId="0" xfId="0" applyNumberFormat="1"/>
    <xf numFmtId="2" fontId="0" fillId="0" borderId="11" xfId="0" applyNumberFormat="1" applyBorder="1"/>
    <xf numFmtId="167" fontId="30" fillId="38" borderId="0" xfId="0" applyNumberFormat="1" applyFont="1" applyFill="1"/>
    <xf numFmtId="2" fontId="0" fillId="0" borderId="0" xfId="0" applyNumberFormat="1"/>
    <xf numFmtId="170" fontId="30" fillId="0" borderId="0" xfId="0" applyNumberFormat="1" applyFont="1"/>
    <xf numFmtId="0" fontId="30" fillId="38" borderId="0" xfId="0" applyFont="1" applyFill="1"/>
    <xf numFmtId="167" fontId="0" fillId="38" borderId="0" xfId="0" applyNumberFormat="1" applyFill="1"/>
    <xf numFmtId="167" fontId="0" fillId="0" borderId="0" xfId="0" applyNumberFormat="1"/>
    <xf numFmtId="49" fontId="4" fillId="38" borderId="0" xfId="0" applyNumberFormat="1" applyFont="1" applyFill="1"/>
    <xf numFmtId="2" fontId="30" fillId="38" borderId="0" xfId="0" applyNumberFormat="1" applyFont="1" applyFill="1"/>
    <xf numFmtId="172" fontId="0" fillId="0" borderId="0" xfId="4" applyNumberFormat="1" applyFont="1" applyFill="1" applyBorder="1" applyAlignment="1"/>
    <xf numFmtId="49" fontId="4" fillId="38" borderId="2" xfId="0" applyNumberFormat="1" applyFont="1" applyFill="1" applyBorder="1"/>
    <xf numFmtId="0" fontId="13" fillId="0" borderId="0" xfId="0" applyFont="1"/>
    <xf numFmtId="166" fontId="0" fillId="0" borderId="0" xfId="0" applyNumberFormat="1"/>
    <xf numFmtId="166" fontId="35" fillId="0" borderId="0" xfId="0" applyNumberFormat="1" applyFont="1"/>
    <xf numFmtId="0" fontId="49" fillId="42" borderId="0" xfId="0" applyFont="1" applyFill="1"/>
    <xf numFmtId="0" fontId="29" fillId="38" borderId="0" xfId="0" applyFont="1" applyFill="1"/>
    <xf numFmtId="179" fontId="0" fillId="0" borderId="0" xfId="1317" applyNumberFormat="1" applyFont="1" applyAlignment="1"/>
    <xf numFmtId="43" fontId="0" fillId="0" borderId="0" xfId="1317" applyFont="1" applyAlignment="1"/>
    <xf numFmtId="0" fontId="12" fillId="3" borderId="0" xfId="0" applyFont="1" applyFill="1"/>
    <xf numFmtId="0" fontId="2" fillId="0" borderId="0" xfId="0" applyFont="1" applyAlignment="1">
      <alignment wrapText="1"/>
    </xf>
    <xf numFmtId="0" fontId="0" fillId="3" borderId="0" xfId="0" applyFill="1"/>
    <xf numFmtId="49" fontId="2" fillId="3" borderId="0" xfId="0" applyNumberFormat="1" applyFont="1" applyFill="1" applyAlignment="1">
      <alignment horizontal="left"/>
    </xf>
    <xf numFmtId="0" fontId="32" fillId="0" borderId="0" xfId="0" applyFont="1" applyAlignment="1">
      <alignment horizontal="center" wrapText="1"/>
    </xf>
    <xf numFmtId="0" fontId="32" fillId="0" borderId="0" xfId="0" quotePrefix="1" applyFont="1" applyAlignment="1">
      <alignment horizontal="center" wrapText="1"/>
    </xf>
    <xf numFmtId="0" fontId="3" fillId="0" borderId="0" xfId="0" applyFont="1"/>
    <xf numFmtId="0" fontId="60" fillId="0" borderId="0" xfId="0" applyFont="1"/>
    <xf numFmtId="0" fontId="11" fillId="0" borderId="0" xfId="3" quotePrefix="1" applyAlignment="1"/>
    <xf numFmtId="0" fontId="9" fillId="0" borderId="0" xfId="0" applyFont="1" applyAlignment="1">
      <alignment horizontal="center"/>
    </xf>
    <xf numFmtId="0" fontId="10" fillId="0" borderId="0" xfId="0" applyFont="1" applyAlignment="1">
      <alignment horizontal="center"/>
    </xf>
    <xf numFmtId="165" fontId="10" fillId="0" borderId="0" xfId="0" applyNumberFormat="1" applyFont="1" applyAlignment="1">
      <alignment horizontal="right"/>
    </xf>
    <xf numFmtId="0" fontId="9" fillId="0" borderId="0" xfId="0" quotePrefix="1" applyFont="1" applyAlignment="1">
      <alignment horizontal="center"/>
    </xf>
    <xf numFmtId="0" fontId="0" fillId="2" borderId="0" xfId="0" applyFill="1"/>
    <xf numFmtId="0" fontId="52" fillId="3" borderId="15" xfId="0" applyFont="1" applyFill="1" applyBorder="1"/>
    <xf numFmtId="0" fontId="0" fillId="3" borderId="16" xfId="0" applyFill="1" applyBorder="1"/>
    <xf numFmtId="0" fontId="0" fillId="0" borderId="18" xfId="0" applyBorder="1"/>
    <xf numFmtId="0" fontId="4" fillId="0" borderId="17" xfId="0" applyFont="1" applyBorder="1"/>
    <xf numFmtId="49" fontId="29" fillId="0" borderId="17" xfId="0" applyNumberFormat="1" applyFont="1" applyBorder="1"/>
    <xf numFmtId="0" fontId="0" fillId="0" borderId="20" xfId="0" applyBorder="1"/>
    <xf numFmtId="0" fontId="61" fillId="4" borderId="0" xfId="2" applyFont="1" applyFill="1" applyBorder="1" applyAlignment="1"/>
    <xf numFmtId="0" fontId="61" fillId="4" borderId="0" xfId="0" applyFont="1" applyFill="1"/>
    <xf numFmtId="0" fontId="62" fillId="0" borderId="0" xfId="0" applyFont="1"/>
    <xf numFmtId="177" fontId="33" fillId="0" borderId="0" xfId="1317" applyNumberFormat="1" applyFont="1" applyAlignment="1"/>
    <xf numFmtId="0" fontId="66" fillId="0" borderId="0" xfId="0" applyFont="1" applyAlignment="1">
      <alignment wrapText="1"/>
    </xf>
    <xf numFmtId="180" fontId="66" fillId="0" borderId="0" xfId="0" applyNumberFormat="1" applyFont="1" applyAlignment="1">
      <alignment horizontal="right"/>
    </xf>
    <xf numFmtId="0" fontId="66" fillId="0" borderId="0" xfId="0" applyFont="1"/>
    <xf numFmtId="0" fontId="65" fillId="45" borderId="0" xfId="0" applyFont="1" applyFill="1"/>
    <xf numFmtId="0" fontId="69" fillId="0" borderId="0" xfId="0" applyFont="1" applyAlignment="1">
      <alignment horizontal="left"/>
    </xf>
    <xf numFmtId="0" fontId="69" fillId="0" borderId="0" xfId="0" applyFont="1" applyAlignment="1">
      <alignment horizontal="center"/>
    </xf>
    <xf numFmtId="0" fontId="0" fillId="0" borderId="0" xfId="0" applyAlignment="1">
      <alignment horizontal="right"/>
    </xf>
    <xf numFmtId="0" fontId="69" fillId="0" borderId="0" xfId="0" applyFont="1"/>
    <xf numFmtId="177" fontId="0" fillId="46" borderId="0" xfId="1317" applyNumberFormat="1" applyFont="1" applyFill="1" applyAlignment="1">
      <alignment horizontal="right"/>
    </xf>
    <xf numFmtId="177" fontId="1" fillId="46" borderId="0" xfId="1317" applyNumberFormat="1" applyFont="1" applyFill="1" applyBorder="1" applyAlignment="1">
      <alignment horizontal="right"/>
    </xf>
    <xf numFmtId="177" fontId="0" fillId="46" borderId="0" xfId="1317" applyNumberFormat="1" applyFont="1" applyFill="1" applyBorder="1" applyAlignment="1">
      <alignment horizontal="right"/>
    </xf>
    <xf numFmtId="49" fontId="0" fillId="0" borderId="0" xfId="0" applyNumberFormat="1"/>
    <xf numFmtId="177" fontId="66" fillId="0" borderId="0" xfId="1317" applyNumberFormat="1" applyFont="1" applyFill="1" applyBorder="1" applyAlignment="1"/>
    <xf numFmtId="2" fontId="66" fillId="0" borderId="0" xfId="0" applyNumberFormat="1" applyFont="1"/>
    <xf numFmtId="177" fontId="0" fillId="0" borderId="0" xfId="1317" applyNumberFormat="1" applyFont="1" applyAlignment="1"/>
    <xf numFmtId="0" fontId="66" fillId="0" borderId="0" xfId="0" applyFont="1" applyAlignment="1">
      <alignment horizontal="left"/>
    </xf>
    <xf numFmtId="0" fontId="6" fillId="0" borderId="0" xfId="0" applyFont="1"/>
    <xf numFmtId="0" fontId="2" fillId="0" borderId="0" xfId="0" applyFont="1" applyAlignment="1">
      <alignment horizontal="justify" wrapText="1"/>
    </xf>
    <xf numFmtId="0" fontId="2" fillId="0" borderId="0" xfId="0" applyFont="1" applyAlignment="1">
      <alignment horizontal="justify" vertical="center" wrapText="1"/>
    </xf>
    <xf numFmtId="10" fontId="72" fillId="0" borderId="0" xfId="0" applyNumberFormat="1" applyFont="1" applyAlignment="1">
      <alignment horizontal="justify" vertical="center" wrapText="1"/>
    </xf>
    <xf numFmtId="0" fontId="72" fillId="0" borderId="0" xfId="0" applyFont="1" applyAlignment="1">
      <alignment horizontal="justify" vertical="center" wrapText="1"/>
    </xf>
    <xf numFmtId="10" fontId="2" fillId="0" borderId="0" xfId="0" applyNumberFormat="1" applyFont="1" applyAlignment="1">
      <alignment horizontal="justify" vertical="center" wrapText="1"/>
    </xf>
    <xf numFmtId="0" fontId="6" fillId="0" borderId="0" xfId="0" applyFont="1" applyAlignment="1">
      <alignment horizontal="justify" vertical="center" wrapText="1"/>
    </xf>
    <xf numFmtId="9" fontId="72" fillId="4" borderId="0" xfId="0" applyNumberFormat="1" applyFont="1" applyFill="1" applyAlignment="1">
      <alignment horizontal="right" vertical="center" wrapText="1"/>
    </xf>
    <xf numFmtId="0" fontId="52" fillId="0" borderId="0" xfId="0" applyFont="1"/>
    <xf numFmtId="10" fontId="72" fillId="44" borderId="0" xfId="0" applyNumberFormat="1" applyFont="1" applyFill="1" applyAlignment="1">
      <alignment horizontal="right" vertical="center" wrapText="1"/>
    </xf>
    <xf numFmtId="0" fontId="72" fillId="4" borderId="0" xfId="0" applyFont="1" applyFill="1" applyAlignment="1">
      <alignment horizontal="justify" vertical="center" wrapText="1"/>
    </xf>
    <xf numFmtId="0" fontId="72" fillId="0" borderId="0" xfId="0" applyFont="1" applyAlignment="1">
      <alignment horizontal="right" vertical="center" wrapText="1"/>
    </xf>
    <xf numFmtId="174" fontId="72" fillId="0" borderId="0" xfId="1" applyNumberFormat="1" applyFont="1" applyFill="1" applyBorder="1" applyAlignment="1">
      <alignment horizontal="right" vertical="center" wrapText="1"/>
    </xf>
    <xf numFmtId="10" fontId="73" fillId="0" borderId="0" xfId="0" applyNumberFormat="1" applyFont="1" applyAlignment="1">
      <alignment horizontal="right" vertical="center" wrapText="1"/>
    </xf>
    <xf numFmtId="0" fontId="2" fillId="0" borderId="0" xfId="0" applyFont="1" applyAlignment="1">
      <alignment horizontal="right" vertical="center" wrapText="1"/>
    </xf>
    <xf numFmtId="10" fontId="2" fillId="0" borderId="0" xfId="0" applyNumberFormat="1" applyFont="1" applyAlignment="1">
      <alignment horizontal="right" vertical="center" wrapText="1"/>
    </xf>
    <xf numFmtId="166" fontId="72" fillId="0" borderId="0" xfId="0" applyNumberFormat="1" applyFont="1" applyAlignment="1">
      <alignment horizontal="right" vertical="center" wrapText="1"/>
    </xf>
    <xf numFmtId="10" fontId="2" fillId="0" borderId="0" xfId="1" applyNumberFormat="1" applyFont="1"/>
    <xf numFmtId="0" fontId="2" fillId="0" borderId="0" xfId="0" applyFont="1" applyAlignment="1">
      <alignment horizontal="right"/>
    </xf>
    <xf numFmtId="2" fontId="2" fillId="0" borderId="0" xfId="0" applyNumberFormat="1" applyFont="1"/>
    <xf numFmtId="0" fontId="2" fillId="0" borderId="0" xfId="0" applyFont="1" applyAlignment="1">
      <alignment horizontal="left" wrapText="1"/>
    </xf>
    <xf numFmtId="0" fontId="46" fillId="0" borderId="0" xfId="0" applyFont="1" applyAlignment="1">
      <alignment horizontal="justify" vertical="center" wrapText="1"/>
    </xf>
    <xf numFmtId="0" fontId="6" fillId="0" borderId="0" xfId="0" applyFont="1" applyAlignment="1">
      <alignment horizontal="left" vertical="center"/>
    </xf>
    <xf numFmtId="0" fontId="2" fillId="0" borderId="0" xfId="0" applyFont="1" applyAlignment="1">
      <alignment horizontal="left" vertical="center"/>
    </xf>
    <xf numFmtId="174" fontId="2" fillId="0" borderId="0" xfId="0" applyNumberFormat="1" applyFont="1" applyAlignment="1">
      <alignment horizontal="right" vertical="center" wrapText="1"/>
    </xf>
    <xf numFmtId="43" fontId="64" fillId="4" borderId="0" xfId="1317" applyFont="1" applyFill="1" applyBorder="1" applyAlignment="1"/>
    <xf numFmtId="43" fontId="64" fillId="4" borderId="0" xfId="1317" applyFont="1" applyFill="1" applyAlignment="1"/>
    <xf numFmtId="0" fontId="30" fillId="0" borderId="0" xfId="0" applyFont="1" applyAlignment="1">
      <alignment horizontal="center" wrapText="1"/>
    </xf>
    <xf numFmtId="0" fontId="4" fillId="38" borderId="0" xfId="0" applyFont="1" applyFill="1"/>
    <xf numFmtId="0" fontId="6" fillId="3" borderId="0" xfId="0" applyFont="1" applyFill="1" applyAlignment="1">
      <alignment wrapText="1"/>
    </xf>
    <xf numFmtId="176" fontId="0" fillId="0" borderId="0" xfId="1317" applyNumberFormat="1" applyFont="1" applyFill="1" applyAlignment="1"/>
    <xf numFmtId="177" fontId="2" fillId="0" borderId="0" xfId="1317" applyNumberFormat="1" applyFont="1" applyFill="1" applyBorder="1" applyAlignment="1"/>
    <xf numFmtId="43" fontId="2" fillId="0" borderId="0" xfId="1317" applyFont="1" applyFill="1" applyBorder="1" applyAlignment="1"/>
    <xf numFmtId="177" fontId="2" fillId="0" borderId="0" xfId="1317" applyNumberFormat="1" applyFont="1" applyFill="1" applyBorder="1" applyAlignment="1">
      <alignment horizontal="center"/>
    </xf>
    <xf numFmtId="43" fontId="64" fillId="0" borderId="0" xfId="1317" applyFont="1" applyFill="1" applyBorder="1" applyAlignment="1"/>
    <xf numFmtId="43" fontId="64" fillId="0" borderId="0" xfId="1317" applyFont="1" applyFill="1" applyAlignment="1"/>
    <xf numFmtId="0" fontId="50" fillId="45" borderId="0" xfId="2" applyFont="1" applyFill="1" applyBorder="1" applyAlignment="1"/>
    <xf numFmtId="49" fontId="46" fillId="0" borderId="0" xfId="0" applyNumberFormat="1" applyFont="1"/>
    <xf numFmtId="43" fontId="0" fillId="0" borderId="0" xfId="0" applyNumberFormat="1"/>
    <xf numFmtId="0" fontId="46" fillId="48" borderId="0" xfId="0" applyFont="1" applyFill="1"/>
    <xf numFmtId="49" fontId="46" fillId="48" borderId="0" xfId="0" applyNumberFormat="1" applyFont="1" applyFill="1"/>
    <xf numFmtId="0" fontId="2" fillId="3" borderId="0" xfId="0" applyFont="1" applyFill="1" applyAlignment="1">
      <alignment vertical="center" wrapText="1"/>
    </xf>
    <xf numFmtId="0" fontId="2" fillId="2" borderId="0" xfId="0" applyFont="1" applyFill="1" applyAlignment="1">
      <alignment vertical="center"/>
    </xf>
    <xf numFmtId="0" fontId="2" fillId="2" borderId="0" xfId="0" applyFont="1" applyFill="1" applyAlignment="1">
      <alignment horizontal="center"/>
    </xf>
    <xf numFmtId="0" fontId="2" fillId="0" borderId="0" xfId="0" applyFont="1" applyAlignment="1">
      <alignment vertical="center" wrapText="1"/>
    </xf>
    <xf numFmtId="182" fontId="5" fillId="44" borderId="0" xfId="1317" applyNumberFormat="1" applyFont="1" applyFill="1" applyBorder="1" applyAlignment="1"/>
    <xf numFmtId="179" fontId="5" fillId="44" borderId="0" xfId="1317" applyNumberFormat="1" applyFont="1" applyFill="1" applyBorder="1" applyAlignment="1"/>
    <xf numFmtId="9" fontId="5" fillId="0" borderId="0" xfId="1" applyFont="1" applyFill="1" applyBorder="1" applyAlignment="1"/>
    <xf numFmtId="0" fontId="2" fillId="3" borderId="0" xfId="0" applyFont="1" applyFill="1"/>
    <xf numFmtId="0" fontId="0" fillId="4" borderId="0" xfId="0" applyFill="1"/>
    <xf numFmtId="0" fontId="2" fillId="4" borderId="0" xfId="0" applyFont="1" applyFill="1"/>
    <xf numFmtId="176" fontId="0" fillId="0" borderId="0" xfId="1317" applyNumberFormat="1" applyFont="1" applyAlignment="1"/>
    <xf numFmtId="0" fontId="49" fillId="0" borderId="0" xfId="0" applyFont="1"/>
    <xf numFmtId="0" fontId="4" fillId="2" borderId="0" xfId="0" applyFont="1" applyFill="1" applyAlignment="1">
      <alignment wrapText="1"/>
    </xf>
    <xf numFmtId="0" fontId="4" fillId="3" borderId="0" xfId="0" applyFont="1" applyFill="1" applyAlignment="1">
      <alignment wrapText="1"/>
    </xf>
    <xf numFmtId="0" fontId="2" fillId="3" borderId="0" xfId="0" applyFont="1" applyFill="1" applyAlignment="1">
      <alignment wrapText="1"/>
    </xf>
    <xf numFmtId="2" fontId="5" fillId="4" borderId="0" xfId="2" applyNumberFormat="1" applyFill="1" applyBorder="1" applyAlignment="1"/>
    <xf numFmtId="0" fontId="8" fillId="0" borderId="0" xfId="0" applyFont="1" applyAlignment="1">
      <alignment horizontal="left" wrapText="1"/>
    </xf>
    <xf numFmtId="2" fontId="5" fillId="0" borderId="0" xfId="1" applyNumberFormat="1" applyFont="1" applyFill="1" applyBorder="1" applyAlignment="1"/>
    <xf numFmtId="0" fontId="41" fillId="2" borderId="0" xfId="0" applyFont="1" applyFill="1"/>
    <xf numFmtId="0" fontId="41" fillId="3" borderId="0" xfId="0" applyFont="1" applyFill="1"/>
    <xf numFmtId="49" fontId="4" fillId="2" borderId="0" xfId="0" applyNumberFormat="1" applyFont="1" applyFill="1"/>
    <xf numFmtId="0" fontId="0" fillId="38" borderId="0" xfId="0" applyFill="1"/>
    <xf numFmtId="0" fontId="5" fillId="44" borderId="0" xfId="1" applyNumberFormat="1" applyFont="1" applyFill="1" applyBorder="1" applyAlignment="1"/>
    <xf numFmtId="0" fontId="4" fillId="2" borderId="0" xfId="0" applyFont="1" applyFill="1"/>
    <xf numFmtId="0" fontId="46" fillId="3" borderId="0" xfId="0" applyFont="1" applyFill="1"/>
    <xf numFmtId="43" fontId="5" fillId="44" borderId="0" xfId="2" applyNumberFormat="1" applyFill="1" applyBorder="1" applyAlignment="1"/>
    <xf numFmtId="43" fontId="5" fillId="0" borderId="0" xfId="2" applyNumberFormat="1" applyFill="1" applyBorder="1" applyAlignment="1"/>
    <xf numFmtId="10" fontId="5" fillId="0" borderId="0" xfId="2" applyNumberFormat="1" applyFill="1" applyBorder="1" applyAlignment="1"/>
    <xf numFmtId="0" fontId="8" fillId="2" borderId="0" xfId="0" applyFont="1" applyFill="1" applyAlignment="1">
      <alignment wrapText="1"/>
    </xf>
    <xf numFmtId="0" fontId="8" fillId="0" borderId="0" xfId="0" applyFont="1" applyAlignment="1">
      <alignment wrapText="1"/>
    </xf>
    <xf numFmtId="2" fontId="5" fillId="3" borderId="0" xfId="1" applyNumberFormat="1" applyFont="1" applyFill="1" applyBorder="1" applyAlignment="1"/>
    <xf numFmtId="0" fontId="5" fillId="44" borderId="0" xfId="2" applyFill="1" applyBorder="1" applyAlignment="1"/>
    <xf numFmtId="2" fontId="5" fillId="2" borderId="0" xfId="1" applyNumberFormat="1" applyFont="1" applyFill="1" applyBorder="1" applyAlignment="1"/>
    <xf numFmtId="0" fontId="48" fillId="0" borderId="0" xfId="0" applyFont="1" applyAlignment="1">
      <alignment horizontal="left"/>
    </xf>
    <xf numFmtId="0" fontId="2" fillId="2" borderId="0" xfId="0" applyFont="1" applyFill="1"/>
    <xf numFmtId="0" fontId="6" fillId="3" borderId="0" xfId="0" applyFont="1" applyFill="1"/>
    <xf numFmtId="176" fontId="5" fillId="44" borderId="0" xfId="1317" applyNumberFormat="1" applyFont="1" applyFill="1" applyBorder="1" applyAlignment="1"/>
    <xf numFmtId="0" fontId="0" fillId="3" borderId="13" xfId="0" applyFill="1" applyBorder="1"/>
    <xf numFmtId="0" fontId="0" fillId="0" borderId="14" xfId="0" applyBorder="1"/>
    <xf numFmtId="0" fontId="46" fillId="2" borderId="0" xfId="0" applyFont="1" applyFill="1"/>
    <xf numFmtId="0" fontId="5" fillId="0" borderId="0" xfId="1" applyNumberFormat="1" applyFont="1" applyFill="1" applyBorder="1" applyAlignment="1"/>
    <xf numFmtId="0" fontId="2" fillId="2" borderId="0" xfId="0" applyFont="1" applyFill="1" applyAlignment="1">
      <alignment wrapText="1"/>
    </xf>
    <xf numFmtId="43" fontId="0" fillId="0" borderId="0" xfId="1317" applyFont="1" applyFill="1" applyAlignment="1"/>
    <xf numFmtId="0" fontId="2" fillId="3" borderId="0" xfId="0" applyFont="1" applyFill="1" applyAlignment="1">
      <alignment horizontal="center"/>
    </xf>
    <xf numFmtId="0" fontId="2" fillId="0" borderId="0" xfId="0" applyFont="1" applyAlignment="1">
      <alignment horizontal="center"/>
    </xf>
    <xf numFmtId="178" fontId="5" fillId="0" borderId="0" xfId="1317" applyNumberFormat="1" applyFont="1" applyFill="1" applyBorder="1" applyAlignment="1"/>
    <xf numFmtId="0" fontId="0" fillId="0" borderId="17" xfId="0" applyBorder="1"/>
    <xf numFmtId="177" fontId="0" fillId="0" borderId="0" xfId="1317" applyNumberFormat="1" applyFont="1" applyFill="1" applyAlignment="1">
      <alignment horizontal="right"/>
    </xf>
    <xf numFmtId="177" fontId="1" fillId="0" borderId="0" xfId="1317" applyNumberFormat="1" applyFont="1" applyFill="1" applyBorder="1" applyAlignment="1">
      <alignment horizontal="right"/>
    </xf>
    <xf numFmtId="177" fontId="0" fillId="0" borderId="0" xfId="1317" applyNumberFormat="1" applyFont="1" applyFill="1" applyBorder="1" applyAlignment="1">
      <alignment horizontal="right"/>
    </xf>
    <xf numFmtId="177" fontId="30" fillId="0" borderId="0" xfId="1317" applyNumberFormat="1" applyFont="1" applyFill="1" applyBorder="1" applyAlignment="1"/>
    <xf numFmtId="177" fontId="30" fillId="38" borderId="0" xfId="1317" applyNumberFormat="1" applyFont="1" applyFill="1" applyBorder="1" applyAlignment="1"/>
    <xf numFmtId="0" fontId="0" fillId="49" borderId="0" xfId="0" applyFill="1"/>
    <xf numFmtId="0" fontId="46" fillId="49" borderId="0" xfId="0" applyFont="1" applyFill="1"/>
    <xf numFmtId="49" fontId="4" fillId="49" borderId="0" xfId="0" applyNumberFormat="1" applyFont="1" applyFill="1"/>
    <xf numFmtId="49" fontId="46" fillId="49" borderId="0" xfId="0" applyNumberFormat="1" applyFont="1" applyFill="1"/>
    <xf numFmtId="0" fontId="3" fillId="49" borderId="0" xfId="0" applyFont="1" applyFill="1"/>
    <xf numFmtId="0" fontId="3" fillId="49" borderId="0" xfId="0" applyFont="1" applyFill="1" applyAlignment="1">
      <alignment horizontal="center"/>
    </xf>
    <xf numFmtId="0" fontId="2" fillId="49" borderId="0" xfId="0" applyFont="1" applyFill="1"/>
    <xf numFmtId="0" fontId="58" fillId="49" borderId="0" xfId="0" applyFont="1" applyFill="1"/>
    <xf numFmtId="3" fontId="2" fillId="49" borderId="0" xfId="0" applyNumberFormat="1" applyFont="1" applyFill="1" applyAlignment="1">
      <alignment horizontal="center"/>
    </xf>
    <xf numFmtId="1" fontId="59" fillId="49" borderId="0" xfId="0" applyNumberFormat="1" applyFont="1" applyFill="1"/>
    <xf numFmtId="0" fontId="4" fillId="49" borderId="0" xfId="0" applyFont="1" applyFill="1" applyAlignment="1">
      <alignment horizontal="center"/>
    </xf>
    <xf numFmtId="0" fontId="4" fillId="49" borderId="0" xfId="0" applyFont="1" applyFill="1"/>
    <xf numFmtId="0" fontId="0" fillId="4" borderId="0" xfId="0" applyFill="1" applyAlignment="1">
      <alignment horizontal="center"/>
    </xf>
    <xf numFmtId="0" fontId="79" fillId="49" borderId="0" xfId="0" applyFont="1" applyFill="1"/>
    <xf numFmtId="49" fontId="2" fillId="49" borderId="0" xfId="0" applyNumberFormat="1" applyFont="1" applyFill="1"/>
    <xf numFmtId="174" fontId="41" fillId="49" borderId="0" xfId="1" applyNumberFormat="1" applyFont="1" applyFill="1" applyBorder="1" applyAlignment="1"/>
    <xf numFmtId="0" fontId="59" fillId="49" borderId="0" xfId="0" applyFont="1" applyFill="1"/>
    <xf numFmtId="0" fontId="11" fillId="49" borderId="0" xfId="3" quotePrefix="1" applyFill="1" applyBorder="1" applyAlignment="1"/>
    <xf numFmtId="3" fontId="78" fillId="50" borderId="21" xfId="0" applyNumberFormat="1" applyFont="1" applyFill="1" applyBorder="1" applyAlignment="1">
      <alignment horizontal="center"/>
    </xf>
    <xf numFmtId="0" fontId="78" fillId="50" borderId="21" xfId="0" applyFont="1" applyFill="1" applyBorder="1" applyAlignment="1">
      <alignment horizontal="center"/>
    </xf>
    <xf numFmtId="2" fontId="78" fillId="50" borderId="21" xfId="0" applyNumberFormat="1" applyFont="1" applyFill="1" applyBorder="1" applyAlignment="1">
      <alignment horizontal="center"/>
    </xf>
    <xf numFmtId="3" fontId="78" fillId="50" borderId="21" xfId="2" applyNumberFormat="1" applyFont="1" applyFill="1" applyBorder="1" applyAlignment="1"/>
    <xf numFmtId="177" fontId="2" fillId="49" borderId="0" xfId="1317" applyNumberFormat="1" applyFont="1" applyFill="1" applyBorder="1" applyAlignment="1"/>
    <xf numFmtId="3" fontId="5" fillId="49" borderId="0" xfId="2" applyNumberFormat="1" applyFill="1" applyBorder="1" applyAlignment="1"/>
    <xf numFmtId="3" fontId="78" fillId="50" borderId="22" xfId="2" applyNumberFormat="1" applyFont="1" applyFill="1" applyBorder="1" applyAlignment="1"/>
    <xf numFmtId="0" fontId="3" fillId="51" borderId="0" xfId="0" applyFont="1" applyFill="1"/>
    <xf numFmtId="3" fontId="59" fillId="49" borderId="0" xfId="0" applyNumberFormat="1" applyFont="1" applyFill="1"/>
    <xf numFmtId="3" fontId="0" fillId="49" borderId="0" xfId="0" applyNumberFormat="1" applyFill="1"/>
    <xf numFmtId="1" fontId="0" fillId="49" borderId="0" xfId="0" applyNumberFormat="1" applyFill="1"/>
    <xf numFmtId="0" fontId="4" fillId="49" borderId="0" xfId="0" applyFont="1" applyFill="1" applyAlignment="1">
      <alignment wrapText="1"/>
    </xf>
    <xf numFmtId="0" fontId="2" fillId="49" borderId="0" xfId="0" applyFont="1" applyFill="1" applyAlignment="1">
      <alignment horizontal="center" wrapText="1"/>
    </xf>
    <xf numFmtId="0" fontId="8" fillId="49" borderId="0" xfId="0" applyFont="1" applyFill="1"/>
    <xf numFmtId="0" fontId="34" fillId="49" borderId="0" xfId="0" applyFont="1" applyFill="1" applyAlignment="1">
      <alignment horizontal="left"/>
    </xf>
    <xf numFmtId="0" fontId="4" fillId="49" borderId="0" xfId="0" applyFont="1" applyFill="1" applyAlignment="1">
      <alignment horizontal="center" wrapText="1"/>
    </xf>
    <xf numFmtId="0" fontId="4" fillId="49" borderId="0" xfId="0" applyFont="1" applyFill="1" applyAlignment="1">
      <alignment horizontal="left" wrapText="1"/>
    </xf>
    <xf numFmtId="49" fontId="0" fillId="49" borderId="0" xfId="0" applyNumberFormat="1" applyFill="1"/>
    <xf numFmtId="49" fontId="4" fillId="49" borderId="0" xfId="0" applyNumberFormat="1" applyFont="1" applyFill="1" applyAlignment="1">
      <alignment horizontal="center"/>
    </xf>
    <xf numFmtId="177" fontId="78" fillId="50" borderId="21" xfId="1317" applyNumberFormat="1" applyFont="1" applyFill="1" applyBorder="1" applyAlignment="1"/>
    <xf numFmtId="174" fontId="44" fillId="4" borderId="0" xfId="1" applyNumberFormat="1" applyFont="1" applyFill="1" applyBorder="1" applyAlignment="1"/>
    <xf numFmtId="0" fontId="75" fillId="51" borderId="0" xfId="0" applyFont="1" applyFill="1" applyAlignment="1">
      <alignment horizontal="center"/>
    </xf>
    <xf numFmtId="0" fontId="83" fillId="51" borderId="0" xfId="0" applyFont="1" applyFill="1" applyAlignment="1">
      <alignment horizontal="center"/>
    </xf>
    <xf numFmtId="0" fontId="0" fillId="51" borderId="0" xfId="0" applyFill="1"/>
    <xf numFmtId="9" fontId="5" fillId="49" borderId="0" xfId="1" applyFont="1" applyFill="1" applyBorder="1" applyAlignment="1"/>
    <xf numFmtId="176" fontId="64" fillId="49" borderId="0" xfId="1317" applyNumberFormat="1" applyFont="1" applyFill="1" applyBorder="1" applyAlignment="1"/>
    <xf numFmtId="43" fontId="0" fillId="49" borderId="0" xfId="1317" applyFont="1" applyFill="1" applyAlignment="1"/>
    <xf numFmtId="0" fontId="11" fillId="49" borderId="0" xfId="3" quotePrefix="1" applyFill="1" applyAlignment="1"/>
    <xf numFmtId="9" fontId="38" fillId="49" borderId="0" xfId="2" applyNumberFormat="1" applyFont="1" applyFill="1" applyBorder="1" applyAlignment="1"/>
    <xf numFmtId="0" fontId="5" fillId="49" borderId="0" xfId="0" applyFont="1" applyFill="1"/>
    <xf numFmtId="177" fontId="85" fillId="4" borderId="0" xfId="1317" applyNumberFormat="1" applyFont="1" applyFill="1" applyBorder="1" applyAlignment="1"/>
    <xf numFmtId="0" fontId="1" fillId="49" borderId="0" xfId="0" applyFont="1" applyFill="1"/>
    <xf numFmtId="176" fontId="5" fillId="49" borderId="0" xfId="1317" applyNumberFormat="1" applyFont="1" applyFill="1" applyBorder="1" applyAlignment="1"/>
    <xf numFmtId="176" fontId="5" fillId="49" borderId="0" xfId="0" applyNumberFormat="1" applyFont="1" applyFill="1"/>
    <xf numFmtId="0" fontId="38" fillId="49" borderId="0" xfId="0" applyFont="1" applyFill="1"/>
    <xf numFmtId="0" fontId="86" fillId="49" borderId="0" xfId="3" applyFont="1" applyFill="1" applyBorder="1" applyAlignment="1"/>
    <xf numFmtId="43" fontId="85" fillId="49" borderId="0" xfId="1317" applyFont="1" applyFill="1" applyBorder="1" applyAlignment="1"/>
    <xf numFmtId="0" fontId="85" fillId="49" borderId="0" xfId="0" applyFont="1" applyFill="1"/>
    <xf numFmtId="43" fontId="5" fillId="49" borderId="0" xfId="1317" applyFont="1" applyFill="1" applyBorder="1" applyAlignment="1"/>
    <xf numFmtId="49" fontId="29" fillId="49" borderId="0" xfId="0" applyNumberFormat="1" applyFont="1" applyFill="1"/>
    <xf numFmtId="0" fontId="41" fillId="49" borderId="0" xfId="0" applyFont="1" applyFill="1"/>
    <xf numFmtId="0" fontId="44" fillId="49" borderId="0" xfId="0" applyFont="1" applyFill="1"/>
    <xf numFmtId="0" fontId="5" fillId="49" borderId="0" xfId="2" applyFill="1" applyBorder="1" applyAlignment="1"/>
    <xf numFmtId="0" fontId="61" fillId="49" borderId="0" xfId="2" applyFont="1" applyFill="1" applyBorder="1" applyAlignment="1"/>
    <xf numFmtId="0" fontId="61" fillId="49" borderId="0" xfId="0" applyFont="1" applyFill="1"/>
    <xf numFmtId="0" fontId="43" fillId="49" borderId="0" xfId="0" applyFont="1" applyFill="1" applyAlignment="1">
      <alignment horizontal="left" wrapText="1"/>
    </xf>
    <xf numFmtId="0" fontId="43" fillId="49" borderId="0" xfId="0" quotePrefix="1" applyFont="1" applyFill="1" applyAlignment="1">
      <alignment horizontal="left" wrapText="1"/>
    </xf>
    <xf numFmtId="0" fontId="50" fillId="49" borderId="0" xfId="0" applyFont="1" applyFill="1"/>
    <xf numFmtId="3" fontId="0" fillId="49" borderId="0" xfId="0" applyNumberFormat="1" applyFill="1" applyAlignment="1">
      <alignment horizontal="right"/>
    </xf>
    <xf numFmtId="0" fontId="78" fillId="49" borderId="0" xfId="0" applyFont="1" applyFill="1" applyAlignment="1">
      <alignment horizontal="center"/>
    </xf>
    <xf numFmtId="0" fontId="6" fillId="49" borderId="0" xfId="0" applyFont="1" applyFill="1" applyAlignment="1">
      <alignment wrapText="1"/>
    </xf>
    <xf numFmtId="0" fontId="0" fillId="49" borderId="0" xfId="0" applyFill="1" applyAlignment="1">
      <alignment horizontal="left"/>
    </xf>
    <xf numFmtId="0" fontId="8" fillId="49" borderId="0" xfId="0" applyFont="1" applyFill="1" applyAlignment="1">
      <alignment horizontal="left"/>
    </xf>
    <xf numFmtId="2" fontId="5" fillId="49" borderId="0" xfId="2" applyNumberFormat="1" applyFill="1" applyBorder="1" applyAlignment="1"/>
    <xf numFmtId="174" fontId="38" fillId="4" borderId="0" xfId="2" applyNumberFormat="1" applyFont="1" applyFill="1" applyBorder="1" applyAlignment="1"/>
    <xf numFmtId="0" fontId="81" fillId="49" borderId="24" xfId="0" applyFont="1" applyFill="1" applyBorder="1" applyAlignment="1">
      <alignment wrapText="1"/>
    </xf>
    <xf numFmtId="0" fontId="81" fillId="49" borderId="23" xfId="0" applyFont="1" applyFill="1" applyBorder="1"/>
    <xf numFmtId="0" fontId="6" fillId="49" borderId="0" xfId="0" applyFont="1" applyFill="1"/>
    <xf numFmtId="2" fontId="20" fillId="49" borderId="0" xfId="1320" applyNumberFormat="1" applyFill="1" applyBorder="1" applyAlignment="1"/>
    <xf numFmtId="0" fontId="2" fillId="49" borderId="0" xfId="0" applyFont="1" applyFill="1" applyAlignment="1">
      <alignment horizontal="center"/>
    </xf>
    <xf numFmtId="177" fontId="5" fillId="49" borderId="0" xfId="1317" applyNumberFormat="1" applyFont="1" applyFill="1" applyBorder="1" applyAlignment="1"/>
    <xf numFmtId="2" fontId="5" fillId="49" borderId="0" xfId="1" applyNumberFormat="1" applyFont="1" applyFill="1" applyBorder="1" applyAlignment="1"/>
    <xf numFmtId="0" fontId="0" fillId="49" borderId="0" xfId="0" applyFill="1" applyAlignment="1">
      <alignment wrapText="1"/>
    </xf>
    <xf numFmtId="0" fontId="88" fillId="49" borderId="0" xfId="0" applyFont="1" applyFill="1" applyAlignment="1">
      <alignment horizontal="center"/>
    </xf>
    <xf numFmtId="0" fontId="59" fillId="49" borderId="0" xfId="0" applyFont="1" applyFill="1" applyAlignment="1">
      <alignment horizontal="left" wrapText="1"/>
    </xf>
    <xf numFmtId="177" fontId="0" fillId="49" borderId="0" xfId="1317" applyNumberFormat="1" applyFont="1" applyFill="1" applyBorder="1" applyAlignment="1"/>
    <xf numFmtId="177" fontId="26" fillId="49" borderId="0" xfId="1317" applyNumberFormat="1" applyFont="1" applyFill="1" applyBorder="1" applyAlignment="1"/>
    <xf numFmtId="177" fontId="38" fillId="4" borderId="0" xfId="1317" applyNumberFormat="1" applyFont="1" applyFill="1" applyBorder="1" applyAlignment="1"/>
    <xf numFmtId="0" fontId="81" fillId="49" borderId="0" xfId="0" applyFont="1" applyFill="1" applyAlignment="1">
      <alignment wrapText="1"/>
    </xf>
    <xf numFmtId="43" fontId="0" fillId="52" borderId="0" xfId="1317" applyFont="1" applyFill="1" applyAlignment="1"/>
    <xf numFmtId="0" fontId="4" fillId="3" borderId="0" xfId="0" applyFont="1" applyFill="1" applyAlignment="1">
      <alignment horizontal="left" wrapText="1"/>
    </xf>
    <xf numFmtId="0" fontId="87" fillId="49" borderId="29" xfId="0" applyFont="1" applyFill="1" applyBorder="1" applyAlignment="1">
      <alignment horizontal="center" wrapText="1"/>
    </xf>
    <xf numFmtId="0" fontId="4" fillId="2" borderId="0" xfId="0" applyFont="1" applyFill="1" applyAlignment="1">
      <alignment vertical="center"/>
    </xf>
    <xf numFmtId="0" fontId="0" fillId="2" borderId="0" xfId="0" applyFill="1" applyAlignment="1">
      <alignment vertical="center"/>
    </xf>
    <xf numFmtId="0" fontId="0" fillId="0" borderId="0" xfId="0" applyAlignment="1">
      <alignment vertical="center"/>
    </xf>
    <xf numFmtId="49" fontId="4" fillId="0" borderId="0" xfId="0" applyNumberFormat="1" applyFont="1" applyAlignment="1">
      <alignment vertical="center"/>
    </xf>
    <xf numFmtId="176" fontId="0" fillId="0" borderId="0" xfId="1317" applyNumberFormat="1" applyFont="1" applyAlignment="1">
      <alignment vertical="center"/>
    </xf>
    <xf numFmtId="43" fontId="0" fillId="0" borderId="0" xfId="1317" applyFont="1" applyAlignment="1">
      <alignment vertical="center"/>
    </xf>
    <xf numFmtId="9" fontId="5" fillId="0" borderId="0" xfId="1" applyFont="1" applyFill="1" applyBorder="1" applyAlignment="1">
      <alignment vertical="center"/>
    </xf>
    <xf numFmtId="0" fontId="4" fillId="3" borderId="0" xfId="0" applyFont="1" applyFill="1" applyAlignment="1">
      <alignment vertical="center" wrapText="1"/>
    </xf>
    <xf numFmtId="0" fontId="8" fillId="2" borderId="0" xfId="0" applyFont="1" applyFill="1" applyAlignment="1">
      <alignment vertical="center" wrapText="1"/>
    </xf>
    <xf numFmtId="0" fontId="8" fillId="0" borderId="0" xfId="0" applyFont="1" applyAlignment="1">
      <alignment vertical="center" wrapText="1"/>
    </xf>
    <xf numFmtId="0" fontId="2" fillId="0" borderId="0" xfId="0" applyFont="1" applyAlignment="1">
      <alignment vertical="center"/>
    </xf>
    <xf numFmtId="0" fontId="4" fillId="2" borderId="0" xfId="0" applyFont="1" applyFill="1" applyAlignment="1">
      <alignment vertical="center" wrapText="1"/>
    </xf>
    <xf numFmtId="0" fontId="8" fillId="0" borderId="0" xfId="0" applyFont="1" applyAlignment="1">
      <alignment horizontal="left" vertical="center" wrapText="1"/>
    </xf>
    <xf numFmtId="49" fontId="4" fillId="2" borderId="0" xfId="0" applyNumberFormat="1" applyFont="1" applyFill="1" applyAlignment="1">
      <alignment vertical="center"/>
    </xf>
    <xf numFmtId="43" fontId="0" fillId="0" borderId="0" xfId="1317" applyFont="1" applyFill="1" applyAlignment="1">
      <alignment vertical="center"/>
    </xf>
    <xf numFmtId="43" fontId="0" fillId="0" borderId="0" xfId="0" applyNumberFormat="1" applyAlignment="1">
      <alignment vertical="center"/>
    </xf>
    <xf numFmtId="0" fontId="41" fillId="2" borderId="0" xfId="0" applyFont="1" applyFill="1" applyAlignment="1">
      <alignment vertical="center"/>
    </xf>
    <xf numFmtId="0" fontId="44" fillId="2" borderId="0" xfId="0" applyFont="1" applyFill="1" applyAlignment="1">
      <alignment vertical="center"/>
    </xf>
    <xf numFmtId="0" fontId="0" fillId="49" borderId="0" xfId="0" applyFill="1" applyAlignment="1">
      <alignment vertical="center"/>
    </xf>
    <xf numFmtId="49" fontId="4" fillId="49" borderId="0" xfId="0" applyNumberFormat="1" applyFont="1" applyFill="1" applyAlignment="1">
      <alignment vertical="center"/>
    </xf>
    <xf numFmtId="49" fontId="46" fillId="49" borderId="0" xfId="0" applyNumberFormat="1" applyFont="1" applyFill="1" applyAlignment="1">
      <alignment vertical="center"/>
    </xf>
    <xf numFmtId="0" fontId="46" fillId="0" borderId="0" xfId="0" applyFont="1" applyAlignment="1">
      <alignment vertical="center"/>
    </xf>
    <xf numFmtId="43" fontId="5" fillId="49" borderId="0" xfId="1317" applyFont="1" applyFill="1" applyBorder="1" applyAlignment="1">
      <alignment vertical="center"/>
    </xf>
    <xf numFmtId="0" fontId="8" fillId="51" borderId="0" xfId="0" applyFont="1" applyFill="1"/>
    <xf numFmtId="0" fontId="4" fillId="49" borderId="0" xfId="0" applyFont="1" applyFill="1" applyAlignment="1">
      <alignment horizontal="right"/>
    </xf>
    <xf numFmtId="0" fontId="4" fillId="49" borderId="0" xfId="0" applyFont="1" applyFill="1" applyAlignment="1">
      <alignment horizontal="left"/>
    </xf>
    <xf numFmtId="0" fontId="5" fillId="49" borderId="0" xfId="0" applyFont="1" applyFill="1" applyAlignment="1">
      <alignment horizontal="left"/>
    </xf>
    <xf numFmtId="0" fontId="89" fillId="49" borderId="0" xfId="0" applyFont="1" applyFill="1" applyAlignment="1">
      <alignment horizontal="left"/>
    </xf>
    <xf numFmtId="43" fontId="5" fillId="0" borderId="0" xfId="1317" applyFont="1" applyFill="1" applyBorder="1" applyAlignment="1">
      <alignment vertical="center"/>
    </xf>
    <xf numFmtId="0" fontId="50" fillId="0" borderId="0" xfId="0" applyFont="1"/>
    <xf numFmtId="49" fontId="46" fillId="0" borderId="0" xfId="0" applyNumberFormat="1" applyFont="1" applyAlignment="1">
      <alignment horizontal="left"/>
    </xf>
    <xf numFmtId="3" fontId="78" fillId="50" borderId="21" xfId="0" applyNumberFormat="1" applyFont="1" applyFill="1" applyBorder="1" applyAlignment="1">
      <alignment horizontal="center" vertical="center"/>
    </xf>
    <xf numFmtId="0" fontId="34" fillId="49" borderId="0" xfId="0" applyFont="1" applyFill="1" applyAlignment="1">
      <alignment horizontal="right"/>
    </xf>
    <xf numFmtId="0" fontId="0" fillId="49" borderId="0" xfId="0" applyFill="1" applyAlignment="1">
      <alignment horizontal="right"/>
    </xf>
    <xf numFmtId="0" fontId="2" fillId="0" borderId="0" xfId="0" applyFont="1" applyAlignment="1">
      <alignment horizontal="left"/>
    </xf>
    <xf numFmtId="0" fontId="2" fillId="49" borderId="0" xfId="0" applyFont="1" applyFill="1" applyAlignment="1">
      <alignment horizontal="left"/>
    </xf>
    <xf numFmtId="0" fontId="2" fillId="49" borderId="0" xfId="0" applyFont="1" applyFill="1" applyAlignment="1">
      <alignment wrapText="1"/>
    </xf>
    <xf numFmtId="176" fontId="5" fillId="49" borderId="0" xfId="1317" applyNumberFormat="1" applyFont="1" applyFill="1" applyBorder="1" applyAlignment="1">
      <alignment horizontal="left"/>
    </xf>
    <xf numFmtId="177" fontId="5" fillId="49" borderId="0" xfId="1317" applyNumberFormat="1" applyFont="1" applyFill="1" applyAlignment="1">
      <alignment horizontal="left"/>
    </xf>
    <xf numFmtId="0" fontId="8" fillId="2" borderId="0" xfId="0" applyFont="1" applyFill="1" applyAlignment="1">
      <alignment vertical="center"/>
    </xf>
    <xf numFmtId="0" fontId="59" fillId="0" borderId="0" xfId="0" applyFont="1" applyAlignment="1">
      <alignment vertical="center"/>
    </xf>
    <xf numFmtId="0" fontId="11" fillId="0" borderId="0" xfId="3" quotePrefix="1" applyFill="1" applyBorder="1" applyAlignment="1">
      <alignment vertical="center"/>
    </xf>
    <xf numFmtId="3" fontId="78" fillId="50" borderId="0" xfId="0" applyNumberFormat="1" applyFont="1" applyFill="1" applyAlignment="1">
      <alignment horizontal="center" vertical="center"/>
    </xf>
    <xf numFmtId="0" fontId="6" fillId="3" borderId="0" xfId="0" applyFont="1" applyFill="1" applyAlignment="1">
      <alignment vertical="center"/>
    </xf>
    <xf numFmtId="9" fontId="5" fillId="49" borderId="0" xfId="2" applyNumberFormat="1" applyFill="1" applyBorder="1" applyAlignment="1">
      <alignment vertical="center"/>
    </xf>
    <xf numFmtId="0" fontId="46" fillId="3" borderId="0" xfId="0" applyFont="1" applyFill="1" applyAlignment="1">
      <alignment vertical="center" wrapText="1"/>
    </xf>
    <xf numFmtId="4" fontId="78" fillId="50" borderId="21" xfId="0" applyNumberFormat="1" applyFont="1" applyFill="1" applyBorder="1" applyAlignment="1">
      <alignment horizontal="center" vertical="center"/>
    </xf>
    <xf numFmtId="0" fontId="53" fillId="38" borderId="0" xfId="0" applyFont="1" applyFill="1" applyAlignment="1">
      <alignment vertical="center" wrapText="1"/>
    </xf>
    <xf numFmtId="0" fontId="76" fillId="38" borderId="0" xfId="0" applyFont="1" applyFill="1" applyAlignment="1">
      <alignment vertical="center" wrapText="1"/>
    </xf>
    <xf numFmtId="0" fontId="33" fillId="38" borderId="0" xfId="0" applyFont="1" applyFill="1" applyAlignment="1">
      <alignment vertical="center"/>
    </xf>
    <xf numFmtId="0" fontId="12" fillId="38" borderId="0" xfId="0" applyFont="1" applyFill="1" applyAlignment="1">
      <alignment vertical="center"/>
    </xf>
    <xf numFmtId="2" fontId="5" fillId="44" borderId="0" xfId="2" applyNumberFormat="1" applyFill="1" applyBorder="1" applyAlignment="1">
      <alignment vertical="center"/>
    </xf>
    <xf numFmtId="176" fontId="5" fillId="40" borderId="0" xfId="1317" applyNumberFormat="1" applyFont="1" applyFill="1" applyBorder="1" applyAlignment="1">
      <alignment vertical="center"/>
    </xf>
    <xf numFmtId="49" fontId="2" fillId="0" borderId="0" xfId="0" applyNumberFormat="1" applyFont="1" applyAlignment="1">
      <alignment vertical="center"/>
    </xf>
    <xf numFmtId="177" fontId="5" fillId="40" borderId="0" xfId="1317" applyNumberFormat="1" applyFont="1" applyFill="1" applyBorder="1" applyAlignment="1">
      <alignment vertical="center"/>
    </xf>
    <xf numFmtId="0" fontId="53" fillId="38" borderId="0" xfId="0" applyFont="1" applyFill="1" applyAlignment="1">
      <alignment vertical="center"/>
    </xf>
    <xf numFmtId="2" fontId="5" fillId="0" borderId="0" xfId="2" applyNumberFormat="1" applyFill="1" applyBorder="1" applyAlignment="1">
      <alignment vertical="center"/>
    </xf>
    <xf numFmtId="0" fontId="5" fillId="0" borderId="0" xfId="2" applyFill="1" applyBorder="1" applyAlignment="1">
      <alignment vertical="center"/>
    </xf>
    <xf numFmtId="0" fontId="6" fillId="2" borderId="0" xfId="0" applyFont="1" applyFill="1" applyAlignment="1">
      <alignment horizontal="left" vertical="center"/>
    </xf>
    <xf numFmtId="0" fontId="44" fillId="0" borderId="0" xfId="0" applyFont="1" applyAlignment="1">
      <alignment vertical="center"/>
    </xf>
    <xf numFmtId="0" fontId="43" fillId="0" borderId="0" xfId="0" applyFont="1" applyAlignment="1">
      <alignment horizontal="left" vertical="center" wrapText="1"/>
    </xf>
    <xf numFmtId="0" fontId="42" fillId="0" borderId="0" xfId="0" applyFont="1" applyAlignment="1">
      <alignment horizontal="center" vertical="center" wrapText="1"/>
    </xf>
    <xf numFmtId="0" fontId="28" fillId="2" borderId="0" xfId="0" applyFont="1" applyFill="1" applyAlignment="1">
      <alignment vertical="center"/>
    </xf>
    <xf numFmtId="0" fontId="77" fillId="49" borderId="0" xfId="0" applyFont="1" applyFill="1"/>
    <xf numFmtId="0" fontId="77" fillId="0" borderId="0" xfId="0" applyFont="1"/>
    <xf numFmtId="0" fontId="46" fillId="49" borderId="0" xfId="0" applyFont="1" applyFill="1" applyAlignment="1">
      <alignment horizontal="right"/>
    </xf>
    <xf numFmtId="0" fontId="34" fillId="49" borderId="0" xfId="0" applyFont="1" applyFill="1"/>
    <xf numFmtId="0" fontId="4" fillId="46" borderId="0" xfId="0" applyFont="1" applyFill="1"/>
    <xf numFmtId="0" fontId="0" fillId="46" borderId="0" xfId="0" applyFill="1"/>
    <xf numFmtId="0" fontId="55" fillId="0" borderId="0" xfId="0" applyFont="1"/>
    <xf numFmtId="0" fontId="57" fillId="0" borderId="0" xfId="0" applyFont="1"/>
    <xf numFmtId="3" fontId="33" fillId="0" borderId="0" xfId="0" applyNumberFormat="1" applyFont="1"/>
    <xf numFmtId="181" fontId="0" fillId="0" borderId="0" xfId="1317" applyNumberFormat="1" applyFont="1" applyFill="1" applyBorder="1" applyAlignment="1"/>
    <xf numFmtId="0" fontId="56" fillId="0" borderId="0" xfId="0" applyFont="1"/>
    <xf numFmtId="43" fontId="0" fillId="0" borderId="0" xfId="1317" applyFont="1" applyFill="1" applyBorder="1" applyAlignment="1"/>
    <xf numFmtId="177" fontId="55" fillId="0" borderId="0" xfId="1317" applyNumberFormat="1" applyFont="1" applyFill="1" applyBorder="1" applyAlignment="1"/>
    <xf numFmtId="177" fontId="33" fillId="0" borderId="0" xfId="1317" applyNumberFormat="1" applyFont="1" applyFill="1" applyBorder="1" applyAlignment="1"/>
    <xf numFmtId="184" fontId="78" fillId="50" borderId="21" xfId="0" applyNumberFormat="1" applyFont="1" applyFill="1" applyBorder="1" applyAlignment="1">
      <alignment horizontal="center"/>
    </xf>
    <xf numFmtId="0" fontId="11" fillId="0" borderId="0" xfId="3" applyFill="1" applyBorder="1" applyAlignment="1"/>
    <xf numFmtId="0" fontId="68" fillId="0" borderId="0" xfId="0" applyFont="1" applyAlignment="1">
      <alignment horizontal="center"/>
    </xf>
    <xf numFmtId="0" fontId="68" fillId="0" borderId="0" xfId="0" applyFont="1" applyAlignment="1">
      <alignment horizontal="center" wrapText="1"/>
    </xf>
    <xf numFmtId="183" fontId="0" fillId="0" borderId="0" xfId="0" applyNumberFormat="1"/>
    <xf numFmtId="8" fontId="0" fillId="0" borderId="0" xfId="0" applyNumberFormat="1"/>
    <xf numFmtId="165" fontId="0" fillId="0" borderId="0" xfId="0" applyNumberFormat="1"/>
    <xf numFmtId="0" fontId="70" fillId="0" borderId="0" xfId="0" applyFont="1"/>
    <xf numFmtId="0" fontId="90" fillId="49" borderId="0" xfId="0" applyFont="1" applyFill="1" applyAlignment="1">
      <alignment horizontal="left"/>
    </xf>
    <xf numFmtId="0" fontId="90" fillId="49" borderId="0" xfId="0" applyFont="1" applyFill="1"/>
    <xf numFmtId="4" fontId="78" fillId="50" borderId="0" xfId="0" applyNumberFormat="1" applyFont="1" applyFill="1" applyAlignment="1">
      <alignment horizontal="center" vertical="center"/>
    </xf>
    <xf numFmtId="4" fontId="78" fillId="0" borderId="0" xfId="0" applyNumberFormat="1" applyFont="1" applyAlignment="1">
      <alignment horizontal="center" vertical="center"/>
    </xf>
    <xf numFmtId="3" fontId="78" fillId="0" borderId="21" xfId="0" applyNumberFormat="1" applyFont="1" applyBorder="1" applyAlignment="1">
      <alignment horizontal="center" vertical="center"/>
    </xf>
    <xf numFmtId="177" fontId="1" fillId="0" borderId="0" xfId="0" applyNumberFormat="1" applyFont="1" applyAlignment="1">
      <alignment vertical="center"/>
    </xf>
    <xf numFmtId="3" fontId="78" fillId="0" borderId="0" xfId="0" applyNumberFormat="1" applyFont="1" applyAlignment="1">
      <alignment horizontal="center" vertical="center"/>
    </xf>
    <xf numFmtId="177" fontId="0" fillId="0" borderId="0" xfId="0" applyNumberFormat="1" applyAlignment="1">
      <alignment vertical="center"/>
    </xf>
    <xf numFmtId="0" fontId="34" fillId="0" borderId="0" xfId="0" applyFont="1"/>
    <xf numFmtId="167" fontId="61" fillId="4" borderId="0" xfId="2" applyNumberFormat="1" applyFont="1" applyFill="1" applyBorder="1" applyAlignment="1"/>
    <xf numFmtId="9" fontId="85" fillId="4" borderId="0" xfId="1" applyFont="1" applyFill="1" applyBorder="1" applyAlignment="1"/>
    <xf numFmtId="9" fontId="85" fillId="4" borderId="0" xfId="1" applyFont="1" applyFill="1" applyAlignment="1"/>
    <xf numFmtId="9" fontId="85" fillId="49" borderId="0" xfId="1" applyFont="1" applyFill="1" applyBorder="1" applyAlignment="1"/>
    <xf numFmtId="9" fontId="85" fillId="49" borderId="0" xfId="1" applyFont="1" applyFill="1" applyAlignment="1"/>
    <xf numFmtId="43" fontId="33" fillId="0" borderId="0" xfId="1317" applyFont="1" applyAlignment="1"/>
    <xf numFmtId="43" fontId="30" fillId="0" borderId="0" xfId="1317" applyFont="1"/>
    <xf numFmtId="43" fontId="0" fillId="0" borderId="0" xfId="1317" applyFont="1"/>
    <xf numFmtId="0" fontId="0" fillId="49" borderId="0" xfId="0" applyFill="1" applyAlignment="1">
      <alignment horizontal="center"/>
    </xf>
    <xf numFmtId="177" fontId="0" fillId="49" borderId="0" xfId="1317" applyNumberFormat="1" applyFont="1" applyFill="1" applyAlignment="1"/>
    <xf numFmtId="0" fontId="0" fillId="49" borderId="0" xfId="1317" applyNumberFormat="1" applyFont="1" applyFill="1" applyAlignment="1"/>
    <xf numFmtId="185" fontId="78" fillId="50" borderId="21" xfId="0" applyNumberFormat="1" applyFont="1" applyFill="1" applyBorder="1" applyAlignment="1">
      <alignment horizontal="center" vertical="center"/>
    </xf>
    <xf numFmtId="183" fontId="0" fillId="0" borderId="0" xfId="0" applyNumberFormat="1" applyAlignment="1">
      <alignment horizontal="right"/>
    </xf>
    <xf numFmtId="0" fontId="34" fillId="38" borderId="0" xfId="0" applyFont="1" applyFill="1"/>
    <xf numFmtId="174" fontId="44" fillId="49" borderId="0" xfId="1" applyNumberFormat="1" applyFont="1" applyFill="1" applyBorder="1" applyAlignment="1"/>
    <xf numFmtId="0" fontId="33" fillId="53" borderId="0" xfId="0" applyFont="1" applyFill="1" applyAlignment="1">
      <alignment horizontal="left"/>
    </xf>
    <xf numFmtId="0" fontId="0" fillId="53" borderId="0" xfId="0" applyFill="1" applyAlignment="1">
      <alignment horizontal="left"/>
    </xf>
    <xf numFmtId="49" fontId="46" fillId="0" borderId="0" xfId="0" applyNumberFormat="1" applyFont="1" applyAlignment="1">
      <alignment vertical="center"/>
    </xf>
    <xf numFmtId="3" fontId="78" fillId="50" borderId="32" xfId="0" applyNumberFormat="1" applyFont="1" applyFill="1" applyBorder="1" applyAlignment="1">
      <alignment horizontal="center" vertical="center"/>
    </xf>
    <xf numFmtId="4" fontId="78" fillId="50" borderId="32" xfId="0" applyNumberFormat="1" applyFont="1" applyFill="1" applyBorder="1" applyAlignment="1">
      <alignment horizontal="center" vertical="center"/>
    </xf>
    <xf numFmtId="177" fontId="78" fillId="50" borderId="32" xfId="1317" applyNumberFormat="1" applyFont="1" applyFill="1" applyBorder="1" applyAlignment="1">
      <alignment horizontal="center" vertical="center"/>
    </xf>
    <xf numFmtId="185" fontId="78" fillId="50" borderId="32" xfId="0" applyNumberFormat="1" applyFont="1" applyFill="1" applyBorder="1" applyAlignment="1">
      <alignment horizontal="center" vertical="center"/>
    </xf>
    <xf numFmtId="9" fontId="2" fillId="0" borderId="0" xfId="1" applyFont="1" applyFill="1" applyBorder="1" applyAlignment="1">
      <alignment vertical="center"/>
    </xf>
    <xf numFmtId="0" fontId="12" fillId="0" borderId="0" xfId="0" applyFont="1" applyAlignment="1">
      <alignment vertical="center"/>
    </xf>
    <xf numFmtId="1" fontId="0" fillId="40" borderId="0" xfId="0" applyNumberFormat="1" applyFill="1"/>
    <xf numFmtId="165" fontId="10" fillId="40" borderId="0" xfId="0" applyNumberFormat="1" applyFont="1" applyFill="1" applyAlignment="1">
      <alignment horizontal="right"/>
    </xf>
    <xf numFmtId="9" fontId="4" fillId="44" borderId="0" xfId="0" applyNumberFormat="1" applyFont="1" applyFill="1" applyAlignment="1">
      <alignment horizontal="right"/>
    </xf>
    <xf numFmtId="0" fontId="0" fillId="43" borderId="0" xfId="0" applyFill="1"/>
    <xf numFmtId="4" fontId="0" fillId="49" borderId="0" xfId="0" applyNumberFormat="1" applyFill="1"/>
    <xf numFmtId="177" fontId="2" fillId="3" borderId="0" xfId="1317" applyNumberFormat="1" applyFont="1" applyFill="1" applyAlignment="1">
      <alignment vertical="center"/>
    </xf>
    <xf numFmtId="0" fontId="0" fillId="53" borderId="0" xfId="0" applyFill="1"/>
    <xf numFmtId="0" fontId="3" fillId="49" borderId="0" xfId="0" applyFont="1" applyFill="1" applyAlignment="1">
      <alignment horizontal="center" vertical="center"/>
    </xf>
    <xf numFmtId="0" fontId="0" fillId="49" borderId="0" xfId="0" applyFill="1" applyAlignment="1">
      <alignment horizontal="center" vertical="center"/>
    </xf>
    <xf numFmtId="0" fontId="58" fillId="49" borderId="0" xfId="0" applyFont="1" applyFill="1" applyAlignment="1">
      <alignment horizontal="center" vertical="center"/>
    </xf>
    <xf numFmtId="4" fontId="5" fillId="40" borderId="0" xfId="1317" applyNumberFormat="1" applyFont="1" applyFill="1" applyBorder="1" applyAlignment="1">
      <alignment vertical="center"/>
    </xf>
    <xf numFmtId="0" fontId="93" fillId="42" borderId="0" xfId="1323" applyFont="1" applyFill="1"/>
    <xf numFmtId="0" fontId="93" fillId="42" borderId="0" xfId="1323" quotePrefix="1" applyFont="1" applyFill="1" applyAlignment="1">
      <alignment horizontal="center"/>
    </xf>
    <xf numFmtId="0" fontId="93" fillId="42" borderId="0" xfId="1323" applyFont="1" applyFill="1" applyAlignment="1">
      <alignment horizontal="center"/>
    </xf>
    <xf numFmtId="0" fontId="94" fillId="49" borderId="0" xfId="1323" applyFont="1" applyFill="1"/>
    <xf numFmtId="0" fontId="96" fillId="42" borderId="0" xfId="1323" applyFont="1" applyFill="1" applyAlignment="1">
      <alignment horizontal="center" vertical="center"/>
    </xf>
    <xf numFmtId="3" fontId="93" fillId="42" borderId="0" xfId="1323" applyNumberFormat="1" applyFont="1" applyFill="1"/>
    <xf numFmtId="3" fontId="93" fillId="42" borderId="0" xfId="1323" applyNumberFormat="1" applyFont="1" applyFill="1" applyAlignment="1">
      <alignment horizontal="left"/>
    </xf>
    <xf numFmtId="3" fontId="93" fillId="42" borderId="0" xfId="1323" applyNumberFormat="1" applyFont="1" applyFill="1" applyAlignment="1">
      <alignment horizontal="center"/>
    </xf>
    <xf numFmtId="0" fontId="93" fillId="42" borderId="0" xfId="1323" applyFont="1" applyFill="1" applyAlignment="1">
      <alignment horizontal="left"/>
    </xf>
    <xf numFmtId="0" fontId="93" fillId="42" borderId="0" xfId="1323" applyFont="1" applyFill="1" applyAlignment="1">
      <alignment horizontal="right"/>
    </xf>
    <xf numFmtId="0" fontId="94" fillId="49" borderId="0" xfId="1323" applyFont="1" applyFill="1" applyAlignment="1">
      <alignment horizontal="right"/>
    </xf>
    <xf numFmtId="0" fontId="67" fillId="0" borderId="0" xfId="0" applyFont="1" applyAlignment="1">
      <alignment horizontal="center" vertical="center"/>
    </xf>
    <xf numFmtId="0" fontId="97" fillId="2" borderId="0" xfId="0" applyFont="1" applyFill="1" applyAlignment="1">
      <alignment horizontal="center" vertical="center"/>
    </xf>
    <xf numFmtId="0" fontId="67" fillId="49" borderId="0" xfId="0" applyFont="1" applyFill="1" applyAlignment="1">
      <alignment horizontal="center" vertical="center"/>
    </xf>
    <xf numFmtId="0" fontId="67" fillId="2" borderId="0" xfId="0" applyFont="1" applyFill="1" applyAlignment="1">
      <alignment horizontal="center" vertical="center"/>
    </xf>
    <xf numFmtId="0" fontId="88" fillId="2" borderId="0" xfId="0" applyFont="1" applyFill="1" applyAlignment="1">
      <alignment horizontal="center" vertical="center"/>
    </xf>
    <xf numFmtId="0" fontId="52" fillId="3" borderId="0" xfId="0" applyFont="1" applyFill="1" applyAlignment="1">
      <alignment horizontal="center" vertical="center" wrapText="1"/>
    </xf>
    <xf numFmtId="0" fontId="67" fillId="3" borderId="0" xfId="0" applyFont="1" applyFill="1" applyAlignment="1">
      <alignment horizontal="center" vertical="center"/>
    </xf>
    <xf numFmtId="0" fontId="52" fillId="0" borderId="0" xfId="0" applyFont="1" applyAlignment="1">
      <alignment horizontal="center" vertical="center"/>
    </xf>
    <xf numFmtId="49" fontId="88" fillId="49" borderId="0" xfId="0" applyNumberFormat="1" applyFont="1" applyFill="1" applyAlignment="1">
      <alignment horizontal="center" vertical="center"/>
    </xf>
    <xf numFmtId="49" fontId="52" fillId="49" borderId="0" xfId="0" applyNumberFormat="1" applyFont="1" applyFill="1" applyAlignment="1">
      <alignment horizontal="center"/>
    </xf>
    <xf numFmtId="49" fontId="88" fillId="49" borderId="0" xfId="0" applyNumberFormat="1" applyFont="1" applyFill="1" applyAlignment="1">
      <alignment horizontal="center"/>
    </xf>
    <xf numFmtId="43" fontId="99" fillId="0" borderId="0" xfId="1317" applyFont="1" applyFill="1" applyBorder="1" applyAlignment="1">
      <alignment horizontal="center" vertical="center"/>
    </xf>
    <xf numFmtId="49" fontId="88" fillId="0" borderId="0" xfId="0" applyNumberFormat="1" applyFont="1" applyAlignment="1">
      <alignment horizontal="center"/>
    </xf>
    <xf numFmtId="0" fontId="54" fillId="38" borderId="0" xfId="0" applyFont="1" applyFill="1" applyAlignment="1">
      <alignment horizontal="center" vertical="center"/>
    </xf>
    <xf numFmtId="49" fontId="88" fillId="0" borderId="0" xfId="0" applyNumberFormat="1" applyFont="1" applyAlignment="1">
      <alignment horizontal="center" vertical="center"/>
    </xf>
    <xf numFmtId="4" fontId="100" fillId="0" borderId="0" xfId="0" applyNumberFormat="1" applyFont="1" applyAlignment="1">
      <alignment horizontal="center" vertical="center"/>
    </xf>
    <xf numFmtId="0" fontId="101" fillId="0" borderId="0" xfId="0" applyFont="1" applyAlignment="1">
      <alignment horizontal="center" vertical="center"/>
    </xf>
    <xf numFmtId="0" fontId="102" fillId="0" borderId="0" xfId="0" applyFont="1" applyAlignment="1">
      <alignment horizontal="center" vertical="center"/>
    </xf>
    <xf numFmtId="0" fontId="103" fillId="0" borderId="0" xfId="3" quotePrefix="1" applyFont="1" applyFill="1" applyBorder="1" applyAlignment="1">
      <alignment horizontal="center" vertical="center"/>
    </xf>
    <xf numFmtId="0" fontId="104" fillId="49" borderId="0" xfId="0" applyFont="1" applyFill="1"/>
    <xf numFmtId="0" fontId="106" fillId="49" borderId="33" xfId="1323" applyFont="1" applyFill="1" applyBorder="1" applyAlignment="1">
      <alignment horizontal="center" vertical="center"/>
    </xf>
    <xf numFmtId="0" fontId="104" fillId="0" borderId="0" xfId="0" applyFont="1" applyAlignment="1">
      <alignment horizontal="center" vertical="center"/>
    </xf>
    <xf numFmtId="185" fontId="5" fillId="40" borderId="0" xfId="1317" applyNumberFormat="1" applyFont="1" applyFill="1" applyBorder="1" applyAlignment="1">
      <alignment vertical="center"/>
    </xf>
    <xf numFmtId="0" fontId="0" fillId="2" borderId="33" xfId="0" applyFill="1" applyBorder="1" applyAlignment="1">
      <alignment horizontal="center"/>
    </xf>
    <xf numFmtId="9" fontId="5" fillId="44" borderId="0" xfId="2" applyNumberFormat="1" applyFill="1" applyBorder="1" applyAlignment="1"/>
    <xf numFmtId="182" fontId="5" fillId="0" borderId="0" xfId="1317" applyNumberFormat="1" applyFont="1" applyFill="1" applyBorder="1" applyAlignment="1"/>
    <xf numFmtId="2" fontId="5" fillId="49" borderId="0" xfId="1317" applyNumberFormat="1" applyFont="1" applyFill="1" applyBorder="1" applyAlignment="1"/>
    <xf numFmtId="176" fontId="0" fillId="49" borderId="0" xfId="1317" applyNumberFormat="1" applyFont="1" applyFill="1" applyAlignment="1"/>
    <xf numFmtId="177" fontId="5" fillId="4" borderId="0" xfId="1317" applyNumberFormat="1" applyFont="1" applyFill="1" applyBorder="1" applyAlignment="1"/>
    <xf numFmtId="178" fontId="5" fillId="4" borderId="0" xfId="1317" applyNumberFormat="1" applyFont="1" applyFill="1" applyBorder="1" applyAlignment="1"/>
    <xf numFmtId="178" fontId="0" fillId="49" borderId="0" xfId="1317" applyNumberFormat="1" applyFont="1" applyFill="1" applyAlignment="1"/>
    <xf numFmtId="178" fontId="5" fillId="49" borderId="0" xfId="1317" applyNumberFormat="1" applyFont="1" applyFill="1" applyBorder="1" applyAlignment="1"/>
    <xf numFmtId="0" fontId="2" fillId="49" borderId="0" xfId="0" applyFont="1" applyFill="1" applyAlignment="1">
      <alignment vertical="center"/>
    </xf>
    <xf numFmtId="0" fontId="63" fillId="49" borderId="0" xfId="0" applyFont="1" applyFill="1" applyAlignment="1">
      <alignment wrapText="1"/>
    </xf>
    <xf numFmtId="0" fontId="29" fillId="49" borderId="0" xfId="0" applyFont="1" applyFill="1" applyAlignment="1">
      <alignment horizontal="left"/>
    </xf>
    <xf numFmtId="177" fontId="4" fillId="49" borderId="0" xfId="1317" applyNumberFormat="1" applyFont="1" applyFill="1" applyBorder="1" applyAlignment="1"/>
    <xf numFmtId="2" fontId="5" fillId="49" borderId="0" xfId="0" applyNumberFormat="1" applyFont="1" applyFill="1" applyAlignment="1">
      <alignment horizontal="left"/>
    </xf>
    <xf numFmtId="2" fontId="5" fillId="49" borderId="0" xfId="0" applyNumberFormat="1" applyFont="1" applyFill="1"/>
    <xf numFmtId="2" fontId="0" fillId="49" borderId="0" xfId="0" applyNumberFormat="1" applyFill="1"/>
    <xf numFmtId="2" fontId="5" fillId="4" borderId="0" xfId="1317" applyNumberFormat="1" applyFont="1" applyFill="1" applyBorder="1" applyAlignment="1"/>
    <xf numFmtId="2" fontId="88" fillId="49" borderId="0" xfId="0" applyNumberFormat="1" applyFont="1" applyFill="1" applyAlignment="1">
      <alignment horizontal="center"/>
    </xf>
    <xf numFmtId="2" fontId="4" fillId="49" borderId="0" xfId="0" applyNumberFormat="1" applyFont="1" applyFill="1" applyAlignment="1">
      <alignment horizontal="center"/>
    </xf>
    <xf numFmtId="2" fontId="89" fillId="49" borderId="0" xfId="0" applyNumberFormat="1" applyFont="1" applyFill="1" applyAlignment="1">
      <alignment horizontal="left"/>
    </xf>
    <xf numFmtId="2" fontId="4" fillId="49" borderId="0" xfId="0" applyNumberFormat="1" applyFont="1" applyFill="1"/>
    <xf numFmtId="167" fontId="61" fillId="4" borderId="0" xfId="0" applyNumberFormat="1" applyFont="1" applyFill="1"/>
    <xf numFmtId="167" fontId="61" fillId="49" borderId="0" xfId="2" applyNumberFormat="1" applyFont="1" applyFill="1" applyBorder="1" applyAlignment="1"/>
    <xf numFmtId="167" fontId="61" fillId="49" borderId="0" xfId="0" applyNumberFormat="1" applyFont="1" applyFill="1"/>
    <xf numFmtId="0" fontId="67" fillId="0" borderId="0" xfId="0" applyFont="1" applyAlignment="1">
      <alignment vertical="center"/>
    </xf>
    <xf numFmtId="0" fontId="97" fillId="2" borderId="0" xfId="0" applyFont="1" applyFill="1" applyAlignment="1">
      <alignment vertical="center"/>
    </xf>
    <xf numFmtId="0" fontId="67" fillId="2" borderId="0" xfId="0" applyFont="1" applyFill="1" applyAlignment="1">
      <alignment vertical="center"/>
    </xf>
    <xf numFmtId="0" fontId="67" fillId="3" borderId="0" xfId="0" applyFont="1" applyFill="1" applyAlignment="1">
      <alignment vertical="center"/>
    </xf>
    <xf numFmtId="0" fontId="67" fillId="3" borderId="0" xfId="0" applyFont="1" applyFill="1" applyAlignment="1">
      <alignment vertical="center" wrapText="1"/>
    </xf>
    <xf numFmtId="0" fontId="67" fillId="0" borderId="0" xfId="0" applyFont="1" applyAlignment="1">
      <alignment vertical="center" wrapText="1"/>
    </xf>
    <xf numFmtId="0" fontId="52" fillId="0" borderId="0" xfId="0" applyFont="1" applyAlignment="1">
      <alignment vertical="center"/>
    </xf>
    <xf numFmtId="0" fontId="67" fillId="49" borderId="0" xfId="0" applyFont="1" applyFill="1" applyAlignment="1">
      <alignment vertical="center"/>
    </xf>
    <xf numFmtId="0" fontId="102" fillId="0" borderId="0" xfId="0" applyFont="1" applyAlignment="1">
      <alignment vertical="center"/>
    </xf>
    <xf numFmtId="49" fontId="88" fillId="49" borderId="0" xfId="0" applyNumberFormat="1" applyFont="1" applyFill="1"/>
    <xf numFmtId="3" fontId="100" fillId="50" borderId="21" xfId="0" applyNumberFormat="1" applyFont="1" applyFill="1" applyBorder="1" applyAlignment="1">
      <alignment horizontal="center" vertical="center"/>
    </xf>
    <xf numFmtId="3" fontId="100" fillId="50" borderId="32" xfId="0" applyNumberFormat="1" applyFont="1" applyFill="1" applyBorder="1" applyAlignment="1">
      <alignment horizontal="center" vertical="center"/>
    </xf>
    <xf numFmtId="49" fontId="88" fillId="49" borderId="0" xfId="0" applyNumberFormat="1" applyFont="1" applyFill="1" applyAlignment="1">
      <alignment vertical="center"/>
    </xf>
    <xf numFmtId="3" fontId="100" fillId="0" borderId="21" xfId="0" applyNumberFormat="1" applyFont="1" applyBorder="1" applyAlignment="1">
      <alignment horizontal="center" vertical="center"/>
    </xf>
    <xf numFmtId="0" fontId="103" fillId="0" borderId="0" xfId="3" quotePrefix="1" applyFont="1" applyFill="1" applyBorder="1" applyAlignment="1">
      <alignment vertical="center"/>
    </xf>
    <xf numFmtId="176" fontId="99" fillId="40" borderId="0" xfId="1317" applyNumberFormat="1" applyFont="1" applyFill="1" applyBorder="1" applyAlignment="1">
      <alignment vertical="center"/>
    </xf>
    <xf numFmtId="49" fontId="52" fillId="49" borderId="0" xfId="0" applyNumberFormat="1" applyFont="1" applyFill="1" applyAlignment="1">
      <alignment vertical="center"/>
    </xf>
    <xf numFmtId="49" fontId="52" fillId="49" borderId="0" xfId="0" applyNumberFormat="1" applyFont="1" applyFill="1"/>
    <xf numFmtId="177" fontId="67" fillId="0" borderId="0" xfId="0" applyNumberFormat="1" applyFont="1" applyAlignment="1">
      <alignment vertical="center"/>
    </xf>
    <xf numFmtId="49" fontId="88" fillId="0" borderId="0" xfId="0" applyNumberFormat="1" applyFont="1" applyAlignment="1">
      <alignment vertical="center"/>
    </xf>
    <xf numFmtId="3" fontId="100" fillId="50" borderId="0" xfId="0" applyNumberFormat="1" applyFont="1" applyFill="1" applyAlignment="1">
      <alignment horizontal="center" vertical="center"/>
    </xf>
    <xf numFmtId="3" fontId="100" fillId="0" borderId="0" xfId="0" applyNumberFormat="1" applyFont="1" applyAlignment="1">
      <alignment horizontal="center" vertical="center"/>
    </xf>
    <xf numFmtId="49" fontId="52" fillId="0" borderId="0" xfId="0" applyNumberFormat="1" applyFont="1" applyAlignment="1">
      <alignment vertical="center"/>
    </xf>
    <xf numFmtId="43" fontId="67" fillId="0" borderId="0" xfId="1317" applyFont="1" applyFill="1" applyAlignment="1">
      <alignment vertical="center"/>
    </xf>
    <xf numFmtId="0" fontId="88" fillId="3" borderId="0" xfId="0" applyFont="1" applyFill="1" applyAlignment="1">
      <alignment vertical="center"/>
    </xf>
    <xf numFmtId="177" fontId="67" fillId="3" borderId="0" xfId="1317" applyNumberFormat="1" applyFont="1" applyFill="1" applyAlignment="1">
      <alignment vertical="center"/>
    </xf>
    <xf numFmtId="9" fontId="67" fillId="0" borderId="0" xfId="1" applyFont="1" applyFill="1" applyBorder="1" applyAlignment="1">
      <alignment vertical="center"/>
    </xf>
    <xf numFmtId="9" fontId="99" fillId="49" borderId="0" xfId="2" applyNumberFormat="1" applyFont="1" applyFill="1" applyBorder="1" applyAlignment="1">
      <alignment vertical="center"/>
    </xf>
    <xf numFmtId="0" fontId="88" fillId="2" borderId="0" xfId="0" applyFont="1" applyFill="1" applyAlignment="1">
      <alignment vertical="center"/>
    </xf>
    <xf numFmtId="0" fontId="52" fillId="3" borderId="0" xfId="0" applyFont="1" applyFill="1" applyAlignment="1">
      <alignment vertical="center" wrapText="1"/>
    </xf>
    <xf numFmtId="0" fontId="88" fillId="3" borderId="0" xfId="0" applyFont="1" applyFill="1" applyAlignment="1">
      <alignment vertical="center" wrapText="1"/>
    </xf>
    <xf numFmtId="0" fontId="52" fillId="3" borderId="0" xfId="0" applyFont="1" applyFill="1" applyAlignment="1">
      <alignment horizontal="left" vertical="center" wrapText="1"/>
    </xf>
    <xf numFmtId="4" fontId="100" fillId="50" borderId="21" xfId="0" applyNumberFormat="1" applyFont="1" applyFill="1" applyBorder="1" applyAlignment="1">
      <alignment horizontal="center" vertical="center"/>
    </xf>
    <xf numFmtId="4" fontId="100" fillId="50" borderId="32" xfId="0" applyNumberFormat="1" applyFont="1" applyFill="1" applyBorder="1" applyAlignment="1">
      <alignment horizontal="center" vertical="center"/>
    </xf>
    <xf numFmtId="4" fontId="99" fillId="40" borderId="0" xfId="1317" applyNumberFormat="1" applyFont="1" applyFill="1" applyBorder="1" applyAlignment="1">
      <alignment vertical="center"/>
    </xf>
    <xf numFmtId="43" fontId="99" fillId="49" borderId="0" xfId="1317" applyFont="1" applyFill="1" applyBorder="1" applyAlignment="1">
      <alignment vertical="center"/>
    </xf>
    <xf numFmtId="43" fontId="99" fillId="0" borderId="0" xfId="1317" applyFont="1" applyFill="1" applyBorder="1" applyAlignment="1">
      <alignment vertical="center"/>
    </xf>
    <xf numFmtId="49" fontId="88" fillId="0" borderId="0" xfId="0" applyNumberFormat="1" applyFont="1"/>
    <xf numFmtId="0" fontId="88" fillId="2" borderId="0" xfId="0" applyFont="1" applyFill="1" applyAlignment="1">
      <alignment vertical="center" wrapText="1"/>
    </xf>
    <xf numFmtId="0" fontId="97" fillId="0" borderId="0" xfId="0" applyFont="1" applyAlignment="1">
      <alignment horizontal="left" vertical="center" wrapText="1"/>
    </xf>
    <xf numFmtId="3" fontId="88" fillId="0" borderId="0" xfId="0" applyNumberFormat="1" applyFont="1" applyAlignment="1">
      <alignment vertical="center"/>
    </xf>
    <xf numFmtId="185" fontId="100" fillId="50" borderId="21" xfId="0" applyNumberFormat="1" applyFont="1" applyFill="1" applyBorder="1" applyAlignment="1">
      <alignment horizontal="center" vertical="center"/>
    </xf>
    <xf numFmtId="0" fontId="97" fillId="2" borderId="0" xfId="0" applyFont="1" applyFill="1" applyAlignment="1">
      <alignment vertical="center" wrapText="1"/>
    </xf>
    <xf numFmtId="0" fontId="97" fillId="0" borderId="0" xfId="0" applyFont="1" applyAlignment="1">
      <alignment vertical="center" wrapText="1"/>
    </xf>
    <xf numFmtId="0" fontId="54" fillId="38" borderId="0" xfId="0" applyFont="1" applyFill="1" applyAlignment="1">
      <alignment vertical="center"/>
    </xf>
    <xf numFmtId="0" fontId="54" fillId="0" borderId="0" xfId="0" applyFont="1" applyAlignment="1">
      <alignment vertical="center"/>
    </xf>
    <xf numFmtId="49" fontId="67" fillId="0" borderId="0" xfId="0" applyNumberFormat="1" applyFont="1" applyAlignment="1">
      <alignment vertical="center"/>
    </xf>
    <xf numFmtId="3" fontId="67" fillId="0" borderId="0" xfId="0" applyNumberFormat="1" applyFont="1" applyAlignment="1">
      <alignment vertical="center"/>
    </xf>
    <xf numFmtId="3" fontId="88" fillId="49" borderId="0" xfId="0" applyNumberFormat="1" applyFont="1" applyFill="1" applyAlignment="1">
      <alignment vertical="center"/>
    </xf>
    <xf numFmtId="3" fontId="99" fillId="44" borderId="0" xfId="2" applyNumberFormat="1" applyFont="1" applyFill="1" applyBorder="1" applyAlignment="1">
      <alignment vertical="center"/>
    </xf>
    <xf numFmtId="3" fontId="99" fillId="0" borderId="0" xfId="1317" applyNumberFormat="1" applyFont="1" applyFill="1" applyBorder="1" applyAlignment="1">
      <alignment vertical="center"/>
    </xf>
    <xf numFmtId="3" fontId="52" fillId="0" borderId="0" xfId="0" applyNumberFormat="1" applyFont="1" applyAlignment="1">
      <alignment vertical="center"/>
    </xf>
    <xf numFmtId="3" fontId="99" fillId="40" borderId="0" xfId="1317" applyNumberFormat="1" applyFont="1" applyFill="1" applyBorder="1" applyAlignment="1">
      <alignment vertical="center"/>
    </xf>
    <xf numFmtId="3" fontId="52" fillId="49" borderId="0" xfId="0" applyNumberFormat="1" applyFont="1" applyFill="1"/>
    <xf numFmtId="3" fontId="88" fillId="49" borderId="0" xfId="0" applyNumberFormat="1" applyFont="1" applyFill="1"/>
    <xf numFmtId="3" fontId="97" fillId="0" borderId="0" xfId="0" applyNumberFormat="1" applyFont="1" applyAlignment="1">
      <alignment horizontal="left" vertical="center" wrapText="1"/>
    </xf>
    <xf numFmtId="3" fontId="88" fillId="2" borderId="0" xfId="0" applyNumberFormat="1" applyFont="1" applyFill="1" applyAlignment="1">
      <alignment vertical="center" wrapText="1"/>
    </xf>
    <xf numFmtId="3" fontId="67" fillId="3" borderId="0" xfId="0" applyNumberFormat="1" applyFont="1" applyFill="1" applyAlignment="1">
      <alignment vertical="center" wrapText="1"/>
    </xf>
    <xf numFmtId="3" fontId="99" fillId="0" borderId="0" xfId="2" applyNumberFormat="1" applyFont="1" applyFill="1" applyBorder="1" applyAlignment="1">
      <alignment vertical="center"/>
    </xf>
    <xf numFmtId="3" fontId="99" fillId="0" borderId="0" xfId="1" applyNumberFormat="1" applyFont="1" applyFill="1" applyBorder="1" applyAlignment="1">
      <alignment vertical="center"/>
    </xf>
    <xf numFmtId="3" fontId="67" fillId="0" borderId="0" xfId="0" applyNumberFormat="1" applyFont="1" applyAlignment="1">
      <alignment horizontal="center" vertical="center"/>
    </xf>
    <xf numFmtId="3" fontId="100" fillId="50" borderId="32" xfId="1317" applyNumberFormat="1" applyFont="1" applyFill="1" applyBorder="1" applyAlignment="1">
      <alignment horizontal="center" vertical="center"/>
    </xf>
    <xf numFmtId="0" fontId="88" fillId="2" borderId="0" xfId="0" applyFont="1" applyFill="1" applyAlignment="1">
      <alignment horizontal="left" vertical="center"/>
    </xf>
    <xf numFmtId="0" fontId="101" fillId="2" borderId="0" xfId="0" applyFont="1" applyFill="1" applyAlignment="1">
      <alignment vertical="center"/>
    </xf>
    <xf numFmtId="185" fontId="100" fillId="50" borderId="32" xfId="0" applyNumberFormat="1" applyFont="1" applyFill="1" applyBorder="1" applyAlignment="1">
      <alignment horizontal="center" vertical="center"/>
    </xf>
    <xf numFmtId="0" fontId="101" fillId="0" borderId="0" xfId="0" applyFont="1" applyAlignment="1">
      <alignment vertical="center"/>
    </xf>
    <xf numFmtId="0" fontId="99" fillId="0" borderId="0" xfId="2" applyFont="1" applyFill="1" applyBorder="1" applyAlignment="1">
      <alignment vertical="center"/>
    </xf>
    <xf numFmtId="49" fontId="88" fillId="2" borderId="0" xfId="0" applyNumberFormat="1" applyFont="1" applyFill="1" applyAlignment="1">
      <alignment vertical="center"/>
    </xf>
    <xf numFmtId="0" fontId="107" fillId="2" borderId="0" xfId="0" applyFont="1" applyFill="1" applyAlignment="1">
      <alignment vertical="center"/>
    </xf>
    <xf numFmtId="0" fontId="67" fillId="3" borderId="0" xfId="0" applyFont="1" applyFill="1" applyAlignment="1">
      <alignment horizontal="center" vertical="center" wrapText="1"/>
    </xf>
    <xf numFmtId="0" fontId="108" fillId="0" borderId="0" xfId="0" applyFont="1" applyAlignment="1">
      <alignment horizontal="left" vertical="center" wrapText="1"/>
    </xf>
    <xf numFmtId="0" fontId="109" fillId="0" borderId="0" xfId="0" applyFont="1" applyAlignment="1">
      <alignment horizontal="center" vertical="center" wrapText="1"/>
    </xf>
    <xf numFmtId="0" fontId="29" fillId="0" borderId="17" xfId="0" applyFont="1" applyBorder="1"/>
    <xf numFmtId="0" fontId="33" fillId="0" borderId="17" xfId="0" applyFont="1" applyBorder="1"/>
    <xf numFmtId="0" fontId="0" fillId="0" borderId="17" xfId="0" applyBorder="1" applyAlignment="1">
      <alignment horizontal="left"/>
    </xf>
    <xf numFmtId="49" fontId="0" fillId="0" borderId="19" xfId="0" applyNumberFormat="1" applyBorder="1" applyAlignment="1">
      <alignment horizontal="left"/>
    </xf>
    <xf numFmtId="3" fontId="99" fillId="40" borderId="0" xfId="1317" applyNumberFormat="1" applyFont="1" applyFill="1" applyBorder="1" applyAlignment="1">
      <alignment horizontal="center" vertical="center"/>
    </xf>
    <xf numFmtId="0" fontId="67" fillId="3" borderId="14" xfId="0" applyFont="1" applyFill="1" applyBorder="1" applyAlignment="1">
      <alignment vertical="center" wrapText="1"/>
    </xf>
    <xf numFmtId="4" fontId="99" fillId="40" borderId="0" xfId="1317" applyNumberFormat="1" applyFont="1" applyFill="1" applyBorder="1" applyAlignment="1">
      <alignment horizontal="center" vertical="center"/>
    </xf>
    <xf numFmtId="0" fontId="97" fillId="49" borderId="0" xfId="0" applyFont="1" applyFill="1" applyAlignment="1">
      <alignment horizontal="left" vertical="center" wrapText="1"/>
    </xf>
    <xf numFmtId="3" fontId="110" fillId="49" borderId="35" xfId="1323" applyNumberFormat="1" applyFont="1" applyFill="1" applyBorder="1" applyAlignment="1">
      <alignment horizontal="center"/>
    </xf>
    <xf numFmtId="3" fontId="110" fillId="49" borderId="36" xfId="1323" applyNumberFormat="1" applyFont="1" applyFill="1" applyBorder="1" applyAlignment="1">
      <alignment horizontal="center"/>
    </xf>
    <xf numFmtId="3" fontId="110" fillId="49" borderId="37" xfId="1323" applyNumberFormat="1" applyFont="1" applyFill="1" applyBorder="1" applyAlignment="1">
      <alignment horizontal="center"/>
    </xf>
    <xf numFmtId="0" fontId="111" fillId="55" borderId="35" xfId="0" applyFont="1" applyFill="1" applyBorder="1"/>
    <xf numFmtId="0" fontId="111" fillId="55" borderId="36" xfId="0" applyFont="1" applyFill="1" applyBorder="1"/>
    <xf numFmtId="0" fontId="111" fillId="55" borderId="37" xfId="0" applyFont="1" applyFill="1" applyBorder="1"/>
    <xf numFmtId="177" fontId="45" fillId="49" borderId="40" xfId="1317" applyNumberFormat="1" applyFont="1" applyFill="1" applyBorder="1" applyAlignment="1"/>
    <xf numFmtId="177" fontId="45" fillId="49" borderId="2" xfId="1317" applyNumberFormat="1" applyFont="1" applyFill="1" applyBorder="1" applyAlignment="1"/>
    <xf numFmtId="177" fontId="45" fillId="49" borderId="38" xfId="1317" applyNumberFormat="1" applyFont="1" applyFill="1" applyBorder="1" applyAlignment="1"/>
    <xf numFmtId="177" fontId="45" fillId="49" borderId="39" xfId="1317" applyNumberFormat="1" applyFont="1" applyFill="1" applyBorder="1" applyAlignment="1"/>
    <xf numFmtId="177" fontId="45" fillId="49" borderId="41" xfId="1317" applyNumberFormat="1" applyFont="1" applyFill="1" applyBorder="1" applyAlignment="1"/>
    <xf numFmtId="177" fontId="45" fillId="49" borderId="42" xfId="1317" applyNumberFormat="1" applyFont="1" applyFill="1" applyBorder="1" applyAlignment="1"/>
    <xf numFmtId="0" fontId="81" fillId="49" borderId="0" xfId="0" applyFont="1" applyFill="1" applyAlignment="1">
      <alignment horizontal="right"/>
    </xf>
    <xf numFmtId="0" fontId="112" fillId="49" borderId="0" xfId="0" applyFont="1" applyFill="1"/>
    <xf numFmtId="0" fontId="52" fillId="0" borderId="0" xfId="0" applyFont="1" applyAlignment="1">
      <alignment horizontal="left" vertical="center" wrapText="1"/>
    </xf>
    <xf numFmtId="0" fontId="113" fillId="0" borderId="0" xfId="0" applyFont="1" applyAlignment="1">
      <alignment vertical="center"/>
    </xf>
    <xf numFmtId="4" fontId="100" fillId="50" borderId="0" xfId="0" applyNumberFormat="1" applyFont="1" applyFill="1" applyAlignment="1">
      <alignment horizontal="center" vertical="center"/>
    </xf>
    <xf numFmtId="0" fontId="4" fillId="38" borderId="0" xfId="0" applyFont="1" applyFill="1" applyAlignment="1">
      <alignment wrapText="1"/>
    </xf>
    <xf numFmtId="0" fontId="0" fillId="0" borderId="0" xfId="0" applyAlignment="1">
      <alignment horizontal="center" vertical="center"/>
    </xf>
    <xf numFmtId="49" fontId="4" fillId="40" borderId="0" xfId="0" applyNumberFormat="1" applyFont="1" applyFill="1" applyAlignment="1">
      <alignment vertical="center"/>
    </xf>
    <xf numFmtId="4" fontId="78" fillId="40" borderId="21" xfId="0" applyNumberFormat="1" applyFont="1" applyFill="1" applyBorder="1" applyAlignment="1">
      <alignment horizontal="center" vertical="center"/>
    </xf>
    <xf numFmtId="3" fontId="5" fillId="44" borderId="0" xfId="2" applyNumberFormat="1" applyFill="1" applyBorder="1" applyAlignment="1">
      <alignment vertical="center"/>
    </xf>
    <xf numFmtId="0" fontId="6" fillId="49" borderId="0" xfId="0" applyFont="1" applyFill="1" applyAlignment="1">
      <alignment vertical="center"/>
    </xf>
    <xf numFmtId="0" fontId="8" fillId="49" borderId="0" xfId="0" applyFont="1" applyFill="1" applyAlignment="1">
      <alignment horizontal="left" vertical="center" wrapText="1"/>
    </xf>
    <xf numFmtId="177" fontId="64" fillId="4" borderId="0" xfId="1317" applyNumberFormat="1" applyFont="1" applyFill="1" applyBorder="1" applyAlignment="1"/>
    <xf numFmtId="177" fontId="0" fillId="49" borderId="0" xfId="0" applyNumberFormat="1" applyFill="1" applyAlignment="1">
      <alignment horizontal="left"/>
    </xf>
    <xf numFmtId="177" fontId="5" fillId="49" borderId="0" xfId="1317" applyNumberFormat="1" applyFont="1" applyFill="1" applyBorder="1" applyAlignment="1">
      <alignment horizontal="left"/>
    </xf>
    <xf numFmtId="0" fontId="106" fillId="49" borderId="33" xfId="1323" applyFont="1" applyFill="1" applyBorder="1" applyAlignment="1">
      <alignment horizontal="center" vertical="center" wrapText="1"/>
    </xf>
    <xf numFmtId="185" fontId="100" fillId="50" borderId="0" xfId="0" applyNumberFormat="1" applyFont="1" applyFill="1" applyAlignment="1">
      <alignment horizontal="center" vertical="center"/>
    </xf>
    <xf numFmtId="177" fontId="78" fillId="50" borderId="21" xfId="1317" applyNumberFormat="1" applyFont="1" applyFill="1" applyBorder="1" applyAlignment="1">
      <alignment horizontal="right"/>
    </xf>
    <xf numFmtId="2" fontId="78" fillId="56" borderId="21" xfId="0" applyNumberFormat="1" applyFont="1" applyFill="1" applyBorder="1" applyAlignment="1">
      <alignment horizontal="center"/>
    </xf>
    <xf numFmtId="0" fontId="4" fillId="0" borderId="17" xfId="0" applyFont="1" applyBorder="1" applyAlignment="1">
      <alignment horizontal="left"/>
    </xf>
    <xf numFmtId="0" fontId="112" fillId="49" borderId="0" xfId="2" applyFont="1" applyFill="1" applyBorder="1" applyAlignment="1"/>
    <xf numFmtId="182" fontId="112" fillId="49" borderId="0" xfId="1317" applyNumberFormat="1" applyFont="1" applyFill="1" applyBorder="1" applyAlignment="1"/>
    <xf numFmtId="176" fontId="26" fillId="49" borderId="0" xfId="1317" applyNumberFormat="1" applyFont="1" applyFill="1" applyAlignment="1"/>
    <xf numFmtId="43" fontId="26" fillId="49" borderId="0" xfId="1317" applyFont="1" applyFill="1" applyAlignment="1"/>
    <xf numFmtId="0" fontId="26" fillId="49" borderId="0" xfId="0" applyFont="1" applyFill="1"/>
    <xf numFmtId="185" fontId="99" fillId="40" borderId="0" xfId="1317" applyNumberFormat="1" applyFont="1" applyFill="1" applyBorder="1" applyAlignment="1">
      <alignment vertical="center"/>
    </xf>
    <xf numFmtId="0" fontId="0" fillId="7" borderId="18" xfId="0" applyFill="1" applyBorder="1"/>
    <xf numFmtId="0" fontId="0" fillId="47" borderId="18" xfId="0" applyFill="1" applyBorder="1"/>
    <xf numFmtId="0" fontId="0" fillId="6" borderId="18" xfId="0" applyFill="1" applyBorder="1"/>
    <xf numFmtId="3" fontId="0" fillId="0" borderId="18" xfId="0" applyNumberFormat="1" applyBorder="1"/>
    <xf numFmtId="0" fontId="0" fillId="7" borderId="17" xfId="0" applyFill="1" applyBorder="1"/>
    <xf numFmtId="0" fontId="0" fillId="7" borderId="0" xfId="0" applyFill="1"/>
    <xf numFmtId="0" fontId="4" fillId="47" borderId="17" xfId="0" applyFont="1" applyFill="1" applyBorder="1"/>
    <xf numFmtId="0" fontId="4" fillId="47" borderId="0" xfId="0" applyFont="1" applyFill="1"/>
    <xf numFmtId="0" fontId="0" fillId="6" borderId="17" xfId="0" applyFill="1" applyBorder="1"/>
    <xf numFmtId="0" fontId="0" fillId="6" borderId="0" xfId="0" applyFill="1"/>
    <xf numFmtId="3" fontId="0" fillId="0" borderId="17" xfId="0" applyNumberFormat="1" applyBorder="1"/>
    <xf numFmtId="3" fontId="59" fillId="0" borderId="0" xfId="0" applyNumberFormat="1" applyFont="1"/>
    <xf numFmtId="3" fontId="59" fillId="0" borderId="18" xfId="0" applyNumberFormat="1" applyFont="1" applyBorder="1"/>
    <xf numFmtId="0" fontId="81" fillId="0" borderId="0" xfId="0" applyFont="1" applyAlignment="1">
      <alignment vertical="center"/>
    </xf>
    <xf numFmtId="49" fontId="46" fillId="57" borderId="0" xfId="0" applyNumberFormat="1" applyFont="1" applyFill="1"/>
    <xf numFmtId="4" fontId="100" fillId="57" borderId="0" xfId="0" applyNumberFormat="1" applyFont="1" applyFill="1" applyAlignment="1">
      <alignment horizontal="center" vertical="center"/>
    </xf>
    <xf numFmtId="0" fontId="48" fillId="0" borderId="40" xfId="0" applyFont="1" applyBorder="1" applyAlignment="1">
      <alignment horizontal="left"/>
    </xf>
    <xf numFmtId="0" fontId="48" fillId="0" borderId="2" xfId="0" applyFont="1" applyBorder="1" applyAlignment="1">
      <alignment horizontal="left"/>
    </xf>
    <xf numFmtId="0" fontId="49" fillId="0" borderId="40" xfId="0" applyFont="1" applyBorder="1"/>
    <xf numFmtId="0" fontId="49" fillId="0" borderId="2" xfId="0" applyFont="1" applyBorder="1"/>
    <xf numFmtId="0" fontId="49" fillId="0" borderId="41" xfId="0" applyFont="1" applyBorder="1"/>
    <xf numFmtId="0" fontId="49" fillId="0" borderId="45" xfId="0" applyFont="1" applyBorder="1"/>
    <xf numFmtId="0" fontId="49" fillId="0" borderId="42" xfId="0" applyFont="1" applyBorder="1"/>
    <xf numFmtId="0" fontId="0" fillId="43" borderId="46" xfId="0" applyFill="1" applyBorder="1"/>
    <xf numFmtId="0" fontId="0" fillId="43" borderId="44" xfId="0" applyFill="1" applyBorder="1"/>
    <xf numFmtId="0" fontId="47" fillId="43" borderId="43" xfId="0" applyFont="1" applyFill="1" applyBorder="1" applyAlignment="1">
      <alignment vertical="center"/>
    </xf>
    <xf numFmtId="0" fontId="88" fillId="3" borderId="0" xfId="0" applyFont="1" applyFill="1" applyAlignment="1">
      <alignment horizontal="left"/>
    </xf>
    <xf numFmtId="0" fontId="0" fillId="6" borderId="30" xfId="0" applyFill="1" applyBorder="1"/>
    <xf numFmtId="0" fontId="0" fillId="6" borderId="34" xfId="0" applyFill="1" applyBorder="1"/>
    <xf numFmtId="0" fontId="0" fillId="6" borderId="31" xfId="0" applyFill="1" applyBorder="1"/>
    <xf numFmtId="0" fontId="75" fillId="47" borderId="30" xfId="0" applyFont="1" applyFill="1" applyBorder="1"/>
    <xf numFmtId="0" fontId="75" fillId="47" borderId="34" xfId="0" applyFont="1" applyFill="1" applyBorder="1"/>
    <xf numFmtId="0" fontId="0" fillId="47" borderId="34" xfId="0" applyFill="1" applyBorder="1"/>
    <xf numFmtId="0" fontId="45" fillId="47" borderId="34" xfId="0" applyFont="1" applyFill="1" applyBorder="1"/>
    <xf numFmtId="0" fontId="0" fillId="47" borderId="31" xfId="0" applyFill="1" applyBorder="1"/>
    <xf numFmtId="0" fontId="3" fillId="7" borderId="30" xfId="0" applyFont="1" applyFill="1" applyBorder="1"/>
    <xf numFmtId="0" fontId="3" fillId="7" borderId="34" xfId="0" applyFont="1" applyFill="1" applyBorder="1"/>
    <xf numFmtId="0" fontId="0" fillId="7" borderId="34" xfId="0" applyFill="1" applyBorder="1"/>
    <xf numFmtId="0" fontId="45" fillId="7" borderId="34" xfId="0" applyFont="1" applyFill="1" applyBorder="1"/>
    <xf numFmtId="0" fontId="0" fillId="7" borderId="31" xfId="0" applyFill="1" applyBorder="1"/>
    <xf numFmtId="0" fontId="71" fillId="41" borderId="30" xfId="0" applyFont="1" applyFill="1" applyBorder="1"/>
    <xf numFmtId="0" fontId="3" fillId="41" borderId="34" xfId="0" applyFont="1" applyFill="1" applyBorder="1"/>
    <xf numFmtId="0" fontId="0" fillId="41" borderId="34" xfId="0" applyFill="1" applyBorder="1"/>
    <xf numFmtId="0" fontId="0" fillId="41" borderId="31" xfId="0" applyFill="1" applyBorder="1"/>
    <xf numFmtId="0" fontId="8" fillId="41" borderId="34" xfId="0" applyFont="1" applyFill="1" applyBorder="1"/>
    <xf numFmtId="0" fontId="8" fillId="41" borderId="30" xfId="0" applyFont="1" applyFill="1" applyBorder="1"/>
    <xf numFmtId="0" fontId="3" fillId="7" borderId="15" xfId="0" applyFont="1" applyFill="1" applyBorder="1"/>
    <xf numFmtId="0" fontId="0" fillId="7" borderId="13" xfId="0" applyFill="1" applyBorder="1"/>
    <xf numFmtId="0" fontId="0" fillId="7" borderId="16" xfId="0" applyFill="1" applyBorder="1"/>
    <xf numFmtId="0" fontId="0" fillId="7" borderId="15" xfId="0" applyFill="1" applyBorder="1"/>
    <xf numFmtId="0" fontId="75" fillId="47" borderId="17" xfId="0" applyFont="1" applyFill="1" applyBorder="1"/>
    <xf numFmtId="0" fontId="0" fillId="47" borderId="0" xfId="0" applyFill="1"/>
    <xf numFmtId="0" fontId="0" fillId="6" borderId="19" xfId="0" applyFill="1" applyBorder="1"/>
    <xf numFmtId="0" fontId="0" fillId="6" borderId="14" xfId="0" applyFill="1" applyBorder="1"/>
    <xf numFmtId="0" fontId="0" fillId="6" borderId="20" xfId="0" applyFill="1" applyBorder="1"/>
    <xf numFmtId="0" fontId="4" fillId="47" borderId="30" xfId="0" applyFont="1" applyFill="1" applyBorder="1"/>
    <xf numFmtId="0" fontId="4" fillId="47" borderId="34" xfId="0" applyFont="1" applyFill="1" applyBorder="1"/>
    <xf numFmtId="0" fontId="71" fillId="41" borderId="34" xfId="0" applyFont="1" applyFill="1" applyBorder="1"/>
    <xf numFmtId="0" fontId="0" fillId="41" borderId="34" xfId="0" applyFill="1" applyBorder="1" applyAlignment="1">
      <alignment horizontal="center"/>
    </xf>
    <xf numFmtId="0" fontId="3" fillId="41" borderId="30" xfId="0" applyFont="1" applyFill="1" applyBorder="1"/>
    <xf numFmtId="0" fontId="3" fillId="7" borderId="13" xfId="0" applyFont="1" applyFill="1" applyBorder="1"/>
    <xf numFmtId="0" fontId="45" fillId="7" borderId="13" xfId="0" applyFont="1" applyFill="1" applyBorder="1"/>
    <xf numFmtId="0" fontId="75" fillId="47" borderId="0" xfId="0" applyFont="1" applyFill="1"/>
    <xf numFmtId="0" fontId="45" fillId="47" borderId="0" xfId="0" applyFont="1" applyFill="1"/>
    <xf numFmtId="0" fontId="3" fillId="7" borderId="17" xfId="0" applyFont="1" applyFill="1" applyBorder="1"/>
    <xf numFmtId="3" fontId="0" fillId="0" borderId="19" xfId="0" applyNumberFormat="1" applyBorder="1"/>
    <xf numFmtId="3" fontId="0" fillId="0" borderId="14" xfId="0" applyNumberFormat="1" applyBorder="1"/>
    <xf numFmtId="3" fontId="0" fillId="0" borderId="20" xfId="0" applyNumberFormat="1" applyBorder="1"/>
    <xf numFmtId="0" fontId="0" fillId="0" borderId="15" xfId="0" applyBorder="1"/>
    <xf numFmtId="0" fontId="0" fillId="0" borderId="13" xfId="0" applyBorder="1"/>
    <xf numFmtId="0" fontId="0" fillId="0" borderId="16" xfId="0" applyBorder="1"/>
    <xf numFmtId="3" fontId="59" fillId="0" borderId="17" xfId="0" applyNumberFormat="1" applyFont="1" applyBorder="1"/>
    <xf numFmtId="0" fontId="46" fillId="0" borderId="13" xfId="0" applyFont="1" applyBorder="1" applyAlignment="1">
      <alignment vertical="center"/>
    </xf>
    <xf numFmtId="0" fontId="46" fillId="0" borderId="13" xfId="0" applyFont="1" applyBorder="1"/>
    <xf numFmtId="0" fontId="3" fillId="7" borderId="0" xfId="0" applyFont="1" applyFill="1"/>
    <xf numFmtId="0" fontId="0" fillId="0" borderId="19" xfId="0" applyBorder="1"/>
    <xf numFmtId="49" fontId="4" fillId="0" borderId="14" xfId="0" applyNumberFormat="1" applyFont="1" applyBorder="1"/>
    <xf numFmtId="177" fontId="78" fillId="50" borderId="47" xfId="1317" applyNumberFormat="1" applyFont="1" applyFill="1" applyBorder="1" applyAlignment="1"/>
    <xf numFmtId="43" fontId="78" fillId="50" borderId="48" xfId="1317" applyFont="1" applyFill="1" applyBorder="1" applyAlignment="1"/>
    <xf numFmtId="177" fontId="78" fillId="50" borderId="49" xfId="1317" applyNumberFormat="1" applyFont="1" applyFill="1" applyBorder="1" applyAlignment="1"/>
    <xf numFmtId="177" fontId="78" fillId="50" borderId="50" xfId="1317" applyNumberFormat="1" applyFont="1" applyFill="1" applyBorder="1" applyAlignment="1"/>
    <xf numFmtId="0" fontId="3" fillId="41" borderId="31" xfId="0" applyFont="1" applyFill="1" applyBorder="1"/>
    <xf numFmtId="185" fontId="78" fillId="50" borderId="0" xfId="0" applyNumberFormat="1" applyFont="1" applyFill="1" applyAlignment="1">
      <alignment horizontal="center" vertical="center"/>
    </xf>
    <xf numFmtId="0" fontId="52" fillId="3" borderId="0" xfId="0" applyFont="1" applyFill="1" applyAlignment="1">
      <alignment horizontal="left"/>
    </xf>
    <xf numFmtId="0" fontId="52" fillId="3" borderId="0" xfId="0" applyFont="1" applyFill="1" applyAlignment="1">
      <alignment vertical="center"/>
    </xf>
    <xf numFmtId="0" fontId="2" fillId="3" borderId="0" xfId="0" applyFont="1" applyFill="1" applyAlignment="1">
      <alignment horizontal="center" vertical="center"/>
    </xf>
    <xf numFmtId="0" fontId="104" fillId="58" borderId="51" xfId="0" applyFont="1" applyFill="1" applyBorder="1"/>
    <xf numFmtId="0" fontId="104" fillId="58" borderId="52" xfId="0" applyFont="1" applyFill="1" applyBorder="1"/>
    <xf numFmtId="0" fontId="104" fillId="58" borderId="53" xfId="0" applyFont="1" applyFill="1" applyBorder="1"/>
    <xf numFmtId="0" fontId="104" fillId="47" borderId="39" xfId="0" applyFont="1" applyFill="1" applyBorder="1"/>
    <xf numFmtId="0" fontId="104" fillId="47" borderId="2" xfId="0" applyFont="1" applyFill="1" applyBorder="1"/>
    <xf numFmtId="0" fontId="104" fillId="47" borderId="42" xfId="0" applyFont="1" applyFill="1" applyBorder="1"/>
    <xf numFmtId="0" fontId="105" fillId="59" borderId="33" xfId="0" applyFont="1" applyFill="1" applyBorder="1"/>
    <xf numFmtId="0" fontId="8" fillId="43" borderId="43" xfId="0" applyFont="1" applyFill="1" applyBorder="1"/>
    <xf numFmtId="0" fontId="51" fillId="43" borderId="46" xfId="0" applyFont="1" applyFill="1" applyBorder="1"/>
    <xf numFmtId="0" fontId="51" fillId="43" borderId="44" xfId="0" applyFont="1" applyFill="1" applyBorder="1"/>
    <xf numFmtId="176" fontId="0" fillId="0" borderId="0" xfId="1317" applyNumberFormat="1" applyFont="1" applyFill="1" applyBorder="1" applyAlignment="1"/>
    <xf numFmtId="2" fontId="5" fillId="44" borderId="0" xfId="2" applyNumberFormat="1" applyFill="1" applyBorder="1" applyAlignment="1"/>
    <xf numFmtId="43" fontId="5" fillId="44" borderId="0" xfId="1317" applyFont="1" applyFill="1" applyBorder="1" applyAlignment="1"/>
    <xf numFmtId="182" fontId="0" fillId="0" borderId="0" xfId="0" applyNumberFormat="1"/>
    <xf numFmtId="43" fontId="99" fillId="40" borderId="0" xfId="1317" applyFont="1" applyFill="1" applyBorder="1" applyAlignment="1">
      <alignment vertical="center"/>
    </xf>
    <xf numFmtId="186" fontId="5" fillId="44" borderId="0" xfId="1317" applyNumberFormat="1" applyFont="1" applyFill="1" applyBorder="1" applyAlignment="1"/>
    <xf numFmtId="186" fontId="0" fillId="0" borderId="0" xfId="1317" applyNumberFormat="1" applyFont="1" applyFill="1" applyAlignment="1"/>
    <xf numFmtId="187" fontId="5" fillId="44" borderId="0" xfId="1317" applyNumberFormat="1" applyFont="1" applyFill="1" applyBorder="1" applyAlignment="1"/>
    <xf numFmtId="187" fontId="0" fillId="0" borderId="0" xfId="1317" applyNumberFormat="1" applyFont="1" applyFill="1" applyAlignment="1"/>
    <xf numFmtId="188" fontId="0" fillId="0" borderId="0" xfId="0" applyNumberFormat="1"/>
    <xf numFmtId="0" fontId="116" fillId="42" borderId="0" xfId="1323" quotePrefix="1" applyFont="1" applyFill="1" applyAlignment="1">
      <alignment horizontal="left" vertical="center" wrapText="1"/>
    </xf>
    <xf numFmtId="0" fontId="96" fillId="42" borderId="0" xfId="1323" applyFont="1" applyFill="1" applyAlignment="1">
      <alignment horizontal="left" vertical="center"/>
    </xf>
    <xf numFmtId="0" fontId="96" fillId="42" borderId="0" xfId="1323" applyFont="1" applyFill="1" applyAlignment="1">
      <alignment horizontal="right" vertical="center"/>
    </xf>
    <xf numFmtId="3" fontId="93" fillId="42" borderId="0" xfId="1323" applyNumberFormat="1" applyFont="1" applyFill="1" applyAlignment="1">
      <alignment horizontal="right"/>
    </xf>
    <xf numFmtId="0" fontId="119" fillId="42" borderId="0" xfId="1323" applyFont="1" applyFill="1"/>
    <xf numFmtId="0" fontId="116" fillId="60" borderId="54" xfId="1323" applyFont="1" applyFill="1" applyBorder="1" applyAlignment="1">
      <alignment horizontal="center" vertical="center"/>
    </xf>
    <xf numFmtId="177" fontId="116" fillId="48" borderId="54" xfId="1317" applyNumberFormat="1" applyFont="1" applyFill="1" applyBorder="1" applyAlignment="1">
      <alignment horizontal="center" vertical="center"/>
    </xf>
    <xf numFmtId="0" fontId="120" fillId="49" borderId="0" xfId="0" applyFont="1" applyFill="1" applyAlignment="1">
      <alignment horizontal="left"/>
    </xf>
    <xf numFmtId="9" fontId="120" fillId="4" borderId="0" xfId="1" applyFont="1" applyFill="1" applyBorder="1" applyAlignment="1"/>
    <xf numFmtId="0" fontId="121" fillId="49" borderId="0" xfId="0" applyFont="1" applyFill="1" applyAlignment="1">
      <alignment horizontal="left"/>
    </xf>
    <xf numFmtId="0" fontId="28" fillId="61" borderId="0" xfId="0" applyFont="1" applyFill="1"/>
    <xf numFmtId="0" fontId="28" fillId="62" borderId="0" xfId="0" applyFont="1" applyFill="1"/>
    <xf numFmtId="0" fontId="0" fillId="62" borderId="0" xfId="0" applyFill="1"/>
    <xf numFmtId="167" fontId="67" fillId="0" borderId="0" xfId="0" applyNumberFormat="1" applyFont="1" applyAlignment="1">
      <alignment vertical="center"/>
    </xf>
    <xf numFmtId="9" fontId="0" fillId="0" borderId="0" xfId="0" applyNumberFormat="1"/>
    <xf numFmtId="49" fontId="4" fillId="49" borderId="0" xfId="0" applyNumberFormat="1" applyFont="1" applyFill="1" applyAlignment="1">
      <alignment wrapText="1"/>
    </xf>
    <xf numFmtId="167" fontId="33" fillId="49" borderId="0" xfId="0" applyNumberFormat="1" applyFont="1" applyFill="1"/>
    <xf numFmtId="0" fontId="33" fillId="49" borderId="0" xfId="0" applyFont="1" applyFill="1"/>
    <xf numFmtId="167" fontId="0" fillId="49" borderId="0" xfId="0" applyNumberFormat="1" applyFill="1"/>
    <xf numFmtId="168" fontId="61" fillId="49" borderId="0" xfId="2" applyNumberFormat="1" applyFont="1" applyFill="1" applyBorder="1" applyAlignment="1"/>
    <xf numFmtId="168" fontId="61" fillId="49" borderId="0" xfId="0" applyNumberFormat="1" applyFont="1" applyFill="1"/>
    <xf numFmtId="185" fontId="67" fillId="0" borderId="0" xfId="0" applyNumberFormat="1" applyFont="1" applyAlignment="1">
      <alignment vertical="center"/>
    </xf>
    <xf numFmtId="43" fontId="33" fillId="0" borderId="0" xfId="0" applyNumberFormat="1" applyFont="1"/>
    <xf numFmtId="0" fontId="88" fillId="0" borderId="54" xfId="0" applyFont="1" applyBorder="1" applyAlignment="1">
      <alignment vertical="center"/>
    </xf>
    <xf numFmtId="0" fontId="67" fillId="0" borderId="54" xfId="0" applyFont="1" applyBorder="1" applyAlignment="1">
      <alignment vertical="center"/>
    </xf>
    <xf numFmtId="176" fontId="67" fillId="0" borderId="0" xfId="1317" applyNumberFormat="1" applyFont="1" applyAlignment="1">
      <alignment horizontal="right" vertical="center"/>
    </xf>
    <xf numFmtId="177" fontId="67" fillId="0" borderId="0" xfId="1317" applyNumberFormat="1" applyFont="1" applyAlignment="1">
      <alignment horizontal="right" vertical="center"/>
    </xf>
    <xf numFmtId="177" fontId="28" fillId="62" borderId="0" xfId="1317" applyNumberFormat="1" applyFont="1" applyFill="1"/>
    <xf numFmtId="177" fontId="0" fillId="0" borderId="0" xfId="1317" applyNumberFormat="1" applyFont="1" applyFill="1" applyBorder="1"/>
    <xf numFmtId="43" fontId="28" fillId="62" borderId="0" xfId="0" applyNumberFormat="1" applyFont="1" applyFill="1"/>
    <xf numFmtId="0" fontId="88" fillId="0" borderId="0" xfId="0" applyFont="1" applyAlignment="1">
      <alignment vertical="center"/>
    </xf>
    <xf numFmtId="177" fontId="67" fillId="0" borderId="0" xfId="1317" applyNumberFormat="1" applyFont="1" applyAlignment="1">
      <alignment vertical="center"/>
    </xf>
    <xf numFmtId="0" fontId="67" fillId="63" borderId="0" xfId="0" applyFont="1" applyFill="1" applyAlignment="1">
      <alignment vertical="center"/>
    </xf>
    <xf numFmtId="0" fontId="113" fillId="0" borderId="0" xfId="0" applyFont="1" applyAlignment="1">
      <alignment vertical="center" wrapText="1"/>
    </xf>
    <xf numFmtId="3" fontId="52" fillId="0" borderId="0" xfId="0" applyNumberFormat="1" applyFont="1" applyAlignment="1">
      <alignment horizontal="center" vertical="center"/>
    </xf>
    <xf numFmtId="177" fontId="113" fillId="0" borderId="0" xfId="0" applyNumberFormat="1" applyFont="1" applyAlignment="1">
      <alignment vertical="center"/>
    </xf>
    <xf numFmtId="43" fontId="113" fillId="0" borderId="0" xfId="1317" applyFont="1" applyFill="1" applyAlignment="1">
      <alignment vertical="center"/>
    </xf>
    <xf numFmtId="4" fontId="52" fillId="0" borderId="0" xfId="0" applyNumberFormat="1" applyFont="1" applyAlignment="1">
      <alignment horizontal="center" vertical="center"/>
    </xf>
    <xf numFmtId="0" fontId="26" fillId="0" borderId="0" xfId="0" applyFont="1" applyAlignment="1">
      <alignment vertical="center"/>
    </xf>
    <xf numFmtId="3" fontId="113" fillId="0" borderId="0" xfId="0" applyNumberFormat="1" applyFont="1" applyAlignment="1">
      <alignment vertical="center"/>
    </xf>
    <xf numFmtId="0" fontId="52" fillId="0" borderId="0" xfId="0" applyFont="1" applyAlignment="1">
      <alignment vertical="center" wrapText="1"/>
    </xf>
    <xf numFmtId="4" fontId="113" fillId="0" borderId="0" xfId="1317" applyNumberFormat="1" applyFont="1" applyFill="1" applyBorder="1" applyAlignment="1">
      <alignment vertical="center"/>
    </xf>
    <xf numFmtId="176" fontId="113" fillId="0" borderId="0" xfId="1317" applyNumberFormat="1" applyFont="1" applyFill="1" applyBorder="1" applyAlignment="1">
      <alignment vertical="center"/>
    </xf>
    <xf numFmtId="3" fontId="113" fillId="0" borderId="0" xfId="1317" applyNumberFormat="1" applyFont="1" applyFill="1" applyBorder="1" applyAlignment="1">
      <alignment vertical="center"/>
    </xf>
    <xf numFmtId="0" fontId="46" fillId="0" borderId="0" xfId="0" applyFont="1" applyAlignment="1">
      <alignment vertical="center" wrapText="1"/>
    </xf>
    <xf numFmtId="0" fontId="112" fillId="0" borderId="0" xfId="0" applyFont="1" applyAlignment="1">
      <alignment vertical="center" wrapText="1"/>
    </xf>
    <xf numFmtId="185" fontId="52" fillId="0" borderId="0" xfId="0" applyNumberFormat="1" applyFont="1" applyAlignment="1">
      <alignment horizontal="center" vertical="center"/>
    </xf>
    <xf numFmtId="185" fontId="113" fillId="0" borderId="0" xfId="1317" applyNumberFormat="1" applyFont="1" applyFill="1" applyBorder="1" applyAlignment="1">
      <alignment vertical="center"/>
    </xf>
    <xf numFmtId="178" fontId="64" fillId="4" borderId="0" xfId="1317" applyNumberFormat="1" applyFont="1" applyFill="1" applyBorder="1" applyAlignment="1"/>
    <xf numFmtId="178" fontId="0" fillId="49" borderId="0" xfId="0" applyNumberFormat="1" applyFill="1" applyAlignment="1">
      <alignment horizontal="left"/>
    </xf>
    <xf numFmtId="178" fontId="5" fillId="49" borderId="0" xfId="1317" applyNumberFormat="1" applyFont="1" applyFill="1" applyBorder="1" applyAlignment="1">
      <alignment horizontal="left"/>
    </xf>
    <xf numFmtId="178" fontId="5" fillId="49" borderId="0" xfId="1317" applyNumberFormat="1" applyFont="1" applyFill="1" applyAlignment="1">
      <alignment horizontal="left"/>
    </xf>
    <xf numFmtId="0" fontId="33" fillId="45" borderId="30" xfId="0" applyFont="1" applyFill="1" applyBorder="1" applyAlignment="1">
      <alignment horizontal="center"/>
    </xf>
    <xf numFmtId="0" fontId="33" fillId="45" borderId="34" xfId="0" applyFont="1" applyFill="1" applyBorder="1" applyAlignment="1">
      <alignment horizontal="center"/>
    </xf>
    <xf numFmtId="0" fontId="33" fillId="45" borderId="31" xfId="0" applyFont="1" applyFill="1" applyBorder="1" applyAlignment="1">
      <alignment horizontal="center"/>
    </xf>
    <xf numFmtId="0" fontId="0" fillId="45" borderId="30" xfId="0" applyFill="1" applyBorder="1" applyAlignment="1">
      <alignment horizontal="center"/>
    </xf>
    <xf numFmtId="0" fontId="0" fillId="45" borderId="34" xfId="0" applyFill="1" applyBorder="1" applyAlignment="1">
      <alignment horizontal="center"/>
    </xf>
    <xf numFmtId="0" fontId="0" fillId="45" borderId="31" xfId="0" applyFill="1" applyBorder="1" applyAlignment="1">
      <alignment horizontal="center"/>
    </xf>
    <xf numFmtId="177" fontId="115" fillId="54" borderId="43" xfId="1317" applyNumberFormat="1" applyFont="1" applyFill="1" applyBorder="1" applyAlignment="1">
      <alignment horizontal="center" vertical="center"/>
    </xf>
    <xf numFmtId="177" fontId="115" fillId="54" borderId="44" xfId="1317" applyNumberFormat="1" applyFont="1" applyFill="1" applyBorder="1" applyAlignment="1">
      <alignment horizontal="center" vertical="center"/>
    </xf>
    <xf numFmtId="0" fontId="87" fillId="49" borderId="29" xfId="0" applyFont="1" applyFill="1" applyBorder="1" applyAlignment="1">
      <alignment horizontal="center" wrapText="1"/>
    </xf>
    <xf numFmtId="3" fontId="78" fillId="50" borderId="15" xfId="0" applyNumberFormat="1" applyFont="1" applyFill="1" applyBorder="1" applyAlignment="1">
      <alignment horizontal="center"/>
    </xf>
    <xf numFmtId="3" fontId="78" fillId="50" borderId="16" xfId="0" applyNumberFormat="1" applyFont="1" applyFill="1" applyBorder="1" applyAlignment="1">
      <alignment horizontal="center"/>
    </xf>
    <xf numFmtId="0" fontId="78" fillId="50" borderId="30" xfId="0" applyFont="1" applyFill="1" applyBorder="1" applyAlignment="1">
      <alignment horizontal="center"/>
    </xf>
    <xf numFmtId="0" fontId="78" fillId="50" borderId="31" xfId="0" applyFont="1" applyFill="1" applyBorder="1" applyAlignment="1">
      <alignment horizontal="center"/>
    </xf>
    <xf numFmtId="177" fontId="105" fillId="49" borderId="30" xfId="0" applyNumberFormat="1" applyFont="1" applyFill="1" applyBorder="1" applyAlignment="1">
      <alignment horizontal="center" vertical="center"/>
    </xf>
    <xf numFmtId="177" fontId="105" fillId="49" borderId="34" xfId="0" applyNumberFormat="1" applyFont="1" applyFill="1" applyBorder="1" applyAlignment="1">
      <alignment horizontal="center" vertical="center"/>
    </xf>
    <xf numFmtId="177" fontId="105" fillId="49" borderId="31" xfId="0" applyNumberFormat="1" applyFont="1" applyFill="1" applyBorder="1" applyAlignment="1">
      <alignment horizontal="center" vertical="center"/>
    </xf>
    <xf numFmtId="0" fontId="104" fillId="49" borderId="38" xfId="0" applyFont="1" applyFill="1" applyBorder="1" applyAlignment="1">
      <alignment horizontal="center" wrapText="1"/>
    </xf>
    <xf numFmtId="0" fontId="104" fillId="49" borderId="39" xfId="0" applyFont="1" applyFill="1" applyBorder="1" applyAlignment="1">
      <alignment horizontal="center" wrapText="1"/>
    </xf>
    <xf numFmtId="0" fontId="116" fillId="60" borderId="38" xfId="1323" quotePrefix="1" applyFont="1" applyFill="1" applyBorder="1" applyAlignment="1">
      <alignment horizontal="left" vertical="center" wrapText="1"/>
    </xf>
    <xf numFmtId="0" fontId="116" fillId="60" borderId="55" xfId="1323" quotePrefix="1" applyFont="1" applyFill="1" applyBorder="1" applyAlignment="1">
      <alignment horizontal="left" vertical="center" wrapText="1"/>
    </xf>
    <xf numFmtId="0" fontId="116" fillId="60" borderId="39" xfId="1323" quotePrefix="1" applyFont="1" applyFill="1" applyBorder="1" applyAlignment="1">
      <alignment horizontal="left" vertical="center" wrapText="1"/>
    </xf>
    <xf numFmtId="0" fontId="116" fillId="60" borderId="41" xfId="1323" quotePrefix="1" applyFont="1" applyFill="1" applyBorder="1" applyAlignment="1">
      <alignment horizontal="left" vertical="center" wrapText="1"/>
    </xf>
    <xf numFmtId="0" fontId="116" fillId="60" borderId="45" xfId="1323" quotePrefix="1" applyFont="1" applyFill="1" applyBorder="1" applyAlignment="1">
      <alignment horizontal="left" vertical="center" wrapText="1"/>
    </xf>
    <xf numFmtId="0" fontId="116" fillId="60" borderId="42" xfId="1323" quotePrefix="1" applyFont="1" applyFill="1" applyBorder="1" applyAlignment="1">
      <alignment horizontal="left" vertical="center" wrapText="1"/>
    </xf>
    <xf numFmtId="0" fontId="34" fillId="38" borderId="0" xfId="0" applyFont="1" applyFill="1" applyAlignment="1">
      <alignment horizontal="center"/>
    </xf>
    <xf numFmtId="0" fontId="0" fillId="49" borderId="0" xfId="0" applyFill="1" applyAlignment="1">
      <alignment horizontal="center"/>
    </xf>
    <xf numFmtId="0" fontId="78" fillId="50" borderId="25" xfId="0" applyFont="1" applyFill="1" applyBorder="1" applyAlignment="1">
      <alignment horizontal="center"/>
    </xf>
    <xf numFmtId="0" fontId="78" fillId="50" borderId="28" xfId="0" applyFont="1" applyFill="1" applyBorder="1" applyAlignment="1">
      <alignment horizontal="center"/>
    </xf>
    <xf numFmtId="0" fontId="78" fillId="50" borderId="26" xfId="0" applyFont="1" applyFill="1" applyBorder="1" applyAlignment="1">
      <alignment horizontal="center"/>
    </xf>
    <xf numFmtId="0" fontId="81" fillId="49" borderId="24" xfId="0" applyFont="1" applyFill="1" applyBorder="1" applyAlignment="1">
      <alignment horizontal="left" wrapText="1"/>
    </xf>
    <xf numFmtId="0" fontId="0" fillId="45" borderId="0" xfId="0" applyFill="1" applyAlignment="1">
      <alignment horizontal="center"/>
    </xf>
    <xf numFmtId="0" fontId="81" fillId="49" borderId="27" xfId="0" applyFont="1" applyFill="1" applyBorder="1" applyAlignment="1">
      <alignment horizontal="left" wrapText="1"/>
    </xf>
    <xf numFmtId="0" fontId="88" fillId="0" borderId="0" xfId="0" applyFont="1" applyAlignment="1">
      <alignment horizontal="center" vertical="center"/>
    </xf>
    <xf numFmtId="0" fontId="67" fillId="0" borderId="0" xfId="0" applyFont="1" applyAlignment="1">
      <alignment horizontal="center" vertical="center"/>
    </xf>
    <xf numFmtId="3" fontId="67" fillId="0" borderId="0" xfId="0" applyNumberFormat="1" applyFont="1" applyAlignment="1">
      <alignment horizontal="center" vertical="center"/>
    </xf>
    <xf numFmtId="0" fontId="97" fillId="2" borderId="0" xfId="0" applyFont="1" applyFill="1" applyAlignment="1">
      <alignment horizontal="left" vertical="center" wrapText="1"/>
    </xf>
    <xf numFmtId="0" fontId="8" fillId="2" borderId="0" xfId="0" applyFont="1" applyFill="1" applyAlignment="1">
      <alignment horizontal="left" vertical="center" wrapText="1"/>
    </xf>
    <xf numFmtId="0" fontId="0" fillId="0" borderId="0" xfId="0" applyAlignment="1">
      <alignment horizontal="center" vertical="center"/>
    </xf>
    <xf numFmtId="0" fontId="8" fillId="2" borderId="0" xfId="0" applyFont="1" applyFill="1" applyAlignment="1">
      <alignment horizontal="left" wrapText="1"/>
    </xf>
    <xf numFmtId="0" fontId="4" fillId="3" borderId="0" xfId="0" applyFont="1" applyFill="1" applyAlignment="1">
      <alignment horizontal="left" wrapText="1"/>
    </xf>
    <xf numFmtId="0" fontId="30" fillId="0" borderId="0" xfId="0" applyFont="1" applyAlignment="1">
      <alignment horizontal="center" wrapText="1"/>
    </xf>
    <xf numFmtId="0" fontId="0" fillId="0" borderId="0" xfId="0" applyAlignment="1">
      <alignment horizontal="center"/>
    </xf>
  </cellXfs>
  <cellStyles count="1326">
    <cellStyle name="20% - Accent1 2" xfId="5" xr:uid="{00000000-0005-0000-0000-000000000000}"/>
    <cellStyle name="20% - Accent1 3" xfId="6" xr:uid="{00000000-0005-0000-0000-000001000000}"/>
    <cellStyle name="20% - Accent2 2" xfId="7" xr:uid="{00000000-0005-0000-0000-000002000000}"/>
    <cellStyle name="20% - Accent2 3" xfId="8" xr:uid="{00000000-0005-0000-0000-000003000000}"/>
    <cellStyle name="20% - Accent3 2" xfId="9" xr:uid="{00000000-0005-0000-0000-000004000000}"/>
    <cellStyle name="20% - Accent3 3" xfId="10" xr:uid="{00000000-0005-0000-0000-000005000000}"/>
    <cellStyle name="20% - Accent4 2" xfId="11" xr:uid="{00000000-0005-0000-0000-000006000000}"/>
    <cellStyle name="20% - Accent4 3" xfId="12" xr:uid="{00000000-0005-0000-0000-000007000000}"/>
    <cellStyle name="20% - Accent5 2" xfId="13" xr:uid="{00000000-0005-0000-0000-000008000000}"/>
    <cellStyle name="20% - Accent5 3" xfId="14" xr:uid="{00000000-0005-0000-0000-000009000000}"/>
    <cellStyle name="20% - Accent6 2" xfId="15" xr:uid="{00000000-0005-0000-0000-00000A000000}"/>
    <cellStyle name="20% - Accent6 3" xfId="16" xr:uid="{00000000-0005-0000-0000-00000B000000}"/>
    <cellStyle name="40% - Accent1 2" xfId="17" xr:uid="{00000000-0005-0000-0000-00000C000000}"/>
    <cellStyle name="40% - Accent1 3" xfId="18" xr:uid="{00000000-0005-0000-0000-00000D000000}"/>
    <cellStyle name="40% - Accent2 2" xfId="19" xr:uid="{00000000-0005-0000-0000-00000E000000}"/>
    <cellStyle name="40% - Accent2 3" xfId="20" xr:uid="{00000000-0005-0000-0000-00000F000000}"/>
    <cellStyle name="40% - Accent3 2" xfId="21" xr:uid="{00000000-0005-0000-0000-000010000000}"/>
    <cellStyle name="40% - Accent3 3" xfId="22" xr:uid="{00000000-0005-0000-0000-000011000000}"/>
    <cellStyle name="40% - Accent4 2" xfId="23" xr:uid="{00000000-0005-0000-0000-000012000000}"/>
    <cellStyle name="40% - Accent4 3" xfId="24" xr:uid="{00000000-0005-0000-0000-000013000000}"/>
    <cellStyle name="40% - Accent5 2" xfId="25" xr:uid="{00000000-0005-0000-0000-000014000000}"/>
    <cellStyle name="40% - Accent5 3" xfId="26" xr:uid="{00000000-0005-0000-0000-000015000000}"/>
    <cellStyle name="40% - Accent6 2" xfId="27" xr:uid="{00000000-0005-0000-0000-000016000000}"/>
    <cellStyle name="40% - Accent6 3" xfId="28" xr:uid="{00000000-0005-0000-0000-000017000000}"/>
    <cellStyle name="60% - Accent1 2" xfId="29" xr:uid="{00000000-0005-0000-0000-000018000000}"/>
    <cellStyle name="60% - Accent2 2" xfId="30" xr:uid="{00000000-0005-0000-0000-000019000000}"/>
    <cellStyle name="60% - Accent3 2" xfId="31" xr:uid="{00000000-0005-0000-0000-00001A000000}"/>
    <cellStyle name="60% - Accent4 2" xfId="32" xr:uid="{00000000-0005-0000-0000-00001B000000}"/>
    <cellStyle name="60% - Accent5 2" xfId="33" xr:uid="{00000000-0005-0000-0000-00001C000000}"/>
    <cellStyle name="60% - Accent6 2" xfId="34" xr:uid="{00000000-0005-0000-0000-00001D000000}"/>
    <cellStyle name="Accent1 2" xfId="35" xr:uid="{00000000-0005-0000-0000-00001E000000}"/>
    <cellStyle name="Accent2 2" xfId="36" xr:uid="{00000000-0005-0000-0000-00001F000000}"/>
    <cellStyle name="Accent3 2" xfId="37" xr:uid="{00000000-0005-0000-0000-000020000000}"/>
    <cellStyle name="Accent4 2" xfId="38" xr:uid="{00000000-0005-0000-0000-000021000000}"/>
    <cellStyle name="Accent5 2" xfId="39" xr:uid="{00000000-0005-0000-0000-000022000000}"/>
    <cellStyle name="Accent6 2" xfId="40" xr:uid="{00000000-0005-0000-0000-000023000000}"/>
    <cellStyle name="Bad" xfId="1320" builtinId="27"/>
    <cellStyle name="Berekening 2" xfId="41" xr:uid="{00000000-0005-0000-0000-000025000000}"/>
    <cellStyle name="Comma" xfId="1317" builtinId="3"/>
    <cellStyle name="Comma 2" xfId="4" xr:uid="{00000000-0005-0000-0000-000027000000}"/>
    <cellStyle name="Comma 2 2" xfId="1324" xr:uid="{00000000-0005-0000-0000-000028000000}"/>
    <cellStyle name="Comma 3" xfId="1322" xr:uid="{00000000-0005-0000-0000-000029000000}"/>
    <cellStyle name="Controlecel 2" xfId="42" xr:uid="{00000000-0005-0000-0000-00002A000000}"/>
    <cellStyle name="Gekoppelde cel 2" xfId="43" xr:uid="{00000000-0005-0000-0000-00002B000000}"/>
    <cellStyle name="Goed 2" xfId="44" xr:uid="{00000000-0005-0000-0000-00002C000000}"/>
    <cellStyle name="Header" xfId="45" xr:uid="{00000000-0005-0000-0000-00002D000000}"/>
    <cellStyle name="Header 2" xfId="46" xr:uid="{00000000-0005-0000-0000-00002E000000}"/>
    <cellStyle name="Header 3" xfId="47" xr:uid="{00000000-0005-0000-0000-00002F000000}"/>
    <cellStyle name="Header 4" xfId="48" xr:uid="{00000000-0005-0000-0000-000030000000}"/>
    <cellStyle name="Hyperlink" xfId="3" builtinId="8"/>
    <cellStyle name="Hyperlink 3" xfId="49" xr:uid="{00000000-0005-0000-0000-000032000000}"/>
    <cellStyle name="Input" xfId="2" builtinId="20" customBuiltin="1"/>
    <cellStyle name="Input 2" xfId="1325" xr:uid="{00000000-0005-0000-0000-000034000000}"/>
    <cellStyle name="Invoer 2" xfId="50" xr:uid="{00000000-0005-0000-0000-000035000000}"/>
    <cellStyle name="Komma 10" xfId="51" xr:uid="{00000000-0005-0000-0000-000036000000}"/>
    <cellStyle name="Komma 10 2" xfId="52" xr:uid="{00000000-0005-0000-0000-000037000000}"/>
    <cellStyle name="Komma 12" xfId="53" xr:uid="{00000000-0005-0000-0000-000038000000}"/>
    <cellStyle name="Komma 15" xfId="54" xr:uid="{00000000-0005-0000-0000-000039000000}"/>
    <cellStyle name="Komma 2 10" xfId="55" xr:uid="{00000000-0005-0000-0000-00003A000000}"/>
    <cellStyle name="Komma 2 11" xfId="56" xr:uid="{00000000-0005-0000-0000-00003B000000}"/>
    <cellStyle name="Komma 2 12" xfId="57" xr:uid="{00000000-0005-0000-0000-00003C000000}"/>
    <cellStyle name="Komma 2 13" xfId="58" xr:uid="{00000000-0005-0000-0000-00003D000000}"/>
    <cellStyle name="Komma 2 14" xfId="59" xr:uid="{00000000-0005-0000-0000-00003E000000}"/>
    <cellStyle name="Komma 2 15" xfId="60" xr:uid="{00000000-0005-0000-0000-00003F000000}"/>
    <cellStyle name="Komma 2 16" xfId="61" xr:uid="{00000000-0005-0000-0000-000040000000}"/>
    <cellStyle name="Komma 2 17" xfId="62" xr:uid="{00000000-0005-0000-0000-000041000000}"/>
    <cellStyle name="Komma 2 18" xfId="63" xr:uid="{00000000-0005-0000-0000-000042000000}"/>
    <cellStyle name="Komma 2 19" xfId="64" xr:uid="{00000000-0005-0000-0000-000043000000}"/>
    <cellStyle name="Komma 2 2" xfId="65" xr:uid="{00000000-0005-0000-0000-000044000000}"/>
    <cellStyle name="Komma 2 20" xfId="66" xr:uid="{00000000-0005-0000-0000-000045000000}"/>
    <cellStyle name="Komma 2 3" xfId="67" xr:uid="{00000000-0005-0000-0000-000046000000}"/>
    <cellStyle name="Komma 2 4" xfId="68" xr:uid="{00000000-0005-0000-0000-000047000000}"/>
    <cellStyle name="Komma 2 5" xfId="69" xr:uid="{00000000-0005-0000-0000-000048000000}"/>
    <cellStyle name="Komma 2 6" xfId="70" xr:uid="{00000000-0005-0000-0000-000049000000}"/>
    <cellStyle name="Komma 2 7" xfId="71" xr:uid="{00000000-0005-0000-0000-00004A000000}"/>
    <cellStyle name="Komma 2 8" xfId="72" xr:uid="{00000000-0005-0000-0000-00004B000000}"/>
    <cellStyle name="Komma 2 9" xfId="73" xr:uid="{00000000-0005-0000-0000-00004C000000}"/>
    <cellStyle name="Komma 6 2" xfId="74" xr:uid="{00000000-0005-0000-0000-00004D000000}"/>
    <cellStyle name="Kop 1 2" xfId="75" xr:uid="{00000000-0005-0000-0000-00004E000000}"/>
    <cellStyle name="Kop 2 2" xfId="76" xr:uid="{00000000-0005-0000-0000-00004F000000}"/>
    <cellStyle name="Kop 3 2" xfId="77" xr:uid="{00000000-0005-0000-0000-000050000000}"/>
    <cellStyle name="Kop 4 2" xfId="78" xr:uid="{00000000-0005-0000-0000-000051000000}"/>
    <cellStyle name="Neutraal 2" xfId="79" xr:uid="{00000000-0005-0000-0000-000052000000}"/>
    <cellStyle name="Normal" xfId="0" builtinId="0"/>
    <cellStyle name="Normal 2" xfId="80" xr:uid="{00000000-0005-0000-0000-000054000000}"/>
    <cellStyle name="Normal 2 2" xfId="1319" xr:uid="{00000000-0005-0000-0000-000055000000}"/>
    <cellStyle name="Normal 2 3" xfId="1323" xr:uid="{00000000-0005-0000-0000-000056000000}"/>
    <cellStyle name="Normal 3" xfId="81" xr:uid="{00000000-0005-0000-0000-000057000000}"/>
    <cellStyle name="Normal 4" xfId="1318" xr:uid="{00000000-0005-0000-0000-000058000000}"/>
    <cellStyle name="Normal 5" xfId="1321" xr:uid="{00000000-0005-0000-0000-000059000000}"/>
    <cellStyle name="Notitie 10" xfId="82" xr:uid="{00000000-0005-0000-0000-00005A000000}"/>
    <cellStyle name="Notitie 10 10" xfId="83" xr:uid="{00000000-0005-0000-0000-00005B000000}"/>
    <cellStyle name="Notitie 10 11" xfId="84" xr:uid="{00000000-0005-0000-0000-00005C000000}"/>
    <cellStyle name="Notitie 10 12" xfId="85" xr:uid="{00000000-0005-0000-0000-00005D000000}"/>
    <cellStyle name="Notitie 10 13" xfId="86" xr:uid="{00000000-0005-0000-0000-00005E000000}"/>
    <cellStyle name="Notitie 10 14" xfId="87" xr:uid="{00000000-0005-0000-0000-00005F000000}"/>
    <cellStyle name="Notitie 10 15" xfId="88" xr:uid="{00000000-0005-0000-0000-000060000000}"/>
    <cellStyle name="Notitie 10 16" xfId="89" xr:uid="{00000000-0005-0000-0000-000061000000}"/>
    <cellStyle name="Notitie 10 17" xfId="90" xr:uid="{00000000-0005-0000-0000-000062000000}"/>
    <cellStyle name="Notitie 10 18" xfId="91" xr:uid="{00000000-0005-0000-0000-000063000000}"/>
    <cellStyle name="Notitie 10 19" xfId="92" xr:uid="{00000000-0005-0000-0000-000064000000}"/>
    <cellStyle name="Notitie 10 2" xfId="93" xr:uid="{00000000-0005-0000-0000-000065000000}"/>
    <cellStyle name="Notitie 10 20" xfId="94" xr:uid="{00000000-0005-0000-0000-000066000000}"/>
    <cellStyle name="Notitie 10 21" xfId="95" xr:uid="{00000000-0005-0000-0000-000067000000}"/>
    <cellStyle name="Notitie 10 22" xfId="96" xr:uid="{00000000-0005-0000-0000-000068000000}"/>
    <cellStyle name="Notitie 10 3" xfId="97" xr:uid="{00000000-0005-0000-0000-000069000000}"/>
    <cellStyle name="Notitie 10 4" xfId="98" xr:uid="{00000000-0005-0000-0000-00006A000000}"/>
    <cellStyle name="Notitie 10 5" xfId="99" xr:uid="{00000000-0005-0000-0000-00006B000000}"/>
    <cellStyle name="Notitie 10 6" xfId="100" xr:uid="{00000000-0005-0000-0000-00006C000000}"/>
    <cellStyle name="Notitie 10 7" xfId="101" xr:uid="{00000000-0005-0000-0000-00006D000000}"/>
    <cellStyle name="Notitie 10 8" xfId="102" xr:uid="{00000000-0005-0000-0000-00006E000000}"/>
    <cellStyle name="Notitie 10 9" xfId="103" xr:uid="{00000000-0005-0000-0000-00006F000000}"/>
    <cellStyle name="Notitie 11" xfId="104" xr:uid="{00000000-0005-0000-0000-000070000000}"/>
    <cellStyle name="Notitie 11 10" xfId="105" xr:uid="{00000000-0005-0000-0000-000071000000}"/>
    <cellStyle name="Notitie 11 11" xfId="106" xr:uid="{00000000-0005-0000-0000-000072000000}"/>
    <cellStyle name="Notitie 11 12" xfId="107" xr:uid="{00000000-0005-0000-0000-000073000000}"/>
    <cellStyle name="Notitie 11 13" xfId="108" xr:uid="{00000000-0005-0000-0000-000074000000}"/>
    <cellStyle name="Notitie 11 14" xfId="109" xr:uid="{00000000-0005-0000-0000-000075000000}"/>
    <cellStyle name="Notitie 11 15" xfId="110" xr:uid="{00000000-0005-0000-0000-000076000000}"/>
    <cellStyle name="Notitie 11 16" xfId="111" xr:uid="{00000000-0005-0000-0000-000077000000}"/>
    <cellStyle name="Notitie 11 17" xfId="112" xr:uid="{00000000-0005-0000-0000-000078000000}"/>
    <cellStyle name="Notitie 11 18" xfId="113" xr:uid="{00000000-0005-0000-0000-000079000000}"/>
    <cellStyle name="Notitie 11 19" xfId="114" xr:uid="{00000000-0005-0000-0000-00007A000000}"/>
    <cellStyle name="Notitie 11 2" xfId="115" xr:uid="{00000000-0005-0000-0000-00007B000000}"/>
    <cellStyle name="Notitie 11 20" xfId="116" xr:uid="{00000000-0005-0000-0000-00007C000000}"/>
    <cellStyle name="Notitie 11 21" xfId="117" xr:uid="{00000000-0005-0000-0000-00007D000000}"/>
    <cellStyle name="Notitie 11 22" xfId="118" xr:uid="{00000000-0005-0000-0000-00007E000000}"/>
    <cellStyle name="Notitie 11 3" xfId="119" xr:uid="{00000000-0005-0000-0000-00007F000000}"/>
    <cellStyle name="Notitie 11 4" xfId="120" xr:uid="{00000000-0005-0000-0000-000080000000}"/>
    <cellStyle name="Notitie 11 5" xfId="121" xr:uid="{00000000-0005-0000-0000-000081000000}"/>
    <cellStyle name="Notitie 11 6" xfId="122" xr:uid="{00000000-0005-0000-0000-000082000000}"/>
    <cellStyle name="Notitie 11 7" xfId="123" xr:uid="{00000000-0005-0000-0000-000083000000}"/>
    <cellStyle name="Notitie 11 8" xfId="124" xr:uid="{00000000-0005-0000-0000-000084000000}"/>
    <cellStyle name="Notitie 11 9" xfId="125" xr:uid="{00000000-0005-0000-0000-000085000000}"/>
    <cellStyle name="Notitie 12" xfId="126" xr:uid="{00000000-0005-0000-0000-000086000000}"/>
    <cellStyle name="Notitie 12 10" xfId="127" xr:uid="{00000000-0005-0000-0000-000087000000}"/>
    <cellStyle name="Notitie 12 11" xfId="128" xr:uid="{00000000-0005-0000-0000-000088000000}"/>
    <cellStyle name="Notitie 12 12" xfId="129" xr:uid="{00000000-0005-0000-0000-000089000000}"/>
    <cellStyle name="Notitie 12 13" xfId="130" xr:uid="{00000000-0005-0000-0000-00008A000000}"/>
    <cellStyle name="Notitie 12 14" xfId="131" xr:uid="{00000000-0005-0000-0000-00008B000000}"/>
    <cellStyle name="Notitie 12 15" xfId="132" xr:uid="{00000000-0005-0000-0000-00008C000000}"/>
    <cellStyle name="Notitie 12 16" xfId="133" xr:uid="{00000000-0005-0000-0000-00008D000000}"/>
    <cellStyle name="Notitie 12 17" xfId="134" xr:uid="{00000000-0005-0000-0000-00008E000000}"/>
    <cellStyle name="Notitie 12 18" xfId="135" xr:uid="{00000000-0005-0000-0000-00008F000000}"/>
    <cellStyle name="Notitie 12 19" xfId="136" xr:uid="{00000000-0005-0000-0000-000090000000}"/>
    <cellStyle name="Notitie 12 2" xfId="137" xr:uid="{00000000-0005-0000-0000-000091000000}"/>
    <cellStyle name="Notitie 12 20" xfId="138" xr:uid="{00000000-0005-0000-0000-000092000000}"/>
    <cellStyle name="Notitie 12 21" xfId="139" xr:uid="{00000000-0005-0000-0000-000093000000}"/>
    <cellStyle name="Notitie 12 22" xfId="140" xr:uid="{00000000-0005-0000-0000-000094000000}"/>
    <cellStyle name="Notitie 12 3" xfId="141" xr:uid="{00000000-0005-0000-0000-000095000000}"/>
    <cellStyle name="Notitie 12 4" xfId="142" xr:uid="{00000000-0005-0000-0000-000096000000}"/>
    <cellStyle name="Notitie 12 5" xfId="143" xr:uid="{00000000-0005-0000-0000-000097000000}"/>
    <cellStyle name="Notitie 12 6" xfId="144" xr:uid="{00000000-0005-0000-0000-000098000000}"/>
    <cellStyle name="Notitie 12 7" xfId="145" xr:uid="{00000000-0005-0000-0000-000099000000}"/>
    <cellStyle name="Notitie 12 8" xfId="146" xr:uid="{00000000-0005-0000-0000-00009A000000}"/>
    <cellStyle name="Notitie 12 9" xfId="147" xr:uid="{00000000-0005-0000-0000-00009B000000}"/>
    <cellStyle name="Notitie 13" xfId="148" xr:uid="{00000000-0005-0000-0000-00009C000000}"/>
    <cellStyle name="Notitie 13 10" xfId="149" xr:uid="{00000000-0005-0000-0000-00009D000000}"/>
    <cellStyle name="Notitie 13 11" xfId="150" xr:uid="{00000000-0005-0000-0000-00009E000000}"/>
    <cellStyle name="Notitie 13 12" xfId="151" xr:uid="{00000000-0005-0000-0000-00009F000000}"/>
    <cellStyle name="Notitie 13 13" xfId="152" xr:uid="{00000000-0005-0000-0000-0000A0000000}"/>
    <cellStyle name="Notitie 13 14" xfId="153" xr:uid="{00000000-0005-0000-0000-0000A1000000}"/>
    <cellStyle name="Notitie 13 15" xfId="154" xr:uid="{00000000-0005-0000-0000-0000A2000000}"/>
    <cellStyle name="Notitie 13 16" xfId="155" xr:uid="{00000000-0005-0000-0000-0000A3000000}"/>
    <cellStyle name="Notitie 13 17" xfId="156" xr:uid="{00000000-0005-0000-0000-0000A4000000}"/>
    <cellStyle name="Notitie 13 18" xfId="157" xr:uid="{00000000-0005-0000-0000-0000A5000000}"/>
    <cellStyle name="Notitie 13 19" xfId="158" xr:uid="{00000000-0005-0000-0000-0000A6000000}"/>
    <cellStyle name="Notitie 13 2" xfId="159" xr:uid="{00000000-0005-0000-0000-0000A7000000}"/>
    <cellStyle name="Notitie 13 20" xfId="160" xr:uid="{00000000-0005-0000-0000-0000A8000000}"/>
    <cellStyle name="Notitie 13 21" xfId="161" xr:uid="{00000000-0005-0000-0000-0000A9000000}"/>
    <cellStyle name="Notitie 13 22" xfId="162" xr:uid="{00000000-0005-0000-0000-0000AA000000}"/>
    <cellStyle name="Notitie 13 3" xfId="163" xr:uid="{00000000-0005-0000-0000-0000AB000000}"/>
    <cellStyle name="Notitie 13 4" xfId="164" xr:uid="{00000000-0005-0000-0000-0000AC000000}"/>
    <cellStyle name="Notitie 13 5" xfId="165" xr:uid="{00000000-0005-0000-0000-0000AD000000}"/>
    <cellStyle name="Notitie 13 6" xfId="166" xr:uid="{00000000-0005-0000-0000-0000AE000000}"/>
    <cellStyle name="Notitie 13 7" xfId="167" xr:uid="{00000000-0005-0000-0000-0000AF000000}"/>
    <cellStyle name="Notitie 13 8" xfId="168" xr:uid="{00000000-0005-0000-0000-0000B0000000}"/>
    <cellStyle name="Notitie 13 9" xfId="169" xr:uid="{00000000-0005-0000-0000-0000B1000000}"/>
    <cellStyle name="Notitie 14" xfId="170" xr:uid="{00000000-0005-0000-0000-0000B2000000}"/>
    <cellStyle name="Notitie 14 10" xfId="171" xr:uid="{00000000-0005-0000-0000-0000B3000000}"/>
    <cellStyle name="Notitie 14 11" xfId="172" xr:uid="{00000000-0005-0000-0000-0000B4000000}"/>
    <cellStyle name="Notitie 14 12" xfId="173" xr:uid="{00000000-0005-0000-0000-0000B5000000}"/>
    <cellStyle name="Notitie 14 13" xfId="174" xr:uid="{00000000-0005-0000-0000-0000B6000000}"/>
    <cellStyle name="Notitie 14 14" xfId="175" xr:uid="{00000000-0005-0000-0000-0000B7000000}"/>
    <cellStyle name="Notitie 14 15" xfId="176" xr:uid="{00000000-0005-0000-0000-0000B8000000}"/>
    <cellStyle name="Notitie 14 16" xfId="177" xr:uid="{00000000-0005-0000-0000-0000B9000000}"/>
    <cellStyle name="Notitie 14 17" xfId="178" xr:uid="{00000000-0005-0000-0000-0000BA000000}"/>
    <cellStyle name="Notitie 14 18" xfId="179" xr:uid="{00000000-0005-0000-0000-0000BB000000}"/>
    <cellStyle name="Notitie 14 19" xfId="180" xr:uid="{00000000-0005-0000-0000-0000BC000000}"/>
    <cellStyle name="Notitie 14 2" xfId="181" xr:uid="{00000000-0005-0000-0000-0000BD000000}"/>
    <cellStyle name="Notitie 14 20" xfId="182" xr:uid="{00000000-0005-0000-0000-0000BE000000}"/>
    <cellStyle name="Notitie 14 21" xfId="183" xr:uid="{00000000-0005-0000-0000-0000BF000000}"/>
    <cellStyle name="Notitie 14 22" xfId="184" xr:uid="{00000000-0005-0000-0000-0000C0000000}"/>
    <cellStyle name="Notitie 14 3" xfId="185" xr:uid="{00000000-0005-0000-0000-0000C1000000}"/>
    <cellStyle name="Notitie 14 4" xfId="186" xr:uid="{00000000-0005-0000-0000-0000C2000000}"/>
    <cellStyle name="Notitie 14 5" xfId="187" xr:uid="{00000000-0005-0000-0000-0000C3000000}"/>
    <cellStyle name="Notitie 14 6" xfId="188" xr:uid="{00000000-0005-0000-0000-0000C4000000}"/>
    <cellStyle name="Notitie 14 7" xfId="189" xr:uid="{00000000-0005-0000-0000-0000C5000000}"/>
    <cellStyle name="Notitie 14 8" xfId="190" xr:uid="{00000000-0005-0000-0000-0000C6000000}"/>
    <cellStyle name="Notitie 14 9" xfId="191" xr:uid="{00000000-0005-0000-0000-0000C7000000}"/>
    <cellStyle name="Notitie 15" xfId="192" xr:uid="{00000000-0005-0000-0000-0000C8000000}"/>
    <cellStyle name="Notitie 15 10" xfId="193" xr:uid="{00000000-0005-0000-0000-0000C9000000}"/>
    <cellStyle name="Notitie 15 11" xfId="194" xr:uid="{00000000-0005-0000-0000-0000CA000000}"/>
    <cellStyle name="Notitie 15 12" xfId="195" xr:uid="{00000000-0005-0000-0000-0000CB000000}"/>
    <cellStyle name="Notitie 15 13" xfId="196" xr:uid="{00000000-0005-0000-0000-0000CC000000}"/>
    <cellStyle name="Notitie 15 14" xfId="197" xr:uid="{00000000-0005-0000-0000-0000CD000000}"/>
    <cellStyle name="Notitie 15 15" xfId="198" xr:uid="{00000000-0005-0000-0000-0000CE000000}"/>
    <cellStyle name="Notitie 15 16" xfId="199" xr:uid="{00000000-0005-0000-0000-0000CF000000}"/>
    <cellStyle name="Notitie 15 17" xfId="200" xr:uid="{00000000-0005-0000-0000-0000D0000000}"/>
    <cellStyle name="Notitie 15 18" xfId="201" xr:uid="{00000000-0005-0000-0000-0000D1000000}"/>
    <cellStyle name="Notitie 15 19" xfId="202" xr:uid="{00000000-0005-0000-0000-0000D2000000}"/>
    <cellStyle name="Notitie 15 2" xfId="203" xr:uid="{00000000-0005-0000-0000-0000D3000000}"/>
    <cellStyle name="Notitie 15 20" xfId="204" xr:uid="{00000000-0005-0000-0000-0000D4000000}"/>
    <cellStyle name="Notitie 15 21" xfId="205" xr:uid="{00000000-0005-0000-0000-0000D5000000}"/>
    <cellStyle name="Notitie 15 22" xfId="206" xr:uid="{00000000-0005-0000-0000-0000D6000000}"/>
    <cellStyle name="Notitie 15 3" xfId="207" xr:uid="{00000000-0005-0000-0000-0000D7000000}"/>
    <cellStyle name="Notitie 15 4" xfId="208" xr:uid="{00000000-0005-0000-0000-0000D8000000}"/>
    <cellStyle name="Notitie 15 5" xfId="209" xr:uid="{00000000-0005-0000-0000-0000D9000000}"/>
    <cellStyle name="Notitie 15 6" xfId="210" xr:uid="{00000000-0005-0000-0000-0000DA000000}"/>
    <cellStyle name="Notitie 15 7" xfId="211" xr:uid="{00000000-0005-0000-0000-0000DB000000}"/>
    <cellStyle name="Notitie 15 8" xfId="212" xr:uid="{00000000-0005-0000-0000-0000DC000000}"/>
    <cellStyle name="Notitie 15 9" xfId="213" xr:uid="{00000000-0005-0000-0000-0000DD000000}"/>
    <cellStyle name="Notitie 16" xfId="214" xr:uid="{00000000-0005-0000-0000-0000DE000000}"/>
    <cellStyle name="Notitie 16 10" xfId="215" xr:uid="{00000000-0005-0000-0000-0000DF000000}"/>
    <cellStyle name="Notitie 16 11" xfId="216" xr:uid="{00000000-0005-0000-0000-0000E0000000}"/>
    <cellStyle name="Notitie 16 12" xfId="217" xr:uid="{00000000-0005-0000-0000-0000E1000000}"/>
    <cellStyle name="Notitie 16 13" xfId="218" xr:uid="{00000000-0005-0000-0000-0000E2000000}"/>
    <cellStyle name="Notitie 16 14" xfId="219" xr:uid="{00000000-0005-0000-0000-0000E3000000}"/>
    <cellStyle name="Notitie 16 15" xfId="220" xr:uid="{00000000-0005-0000-0000-0000E4000000}"/>
    <cellStyle name="Notitie 16 16" xfId="221" xr:uid="{00000000-0005-0000-0000-0000E5000000}"/>
    <cellStyle name="Notitie 16 17" xfId="222" xr:uid="{00000000-0005-0000-0000-0000E6000000}"/>
    <cellStyle name="Notitie 16 18" xfId="223" xr:uid="{00000000-0005-0000-0000-0000E7000000}"/>
    <cellStyle name="Notitie 16 19" xfId="224" xr:uid="{00000000-0005-0000-0000-0000E8000000}"/>
    <cellStyle name="Notitie 16 2" xfId="225" xr:uid="{00000000-0005-0000-0000-0000E9000000}"/>
    <cellStyle name="Notitie 16 20" xfId="226" xr:uid="{00000000-0005-0000-0000-0000EA000000}"/>
    <cellStyle name="Notitie 16 21" xfId="227" xr:uid="{00000000-0005-0000-0000-0000EB000000}"/>
    <cellStyle name="Notitie 16 22" xfId="228" xr:uid="{00000000-0005-0000-0000-0000EC000000}"/>
    <cellStyle name="Notitie 16 3" xfId="229" xr:uid="{00000000-0005-0000-0000-0000ED000000}"/>
    <cellStyle name="Notitie 16 4" xfId="230" xr:uid="{00000000-0005-0000-0000-0000EE000000}"/>
    <cellStyle name="Notitie 16 5" xfId="231" xr:uid="{00000000-0005-0000-0000-0000EF000000}"/>
    <cellStyle name="Notitie 16 6" xfId="232" xr:uid="{00000000-0005-0000-0000-0000F0000000}"/>
    <cellStyle name="Notitie 16 7" xfId="233" xr:uid="{00000000-0005-0000-0000-0000F1000000}"/>
    <cellStyle name="Notitie 16 8" xfId="234" xr:uid="{00000000-0005-0000-0000-0000F2000000}"/>
    <cellStyle name="Notitie 16 9" xfId="235" xr:uid="{00000000-0005-0000-0000-0000F3000000}"/>
    <cellStyle name="Notitie 17" xfId="236" xr:uid="{00000000-0005-0000-0000-0000F4000000}"/>
    <cellStyle name="Notitie 17 10" xfId="237" xr:uid="{00000000-0005-0000-0000-0000F5000000}"/>
    <cellStyle name="Notitie 17 11" xfId="238" xr:uid="{00000000-0005-0000-0000-0000F6000000}"/>
    <cellStyle name="Notitie 17 12" xfId="239" xr:uid="{00000000-0005-0000-0000-0000F7000000}"/>
    <cellStyle name="Notitie 17 13" xfId="240" xr:uid="{00000000-0005-0000-0000-0000F8000000}"/>
    <cellStyle name="Notitie 17 14" xfId="241" xr:uid="{00000000-0005-0000-0000-0000F9000000}"/>
    <cellStyle name="Notitie 17 15" xfId="242" xr:uid="{00000000-0005-0000-0000-0000FA000000}"/>
    <cellStyle name="Notitie 17 16" xfId="243" xr:uid="{00000000-0005-0000-0000-0000FB000000}"/>
    <cellStyle name="Notitie 17 17" xfId="244" xr:uid="{00000000-0005-0000-0000-0000FC000000}"/>
    <cellStyle name="Notitie 17 18" xfId="245" xr:uid="{00000000-0005-0000-0000-0000FD000000}"/>
    <cellStyle name="Notitie 17 19" xfId="246" xr:uid="{00000000-0005-0000-0000-0000FE000000}"/>
    <cellStyle name="Notitie 17 2" xfId="247" xr:uid="{00000000-0005-0000-0000-0000FF000000}"/>
    <cellStyle name="Notitie 17 20" xfId="248" xr:uid="{00000000-0005-0000-0000-000000010000}"/>
    <cellStyle name="Notitie 17 21" xfId="249" xr:uid="{00000000-0005-0000-0000-000001010000}"/>
    <cellStyle name="Notitie 17 22" xfId="250" xr:uid="{00000000-0005-0000-0000-000002010000}"/>
    <cellStyle name="Notitie 17 3" xfId="251" xr:uid="{00000000-0005-0000-0000-000003010000}"/>
    <cellStyle name="Notitie 17 4" xfId="252" xr:uid="{00000000-0005-0000-0000-000004010000}"/>
    <cellStyle name="Notitie 17 5" xfId="253" xr:uid="{00000000-0005-0000-0000-000005010000}"/>
    <cellStyle name="Notitie 17 6" xfId="254" xr:uid="{00000000-0005-0000-0000-000006010000}"/>
    <cellStyle name="Notitie 17 7" xfId="255" xr:uid="{00000000-0005-0000-0000-000007010000}"/>
    <cellStyle name="Notitie 17 8" xfId="256" xr:uid="{00000000-0005-0000-0000-000008010000}"/>
    <cellStyle name="Notitie 17 9" xfId="257" xr:uid="{00000000-0005-0000-0000-000009010000}"/>
    <cellStyle name="Notitie 18" xfId="258" xr:uid="{00000000-0005-0000-0000-00000A010000}"/>
    <cellStyle name="Notitie 18 10" xfId="259" xr:uid="{00000000-0005-0000-0000-00000B010000}"/>
    <cellStyle name="Notitie 18 11" xfId="260" xr:uid="{00000000-0005-0000-0000-00000C010000}"/>
    <cellStyle name="Notitie 18 12" xfId="261" xr:uid="{00000000-0005-0000-0000-00000D010000}"/>
    <cellStyle name="Notitie 18 13" xfId="262" xr:uid="{00000000-0005-0000-0000-00000E010000}"/>
    <cellStyle name="Notitie 18 14" xfId="263" xr:uid="{00000000-0005-0000-0000-00000F010000}"/>
    <cellStyle name="Notitie 18 15" xfId="264" xr:uid="{00000000-0005-0000-0000-000010010000}"/>
    <cellStyle name="Notitie 18 16" xfId="265" xr:uid="{00000000-0005-0000-0000-000011010000}"/>
    <cellStyle name="Notitie 18 17" xfId="266" xr:uid="{00000000-0005-0000-0000-000012010000}"/>
    <cellStyle name="Notitie 18 18" xfId="267" xr:uid="{00000000-0005-0000-0000-000013010000}"/>
    <cellStyle name="Notitie 18 19" xfId="268" xr:uid="{00000000-0005-0000-0000-000014010000}"/>
    <cellStyle name="Notitie 18 2" xfId="269" xr:uid="{00000000-0005-0000-0000-000015010000}"/>
    <cellStyle name="Notitie 18 20" xfId="270" xr:uid="{00000000-0005-0000-0000-000016010000}"/>
    <cellStyle name="Notitie 18 21" xfId="271" xr:uid="{00000000-0005-0000-0000-000017010000}"/>
    <cellStyle name="Notitie 18 22" xfId="272" xr:uid="{00000000-0005-0000-0000-000018010000}"/>
    <cellStyle name="Notitie 18 3" xfId="273" xr:uid="{00000000-0005-0000-0000-000019010000}"/>
    <cellStyle name="Notitie 18 4" xfId="274" xr:uid="{00000000-0005-0000-0000-00001A010000}"/>
    <cellStyle name="Notitie 18 5" xfId="275" xr:uid="{00000000-0005-0000-0000-00001B010000}"/>
    <cellStyle name="Notitie 18 6" xfId="276" xr:uid="{00000000-0005-0000-0000-00001C010000}"/>
    <cellStyle name="Notitie 18 7" xfId="277" xr:uid="{00000000-0005-0000-0000-00001D010000}"/>
    <cellStyle name="Notitie 18 8" xfId="278" xr:uid="{00000000-0005-0000-0000-00001E010000}"/>
    <cellStyle name="Notitie 18 9" xfId="279" xr:uid="{00000000-0005-0000-0000-00001F010000}"/>
    <cellStyle name="Notitie 19" xfId="280" xr:uid="{00000000-0005-0000-0000-000020010000}"/>
    <cellStyle name="Notitie 19 10" xfId="281" xr:uid="{00000000-0005-0000-0000-000021010000}"/>
    <cellStyle name="Notitie 19 11" xfId="282" xr:uid="{00000000-0005-0000-0000-000022010000}"/>
    <cellStyle name="Notitie 19 12" xfId="283" xr:uid="{00000000-0005-0000-0000-000023010000}"/>
    <cellStyle name="Notitie 19 13" xfId="284" xr:uid="{00000000-0005-0000-0000-000024010000}"/>
    <cellStyle name="Notitie 19 14" xfId="285" xr:uid="{00000000-0005-0000-0000-000025010000}"/>
    <cellStyle name="Notitie 19 15" xfId="286" xr:uid="{00000000-0005-0000-0000-000026010000}"/>
    <cellStyle name="Notitie 19 16" xfId="287" xr:uid="{00000000-0005-0000-0000-000027010000}"/>
    <cellStyle name="Notitie 19 17" xfId="288" xr:uid="{00000000-0005-0000-0000-000028010000}"/>
    <cellStyle name="Notitie 19 18" xfId="289" xr:uid="{00000000-0005-0000-0000-000029010000}"/>
    <cellStyle name="Notitie 19 19" xfId="290" xr:uid="{00000000-0005-0000-0000-00002A010000}"/>
    <cellStyle name="Notitie 19 2" xfId="291" xr:uid="{00000000-0005-0000-0000-00002B010000}"/>
    <cellStyle name="Notitie 19 20" xfId="292" xr:uid="{00000000-0005-0000-0000-00002C010000}"/>
    <cellStyle name="Notitie 19 21" xfId="293" xr:uid="{00000000-0005-0000-0000-00002D010000}"/>
    <cellStyle name="Notitie 19 22" xfId="294" xr:uid="{00000000-0005-0000-0000-00002E010000}"/>
    <cellStyle name="Notitie 19 3" xfId="295" xr:uid="{00000000-0005-0000-0000-00002F010000}"/>
    <cellStyle name="Notitie 19 4" xfId="296" xr:uid="{00000000-0005-0000-0000-000030010000}"/>
    <cellStyle name="Notitie 19 5" xfId="297" xr:uid="{00000000-0005-0000-0000-000031010000}"/>
    <cellStyle name="Notitie 19 6" xfId="298" xr:uid="{00000000-0005-0000-0000-000032010000}"/>
    <cellStyle name="Notitie 19 7" xfId="299" xr:uid="{00000000-0005-0000-0000-000033010000}"/>
    <cellStyle name="Notitie 19 8" xfId="300" xr:uid="{00000000-0005-0000-0000-000034010000}"/>
    <cellStyle name="Notitie 19 9" xfId="301" xr:uid="{00000000-0005-0000-0000-000035010000}"/>
    <cellStyle name="Notitie 2" xfId="302" xr:uid="{00000000-0005-0000-0000-000036010000}"/>
    <cellStyle name="Notitie 2 10" xfId="303" xr:uid="{00000000-0005-0000-0000-000037010000}"/>
    <cellStyle name="Notitie 2 11" xfId="304" xr:uid="{00000000-0005-0000-0000-000038010000}"/>
    <cellStyle name="Notitie 2 12" xfId="305" xr:uid="{00000000-0005-0000-0000-000039010000}"/>
    <cellStyle name="Notitie 2 13" xfId="306" xr:uid="{00000000-0005-0000-0000-00003A010000}"/>
    <cellStyle name="Notitie 2 14" xfId="307" xr:uid="{00000000-0005-0000-0000-00003B010000}"/>
    <cellStyle name="Notitie 2 15" xfId="308" xr:uid="{00000000-0005-0000-0000-00003C010000}"/>
    <cellStyle name="Notitie 2 16" xfId="309" xr:uid="{00000000-0005-0000-0000-00003D010000}"/>
    <cellStyle name="Notitie 2 17" xfId="310" xr:uid="{00000000-0005-0000-0000-00003E010000}"/>
    <cellStyle name="Notitie 2 18" xfId="311" xr:uid="{00000000-0005-0000-0000-00003F010000}"/>
    <cellStyle name="Notitie 2 19" xfId="312" xr:uid="{00000000-0005-0000-0000-000040010000}"/>
    <cellStyle name="Notitie 2 2" xfId="313" xr:uid="{00000000-0005-0000-0000-000041010000}"/>
    <cellStyle name="Notitie 2 20" xfId="314" xr:uid="{00000000-0005-0000-0000-000042010000}"/>
    <cellStyle name="Notitie 2 21" xfId="315" xr:uid="{00000000-0005-0000-0000-000043010000}"/>
    <cellStyle name="Notitie 2 22" xfId="316" xr:uid="{00000000-0005-0000-0000-000044010000}"/>
    <cellStyle name="Notitie 2 23" xfId="317" xr:uid="{00000000-0005-0000-0000-000045010000}"/>
    <cellStyle name="Notitie 2 24" xfId="318" xr:uid="{00000000-0005-0000-0000-000046010000}"/>
    <cellStyle name="Notitie 2 25" xfId="319" xr:uid="{00000000-0005-0000-0000-000047010000}"/>
    <cellStyle name="Notitie 2 26" xfId="320" xr:uid="{00000000-0005-0000-0000-000048010000}"/>
    <cellStyle name="Notitie 2 27" xfId="321" xr:uid="{00000000-0005-0000-0000-000049010000}"/>
    <cellStyle name="Notitie 2 28" xfId="322" xr:uid="{00000000-0005-0000-0000-00004A010000}"/>
    <cellStyle name="Notitie 2 29" xfId="323" xr:uid="{00000000-0005-0000-0000-00004B010000}"/>
    <cellStyle name="Notitie 2 3" xfId="324" xr:uid="{00000000-0005-0000-0000-00004C010000}"/>
    <cellStyle name="Notitie 2 4" xfId="325" xr:uid="{00000000-0005-0000-0000-00004D010000}"/>
    <cellStyle name="Notitie 2 5" xfId="326" xr:uid="{00000000-0005-0000-0000-00004E010000}"/>
    <cellStyle name="Notitie 2 6" xfId="327" xr:uid="{00000000-0005-0000-0000-00004F010000}"/>
    <cellStyle name="Notitie 2 7" xfId="328" xr:uid="{00000000-0005-0000-0000-000050010000}"/>
    <cellStyle name="Notitie 2 8" xfId="329" xr:uid="{00000000-0005-0000-0000-000051010000}"/>
    <cellStyle name="Notitie 2 9" xfId="330" xr:uid="{00000000-0005-0000-0000-000052010000}"/>
    <cellStyle name="Notitie 20" xfId="331" xr:uid="{00000000-0005-0000-0000-000053010000}"/>
    <cellStyle name="Notitie 20 10" xfId="332" xr:uid="{00000000-0005-0000-0000-000054010000}"/>
    <cellStyle name="Notitie 20 11" xfId="333" xr:uid="{00000000-0005-0000-0000-000055010000}"/>
    <cellStyle name="Notitie 20 12" xfId="334" xr:uid="{00000000-0005-0000-0000-000056010000}"/>
    <cellStyle name="Notitie 20 13" xfId="335" xr:uid="{00000000-0005-0000-0000-000057010000}"/>
    <cellStyle name="Notitie 20 14" xfId="336" xr:uid="{00000000-0005-0000-0000-000058010000}"/>
    <cellStyle name="Notitie 20 15" xfId="337" xr:uid="{00000000-0005-0000-0000-000059010000}"/>
    <cellStyle name="Notitie 20 16" xfId="338" xr:uid="{00000000-0005-0000-0000-00005A010000}"/>
    <cellStyle name="Notitie 20 17" xfId="339" xr:uid="{00000000-0005-0000-0000-00005B010000}"/>
    <cellStyle name="Notitie 20 18" xfId="340" xr:uid="{00000000-0005-0000-0000-00005C010000}"/>
    <cellStyle name="Notitie 20 19" xfId="341" xr:uid="{00000000-0005-0000-0000-00005D010000}"/>
    <cellStyle name="Notitie 20 2" xfId="342" xr:uid="{00000000-0005-0000-0000-00005E010000}"/>
    <cellStyle name="Notitie 20 20" xfId="343" xr:uid="{00000000-0005-0000-0000-00005F010000}"/>
    <cellStyle name="Notitie 20 21" xfId="344" xr:uid="{00000000-0005-0000-0000-000060010000}"/>
    <cellStyle name="Notitie 20 22" xfId="345" xr:uid="{00000000-0005-0000-0000-000061010000}"/>
    <cellStyle name="Notitie 20 3" xfId="346" xr:uid="{00000000-0005-0000-0000-000062010000}"/>
    <cellStyle name="Notitie 20 4" xfId="347" xr:uid="{00000000-0005-0000-0000-000063010000}"/>
    <cellStyle name="Notitie 20 5" xfId="348" xr:uid="{00000000-0005-0000-0000-000064010000}"/>
    <cellStyle name="Notitie 20 6" xfId="349" xr:uid="{00000000-0005-0000-0000-000065010000}"/>
    <cellStyle name="Notitie 20 7" xfId="350" xr:uid="{00000000-0005-0000-0000-000066010000}"/>
    <cellStyle name="Notitie 20 8" xfId="351" xr:uid="{00000000-0005-0000-0000-000067010000}"/>
    <cellStyle name="Notitie 20 9" xfId="352" xr:uid="{00000000-0005-0000-0000-000068010000}"/>
    <cellStyle name="Notitie 21" xfId="353" xr:uid="{00000000-0005-0000-0000-000069010000}"/>
    <cellStyle name="Notitie 21 10" xfId="354" xr:uid="{00000000-0005-0000-0000-00006A010000}"/>
    <cellStyle name="Notitie 21 11" xfId="355" xr:uid="{00000000-0005-0000-0000-00006B010000}"/>
    <cellStyle name="Notitie 21 12" xfId="356" xr:uid="{00000000-0005-0000-0000-00006C010000}"/>
    <cellStyle name="Notitie 21 13" xfId="357" xr:uid="{00000000-0005-0000-0000-00006D010000}"/>
    <cellStyle name="Notitie 21 14" xfId="358" xr:uid="{00000000-0005-0000-0000-00006E010000}"/>
    <cellStyle name="Notitie 21 15" xfId="359" xr:uid="{00000000-0005-0000-0000-00006F010000}"/>
    <cellStyle name="Notitie 21 16" xfId="360" xr:uid="{00000000-0005-0000-0000-000070010000}"/>
    <cellStyle name="Notitie 21 17" xfId="361" xr:uid="{00000000-0005-0000-0000-000071010000}"/>
    <cellStyle name="Notitie 21 18" xfId="362" xr:uid="{00000000-0005-0000-0000-000072010000}"/>
    <cellStyle name="Notitie 21 19" xfId="363" xr:uid="{00000000-0005-0000-0000-000073010000}"/>
    <cellStyle name="Notitie 21 2" xfId="364" xr:uid="{00000000-0005-0000-0000-000074010000}"/>
    <cellStyle name="Notitie 21 20" xfId="365" xr:uid="{00000000-0005-0000-0000-000075010000}"/>
    <cellStyle name="Notitie 21 21" xfId="366" xr:uid="{00000000-0005-0000-0000-000076010000}"/>
    <cellStyle name="Notitie 21 22" xfId="367" xr:uid="{00000000-0005-0000-0000-000077010000}"/>
    <cellStyle name="Notitie 21 3" xfId="368" xr:uid="{00000000-0005-0000-0000-000078010000}"/>
    <cellStyle name="Notitie 21 4" xfId="369" xr:uid="{00000000-0005-0000-0000-000079010000}"/>
    <cellStyle name="Notitie 21 5" xfId="370" xr:uid="{00000000-0005-0000-0000-00007A010000}"/>
    <cellStyle name="Notitie 21 6" xfId="371" xr:uid="{00000000-0005-0000-0000-00007B010000}"/>
    <cellStyle name="Notitie 21 7" xfId="372" xr:uid="{00000000-0005-0000-0000-00007C010000}"/>
    <cellStyle name="Notitie 21 8" xfId="373" xr:uid="{00000000-0005-0000-0000-00007D010000}"/>
    <cellStyle name="Notitie 21 9" xfId="374" xr:uid="{00000000-0005-0000-0000-00007E010000}"/>
    <cellStyle name="Notitie 22" xfId="375" xr:uid="{00000000-0005-0000-0000-00007F010000}"/>
    <cellStyle name="Notitie 22 10" xfId="376" xr:uid="{00000000-0005-0000-0000-000080010000}"/>
    <cellStyle name="Notitie 22 11" xfId="377" xr:uid="{00000000-0005-0000-0000-000081010000}"/>
    <cellStyle name="Notitie 22 12" xfId="378" xr:uid="{00000000-0005-0000-0000-000082010000}"/>
    <cellStyle name="Notitie 22 13" xfId="379" xr:uid="{00000000-0005-0000-0000-000083010000}"/>
    <cellStyle name="Notitie 22 14" xfId="380" xr:uid="{00000000-0005-0000-0000-000084010000}"/>
    <cellStyle name="Notitie 22 15" xfId="381" xr:uid="{00000000-0005-0000-0000-000085010000}"/>
    <cellStyle name="Notitie 22 16" xfId="382" xr:uid="{00000000-0005-0000-0000-000086010000}"/>
    <cellStyle name="Notitie 22 17" xfId="383" xr:uid="{00000000-0005-0000-0000-000087010000}"/>
    <cellStyle name="Notitie 22 18" xfId="384" xr:uid="{00000000-0005-0000-0000-000088010000}"/>
    <cellStyle name="Notitie 22 19" xfId="385" xr:uid="{00000000-0005-0000-0000-000089010000}"/>
    <cellStyle name="Notitie 22 2" xfId="386" xr:uid="{00000000-0005-0000-0000-00008A010000}"/>
    <cellStyle name="Notitie 22 20" xfId="387" xr:uid="{00000000-0005-0000-0000-00008B010000}"/>
    <cellStyle name="Notitie 22 21" xfId="388" xr:uid="{00000000-0005-0000-0000-00008C010000}"/>
    <cellStyle name="Notitie 22 22" xfId="389" xr:uid="{00000000-0005-0000-0000-00008D010000}"/>
    <cellStyle name="Notitie 22 3" xfId="390" xr:uid="{00000000-0005-0000-0000-00008E010000}"/>
    <cellStyle name="Notitie 22 4" xfId="391" xr:uid="{00000000-0005-0000-0000-00008F010000}"/>
    <cellStyle name="Notitie 22 5" xfId="392" xr:uid="{00000000-0005-0000-0000-000090010000}"/>
    <cellStyle name="Notitie 22 6" xfId="393" xr:uid="{00000000-0005-0000-0000-000091010000}"/>
    <cellStyle name="Notitie 22 7" xfId="394" xr:uid="{00000000-0005-0000-0000-000092010000}"/>
    <cellStyle name="Notitie 22 8" xfId="395" xr:uid="{00000000-0005-0000-0000-000093010000}"/>
    <cellStyle name="Notitie 22 9" xfId="396" xr:uid="{00000000-0005-0000-0000-000094010000}"/>
    <cellStyle name="Notitie 23" xfId="397" xr:uid="{00000000-0005-0000-0000-000095010000}"/>
    <cellStyle name="Notitie 23 10" xfId="398" xr:uid="{00000000-0005-0000-0000-000096010000}"/>
    <cellStyle name="Notitie 23 11" xfId="399" xr:uid="{00000000-0005-0000-0000-000097010000}"/>
    <cellStyle name="Notitie 23 12" xfId="400" xr:uid="{00000000-0005-0000-0000-000098010000}"/>
    <cellStyle name="Notitie 23 13" xfId="401" xr:uid="{00000000-0005-0000-0000-000099010000}"/>
    <cellStyle name="Notitie 23 14" xfId="402" xr:uid="{00000000-0005-0000-0000-00009A010000}"/>
    <cellStyle name="Notitie 23 15" xfId="403" xr:uid="{00000000-0005-0000-0000-00009B010000}"/>
    <cellStyle name="Notitie 23 16" xfId="404" xr:uid="{00000000-0005-0000-0000-00009C010000}"/>
    <cellStyle name="Notitie 23 17" xfId="405" xr:uid="{00000000-0005-0000-0000-00009D010000}"/>
    <cellStyle name="Notitie 23 18" xfId="406" xr:uid="{00000000-0005-0000-0000-00009E010000}"/>
    <cellStyle name="Notitie 23 19" xfId="407" xr:uid="{00000000-0005-0000-0000-00009F010000}"/>
    <cellStyle name="Notitie 23 2" xfId="408" xr:uid="{00000000-0005-0000-0000-0000A0010000}"/>
    <cellStyle name="Notitie 23 20" xfId="409" xr:uid="{00000000-0005-0000-0000-0000A1010000}"/>
    <cellStyle name="Notitie 23 21" xfId="410" xr:uid="{00000000-0005-0000-0000-0000A2010000}"/>
    <cellStyle name="Notitie 23 22" xfId="411" xr:uid="{00000000-0005-0000-0000-0000A3010000}"/>
    <cellStyle name="Notitie 23 3" xfId="412" xr:uid="{00000000-0005-0000-0000-0000A4010000}"/>
    <cellStyle name="Notitie 23 4" xfId="413" xr:uid="{00000000-0005-0000-0000-0000A5010000}"/>
    <cellStyle name="Notitie 23 5" xfId="414" xr:uid="{00000000-0005-0000-0000-0000A6010000}"/>
    <cellStyle name="Notitie 23 6" xfId="415" xr:uid="{00000000-0005-0000-0000-0000A7010000}"/>
    <cellStyle name="Notitie 23 7" xfId="416" xr:uid="{00000000-0005-0000-0000-0000A8010000}"/>
    <cellStyle name="Notitie 23 8" xfId="417" xr:uid="{00000000-0005-0000-0000-0000A9010000}"/>
    <cellStyle name="Notitie 23 9" xfId="418" xr:uid="{00000000-0005-0000-0000-0000AA010000}"/>
    <cellStyle name="Notitie 24" xfId="419" xr:uid="{00000000-0005-0000-0000-0000AB010000}"/>
    <cellStyle name="Notitie 24 10" xfId="420" xr:uid="{00000000-0005-0000-0000-0000AC010000}"/>
    <cellStyle name="Notitie 24 11" xfId="421" xr:uid="{00000000-0005-0000-0000-0000AD010000}"/>
    <cellStyle name="Notitie 24 12" xfId="422" xr:uid="{00000000-0005-0000-0000-0000AE010000}"/>
    <cellStyle name="Notitie 24 13" xfId="423" xr:uid="{00000000-0005-0000-0000-0000AF010000}"/>
    <cellStyle name="Notitie 24 14" xfId="424" xr:uid="{00000000-0005-0000-0000-0000B0010000}"/>
    <cellStyle name="Notitie 24 15" xfId="425" xr:uid="{00000000-0005-0000-0000-0000B1010000}"/>
    <cellStyle name="Notitie 24 16" xfId="426" xr:uid="{00000000-0005-0000-0000-0000B2010000}"/>
    <cellStyle name="Notitie 24 17" xfId="427" xr:uid="{00000000-0005-0000-0000-0000B3010000}"/>
    <cellStyle name="Notitie 24 18" xfId="428" xr:uid="{00000000-0005-0000-0000-0000B4010000}"/>
    <cellStyle name="Notitie 24 19" xfId="429" xr:uid="{00000000-0005-0000-0000-0000B5010000}"/>
    <cellStyle name="Notitie 24 2" xfId="430" xr:uid="{00000000-0005-0000-0000-0000B6010000}"/>
    <cellStyle name="Notitie 24 20" xfId="431" xr:uid="{00000000-0005-0000-0000-0000B7010000}"/>
    <cellStyle name="Notitie 24 21" xfId="432" xr:uid="{00000000-0005-0000-0000-0000B8010000}"/>
    <cellStyle name="Notitie 24 22" xfId="433" xr:uid="{00000000-0005-0000-0000-0000B9010000}"/>
    <cellStyle name="Notitie 24 3" xfId="434" xr:uid="{00000000-0005-0000-0000-0000BA010000}"/>
    <cellStyle name="Notitie 24 4" xfId="435" xr:uid="{00000000-0005-0000-0000-0000BB010000}"/>
    <cellStyle name="Notitie 24 5" xfId="436" xr:uid="{00000000-0005-0000-0000-0000BC010000}"/>
    <cellStyle name="Notitie 24 6" xfId="437" xr:uid="{00000000-0005-0000-0000-0000BD010000}"/>
    <cellStyle name="Notitie 24 7" xfId="438" xr:uid="{00000000-0005-0000-0000-0000BE010000}"/>
    <cellStyle name="Notitie 24 8" xfId="439" xr:uid="{00000000-0005-0000-0000-0000BF010000}"/>
    <cellStyle name="Notitie 24 9" xfId="440" xr:uid="{00000000-0005-0000-0000-0000C0010000}"/>
    <cellStyle name="Notitie 25" xfId="441" xr:uid="{00000000-0005-0000-0000-0000C1010000}"/>
    <cellStyle name="Notitie 25 10" xfId="442" xr:uid="{00000000-0005-0000-0000-0000C2010000}"/>
    <cellStyle name="Notitie 25 11" xfId="443" xr:uid="{00000000-0005-0000-0000-0000C3010000}"/>
    <cellStyle name="Notitie 25 12" xfId="444" xr:uid="{00000000-0005-0000-0000-0000C4010000}"/>
    <cellStyle name="Notitie 25 13" xfId="445" xr:uid="{00000000-0005-0000-0000-0000C5010000}"/>
    <cellStyle name="Notitie 25 14" xfId="446" xr:uid="{00000000-0005-0000-0000-0000C6010000}"/>
    <cellStyle name="Notitie 25 15" xfId="447" xr:uid="{00000000-0005-0000-0000-0000C7010000}"/>
    <cellStyle name="Notitie 25 16" xfId="448" xr:uid="{00000000-0005-0000-0000-0000C8010000}"/>
    <cellStyle name="Notitie 25 17" xfId="449" xr:uid="{00000000-0005-0000-0000-0000C9010000}"/>
    <cellStyle name="Notitie 25 18" xfId="450" xr:uid="{00000000-0005-0000-0000-0000CA010000}"/>
    <cellStyle name="Notitie 25 19" xfId="451" xr:uid="{00000000-0005-0000-0000-0000CB010000}"/>
    <cellStyle name="Notitie 25 2" xfId="452" xr:uid="{00000000-0005-0000-0000-0000CC010000}"/>
    <cellStyle name="Notitie 25 20" xfId="453" xr:uid="{00000000-0005-0000-0000-0000CD010000}"/>
    <cellStyle name="Notitie 25 21" xfId="454" xr:uid="{00000000-0005-0000-0000-0000CE010000}"/>
    <cellStyle name="Notitie 25 22" xfId="455" xr:uid="{00000000-0005-0000-0000-0000CF010000}"/>
    <cellStyle name="Notitie 25 3" xfId="456" xr:uid="{00000000-0005-0000-0000-0000D0010000}"/>
    <cellStyle name="Notitie 25 4" xfId="457" xr:uid="{00000000-0005-0000-0000-0000D1010000}"/>
    <cellStyle name="Notitie 25 5" xfId="458" xr:uid="{00000000-0005-0000-0000-0000D2010000}"/>
    <cellStyle name="Notitie 25 6" xfId="459" xr:uid="{00000000-0005-0000-0000-0000D3010000}"/>
    <cellStyle name="Notitie 25 7" xfId="460" xr:uid="{00000000-0005-0000-0000-0000D4010000}"/>
    <cellStyle name="Notitie 25 8" xfId="461" xr:uid="{00000000-0005-0000-0000-0000D5010000}"/>
    <cellStyle name="Notitie 25 9" xfId="462" xr:uid="{00000000-0005-0000-0000-0000D6010000}"/>
    <cellStyle name="Notitie 26" xfId="463" xr:uid="{00000000-0005-0000-0000-0000D7010000}"/>
    <cellStyle name="Notitie 26 10" xfId="464" xr:uid="{00000000-0005-0000-0000-0000D8010000}"/>
    <cellStyle name="Notitie 26 11" xfId="465" xr:uid="{00000000-0005-0000-0000-0000D9010000}"/>
    <cellStyle name="Notitie 26 12" xfId="466" xr:uid="{00000000-0005-0000-0000-0000DA010000}"/>
    <cellStyle name="Notitie 26 13" xfId="467" xr:uid="{00000000-0005-0000-0000-0000DB010000}"/>
    <cellStyle name="Notitie 26 14" xfId="468" xr:uid="{00000000-0005-0000-0000-0000DC010000}"/>
    <cellStyle name="Notitie 26 15" xfId="469" xr:uid="{00000000-0005-0000-0000-0000DD010000}"/>
    <cellStyle name="Notitie 26 16" xfId="470" xr:uid="{00000000-0005-0000-0000-0000DE010000}"/>
    <cellStyle name="Notitie 26 17" xfId="471" xr:uid="{00000000-0005-0000-0000-0000DF010000}"/>
    <cellStyle name="Notitie 26 18" xfId="472" xr:uid="{00000000-0005-0000-0000-0000E0010000}"/>
    <cellStyle name="Notitie 26 19" xfId="473" xr:uid="{00000000-0005-0000-0000-0000E1010000}"/>
    <cellStyle name="Notitie 26 2" xfId="474" xr:uid="{00000000-0005-0000-0000-0000E2010000}"/>
    <cellStyle name="Notitie 26 20" xfId="475" xr:uid="{00000000-0005-0000-0000-0000E3010000}"/>
    <cellStyle name="Notitie 26 21" xfId="476" xr:uid="{00000000-0005-0000-0000-0000E4010000}"/>
    <cellStyle name="Notitie 26 22" xfId="477" xr:uid="{00000000-0005-0000-0000-0000E5010000}"/>
    <cellStyle name="Notitie 26 3" xfId="478" xr:uid="{00000000-0005-0000-0000-0000E6010000}"/>
    <cellStyle name="Notitie 26 4" xfId="479" xr:uid="{00000000-0005-0000-0000-0000E7010000}"/>
    <cellStyle name="Notitie 26 5" xfId="480" xr:uid="{00000000-0005-0000-0000-0000E8010000}"/>
    <cellStyle name="Notitie 26 6" xfId="481" xr:uid="{00000000-0005-0000-0000-0000E9010000}"/>
    <cellStyle name="Notitie 26 7" xfId="482" xr:uid="{00000000-0005-0000-0000-0000EA010000}"/>
    <cellStyle name="Notitie 26 8" xfId="483" xr:uid="{00000000-0005-0000-0000-0000EB010000}"/>
    <cellStyle name="Notitie 26 9" xfId="484" xr:uid="{00000000-0005-0000-0000-0000EC010000}"/>
    <cellStyle name="Notitie 27" xfId="485" xr:uid="{00000000-0005-0000-0000-0000ED010000}"/>
    <cellStyle name="Notitie 27 10" xfId="486" xr:uid="{00000000-0005-0000-0000-0000EE010000}"/>
    <cellStyle name="Notitie 27 11" xfId="487" xr:uid="{00000000-0005-0000-0000-0000EF010000}"/>
    <cellStyle name="Notitie 27 12" xfId="488" xr:uid="{00000000-0005-0000-0000-0000F0010000}"/>
    <cellStyle name="Notitie 27 13" xfId="489" xr:uid="{00000000-0005-0000-0000-0000F1010000}"/>
    <cellStyle name="Notitie 27 14" xfId="490" xr:uid="{00000000-0005-0000-0000-0000F2010000}"/>
    <cellStyle name="Notitie 27 15" xfId="491" xr:uid="{00000000-0005-0000-0000-0000F3010000}"/>
    <cellStyle name="Notitie 27 16" xfId="492" xr:uid="{00000000-0005-0000-0000-0000F4010000}"/>
    <cellStyle name="Notitie 27 17" xfId="493" xr:uid="{00000000-0005-0000-0000-0000F5010000}"/>
    <cellStyle name="Notitie 27 18" xfId="494" xr:uid="{00000000-0005-0000-0000-0000F6010000}"/>
    <cellStyle name="Notitie 27 19" xfId="495" xr:uid="{00000000-0005-0000-0000-0000F7010000}"/>
    <cellStyle name="Notitie 27 2" xfId="496" xr:uid="{00000000-0005-0000-0000-0000F8010000}"/>
    <cellStyle name="Notitie 27 20" xfId="497" xr:uid="{00000000-0005-0000-0000-0000F9010000}"/>
    <cellStyle name="Notitie 27 21" xfId="498" xr:uid="{00000000-0005-0000-0000-0000FA010000}"/>
    <cellStyle name="Notitie 27 22" xfId="499" xr:uid="{00000000-0005-0000-0000-0000FB010000}"/>
    <cellStyle name="Notitie 27 3" xfId="500" xr:uid="{00000000-0005-0000-0000-0000FC010000}"/>
    <cellStyle name="Notitie 27 4" xfId="501" xr:uid="{00000000-0005-0000-0000-0000FD010000}"/>
    <cellStyle name="Notitie 27 5" xfId="502" xr:uid="{00000000-0005-0000-0000-0000FE010000}"/>
    <cellStyle name="Notitie 27 6" xfId="503" xr:uid="{00000000-0005-0000-0000-0000FF010000}"/>
    <cellStyle name="Notitie 27 7" xfId="504" xr:uid="{00000000-0005-0000-0000-000000020000}"/>
    <cellStyle name="Notitie 27 8" xfId="505" xr:uid="{00000000-0005-0000-0000-000001020000}"/>
    <cellStyle name="Notitie 27 9" xfId="506" xr:uid="{00000000-0005-0000-0000-000002020000}"/>
    <cellStyle name="Notitie 28" xfId="507" xr:uid="{00000000-0005-0000-0000-000003020000}"/>
    <cellStyle name="Notitie 28 10" xfId="508" xr:uid="{00000000-0005-0000-0000-000004020000}"/>
    <cellStyle name="Notitie 28 11" xfId="509" xr:uid="{00000000-0005-0000-0000-000005020000}"/>
    <cellStyle name="Notitie 28 12" xfId="510" xr:uid="{00000000-0005-0000-0000-000006020000}"/>
    <cellStyle name="Notitie 28 13" xfId="511" xr:uid="{00000000-0005-0000-0000-000007020000}"/>
    <cellStyle name="Notitie 28 14" xfId="512" xr:uid="{00000000-0005-0000-0000-000008020000}"/>
    <cellStyle name="Notitie 28 15" xfId="513" xr:uid="{00000000-0005-0000-0000-000009020000}"/>
    <cellStyle name="Notitie 28 16" xfId="514" xr:uid="{00000000-0005-0000-0000-00000A020000}"/>
    <cellStyle name="Notitie 28 17" xfId="515" xr:uid="{00000000-0005-0000-0000-00000B020000}"/>
    <cellStyle name="Notitie 28 18" xfId="516" xr:uid="{00000000-0005-0000-0000-00000C020000}"/>
    <cellStyle name="Notitie 28 19" xfId="517" xr:uid="{00000000-0005-0000-0000-00000D020000}"/>
    <cellStyle name="Notitie 28 2" xfId="518" xr:uid="{00000000-0005-0000-0000-00000E020000}"/>
    <cellStyle name="Notitie 28 20" xfId="519" xr:uid="{00000000-0005-0000-0000-00000F020000}"/>
    <cellStyle name="Notitie 28 21" xfId="520" xr:uid="{00000000-0005-0000-0000-000010020000}"/>
    <cellStyle name="Notitie 28 22" xfId="521" xr:uid="{00000000-0005-0000-0000-000011020000}"/>
    <cellStyle name="Notitie 28 3" xfId="522" xr:uid="{00000000-0005-0000-0000-000012020000}"/>
    <cellStyle name="Notitie 28 4" xfId="523" xr:uid="{00000000-0005-0000-0000-000013020000}"/>
    <cellStyle name="Notitie 28 5" xfId="524" xr:uid="{00000000-0005-0000-0000-000014020000}"/>
    <cellStyle name="Notitie 28 6" xfId="525" xr:uid="{00000000-0005-0000-0000-000015020000}"/>
    <cellStyle name="Notitie 28 7" xfId="526" xr:uid="{00000000-0005-0000-0000-000016020000}"/>
    <cellStyle name="Notitie 28 8" xfId="527" xr:uid="{00000000-0005-0000-0000-000017020000}"/>
    <cellStyle name="Notitie 28 9" xfId="528" xr:uid="{00000000-0005-0000-0000-000018020000}"/>
    <cellStyle name="Notitie 29" xfId="529" xr:uid="{00000000-0005-0000-0000-000019020000}"/>
    <cellStyle name="Notitie 29 10" xfId="530" xr:uid="{00000000-0005-0000-0000-00001A020000}"/>
    <cellStyle name="Notitie 29 11" xfId="531" xr:uid="{00000000-0005-0000-0000-00001B020000}"/>
    <cellStyle name="Notitie 29 12" xfId="532" xr:uid="{00000000-0005-0000-0000-00001C020000}"/>
    <cellStyle name="Notitie 29 13" xfId="533" xr:uid="{00000000-0005-0000-0000-00001D020000}"/>
    <cellStyle name="Notitie 29 14" xfId="534" xr:uid="{00000000-0005-0000-0000-00001E020000}"/>
    <cellStyle name="Notitie 29 15" xfId="535" xr:uid="{00000000-0005-0000-0000-00001F020000}"/>
    <cellStyle name="Notitie 29 16" xfId="536" xr:uid="{00000000-0005-0000-0000-000020020000}"/>
    <cellStyle name="Notitie 29 17" xfId="537" xr:uid="{00000000-0005-0000-0000-000021020000}"/>
    <cellStyle name="Notitie 29 18" xfId="538" xr:uid="{00000000-0005-0000-0000-000022020000}"/>
    <cellStyle name="Notitie 29 19" xfId="539" xr:uid="{00000000-0005-0000-0000-000023020000}"/>
    <cellStyle name="Notitie 29 2" xfId="540" xr:uid="{00000000-0005-0000-0000-000024020000}"/>
    <cellStyle name="Notitie 29 20" xfId="541" xr:uid="{00000000-0005-0000-0000-000025020000}"/>
    <cellStyle name="Notitie 29 21" xfId="542" xr:uid="{00000000-0005-0000-0000-000026020000}"/>
    <cellStyle name="Notitie 29 22" xfId="543" xr:uid="{00000000-0005-0000-0000-000027020000}"/>
    <cellStyle name="Notitie 29 3" xfId="544" xr:uid="{00000000-0005-0000-0000-000028020000}"/>
    <cellStyle name="Notitie 29 4" xfId="545" xr:uid="{00000000-0005-0000-0000-000029020000}"/>
    <cellStyle name="Notitie 29 5" xfId="546" xr:uid="{00000000-0005-0000-0000-00002A020000}"/>
    <cellStyle name="Notitie 29 6" xfId="547" xr:uid="{00000000-0005-0000-0000-00002B020000}"/>
    <cellStyle name="Notitie 29 7" xfId="548" xr:uid="{00000000-0005-0000-0000-00002C020000}"/>
    <cellStyle name="Notitie 29 8" xfId="549" xr:uid="{00000000-0005-0000-0000-00002D020000}"/>
    <cellStyle name="Notitie 29 9" xfId="550" xr:uid="{00000000-0005-0000-0000-00002E020000}"/>
    <cellStyle name="Notitie 3" xfId="551" xr:uid="{00000000-0005-0000-0000-00002F020000}"/>
    <cellStyle name="Notitie 3 10" xfId="552" xr:uid="{00000000-0005-0000-0000-000030020000}"/>
    <cellStyle name="Notitie 3 11" xfId="553" xr:uid="{00000000-0005-0000-0000-000031020000}"/>
    <cellStyle name="Notitie 3 12" xfId="554" xr:uid="{00000000-0005-0000-0000-000032020000}"/>
    <cellStyle name="Notitie 3 13" xfId="555" xr:uid="{00000000-0005-0000-0000-000033020000}"/>
    <cellStyle name="Notitie 3 14" xfId="556" xr:uid="{00000000-0005-0000-0000-000034020000}"/>
    <cellStyle name="Notitie 3 15" xfId="557" xr:uid="{00000000-0005-0000-0000-000035020000}"/>
    <cellStyle name="Notitie 3 16" xfId="558" xr:uid="{00000000-0005-0000-0000-000036020000}"/>
    <cellStyle name="Notitie 3 17" xfId="559" xr:uid="{00000000-0005-0000-0000-000037020000}"/>
    <cellStyle name="Notitie 3 18" xfId="560" xr:uid="{00000000-0005-0000-0000-000038020000}"/>
    <cellStyle name="Notitie 3 19" xfId="561" xr:uid="{00000000-0005-0000-0000-000039020000}"/>
    <cellStyle name="Notitie 3 2" xfId="562" xr:uid="{00000000-0005-0000-0000-00003A020000}"/>
    <cellStyle name="Notitie 3 20" xfId="563" xr:uid="{00000000-0005-0000-0000-00003B020000}"/>
    <cellStyle name="Notitie 3 21" xfId="564" xr:uid="{00000000-0005-0000-0000-00003C020000}"/>
    <cellStyle name="Notitie 3 22" xfId="565" xr:uid="{00000000-0005-0000-0000-00003D020000}"/>
    <cellStyle name="Notitie 3 23" xfId="566" xr:uid="{00000000-0005-0000-0000-00003E020000}"/>
    <cellStyle name="Notitie 3 24" xfId="567" xr:uid="{00000000-0005-0000-0000-00003F020000}"/>
    <cellStyle name="Notitie 3 25" xfId="568" xr:uid="{00000000-0005-0000-0000-000040020000}"/>
    <cellStyle name="Notitie 3 26" xfId="569" xr:uid="{00000000-0005-0000-0000-000041020000}"/>
    <cellStyle name="Notitie 3 27" xfId="570" xr:uid="{00000000-0005-0000-0000-000042020000}"/>
    <cellStyle name="Notitie 3 28" xfId="571" xr:uid="{00000000-0005-0000-0000-000043020000}"/>
    <cellStyle name="Notitie 3 29" xfId="572" xr:uid="{00000000-0005-0000-0000-000044020000}"/>
    <cellStyle name="Notitie 3 3" xfId="573" xr:uid="{00000000-0005-0000-0000-000045020000}"/>
    <cellStyle name="Notitie 3 4" xfId="574" xr:uid="{00000000-0005-0000-0000-000046020000}"/>
    <cellStyle name="Notitie 3 5" xfId="575" xr:uid="{00000000-0005-0000-0000-000047020000}"/>
    <cellStyle name="Notitie 3 6" xfId="576" xr:uid="{00000000-0005-0000-0000-000048020000}"/>
    <cellStyle name="Notitie 3 7" xfId="577" xr:uid="{00000000-0005-0000-0000-000049020000}"/>
    <cellStyle name="Notitie 3 8" xfId="578" xr:uid="{00000000-0005-0000-0000-00004A020000}"/>
    <cellStyle name="Notitie 3 9" xfId="579" xr:uid="{00000000-0005-0000-0000-00004B020000}"/>
    <cellStyle name="Notitie 30" xfId="580" xr:uid="{00000000-0005-0000-0000-00004C020000}"/>
    <cellStyle name="Notitie 30 10" xfId="581" xr:uid="{00000000-0005-0000-0000-00004D020000}"/>
    <cellStyle name="Notitie 30 11" xfId="582" xr:uid="{00000000-0005-0000-0000-00004E020000}"/>
    <cellStyle name="Notitie 30 12" xfId="583" xr:uid="{00000000-0005-0000-0000-00004F020000}"/>
    <cellStyle name="Notitie 30 13" xfId="584" xr:uid="{00000000-0005-0000-0000-000050020000}"/>
    <cellStyle name="Notitie 30 14" xfId="585" xr:uid="{00000000-0005-0000-0000-000051020000}"/>
    <cellStyle name="Notitie 30 15" xfId="586" xr:uid="{00000000-0005-0000-0000-000052020000}"/>
    <cellStyle name="Notitie 30 16" xfId="587" xr:uid="{00000000-0005-0000-0000-000053020000}"/>
    <cellStyle name="Notitie 30 17" xfId="588" xr:uid="{00000000-0005-0000-0000-000054020000}"/>
    <cellStyle name="Notitie 30 18" xfId="589" xr:uid="{00000000-0005-0000-0000-000055020000}"/>
    <cellStyle name="Notitie 30 19" xfId="590" xr:uid="{00000000-0005-0000-0000-000056020000}"/>
    <cellStyle name="Notitie 30 2" xfId="591" xr:uid="{00000000-0005-0000-0000-000057020000}"/>
    <cellStyle name="Notitie 30 20" xfId="592" xr:uid="{00000000-0005-0000-0000-000058020000}"/>
    <cellStyle name="Notitie 30 21" xfId="593" xr:uid="{00000000-0005-0000-0000-000059020000}"/>
    <cellStyle name="Notitie 30 22" xfId="594" xr:uid="{00000000-0005-0000-0000-00005A020000}"/>
    <cellStyle name="Notitie 30 3" xfId="595" xr:uid="{00000000-0005-0000-0000-00005B020000}"/>
    <cellStyle name="Notitie 30 4" xfId="596" xr:uid="{00000000-0005-0000-0000-00005C020000}"/>
    <cellStyle name="Notitie 30 5" xfId="597" xr:uid="{00000000-0005-0000-0000-00005D020000}"/>
    <cellStyle name="Notitie 30 6" xfId="598" xr:uid="{00000000-0005-0000-0000-00005E020000}"/>
    <cellStyle name="Notitie 30 7" xfId="599" xr:uid="{00000000-0005-0000-0000-00005F020000}"/>
    <cellStyle name="Notitie 30 8" xfId="600" xr:uid="{00000000-0005-0000-0000-000060020000}"/>
    <cellStyle name="Notitie 30 9" xfId="601" xr:uid="{00000000-0005-0000-0000-000061020000}"/>
    <cellStyle name="Notitie 31" xfId="602" xr:uid="{00000000-0005-0000-0000-000062020000}"/>
    <cellStyle name="Notitie 31 10" xfId="603" xr:uid="{00000000-0005-0000-0000-000063020000}"/>
    <cellStyle name="Notitie 31 11" xfId="604" xr:uid="{00000000-0005-0000-0000-000064020000}"/>
    <cellStyle name="Notitie 31 12" xfId="605" xr:uid="{00000000-0005-0000-0000-000065020000}"/>
    <cellStyle name="Notitie 31 13" xfId="606" xr:uid="{00000000-0005-0000-0000-000066020000}"/>
    <cellStyle name="Notitie 31 14" xfId="607" xr:uid="{00000000-0005-0000-0000-000067020000}"/>
    <cellStyle name="Notitie 31 15" xfId="608" xr:uid="{00000000-0005-0000-0000-000068020000}"/>
    <cellStyle name="Notitie 31 16" xfId="609" xr:uid="{00000000-0005-0000-0000-000069020000}"/>
    <cellStyle name="Notitie 31 17" xfId="610" xr:uid="{00000000-0005-0000-0000-00006A020000}"/>
    <cellStyle name="Notitie 31 18" xfId="611" xr:uid="{00000000-0005-0000-0000-00006B020000}"/>
    <cellStyle name="Notitie 31 19" xfId="612" xr:uid="{00000000-0005-0000-0000-00006C020000}"/>
    <cellStyle name="Notitie 31 2" xfId="613" xr:uid="{00000000-0005-0000-0000-00006D020000}"/>
    <cellStyle name="Notitie 31 20" xfId="614" xr:uid="{00000000-0005-0000-0000-00006E020000}"/>
    <cellStyle name="Notitie 31 21" xfId="615" xr:uid="{00000000-0005-0000-0000-00006F020000}"/>
    <cellStyle name="Notitie 31 22" xfId="616" xr:uid="{00000000-0005-0000-0000-000070020000}"/>
    <cellStyle name="Notitie 31 3" xfId="617" xr:uid="{00000000-0005-0000-0000-000071020000}"/>
    <cellStyle name="Notitie 31 4" xfId="618" xr:uid="{00000000-0005-0000-0000-000072020000}"/>
    <cellStyle name="Notitie 31 5" xfId="619" xr:uid="{00000000-0005-0000-0000-000073020000}"/>
    <cellStyle name="Notitie 31 6" xfId="620" xr:uid="{00000000-0005-0000-0000-000074020000}"/>
    <cellStyle name="Notitie 31 7" xfId="621" xr:uid="{00000000-0005-0000-0000-000075020000}"/>
    <cellStyle name="Notitie 31 8" xfId="622" xr:uid="{00000000-0005-0000-0000-000076020000}"/>
    <cellStyle name="Notitie 31 9" xfId="623" xr:uid="{00000000-0005-0000-0000-000077020000}"/>
    <cellStyle name="Notitie 32" xfId="624" xr:uid="{00000000-0005-0000-0000-000078020000}"/>
    <cellStyle name="Notitie 32 10" xfId="625" xr:uid="{00000000-0005-0000-0000-000079020000}"/>
    <cellStyle name="Notitie 32 11" xfId="626" xr:uid="{00000000-0005-0000-0000-00007A020000}"/>
    <cellStyle name="Notitie 32 12" xfId="627" xr:uid="{00000000-0005-0000-0000-00007B020000}"/>
    <cellStyle name="Notitie 32 13" xfId="628" xr:uid="{00000000-0005-0000-0000-00007C020000}"/>
    <cellStyle name="Notitie 32 14" xfId="629" xr:uid="{00000000-0005-0000-0000-00007D020000}"/>
    <cellStyle name="Notitie 32 15" xfId="630" xr:uid="{00000000-0005-0000-0000-00007E020000}"/>
    <cellStyle name="Notitie 32 16" xfId="631" xr:uid="{00000000-0005-0000-0000-00007F020000}"/>
    <cellStyle name="Notitie 32 17" xfId="632" xr:uid="{00000000-0005-0000-0000-000080020000}"/>
    <cellStyle name="Notitie 32 18" xfId="633" xr:uid="{00000000-0005-0000-0000-000081020000}"/>
    <cellStyle name="Notitie 32 19" xfId="634" xr:uid="{00000000-0005-0000-0000-000082020000}"/>
    <cellStyle name="Notitie 32 2" xfId="635" xr:uid="{00000000-0005-0000-0000-000083020000}"/>
    <cellStyle name="Notitie 32 20" xfId="636" xr:uid="{00000000-0005-0000-0000-000084020000}"/>
    <cellStyle name="Notitie 32 21" xfId="637" xr:uid="{00000000-0005-0000-0000-000085020000}"/>
    <cellStyle name="Notitie 32 22" xfId="638" xr:uid="{00000000-0005-0000-0000-000086020000}"/>
    <cellStyle name="Notitie 32 3" xfId="639" xr:uid="{00000000-0005-0000-0000-000087020000}"/>
    <cellStyle name="Notitie 32 4" xfId="640" xr:uid="{00000000-0005-0000-0000-000088020000}"/>
    <cellStyle name="Notitie 32 5" xfId="641" xr:uid="{00000000-0005-0000-0000-000089020000}"/>
    <cellStyle name="Notitie 32 6" xfId="642" xr:uid="{00000000-0005-0000-0000-00008A020000}"/>
    <cellStyle name="Notitie 32 7" xfId="643" xr:uid="{00000000-0005-0000-0000-00008B020000}"/>
    <cellStyle name="Notitie 32 8" xfId="644" xr:uid="{00000000-0005-0000-0000-00008C020000}"/>
    <cellStyle name="Notitie 32 9" xfId="645" xr:uid="{00000000-0005-0000-0000-00008D020000}"/>
    <cellStyle name="Notitie 33" xfId="646" xr:uid="{00000000-0005-0000-0000-00008E020000}"/>
    <cellStyle name="Notitie 33 10" xfId="647" xr:uid="{00000000-0005-0000-0000-00008F020000}"/>
    <cellStyle name="Notitie 33 11" xfId="648" xr:uid="{00000000-0005-0000-0000-000090020000}"/>
    <cellStyle name="Notitie 33 12" xfId="649" xr:uid="{00000000-0005-0000-0000-000091020000}"/>
    <cellStyle name="Notitie 33 13" xfId="650" xr:uid="{00000000-0005-0000-0000-000092020000}"/>
    <cellStyle name="Notitie 33 14" xfId="651" xr:uid="{00000000-0005-0000-0000-000093020000}"/>
    <cellStyle name="Notitie 33 15" xfId="652" xr:uid="{00000000-0005-0000-0000-000094020000}"/>
    <cellStyle name="Notitie 33 16" xfId="653" xr:uid="{00000000-0005-0000-0000-000095020000}"/>
    <cellStyle name="Notitie 33 17" xfId="654" xr:uid="{00000000-0005-0000-0000-000096020000}"/>
    <cellStyle name="Notitie 33 18" xfId="655" xr:uid="{00000000-0005-0000-0000-000097020000}"/>
    <cellStyle name="Notitie 33 19" xfId="656" xr:uid="{00000000-0005-0000-0000-000098020000}"/>
    <cellStyle name="Notitie 33 2" xfId="657" xr:uid="{00000000-0005-0000-0000-000099020000}"/>
    <cellStyle name="Notitie 33 20" xfId="658" xr:uid="{00000000-0005-0000-0000-00009A020000}"/>
    <cellStyle name="Notitie 33 21" xfId="659" xr:uid="{00000000-0005-0000-0000-00009B020000}"/>
    <cellStyle name="Notitie 33 22" xfId="660" xr:uid="{00000000-0005-0000-0000-00009C020000}"/>
    <cellStyle name="Notitie 33 3" xfId="661" xr:uid="{00000000-0005-0000-0000-00009D020000}"/>
    <cellStyle name="Notitie 33 4" xfId="662" xr:uid="{00000000-0005-0000-0000-00009E020000}"/>
    <cellStyle name="Notitie 33 5" xfId="663" xr:uid="{00000000-0005-0000-0000-00009F020000}"/>
    <cellStyle name="Notitie 33 6" xfId="664" xr:uid="{00000000-0005-0000-0000-0000A0020000}"/>
    <cellStyle name="Notitie 33 7" xfId="665" xr:uid="{00000000-0005-0000-0000-0000A1020000}"/>
    <cellStyle name="Notitie 33 8" xfId="666" xr:uid="{00000000-0005-0000-0000-0000A2020000}"/>
    <cellStyle name="Notitie 33 9" xfId="667" xr:uid="{00000000-0005-0000-0000-0000A3020000}"/>
    <cellStyle name="Notitie 34" xfId="668" xr:uid="{00000000-0005-0000-0000-0000A4020000}"/>
    <cellStyle name="Notitie 34 10" xfId="669" xr:uid="{00000000-0005-0000-0000-0000A5020000}"/>
    <cellStyle name="Notitie 34 11" xfId="670" xr:uid="{00000000-0005-0000-0000-0000A6020000}"/>
    <cellStyle name="Notitie 34 12" xfId="671" xr:uid="{00000000-0005-0000-0000-0000A7020000}"/>
    <cellStyle name="Notitie 34 13" xfId="672" xr:uid="{00000000-0005-0000-0000-0000A8020000}"/>
    <cellStyle name="Notitie 34 14" xfId="673" xr:uid="{00000000-0005-0000-0000-0000A9020000}"/>
    <cellStyle name="Notitie 34 15" xfId="674" xr:uid="{00000000-0005-0000-0000-0000AA020000}"/>
    <cellStyle name="Notitie 34 16" xfId="675" xr:uid="{00000000-0005-0000-0000-0000AB020000}"/>
    <cellStyle name="Notitie 34 17" xfId="676" xr:uid="{00000000-0005-0000-0000-0000AC020000}"/>
    <cellStyle name="Notitie 34 18" xfId="677" xr:uid="{00000000-0005-0000-0000-0000AD020000}"/>
    <cellStyle name="Notitie 34 19" xfId="678" xr:uid="{00000000-0005-0000-0000-0000AE020000}"/>
    <cellStyle name="Notitie 34 2" xfId="679" xr:uid="{00000000-0005-0000-0000-0000AF020000}"/>
    <cellStyle name="Notitie 34 20" xfId="680" xr:uid="{00000000-0005-0000-0000-0000B0020000}"/>
    <cellStyle name="Notitie 34 21" xfId="681" xr:uid="{00000000-0005-0000-0000-0000B1020000}"/>
    <cellStyle name="Notitie 34 22" xfId="682" xr:uid="{00000000-0005-0000-0000-0000B2020000}"/>
    <cellStyle name="Notitie 34 3" xfId="683" xr:uid="{00000000-0005-0000-0000-0000B3020000}"/>
    <cellStyle name="Notitie 34 4" xfId="684" xr:uid="{00000000-0005-0000-0000-0000B4020000}"/>
    <cellStyle name="Notitie 34 5" xfId="685" xr:uid="{00000000-0005-0000-0000-0000B5020000}"/>
    <cellStyle name="Notitie 34 6" xfId="686" xr:uid="{00000000-0005-0000-0000-0000B6020000}"/>
    <cellStyle name="Notitie 34 7" xfId="687" xr:uid="{00000000-0005-0000-0000-0000B7020000}"/>
    <cellStyle name="Notitie 34 8" xfId="688" xr:uid="{00000000-0005-0000-0000-0000B8020000}"/>
    <cellStyle name="Notitie 34 9" xfId="689" xr:uid="{00000000-0005-0000-0000-0000B9020000}"/>
    <cellStyle name="Notitie 35" xfId="690" xr:uid="{00000000-0005-0000-0000-0000BA020000}"/>
    <cellStyle name="Notitie 35 10" xfId="691" xr:uid="{00000000-0005-0000-0000-0000BB020000}"/>
    <cellStyle name="Notitie 35 11" xfId="692" xr:uid="{00000000-0005-0000-0000-0000BC020000}"/>
    <cellStyle name="Notitie 35 12" xfId="693" xr:uid="{00000000-0005-0000-0000-0000BD020000}"/>
    <cellStyle name="Notitie 35 13" xfId="694" xr:uid="{00000000-0005-0000-0000-0000BE020000}"/>
    <cellStyle name="Notitie 35 14" xfId="695" xr:uid="{00000000-0005-0000-0000-0000BF020000}"/>
    <cellStyle name="Notitie 35 15" xfId="696" xr:uid="{00000000-0005-0000-0000-0000C0020000}"/>
    <cellStyle name="Notitie 35 16" xfId="697" xr:uid="{00000000-0005-0000-0000-0000C1020000}"/>
    <cellStyle name="Notitie 35 17" xfId="698" xr:uid="{00000000-0005-0000-0000-0000C2020000}"/>
    <cellStyle name="Notitie 35 18" xfId="699" xr:uid="{00000000-0005-0000-0000-0000C3020000}"/>
    <cellStyle name="Notitie 35 19" xfId="700" xr:uid="{00000000-0005-0000-0000-0000C4020000}"/>
    <cellStyle name="Notitie 35 2" xfId="701" xr:uid="{00000000-0005-0000-0000-0000C5020000}"/>
    <cellStyle name="Notitie 35 20" xfId="702" xr:uid="{00000000-0005-0000-0000-0000C6020000}"/>
    <cellStyle name="Notitie 35 21" xfId="703" xr:uid="{00000000-0005-0000-0000-0000C7020000}"/>
    <cellStyle name="Notitie 35 22" xfId="704" xr:uid="{00000000-0005-0000-0000-0000C8020000}"/>
    <cellStyle name="Notitie 35 3" xfId="705" xr:uid="{00000000-0005-0000-0000-0000C9020000}"/>
    <cellStyle name="Notitie 35 4" xfId="706" xr:uid="{00000000-0005-0000-0000-0000CA020000}"/>
    <cellStyle name="Notitie 35 5" xfId="707" xr:uid="{00000000-0005-0000-0000-0000CB020000}"/>
    <cellStyle name="Notitie 35 6" xfId="708" xr:uid="{00000000-0005-0000-0000-0000CC020000}"/>
    <cellStyle name="Notitie 35 7" xfId="709" xr:uid="{00000000-0005-0000-0000-0000CD020000}"/>
    <cellStyle name="Notitie 35 8" xfId="710" xr:uid="{00000000-0005-0000-0000-0000CE020000}"/>
    <cellStyle name="Notitie 35 9" xfId="711" xr:uid="{00000000-0005-0000-0000-0000CF020000}"/>
    <cellStyle name="Notitie 36" xfId="712" xr:uid="{00000000-0005-0000-0000-0000D0020000}"/>
    <cellStyle name="Notitie 36 10" xfId="713" xr:uid="{00000000-0005-0000-0000-0000D1020000}"/>
    <cellStyle name="Notitie 36 11" xfId="714" xr:uid="{00000000-0005-0000-0000-0000D2020000}"/>
    <cellStyle name="Notitie 36 12" xfId="715" xr:uid="{00000000-0005-0000-0000-0000D3020000}"/>
    <cellStyle name="Notitie 36 13" xfId="716" xr:uid="{00000000-0005-0000-0000-0000D4020000}"/>
    <cellStyle name="Notitie 36 14" xfId="717" xr:uid="{00000000-0005-0000-0000-0000D5020000}"/>
    <cellStyle name="Notitie 36 15" xfId="718" xr:uid="{00000000-0005-0000-0000-0000D6020000}"/>
    <cellStyle name="Notitie 36 16" xfId="719" xr:uid="{00000000-0005-0000-0000-0000D7020000}"/>
    <cellStyle name="Notitie 36 17" xfId="720" xr:uid="{00000000-0005-0000-0000-0000D8020000}"/>
    <cellStyle name="Notitie 36 18" xfId="721" xr:uid="{00000000-0005-0000-0000-0000D9020000}"/>
    <cellStyle name="Notitie 36 19" xfId="722" xr:uid="{00000000-0005-0000-0000-0000DA020000}"/>
    <cellStyle name="Notitie 36 2" xfId="723" xr:uid="{00000000-0005-0000-0000-0000DB020000}"/>
    <cellStyle name="Notitie 36 20" xfId="724" xr:uid="{00000000-0005-0000-0000-0000DC020000}"/>
    <cellStyle name="Notitie 36 21" xfId="725" xr:uid="{00000000-0005-0000-0000-0000DD020000}"/>
    <cellStyle name="Notitie 36 22" xfId="726" xr:uid="{00000000-0005-0000-0000-0000DE020000}"/>
    <cellStyle name="Notitie 36 3" xfId="727" xr:uid="{00000000-0005-0000-0000-0000DF020000}"/>
    <cellStyle name="Notitie 36 4" xfId="728" xr:uid="{00000000-0005-0000-0000-0000E0020000}"/>
    <cellStyle name="Notitie 36 5" xfId="729" xr:uid="{00000000-0005-0000-0000-0000E1020000}"/>
    <cellStyle name="Notitie 36 6" xfId="730" xr:uid="{00000000-0005-0000-0000-0000E2020000}"/>
    <cellStyle name="Notitie 36 7" xfId="731" xr:uid="{00000000-0005-0000-0000-0000E3020000}"/>
    <cellStyle name="Notitie 36 8" xfId="732" xr:uid="{00000000-0005-0000-0000-0000E4020000}"/>
    <cellStyle name="Notitie 36 9" xfId="733" xr:uid="{00000000-0005-0000-0000-0000E5020000}"/>
    <cellStyle name="Notitie 37" xfId="734" xr:uid="{00000000-0005-0000-0000-0000E6020000}"/>
    <cellStyle name="Notitie 37 10" xfId="735" xr:uid="{00000000-0005-0000-0000-0000E7020000}"/>
    <cellStyle name="Notitie 37 11" xfId="736" xr:uid="{00000000-0005-0000-0000-0000E8020000}"/>
    <cellStyle name="Notitie 37 12" xfId="737" xr:uid="{00000000-0005-0000-0000-0000E9020000}"/>
    <cellStyle name="Notitie 37 13" xfId="738" xr:uid="{00000000-0005-0000-0000-0000EA020000}"/>
    <cellStyle name="Notitie 37 14" xfId="739" xr:uid="{00000000-0005-0000-0000-0000EB020000}"/>
    <cellStyle name="Notitie 37 15" xfId="740" xr:uid="{00000000-0005-0000-0000-0000EC020000}"/>
    <cellStyle name="Notitie 37 16" xfId="741" xr:uid="{00000000-0005-0000-0000-0000ED020000}"/>
    <cellStyle name="Notitie 37 17" xfId="742" xr:uid="{00000000-0005-0000-0000-0000EE020000}"/>
    <cellStyle name="Notitie 37 18" xfId="743" xr:uid="{00000000-0005-0000-0000-0000EF020000}"/>
    <cellStyle name="Notitie 37 19" xfId="744" xr:uid="{00000000-0005-0000-0000-0000F0020000}"/>
    <cellStyle name="Notitie 37 2" xfId="745" xr:uid="{00000000-0005-0000-0000-0000F1020000}"/>
    <cellStyle name="Notitie 37 20" xfId="746" xr:uid="{00000000-0005-0000-0000-0000F2020000}"/>
    <cellStyle name="Notitie 37 21" xfId="747" xr:uid="{00000000-0005-0000-0000-0000F3020000}"/>
    <cellStyle name="Notitie 37 22" xfId="748" xr:uid="{00000000-0005-0000-0000-0000F4020000}"/>
    <cellStyle name="Notitie 37 3" xfId="749" xr:uid="{00000000-0005-0000-0000-0000F5020000}"/>
    <cellStyle name="Notitie 37 4" xfId="750" xr:uid="{00000000-0005-0000-0000-0000F6020000}"/>
    <cellStyle name="Notitie 37 5" xfId="751" xr:uid="{00000000-0005-0000-0000-0000F7020000}"/>
    <cellStyle name="Notitie 37 6" xfId="752" xr:uid="{00000000-0005-0000-0000-0000F8020000}"/>
    <cellStyle name="Notitie 37 7" xfId="753" xr:uid="{00000000-0005-0000-0000-0000F9020000}"/>
    <cellStyle name="Notitie 37 8" xfId="754" xr:uid="{00000000-0005-0000-0000-0000FA020000}"/>
    <cellStyle name="Notitie 37 9" xfId="755" xr:uid="{00000000-0005-0000-0000-0000FB020000}"/>
    <cellStyle name="Notitie 38" xfId="756" xr:uid="{00000000-0005-0000-0000-0000FC020000}"/>
    <cellStyle name="Notitie 38 10" xfId="757" xr:uid="{00000000-0005-0000-0000-0000FD020000}"/>
    <cellStyle name="Notitie 38 11" xfId="758" xr:uid="{00000000-0005-0000-0000-0000FE020000}"/>
    <cellStyle name="Notitie 38 12" xfId="759" xr:uid="{00000000-0005-0000-0000-0000FF020000}"/>
    <cellStyle name="Notitie 38 13" xfId="760" xr:uid="{00000000-0005-0000-0000-000000030000}"/>
    <cellStyle name="Notitie 38 14" xfId="761" xr:uid="{00000000-0005-0000-0000-000001030000}"/>
    <cellStyle name="Notitie 38 15" xfId="762" xr:uid="{00000000-0005-0000-0000-000002030000}"/>
    <cellStyle name="Notitie 38 16" xfId="763" xr:uid="{00000000-0005-0000-0000-000003030000}"/>
    <cellStyle name="Notitie 38 17" xfId="764" xr:uid="{00000000-0005-0000-0000-000004030000}"/>
    <cellStyle name="Notitie 38 18" xfId="765" xr:uid="{00000000-0005-0000-0000-000005030000}"/>
    <cellStyle name="Notitie 38 19" xfId="766" xr:uid="{00000000-0005-0000-0000-000006030000}"/>
    <cellStyle name="Notitie 38 2" xfId="767" xr:uid="{00000000-0005-0000-0000-000007030000}"/>
    <cellStyle name="Notitie 38 20" xfId="768" xr:uid="{00000000-0005-0000-0000-000008030000}"/>
    <cellStyle name="Notitie 38 21" xfId="769" xr:uid="{00000000-0005-0000-0000-000009030000}"/>
    <cellStyle name="Notitie 38 22" xfId="770" xr:uid="{00000000-0005-0000-0000-00000A030000}"/>
    <cellStyle name="Notitie 38 3" xfId="771" xr:uid="{00000000-0005-0000-0000-00000B030000}"/>
    <cellStyle name="Notitie 38 4" xfId="772" xr:uid="{00000000-0005-0000-0000-00000C030000}"/>
    <cellStyle name="Notitie 38 5" xfId="773" xr:uid="{00000000-0005-0000-0000-00000D030000}"/>
    <cellStyle name="Notitie 38 6" xfId="774" xr:uid="{00000000-0005-0000-0000-00000E030000}"/>
    <cellStyle name="Notitie 38 7" xfId="775" xr:uid="{00000000-0005-0000-0000-00000F030000}"/>
    <cellStyle name="Notitie 38 8" xfId="776" xr:uid="{00000000-0005-0000-0000-000010030000}"/>
    <cellStyle name="Notitie 38 9" xfId="777" xr:uid="{00000000-0005-0000-0000-000011030000}"/>
    <cellStyle name="Notitie 39" xfId="778" xr:uid="{00000000-0005-0000-0000-000012030000}"/>
    <cellStyle name="Notitie 39 10" xfId="779" xr:uid="{00000000-0005-0000-0000-000013030000}"/>
    <cellStyle name="Notitie 39 11" xfId="780" xr:uid="{00000000-0005-0000-0000-000014030000}"/>
    <cellStyle name="Notitie 39 12" xfId="781" xr:uid="{00000000-0005-0000-0000-000015030000}"/>
    <cellStyle name="Notitie 39 13" xfId="782" xr:uid="{00000000-0005-0000-0000-000016030000}"/>
    <cellStyle name="Notitie 39 14" xfId="783" xr:uid="{00000000-0005-0000-0000-000017030000}"/>
    <cellStyle name="Notitie 39 15" xfId="784" xr:uid="{00000000-0005-0000-0000-000018030000}"/>
    <cellStyle name="Notitie 39 16" xfId="785" xr:uid="{00000000-0005-0000-0000-000019030000}"/>
    <cellStyle name="Notitie 39 17" xfId="786" xr:uid="{00000000-0005-0000-0000-00001A030000}"/>
    <cellStyle name="Notitie 39 18" xfId="787" xr:uid="{00000000-0005-0000-0000-00001B030000}"/>
    <cellStyle name="Notitie 39 19" xfId="788" xr:uid="{00000000-0005-0000-0000-00001C030000}"/>
    <cellStyle name="Notitie 39 2" xfId="789" xr:uid="{00000000-0005-0000-0000-00001D030000}"/>
    <cellStyle name="Notitie 39 20" xfId="790" xr:uid="{00000000-0005-0000-0000-00001E030000}"/>
    <cellStyle name="Notitie 39 21" xfId="791" xr:uid="{00000000-0005-0000-0000-00001F030000}"/>
    <cellStyle name="Notitie 39 22" xfId="792" xr:uid="{00000000-0005-0000-0000-000020030000}"/>
    <cellStyle name="Notitie 39 3" xfId="793" xr:uid="{00000000-0005-0000-0000-000021030000}"/>
    <cellStyle name="Notitie 39 4" xfId="794" xr:uid="{00000000-0005-0000-0000-000022030000}"/>
    <cellStyle name="Notitie 39 5" xfId="795" xr:uid="{00000000-0005-0000-0000-000023030000}"/>
    <cellStyle name="Notitie 39 6" xfId="796" xr:uid="{00000000-0005-0000-0000-000024030000}"/>
    <cellStyle name="Notitie 39 7" xfId="797" xr:uid="{00000000-0005-0000-0000-000025030000}"/>
    <cellStyle name="Notitie 39 8" xfId="798" xr:uid="{00000000-0005-0000-0000-000026030000}"/>
    <cellStyle name="Notitie 39 9" xfId="799" xr:uid="{00000000-0005-0000-0000-000027030000}"/>
    <cellStyle name="Notitie 4" xfId="800" xr:uid="{00000000-0005-0000-0000-000028030000}"/>
    <cellStyle name="Notitie 4 10" xfId="801" xr:uid="{00000000-0005-0000-0000-000029030000}"/>
    <cellStyle name="Notitie 4 11" xfId="802" xr:uid="{00000000-0005-0000-0000-00002A030000}"/>
    <cellStyle name="Notitie 4 12" xfId="803" xr:uid="{00000000-0005-0000-0000-00002B030000}"/>
    <cellStyle name="Notitie 4 13" xfId="804" xr:uid="{00000000-0005-0000-0000-00002C030000}"/>
    <cellStyle name="Notitie 4 14" xfId="805" xr:uid="{00000000-0005-0000-0000-00002D030000}"/>
    <cellStyle name="Notitie 4 15" xfId="806" xr:uid="{00000000-0005-0000-0000-00002E030000}"/>
    <cellStyle name="Notitie 4 16" xfId="807" xr:uid="{00000000-0005-0000-0000-00002F030000}"/>
    <cellStyle name="Notitie 4 17" xfId="808" xr:uid="{00000000-0005-0000-0000-000030030000}"/>
    <cellStyle name="Notitie 4 18" xfId="809" xr:uid="{00000000-0005-0000-0000-000031030000}"/>
    <cellStyle name="Notitie 4 19" xfId="810" xr:uid="{00000000-0005-0000-0000-000032030000}"/>
    <cellStyle name="Notitie 4 2" xfId="811" xr:uid="{00000000-0005-0000-0000-000033030000}"/>
    <cellStyle name="Notitie 4 20" xfId="812" xr:uid="{00000000-0005-0000-0000-000034030000}"/>
    <cellStyle name="Notitie 4 21" xfId="813" xr:uid="{00000000-0005-0000-0000-000035030000}"/>
    <cellStyle name="Notitie 4 22" xfId="814" xr:uid="{00000000-0005-0000-0000-000036030000}"/>
    <cellStyle name="Notitie 4 3" xfId="815" xr:uid="{00000000-0005-0000-0000-000037030000}"/>
    <cellStyle name="Notitie 4 4" xfId="816" xr:uid="{00000000-0005-0000-0000-000038030000}"/>
    <cellStyle name="Notitie 4 5" xfId="817" xr:uid="{00000000-0005-0000-0000-000039030000}"/>
    <cellStyle name="Notitie 4 6" xfId="818" xr:uid="{00000000-0005-0000-0000-00003A030000}"/>
    <cellStyle name="Notitie 4 7" xfId="819" xr:uid="{00000000-0005-0000-0000-00003B030000}"/>
    <cellStyle name="Notitie 4 8" xfId="820" xr:uid="{00000000-0005-0000-0000-00003C030000}"/>
    <cellStyle name="Notitie 4 9" xfId="821" xr:uid="{00000000-0005-0000-0000-00003D030000}"/>
    <cellStyle name="Notitie 40" xfId="822" xr:uid="{00000000-0005-0000-0000-00003E030000}"/>
    <cellStyle name="Notitie 40 10" xfId="823" xr:uid="{00000000-0005-0000-0000-00003F030000}"/>
    <cellStyle name="Notitie 40 11" xfId="824" xr:uid="{00000000-0005-0000-0000-000040030000}"/>
    <cellStyle name="Notitie 40 12" xfId="825" xr:uid="{00000000-0005-0000-0000-000041030000}"/>
    <cellStyle name="Notitie 40 13" xfId="826" xr:uid="{00000000-0005-0000-0000-000042030000}"/>
    <cellStyle name="Notitie 40 14" xfId="827" xr:uid="{00000000-0005-0000-0000-000043030000}"/>
    <cellStyle name="Notitie 40 15" xfId="828" xr:uid="{00000000-0005-0000-0000-000044030000}"/>
    <cellStyle name="Notitie 40 16" xfId="829" xr:uid="{00000000-0005-0000-0000-000045030000}"/>
    <cellStyle name="Notitie 40 17" xfId="830" xr:uid="{00000000-0005-0000-0000-000046030000}"/>
    <cellStyle name="Notitie 40 18" xfId="831" xr:uid="{00000000-0005-0000-0000-000047030000}"/>
    <cellStyle name="Notitie 40 19" xfId="832" xr:uid="{00000000-0005-0000-0000-000048030000}"/>
    <cellStyle name="Notitie 40 2" xfId="833" xr:uid="{00000000-0005-0000-0000-000049030000}"/>
    <cellStyle name="Notitie 40 20" xfId="834" xr:uid="{00000000-0005-0000-0000-00004A030000}"/>
    <cellStyle name="Notitie 40 21" xfId="835" xr:uid="{00000000-0005-0000-0000-00004B030000}"/>
    <cellStyle name="Notitie 40 22" xfId="836" xr:uid="{00000000-0005-0000-0000-00004C030000}"/>
    <cellStyle name="Notitie 40 3" xfId="837" xr:uid="{00000000-0005-0000-0000-00004D030000}"/>
    <cellStyle name="Notitie 40 4" xfId="838" xr:uid="{00000000-0005-0000-0000-00004E030000}"/>
    <cellStyle name="Notitie 40 5" xfId="839" xr:uid="{00000000-0005-0000-0000-00004F030000}"/>
    <cellStyle name="Notitie 40 6" xfId="840" xr:uid="{00000000-0005-0000-0000-000050030000}"/>
    <cellStyle name="Notitie 40 7" xfId="841" xr:uid="{00000000-0005-0000-0000-000051030000}"/>
    <cellStyle name="Notitie 40 8" xfId="842" xr:uid="{00000000-0005-0000-0000-000052030000}"/>
    <cellStyle name="Notitie 40 9" xfId="843" xr:uid="{00000000-0005-0000-0000-000053030000}"/>
    <cellStyle name="Notitie 41" xfId="844" xr:uid="{00000000-0005-0000-0000-000054030000}"/>
    <cellStyle name="Notitie 41 10" xfId="845" xr:uid="{00000000-0005-0000-0000-000055030000}"/>
    <cellStyle name="Notitie 41 11" xfId="846" xr:uid="{00000000-0005-0000-0000-000056030000}"/>
    <cellStyle name="Notitie 41 12" xfId="847" xr:uid="{00000000-0005-0000-0000-000057030000}"/>
    <cellStyle name="Notitie 41 13" xfId="848" xr:uid="{00000000-0005-0000-0000-000058030000}"/>
    <cellStyle name="Notitie 41 14" xfId="849" xr:uid="{00000000-0005-0000-0000-000059030000}"/>
    <cellStyle name="Notitie 41 15" xfId="850" xr:uid="{00000000-0005-0000-0000-00005A030000}"/>
    <cellStyle name="Notitie 41 16" xfId="851" xr:uid="{00000000-0005-0000-0000-00005B030000}"/>
    <cellStyle name="Notitie 41 17" xfId="852" xr:uid="{00000000-0005-0000-0000-00005C030000}"/>
    <cellStyle name="Notitie 41 18" xfId="853" xr:uid="{00000000-0005-0000-0000-00005D030000}"/>
    <cellStyle name="Notitie 41 19" xfId="854" xr:uid="{00000000-0005-0000-0000-00005E030000}"/>
    <cellStyle name="Notitie 41 2" xfId="855" xr:uid="{00000000-0005-0000-0000-00005F030000}"/>
    <cellStyle name="Notitie 41 20" xfId="856" xr:uid="{00000000-0005-0000-0000-000060030000}"/>
    <cellStyle name="Notitie 41 21" xfId="857" xr:uid="{00000000-0005-0000-0000-000061030000}"/>
    <cellStyle name="Notitie 41 22" xfId="858" xr:uid="{00000000-0005-0000-0000-000062030000}"/>
    <cellStyle name="Notitie 41 3" xfId="859" xr:uid="{00000000-0005-0000-0000-000063030000}"/>
    <cellStyle name="Notitie 41 4" xfId="860" xr:uid="{00000000-0005-0000-0000-000064030000}"/>
    <cellStyle name="Notitie 41 5" xfId="861" xr:uid="{00000000-0005-0000-0000-000065030000}"/>
    <cellStyle name="Notitie 41 6" xfId="862" xr:uid="{00000000-0005-0000-0000-000066030000}"/>
    <cellStyle name="Notitie 41 7" xfId="863" xr:uid="{00000000-0005-0000-0000-000067030000}"/>
    <cellStyle name="Notitie 41 8" xfId="864" xr:uid="{00000000-0005-0000-0000-000068030000}"/>
    <cellStyle name="Notitie 41 9" xfId="865" xr:uid="{00000000-0005-0000-0000-000069030000}"/>
    <cellStyle name="Notitie 42" xfId="866" xr:uid="{00000000-0005-0000-0000-00006A030000}"/>
    <cellStyle name="Notitie 42 10" xfId="867" xr:uid="{00000000-0005-0000-0000-00006B030000}"/>
    <cellStyle name="Notitie 42 11" xfId="868" xr:uid="{00000000-0005-0000-0000-00006C030000}"/>
    <cellStyle name="Notitie 42 12" xfId="869" xr:uid="{00000000-0005-0000-0000-00006D030000}"/>
    <cellStyle name="Notitie 42 13" xfId="870" xr:uid="{00000000-0005-0000-0000-00006E030000}"/>
    <cellStyle name="Notitie 42 14" xfId="871" xr:uid="{00000000-0005-0000-0000-00006F030000}"/>
    <cellStyle name="Notitie 42 15" xfId="872" xr:uid="{00000000-0005-0000-0000-000070030000}"/>
    <cellStyle name="Notitie 42 16" xfId="873" xr:uid="{00000000-0005-0000-0000-000071030000}"/>
    <cellStyle name="Notitie 42 17" xfId="874" xr:uid="{00000000-0005-0000-0000-000072030000}"/>
    <cellStyle name="Notitie 42 18" xfId="875" xr:uid="{00000000-0005-0000-0000-000073030000}"/>
    <cellStyle name="Notitie 42 19" xfId="876" xr:uid="{00000000-0005-0000-0000-000074030000}"/>
    <cellStyle name="Notitie 42 2" xfId="877" xr:uid="{00000000-0005-0000-0000-000075030000}"/>
    <cellStyle name="Notitie 42 20" xfId="878" xr:uid="{00000000-0005-0000-0000-000076030000}"/>
    <cellStyle name="Notitie 42 21" xfId="879" xr:uid="{00000000-0005-0000-0000-000077030000}"/>
    <cellStyle name="Notitie 42 22" xfId="880" xr:uid="{00000000-0005-0000-0000-000078030000}"/>
    <cellStyle name="Notitie 42 3" xfId="881" xr:uid="{00000000-0005-0000-0000-000079030000}"/>
    <cellStyle name="Notitie 42 4" xfId="882" xr:uid="{00000000-0005-0000-0000-00007A030000}"/>
    <cellStyle name="Notitie 42 5" xfId="883" xr:uid="{00000000-0005-0000-0000-00007B030000}"/>
    <cellStyle name="Notitie 42 6" xfId="884" xr:uid="{00000000-0005-0000-0000-00007C030000}"/>
    <cellStyle name="Notitie 42 7" xfId="885" xr:uid="{00000000-0005-0000-0000-00007D030000}"/>
    <cellStyle name="Notitie 42 8" xfId="886" xr:uid="{00000000-0005-0000-0000-00007E030000}"/>
    <cellStyle name="Notitie 42 9" xfId="887" xr:uid="{00000000-0005-0000-0000-00007F030000}"/>
    <cellStyle name="Notitie 43" xfId="888" xr:uid="{00000000-0005-0000-0000-000080030000}"/>
    <cellStyle name="Notitie 43 10" xfId="889" xr:uid="{00000000-0005-0000-0000-000081030000}"/>
    <cellStyle name="Notitie 43 11" xfId="890" xr:uid="{00000000-0005-0000-0000-000082030000}"/>
    <cellStyle name="Notitie 43 12" xfId="891" xr:uid="{00000000-0005-0000-0000-000083030000}"/>
    <cellStyle name="Notitie 43 13" xfId="892" xr:uid="{00000000-0005-0000-0000-000084030000}"/>
    <cellStyle name="Notitie 43 14" xfId="893" xr:uid="{00000000-0005-0000-0000-000085030000}"/>
    <cellStyle name="Notitie 43 15" xfId="894" xr:uid="{00000000-0005-0000-0000-000086030000}"/>
    <cellStyle name="Notitie 43 16" xfId="895" xr:uid="{00000000-0005-0000-0000-000087030000}"/>
    <cellStyle name="Notitie 43 17" xfId="896" xr:uid="{00000000-0005-0000-0000-000088030000}"/>
    <cellStyle name="Notitie 43 18" xfId="897" xr:uid="{00000000-0005-0000-0000-000089030000}"/>
    <cellStyle name="Notitie 43 19" xfId="898" xr:uid="{00000000-0005-0000-0000-00008A030000}"/>
    <cellStyle name="Notitie 43 2" xfId="899" xr:uid="{00000000-0005-0000-0000-00008B030000}"/>
    <cellStyle name="Notitie 43 20" xfId="900" xr:uid="{00000000-0005-0000-0000-00008C030000}"/>
    <cellStyle name="Notitie 43 21" xfId="901" xr:uid="{00000000-0005-0000-0000-00008D030000}"/>
    <cellStyle name="Notitie 43 22" xfId="902" xr:uid="{00000000-0005-0000-0000-00008E030000}"/>
    <cellStyle name="Notitie 43 3" xfId="903" xr:uid="{00000000-0005-0000-0000-00008F030000}"/>
    <cellStyle name="Notitie 43 4" xfId="904" xr:uid="{00000000-0005-0000-0000-000090030000}"/>
    <cellStyle name="Notitie 43 5" xfId="905" xr:uid="{00000000-0005-0000-0000-000091030000}"/>
    <cellStyle name="Notitie 43 6" xfId="906" xr:uid="{00000000-0005-0000-0000-000092030000}"/>
    <cellStyle name="Notitie 43 7" xfId="907" xr:uid="{00000000-0005-0000-0000-000093030000}"/>
    <cellStyle name="Notitie 43 8" xfId="908" xr:uid="{00000000-0005-0000-0000-000094030000}"/>
    <cellStyle name="Notitie 43 9" xfId="909" xr:uid="{00000000-0005-0000-0000-000095030000}"/>
    <cellStyle name="Notitie 44" xfId="910" xr:uid="{00000000-0005-0000-0000-000096030000}"/>
    <cellStyle name="Notitie 44 10" xfId="911" xr:uid="{00000000-0005-0000-0000-000097030000}"/>
    <cellStyle name="Notitie 44 11" xfId="912" xr:uid="{00000000-0005-0000-0000-000098030000}"/>
    <cellStyle name="Notitie 44 12" xfId="913" xr:uid="{00000000-0005-0000-0000-000099030000}"/>
    <cellStyle name="Notitie 44 13" xfId="914" xr:uid="{00000000-0005-0000-0000-00009A030000}"/>
    <cellStyle name="Notitie 44 14" xfId="915" xr:uid="{00000000-0005-0000-0000-00009B030000}"/>
    <cellStyle name="Notitie 44 15" xfId="916" xr:uid="{00000000-0005-0000-0000-00009C030000}"/>
    <cellStyle name="Notitie 44 16" xfId="917" xr:uid="{00000000-0005-0000-0000-00009D030000}"/>
    <cellStyle name="Notitie 44 17" xfId="918" xr:uid="{00000000-0005-0000-0000-00009E030000}"/>
    <cellStyle name="Notitie 44 18" xfId="919" xr:uid="{00000000-0005-0000-0000-00009F030000}"/>
    <cellStyle name="Notitie 44 19" xfId="920" xr:uid="{00000000-0005-0000-0000-0000A0030000}"/>
    <cellStyle name="Notitie 44 2" xfId="921" xr:uid="{00000000-0005-0000-0000-0000A1030000}"/>
    <cellStyle name="Notitie 44 20" xfId="922" xr:uid="{00000000-0005-0000-0000-0000A2030000}"/>
    <cellStyle name="Notitie 44 21" xfId="923" xr:uid="{00000000-0005-0000-0000-0000A3030000}"/>
    <cellStyle name="Notitie 44 22" xfId="924" xr:uid="{00000000-0005-0000-0000-0000A4030000}"/>
    <cellStyle name="Notitie 44 3" xfId="925" xr:uid="{00000000-0005-0000-0000-0000A5030000}"/>
    <cellStyle name="Notitie 44 4" xfId="926" xr:uid="{00000000-0005-0000-0000-0000A6030000}"/>
    <cellStyle name="Notitie 44 5" xfId="927" xr:uid="{00000000-0005-0000-0000-0000A7030000}"/>
    <cellStyle name="Notitie 44 6" xfId="928" xr:uid="{00000000-0005-0000-0000-0000A8030000}"/>
    <cellStyle name="Notitie 44 7" xfId="929" xr:uid="{00000000-0005-0000-0000-0000A9030000}"/>
    <cellStyle name="Notitie 44 8" xfId="930" xr:uid="{00000000-0005-0000-0000-0000AA030000}"/>
    <cellStyle name="Notitie 44 9" xfId="931" xr:uid="{00000000-0005-0000-0000-0000AB030000}"/>
    <cellStyle name="Notitie 45" xfId="932" xr:uid="{00000000-0005-0000-0000-0000AC030000}"/>
    <cellStyle name="Notitie 45 10" xfId="933" xr:uid="{00000000-0005-0000-0000-0000AD030000}"/>
    <cellStyle name="Notitie 45 11" xfId="934" xr:uid="{00000000-0005-0000-0000-0000AE030000}"/>
    <cellStyle name="Notitie 45 12" xfId="935" xr:uid="{00000000-0005-0000-0000-0000AF030000}"/>
    <cellStyle name="Notitie 45 13" xfId="936" xr:uid="{00000000-0005-0000-0000-0000B0030000}"/>
    <cellStyle name="Notitie 45 14" xfId="937" xr:uid="{00000000-0005-0000-0000-0000B1030000}"/>
    <cellStyle name="Notitie 45 15" xfId="938" xr:uid="{00000000-0005-0000-0000-0000B2030000}"/>
    <cellStyle name="Notitie 45 16" xfId="939" xr:uid="{00000000-0005-0000-0000-0000B3030000}"/>
    <cellStyle name="Notitie 45 17" xfId="940" xr:uid="{00000000-0005-0000-0000-0000B4030000}"/>
    <cellStyle name="Notitie 45 18" xfId="941" xr:uid="{00000000-0005-0000-0000-0000B5030000}"/>
    <cellStyle name="Notitie 45 19" xfId="942" xr:uid="{00000000-0005-0000-0000-0000B6030000}"/>
    <cellStyle name="Notitie 45 2" xfId="943" xr:uid="{00000000-0005-0000-0000-0000B7030000}"/>
    <cellStyle name="Notitie 45 20" xfId="944" xr:uid="{00000000-0005-0000-0000-0000B8030000}"/>
    <cellStyle name="Notitie 45 21" xfId="945" xr:uid="{00000000-0005-0000-0000-0000B9030000}"/>
    <cellStyle name="Notitie 45 22" xfId="946" xr:uid="{00000000-0005-0000-0000-0000BA030000}"/>
    <cellStyle name="Notitie 45 3" xfId="947" xr:uid="{00000000-0005-0000-0000-0000BB030000}"/>
    <cellStyle name="Notitie 45 4" xfId="948" xr:uid="{00000000-0005-0000-0000-0000BC030000}"/>
    <cellStyle name="Notitie 45 5" xfId="949" xr:uid="{00000000-0005-0000-0000-0000BD030000}"/>
    <cellStyle name="Notitie 45 6" xfId="950" xr:uid="{00000000-0005-0000-0000-0000BE030000}"/>
    <cellStyle name="Notitie 45 7" xfId="951" xr:uid="{00000000-0005-0000-0000-0000BF030000}"/>
    <cellStyle name="Notitie 45 8" xfId="952" xr:uid="{00000000-0005-0000-0000-0000C0030000}"/>
    <cellStyle name="Notitie 45 9" xfId="953" xr:uid="{00000000-0005-0000-0000-0000C1030000}"/>
    <cellStyle name="Notitie 46" xfId="954" xr:uid="{00000000-0005-0000-0000-0000C2030000}"/>
    <cellStyle name="Notitie 46 10" xfId="955" xr:uid="{00000000-0005-0000-0000-0000C3030000}"/>
    <cellStyle name="Notitie 46 11" xfId="956" xr:uid="{00000000-0005-0000-0000-0000C4030000}"/>
    <cellStyle name="Notitie 46 12" xfId="957" xr:uid="{00000000-0005-0000-0000-0000C5030000}"/>
    <cellStyle name="Notitie 46 13" xfId="958" xr:uid="{00000000-0005-0000-0000-0000C6030000}"/>
    <cellStyle name="Notitie 46 14" xfId="959" xr:uid="{00000000-0005-0000-0000-0000C7030000}"/>
    <cellStyle name="Notitie 46 15" xfId="960" xr:uid="{00000000-0005-0000-0000-0000C8030000}"/>
    <cellStyle name="Notitie 46 16" xfId="961" xr:uid="{00000000-0005-0000-0000-0000C9030000}"/>
    <cellStyle name="Notitie 46 17" xfId="962" xr:uid="{00000000-0005-0000-0000-0000CA030000}"/>
    <cellStyle name="Notitie 46 18" xfId="963" xr:uid="{00000000-0005-0000-0000-0000CB030000}"/>
    <cellStyle name="Notitie 46 19" xfId="964" xr:uid="{00000000-0005-0000-0000-0000CC030000}"/>
    <cellStyle name="Notitie 46 2" xfId="965" xr:uid="{00000000-0005-0000-0000-0000CD030000}"/>
    <cellStyle name="Notitie 46 20" xfId="966" xr:uid="{00000000-0005-0000-0000-0000CE030000}"/>
    <cellStyle name="Notitie 46 21" xfId="967" xr:uid="{00000000-0005-0000-0000-0000CF030000}"/>
    <cellStyle name="Notitie 46 22" xfId="968" xr:uid="{00000000-0005-0000-0000-0000D0030000}"/>
    <cellStyle name="Notitie 46 3" xfId="969" xr:uid="{00000000-0005-0000-0000-0000D1030000}"/>
    <cellStyle name="Notitie 46 4" xfId="970" xr:uid="{00000000-0005-0000-0000-0000D2030000}"/>
    <cellStyle name="Notitie 46 5" xfId="971" xr:uid="{00000000-0005-0000-0000-0000D3030000}"/>
    <cellStyle name="Notitie 46 6" xfId="972" xr:uid="{00000000-0005-0000-0000-0000D4030000}"/>
    <cellStyle name="Notitie 46 7" xfId="973" xr:uid="{00000000-0005-0000-0000-0000D5030000}"/>
    <cellStyle name="Notitie 46 8" xfId="974" xr:uid="{00000000-0005-0000-0000-0000D6030000}"/>
    <cellStyle name="Notitie 46 9" xfId="975" xr:uid="{00000000-0005-0000-0000-0000D7030000}"/>
    <cellStyle name="Notitie 47" xfId="976" xr:uid="{00000000-0005-0000-0000-0000D8030000}"/>
    <cellStyle name="Notitie 48" xfId="977" xr:uid="{00000000-0005-0000-0000-0000D9030000}"/>
    <cellStyle name="Notitie 49" xfId="978" xr:uid="{00000000-0005-0000-0000-0000DA030000}"/>
    <cellStyle name="Notitie 5" xfId="979" xr:uid="{00000000-0005-0000-0000-0000DB030000}"/>
    <cellStyle name="Notitie 5 10" xfId="980" xr:uid="{00000000-0005-0000-0000-0000DC030000}"/>
    <cellStyle name="Notitie 5 11" xfId="981" xr:uid="{00000000-0005-0000-0000-0000DD030000}"/>
    <cellStyle name="Notitie 5 12" xfId="982" xr:uid="{00000000-0005-0000-0000-0000DE030000}"/>
    <cellStyle name="Notitie 5 13" xfId="983" xr:uid="{00000000-0005-0000-0000-0000DF030000}"/>
    <cellStyle name="Notitie 5 14" xfId="984" xr:uid="{00000000-0005-0000-0000-0000E0030000}"/>
    <cellStyle name="Notitie 5 15" xfId="985" xr:uid="{00000000-0005-0000-0000-0000E1030000}"/>
    <cellStyle name="Notitie 5 16" xfId="986" xr:uid="{00000000-0005-0000-0000-0000E2030000}"/>
    <cellStyle name="Notitie 5 17" xfId="987" xr:uid="{00000000-0005-0000-0000-0000E3030000}"/>
    <cellStyle name="Notitie 5 18" xfId="988" xr:uid="{00000000-0005-0000-0000-0000E4030000}"/>
    <cellStyle name="Notitie 5 19" xfId="989" xr:uid="{00000000-0005-0000-0000-0000E5030000}"/>
    <cellStyle name="Notitie 5 2" xfId="990" xr:uid="{00000000-0005-0000-0000-0000E6030000}"/>
    <cellStyle name="Notitie 5 20" xfId="991" xr:uid="{00000000-0005-0000-0000-0000E7030000}"/>
    <cellStyle name="Notitie 5 21" xfId="992" xr:uid="{00000000-0005-0000-0000-0000E8030000}"/>
    <cellStyle name="Notitie 5 22" xfId="993" xr:uid="{00000000-0005-0000-0000-0000E9030000}"/>
    <cellStyle name="Notitie 5 3" xfId="994" xr:uid="{00000000-0005-0000-0000-0000EA030000}"/>
    <cellStyle name="Notitie 5 4" xfId="995" xr:uid="{00000000-0005-0000-0000-0000EB030000}"/>
    <cellStyle name="Notitie 5 5" xfId="996" xr:uid="{00000000-0005-0000-0000-0000EC030000}"/>
    <cellStyle name="Notitie 5 6" xfId="997" xr:uid="{00000000-0005-0000-0000-0000ED030000}"/>
    <cellStyle name="Notitie 5 7" xfId="998" xr:uid="{00000000-0005-0000-0000-0000EE030000}"/>
    <cellStyle name="Notitie 5 8" xfId="999" xr:uid="{00000000-0005-0000-0000-0000EF030000}"/>
    <cellStyle name="Notitie 5 9" xfId="1000" xr:uid="{00000000-0005-0000-0000-0000F0030000}"/>
    <cellStyle name="Notitie 50" xfId="1001" xr:uid="{00000000-0005-0000-0000-0000F1030000}"/>
    <cellStyle name="Notitie 51" xfId="1002" xr:uid="{00000000-0005-0000-0000-0000F2030000}"/>
    <cellStyle name="Notitie 52" xfId="1003" xr:uid="{00000000-0005-0000-0000-0000F3030000}"/>
    <cellStyle name="Notitie 53" xfId="1004" xr:uid="{00000000-0005-0000-0000-0000F4030000}"/>
    <cellStyle name="Notitie 54" xfId="1005" xr:uid="{00000000-0005-0000-0000-0000F5030000}"/>
    <cellStyle name="Notitie 55" xfId="1006" xr:uid="{00000000-0005-0000-0000-0000F6030000}"/>
    <cellStyle name="Notitie 56" xfId="1007" xr:uid="{00000000-0005-0000-0000-0000F7030000}"/>
    <cellStyle name="Notitie 57" xfId="1008" xr:uid="{00000000-0005-0000-0000-0000F8030000}"/>
    <cellStyle name="Notitie 58" xfId="1009" xr:uid="{00000000-0005-0000-0000-0000F9030000}"/>
    <cellStyle name="Notitie 6" xfId="1010" xr:uid="{00000000-0005-0000-0000-0000FA030000}"/>
    <cellStyle name="Notitie 6 10" xfId="1011" xr:uid="{00000000-0005-0000-0000-0000FB030000}"/>
    <cellStyle name="Notitie 6 11" xfId="1012" xr:uid="{00000000-0005-0000-0000-0000FC030000}"/>
    <cellStyle name="Notitie 6 12" xfId="1013" xr:uid="{00000000-0005-0000-0000-0000FD030000}"/>
    <cellStyle name="Notitie 6 13" xfId="1014" xr:uid="{00000000-0005-0000-0000-0000FE030000}"/>
    <cellStyle name="Notitie 6 14" xfId="1015" xr:uid="{00000000-0005-0000-0000-0000FF030000}"/>
    <cellStyle name="Notitie 6 15" xfId="1016" xr:uid="{00000000-0005-0000-0000-000000040000}"/>
    <cellStyle name="Notitie 6 16" xfId="1017" xr:uid="{00000000-0005-0000-0000-000001040000}"/>
    <cellStyle name="Notitie 6 17" xfId="1018" xr:uid="{00000000-0005-0000-0000-000002040000}"/>
    <cellStyle name="Notitie 6 18" xfId="1019" xr:uid="{00000000-0005-0000-0000-000003040000}"/>
    <cellStyle name="Notitie 6 19" xfId="1020" xr:uid="{00000000-0005-0000-0000-000004040000}"/>
    <cellStyle name="Notitie 6 2" xfId="1021" xr:uid="{00000000-0005-0000-0000-000005040000}"/>
    <cellStyle name="Notitie 6 20" xfId="1022" xr:uid="{00000000-0005-0000-0000-000006040000}"/>
    <cellStyle name="Notitie 6 21" xfId="1023" xr:uid="{00000000-0005-0000-0000-000007040000}"/>
    <cellStyle name="Notitie 6 22" xfId="1024" xr:uid="{00000000-0005-0000-0000-000008040000}"/>
    <cellStyle name="Notitie 6 3" xfId="1025" xr:uid="{00000000-0005-0000-0000-000009040000}"/>
    <cellStyle name="Notitie 6 4" xfId="1026" xr:uid="{00000000-0005-0000-0000-00000A040000}"/>
    <cellStyle name="Notitie 6 5" xfId="1027" xr:uid="{00000000-0005-0000-0000-00000B040000}"/>
    <cellStyle name="Notitie 6 6" xfId="1028" xr:uid="{00000000-0005-0000-0000-00000C040000}"/>
    <cellStyle name="Notitie 6 7" xfId="1029" xr:uid="{00000000-0005-0000-0000-00000D040000}"/>
    <cellStyle name="Notitie 6 8" xfId="1030" xr:uid="{00000000-0005-0000-0000-00000E040000}"/>
    <cellStyle name="Notitie 6 9" xfId="1031" xr:uid="{00000000-0005-0000-0000-00000F040000}"/>
    <cellStyle name="Notitie 7" xfId="1032" xr:uid="{00000000-0005-0000-0000-000010040000}"/>
    <cellStyle name="Notitie 7 10" xfId="1033" xr:uid="{00000000-0005-0000-0000-000011040000}"/>
    <cellStyle name="Notitie 7 11" xfId="1034" xr:uid="{00000000-0005-0000-0000-000012040000}"/>
    <cellStyle name="Notitie 7 12" xfId="1035" xr:uid="{00000000-0005-0000-0000-000013040000}"/>
    <cellStyle name="Notitie 7 13" xfId="1036" xr:uid="{00000000-0005-0000-0000-000014040000}"/>
    <cellStyle name="Notitie 7 14" xfId="1037" xr:uid="{00000000-0005-0000-0000-000015040000}"/>
    <cellStyle name="Notitie 7 15" xfId="1038" xr:uid="{00000000-0005-0000-0000-000016040000}"/>
    <cellStyle name="Notitie 7 16" xfId="1039" xr:uid="{00000000-0005-0000-0000-000017040000}"/>
    <cellStyle name="Notitie 7 17" xfId="1040" xr:uid="{00000000-0005-0000-0000-000018040000}"/>
    <cellStyle name="Notitie 7 18" xfId="1041" xr:uid="{00000000-0005-0000-0000-000019040000}"/>
    <cellStyle name="Notitie 7 19" xfId="1042" xr:uid="{00000000-0005-0000-0000-00001A040000}"/>
    <cellStyle name="Notitie 7 2" xfId="1043" xr:uid="{00000000-0005-0000-0000-00001B040000}"/>
    <cellStyle name="Notitie 7 20" xfId="1044" xr:uid="{00000000-0005-0000-0000-00001C040000}"/>
    <cellStyle name="Notitie 7 21" xfId="1045" xr:uid="{00000000-0005-0000-0000-00001D040000}"/>
    <cellStyle name="Notitie 7 22" xfId="1046" xr:uid="{00000000-0005-0000-0000-00001E040000}"/>
    <cellStyle name="Notitie 7 3" xfId="1047" xr:uid="{00000000-0005-0000-0000-00001F040000}"/>
    <cellStyle name="Notitie 7 4" xfId="1048" xr:uid="{00000000-0005-0000-0000-000020040000}"/>
    <cellStyle name="Notitie 7 5" xfId="1049" xr:uid="{00000000-0005-0000-0000-000021040000}"/>
    <cellStyle name="Notitie 7 6" xfId="1050" xr:uid="{00000000-0005-0000-0000-000022040000}"/>
    <cellStyle name="Notitie 7 7" xfId="1051" xr:uid="{00000000-0005-0000-0000-000023040000}"/>
    <cellStyle name="Notitie 7 8" xfId="1052" xr:uid="{00000000-0005-0000-0000-000024040000}"/>
    <cellStyle name="Notitie 7 9" xfId="1053" xr:uid="{00000000-0005-0000-0000-000025040000}"/>
    <cellStyle name="Notitie 8" xfId="1054" xr:uid="{00000000-0005-0000-0000-000026040000}"/>
    <cellStyle name="Notitie 8 10" xfId="1055" xr:uid="{00000000-0005-0000-0000-000027040000}"/>
    <cellStyle name="Notitie 8 11" xfId="1056" xr:uid="{00000000-0005-0000-0000-000028040000}"/>
    <cellStyle name="Notitie 8 12" xfId="1057" xr:uid="{00000000-0005-0000-0000-000029040000}"/>
    <cellStyle name="Notitie 8 13" xfId="1058" xr:uid="{00000000-0005-0000-0000-00002A040000}"/>
    <cellStyle name="Notitie 8 14" xfId="1059" xr:uid="{00000000-0005-0000-0000-00002B040000}"/>
    <cellStyle name="Notitie 8 15" xfId="1060" xr:uid="{00000000-0005-0000-0000-00002C040000}"/>
    <cellStyle name="Notitie 8 16" xfId="1061" xr:uid="{00000000-0005-0000-0000-00002D040000}"/>
    <cellStyle name="Notitie 8 17" xfId="1062" xr:uid="{00000000-0005-0000-0000-00002E040000}"/>
    <cellStyle name="Notitie 8 18" xfId="1063" xr:uid="{00000000-0005-0000-0000-00002F040000}"/>
    <cellStyle name="Notitie 8 19" xfId="1064" xr:uid="{00000000-0005-0000-0000-000030040000}"/>
    <cellStyle name="Notitie 8 2" xfId="1065" xr:uid="{00000000-0005-0000-0000-000031040000}"/>
    <cellStyle name="Notitie 8 20" xfId="1066" xr:uid="{00000000-0005-0000-0000-000032040000}"/>
    <cellStyle name="Notitie 8 21" xfId="1067" xr:uid="{00000000-0005-0000-0000-000033040000}"/>
    <cellStyle name="Notitie 8 22" xfId="1068" xr:uid="{00000000-0005-0000-0000-000034040000}"/>
    <cellStyle name="Notitie 8 3" xfId="1069" xr:uid="{00000000-0005-0000-0000-000035040000}"/>
    <cellStyle name="Notitie 8 4" xfId="1070" xr:uid="{00000000-0005-0000-0000-000036040000}"/>
    <cellStyle name="Notitie 8 5" xfId="1071" xr:uid="{00000000-0005-0000-0000-000037040000}"/>
    <cellStyle name="Notitie 8 6" xfId="1072" xr:uid="{00000000-0005-0000-0000-000038040000}"/>
    <cellStyle name="Notitie 8 7" xfId="1073" xr:uid="{00000000-0005-0000-0000-000039040000}"/>
    <cellStyle name="Notitie 8 8" xfId="1074" xr:uid="{00000000-0005-0000-0000-00003A040000}"/>
    <cellStyle name="Notitie 8 9" xfId="1075" xr:uid="{00000000-0005-0000-0000-00003B040000}"/>
    <cellStyle name="Notitie 9" xfId="1076" xr:uid="{00000000-0005-0000-0000-00003C040000}"/>
    <cellStyle name="Notitie 9 10" xfId="1077" xr:uid="{00000000-0005-0000-0000-00003D040000}"/>
    <cellStyle name="Notitie 9 11" xfId="1078" xr:uid="{00000000-0005-0000-0000-00003E040000}"/>
    <cellStyle name="Notitie 9 12" xfId="1079" xr:uid="{00000000-0005-0000-0000-00003F040000}"/>
    <cellStyle name="Notitie 9 13" xfId="1080" xr:uid="{00000000-0005-0000-0000-000040040000}"/>
    <cellStyle name="Notitie 9 14" xfId="1081" xr:uid="{00000000-0005-0000-0000-000041040000}"/>
    <cellStyle name="Notitie 9 15" xfId="1082" xr:uid="{00000000-0005-0000-0000-000042040000}"/>
    <cellStyle name="Notitie 9 16" xfId="1083" xr:uid="{00000000-0005-0000-0000-000043040000}"/>
    <cellStyle name="Notitie 9 17" xfId="1084" xr:uid="{00000000-0005-0000-0000-000044040000}"/>
    <cellStyle name="Notitie 9 18" xfId="1085" xr:uid="{00000000-0005-0000-0000-000045040000}"/>
    <cellStyle name="Notitie 9 19" xfId="1086" xr:uid="{00000000-0005-0000-0000-000046040000}"/>
    <cellStyle name="Notitie 9 2" xfId="1087" xr:uid="{00000000-0005-0000-0000-000047040000}"/>
    <cellStyle name="Notitie 9 20" xfId="1088" xr:uid="{00000000-0005-0000-0000-000048040000}"/>
    <cellStyle name="Notitie 9 21" xfId="1089" xr:uid="{00000000-0005-0000-0000-000049040000}"/>
    <cellStyle name="Notitie 9 22" xfId="1090" xr:uid="{00000000-0005-0000-0000-00004A040000}"/>
    <cellStyle name="Notitie 9 3" xfId="1091" xr:uid="{00000000-0005-0000-0000-00004B040000}"/>
    <cellStyle name="Notitie 9 4" xfId="1092" xr:uid="{00000000-0005-0000-0000-00004C040000}"/>
    <cellStyle name="Notitie 9 5" xfId="1093" xr:uid="{00000000-0005-0000-0000-00004D040000}"/>
    <cellStyle name="Notitie 9 6" xfId="1094" xr:uid="{00000000-0005-0000-0000-00004E040000}"/>
    <cellStyle name="Notitie 9 7" xfId="1095" xr:uid="{00000000-0005-0000-0000-00004F040000}"/>
    <cellStyle name="Notitie 9 8" xfId="1096" xr:uid="{00000000-0005-0000-0000-000050040000}"/>
    <cellStyle name="Notitie 9 9" xfId="1097" xr:uid="{00000000-0005-0000-0000-000051040000}"/>
    <cellStyle name="Ongeldig 2" xfId="1098" xr:uid="{00000000-0005-0000-0000-000052040000}"/>
    <cellStyle name="Percent" xfId="1" builtinId="5"/>
    <cellStyle name="Procent 10 2" xfId="1099" xr:uid="{00000000-0005-0000-0000-000054040000}"/>
    <cellStyle name="Procent 10 3" xfId="1100" xr:uid="{00000000-0005-0000-0000-000055040000}"/>
    <cellStyle name="Procent 10 4" xfId="1101" xr:uid="{00000000-0005-0000-0000-000056040000}"/>
    <cellStyle name="Procent 2" xfId="1102" xr:uid="{00000000-0005-0000-0000-000057040000}"/>
    <cellStyle name="Procent 2 2" xfId="1103" xr:uid="{00000000-0005-0000-0000-000058040000}"/>
    <cellStyle name="Standaard 10" xfId="1104" xr:uid="{00000000-0005-0000-0000-000059040000}"/>
    <cellStyle name="Standaard 11" xfId="1105" xr:uid="{00000000-0005-0000-0000-00005A040000}"/>
    <cellStyle name="Standaard 11 2" xfId="1106" xr:uid="{00000000-0005-0000-0000-00005B040000}"/>
    <cellStyle name="Standaard 13" xfId="1107" xr:uid="{00000000-0005-0000-0000-00005C040000}"/>
    <cellStyle name="Standaard 14" xfId="1108" xr:uid="{00000000-0005-0000-0000-00005D040000}"/>
    <cellStyle name="Standaard 2" xfId="1109" xr:uid="{00000000-0005-0000-0000-00005E040000}"/>
    <cellStyle name="Standaard 2 10" xfId="1110" xr:uid="{00000000-0005-0000-0000-00005F040000}"/>
    <cellStyle name="Standaard 2 11" xfId="1111" xr:uid="{00000000-0005-0000-0000-000060040000}"/>
    <cellStyle name="Standaard 2 12" xfId="1112" xr:uid="{00000000-0005-0000-0000-000061040000}"/>
    <cellStyle name="Standaard 2 13" xfId="1113" xr:uid="{00000000-0005-0000-0000-000062040000}"/>
    <cellStyle name="Standaard 2 14" xfId="1114" xr:uid="{00000000-0005-0000-0000-000063040000}"/>
    <cellStyle name="Standaard 2 15" xfId="1115" xr:uid="{00000000-0005-0000-0000-000064040000}"/>
    <cellStyle name="Standaard 2 16" xfId="1116" xr:uid="{00000000-0005-0000-0000-000065040000}"/>
    <cellStyle name="Standaard 2 17" xfId="1117" xr:uid="{00000000-0005-0000-0000-000066040000}"/>
    <cellStyle name="Standaard 2 18" xfId="1118" xr:uid="{00000000-0005-0000-0000-000067040000}"/>
    <cellStyle name="Standaard 2 19" xfId="1119" xr:uid="{00000000-0005-0000-0000-000068040000}"/>
    <cellStyle name="Standaard 2 2" xfId="1120" xr:uid="{00000000-0005-0000-0000-000069040000}"/>
    <cellStyle name="Standaard 2 20" xfId="1121" xr:uid="{00000000-0005-0000-0000-00006A040000}"/>
    <cellStyle name="Standaard 2 21" xfId="1122" xr:uid="{00000000-0005-0000-0000-00006B040000}"/>
    <cellStyle name="Standaard 2 22" xfId="1123" xr:uid="{00000000-0005-0000-0000-00006C040000}"/>
    <cellStyle name="Standaard 2 23" xfId="1124" xr:uid="{00000000-0005-0000-0000-00006D040000}"/>
    <cellStyle name="Standaard 2 24" xfId="1125" xr:uid="{00000000-0005-0000-0000-00006E040000}"/>
    <cellStyle name="Standaard 2 25" xfId="1126" xr:uid="{00000000-0005-0000-0000-00006F040000}"/>
    <cellStyle name="Standaard 2 26" xfId="1127" xr:uid="{00000000-0005-0000-0000-000070040000}"/>
    <cellStyle name="Standaard 2 27" xfId="1128" xr:uid="{00000000-0005-0000-0000-000071040000}"/>
    <cellStyle name="Standaard 2 28" xfId="1129" xr:uid="{00000000-0005-0000-0000-000072040000}"/>
    <cellStyle name="Standaard 2 3" xfId="1130" xr:uid="{00000000-0005-0000-0000-000073040000}"/>
    <cellStyle name="Standaard 2 4" xfId="1131" xr:uid="{00000000-0005-0000-0000-000074040000}"/>
    <cellStyle name="Standaard 2 5" xfId="1132" xr:uid="{00000000-0005-0000-0000-000075040000}"/>
    <cellStyle name="Standaard 2 6" xfId="1133" xr:uid="{00000000-0005-0000-0000-000076040000}"/>
    <cellStyle name="Standaard 2 7" xfId="1134" xr:uid="{00000000-0005-0000-0000-000077040000}"/>
    <cellStyle name="Standaard 2 8" xfId="1135" xr:uid="{00000000-0005-0000-0000-000078040000}"/>
    <cellStyle name="Standaard 2 9" xfId="1136" xr:uid="{00000000-0005-0000-0000-000079040000}"/>
    <cellStyle name="Standaard 21 2" xfId="1137" xr:uid="{00000000-0005-0000-0000-00007A040000}"/>
    <cellStyle name="Standaard 21 2 2" xfId="1138" xr:uid="{00000000-0005-0000-0000-00007B040000}"/>
    <cellStyle name="Standaard 21 3" xfId="1139" xr:uid="{00000000-0005-0000-0000-00007C040000}"/>
    <cellStyle name="Standaard 21 3 2" xfId="1140" xr:uid="{00000000-0005-0000-0000-00007D040000}"/>
    <cellStyle name="Standaard 22 2" xfId="1141" xr:uid="{00000000-0005-0000-0000-00007E040000}"/>
    <cellStyle name="Standaard 22 2 2" xfId="1142" xr:uid="{00000000-0005-0000-0000-00007F040000}"/>
    <cellStyle name="Standaard 22 3" xfId="1143" xr:uid="{00000000-0005-0000-0000-000080040000}"/>
    <cellStyle name="Standaard 22 3 2" xfId="1144" xr:uid="{00000000-0005-0000-0000-000081040000}"/>
    <cellStyle name="Standaard 23 2" xfId="1145" xr:uid="{00000000-0005-0000-0000-000082040000}"/>
    <cellStyle name="Standaard 23 2 2" xfId="1146" xr:uid="{00000000-0005-0000-0000-000083040000}"/>
    <cellStyle name="Standaard 23 3" xfId="1147" xr:uid="{00000000-0005-0000-0000-000084040000}"/>
    <cellStyle name="Standaard 23 3 2" xfId="1148" xr:uid="{00000000-0005-0000-0000-000085040000}"/>
    <cellStyle name="Standaard 3" xfId="1149" xr:uid="{00000000-0005-0000-0000-000086040000}"/>
    <cellStyle name="Standaard 3 10" xfId="1150" xr:uid="{00000000-0005-0000-0000-000087040000}"/>
    <cellStyle name="Standaard 3 11" xfId="1151" xr:uid="{00000000-0005-0000-0000-000088040000}"/>
    <cellStyle name="Standaard 3 12" xfId="1152" xr:uid="{00000000-0005-0000-0000-000089040000}"/>
    <cellStyle name="Standaard 3 13" xfId="1153" xr:uid="{00000000-0005-0000-0000-00008A040000}"/>
    <cellStyle name="Standaard 3 14" xfId="1154" xr:uid="{00000000-0005-0000-0000-00008B040000}"/>
    <cellStyle name="Standaard 3 15" xfId="1155" xr:uid="{00000000-0005-0000-0000-00008C040000}"/>
    <cellStyle name="Standaard 3 16" xfId="1156" xr:uid="{00000000-0005-0000-0000-00008D040000}"/>
    <cellStyle name="Standaard 3 17" xfId="1157" xr:uid="{00000000-0005-0000-0000-00008E040000}"/>
    <cellStyle name="Standaard 3 18" xfId="1158" xr:uid="{00000000-0005-0000-0000-00008F040000}"/>
    <cellStyle name="Standaard 3 19" xfId="1159" xr:uid="{00000000-0005-0000-0000-000090040000}"/>
    <cellStyle name="Standaard 3 2" xfId="1160" xr:uid="{00000000-0005-0000-0000-000091040000}"/>
    <cellStyle name="Standaard 3 20" xfId="1161" xr:uid="{00000000-0005-0000-0000-000092040000}"/>
    <cellStyle name="Standaard 3 21" xfId="1162" xr:uid="{00000000-0005-0000-0000-000093040000}"/>
    <cellStyle name="Standaard 3 22" xfId="1163" xr:uid="{00000000-0005-0000-0000-000094040000}"/>
    <cellStyle name="Standaard 3 23" xfId="1164" xr:uid="{00000000-0005-0000-0000-000095040000}"/>
    <cellStyle name="Standaard 3 24" xfId="1165" xr:uid="{00000000-0005-0000-0000-000096040000}"/>
    <cellStyle name="Standaard 3 25" xfId="1166" xr:uid="{00000000-0005-0000-0000-000097040000}"/>
    <cellStyle name="Standaard 3 26" xfId="1167" xr:uid="{00000000-0005-0000-0000-000098040000}"/>
    <cellStyle name="Standaard 3 27" xfId="1168" xr:uid="{00000000-0005-0000-0000-000099040000}"/>
    <cellStyle name="Standaard 3 28" xfId="1169" xr:uid="{00000000-0005-0000-0000-00009A040000}"/>
    <cellStyle name="Standaard 3 3" xfId="1170" xr:uid="{00000000-0005-0000-0000-00009B040000}"/>
    <cellStyle name="Standaard 3 4" xfId="1171" xr:uid="{00000000-0005-0000-0000-00009C040000}"/>
    <cellStyle name="Standaard 3 5" xfId="1172" xr:uid="{00000000-0005-0000-0000-00009D040000}"/>
    <cellStyle name="Standaard 3 6" xfId="1173" xr:uid="{00000000-0005-0000-0000-00009E040000}"/>
    <cellStyle name="Standaard 3 7" xfId="1174" xr:uid="{00000000-0005-0000-0000-00009F040000}"/>
    <cellStyle name="Standaard 3 8" xfId="1175" xr:uid="{00000000-0005-0000-0000-0000A0040000}"/>
    <cellStyle name="Standaard 3 9" xfId="1176" xr:uid="{00000000-0005-0000-0000-0000A1040000}"/>
    <cellStyle name="Standaard 30 2" xfId="1177" xr:uid="{00000000-0005-0000-0000-0000A2040000}"/>
    <cellStyle name="Standaard 30 2 2" xfId="1178" xr:uid="{00000000-0005-0000-0000-0000A3040000}"/>
    <cellStyle name="Standaard 30 3" xfId="1179" xr:uid="{00000000-0005-0000-0000-0000A4040000}"/>
    <cellStyle name="Standaard 30 3 2" xfId="1180" xr:uid="{00000000-0005-0000-0000-0000A5040000}"/>
    <cellStyle name="Standaard 34 2" xfId="1181" xr:uid="{00000000-0005-0000-0000-0000A6040000}"/>
    <cellStyle name="Standaard 34 2 2" xfId="1182" xr:uid="{00000000-0005-0000-0000-0000A7040000}"/>
    <cellStyle name="Standaard 34 3" xfId="1183" xr:uid="{00000000-0005-0000-0000-0000A8040000}"/>
    <cellStyle name="Standaard 34 3 2" xfId="1184" xr:uid="{00000000-0005-0000-0000-0000A9040000}"/>
    <cellStyle name="Standaard 35 2" xfId="1185" xr:uid="{00000000-0005-0000-0000-0000AA040000}"/>
    <cellStyle name="Standaard 35 2 2" xfId="1186" xr:uid="{00000000-0005-0000-0000-0000AB040000}"/>
    <cellStyle name="Standaard 35 3" xfId="1187" xr:uid="{00000000-0005-0000-0000-0000AC040000}"/>
    <cellStyle name="Standaard 35 3 2" xfId="1188" xr:uid="{00000000-0005-0000-0000-0000AD040000}"/>
    <cellStyle name="Standaard 36 2" xfId="1189" xr:uid="{00000000-0005-0000-0000-0000AE040000}"/>
    <cellStyle name="Standaard 36 2 2" xfId="1190" xr:uid="{00000000-0005-0000-0000-0000AF040000}"/>
    <cellStyle name="Standaard 36 3" xfId="1191" xr:uid="{00000000-0005-0000-0000-0000B0040000}"/>
    <cellStyle name="Standaard 36 3 2" xfId="1192" xr:uid="{00000000-0005-0000-0000-0000B1040000}"/>
    <cellStyle name="Standaard 37 2" xfId="1193" xr:uid="{00000000-0005-0000-0000-0000B2040000}"/>
    <cellStyle name="Standaard 37 2 2" xfId="1194" xr:uid="{00000000-0005-0000-0000-0000B3040000}"/>
    <cellStyle name="Standaard 37 3" xfId="1195" xr:uid="{00000000-0005-0000-0000-0000B4040000}"/>
    <cellStyle name="Standaard 37 3 2" xfId="1196" xr:uid="{00000000-0005-0000-0000-0000B5040000}"/>
    <cellStyle name="Standaard 38 2" xfId="1197" xr:uid="{00000000-0005-0000-0000-0000B6040000}"/>
    <cellStyle name="Standaard 38 2 2" xfId="1198" xr:uid="{00000000-0005-0000-0000-0000B7040000}"/>
    <cellStyle name="Standaard 38 3" xfId="1199" xr:uid="{00000000-0005-0000-0000-0000B8040000}"/>
    <cellStyle name="Standaard 38 3 2" xfId="1200" xr:uid="{00000000-0005-0000-0000-0000B9040000}"/>
    <cellStyle name="Standaard 39 2" xfId="1201" xr:uid="{00000000-0005-0000-0000-0000BA040000}"/>
    <cellStyle name="Standaard 39 2 2" xfId="1202" xr:uid="{00000000-0005-0000-0000-0000BB040000}"/>
    <cellStyle name="Standaard 39 3" xfId="1203" xr:uid="{00000000-0005-0000-0000-0000BC040000}"/>
    <cellStyle name="Standaard 39 3 2" xfId="1204" xr:uid="{00000000-0005-0000-0000-0000BD040000}"/>
    <cellStyle name="Standaard 4" xfId="1205" xr:uid="{00000000-0005-0000-0000-0000BE040000}"/>
    <cellStyle name="Standaard 4 2" xfId="1206" xr:uid="{00000000-0005-0000-0000-0000BF040000}"/>
    <cellStyle name="Standaard 4 2 2" xfId="1207" xr:uid="{00000000-0005-0000-0000-0000C0040000}"/>
    <cellStyle name="Standaard 48" xfId="1208" xr:uid="{00000000-0005-0000-0000-0000C1040000}"/>
    <cellStyle name="Standaard 48 10" xfId="1209" xr:uid="{00000000-0005-0000-0000-0000C2040000}"/>
    <cellStyle name="Standaard 48 11" xfId="1210" xr:uid="{00000000-0005-0000-0000-0000C3040000}"/>
    <cellStyle name="Standaard 48 12" xfId="1211" xr:uid="{00000000-0005-0000-0000-0000C4040000}"/>
    <cellStyle name="Standaard 48 13" xfId="1212" xr:uid="{00000000-0005-0000-0000-0000C5040000}"/>
    <cellStyle name="Standaard 48 14" xfId="1213" xr:uid="{00000000-0005-0000-0000-0000C6040000}"/>
    <cellStyle name="Standaard 48 15" xfId="1214" xr:uid="{00000000-0005-0000-0000-0000C7040000}"/>
    <cellStyle name="Standaard 48 16" xfId="1215" xr:uid="{00000000-0005-0000-0000-0000C8040000}"/>
    <cellStyle name="Standaard 48 17" xfId="1216" xr:uid="{00000000-0005-0000-0000-0000C9040000}"/>
    <cellStyle name="Standaard 48 18" xfId="1217" xr:uid="{00000000-0005-0000-0000-0000CA040000}"/>
    <cellStyle name="Standaard 48 19" xfId="1218" xr:uid="{00000000-0005-0000-0000-0000CB040000}"/>
    <cellStyle name="Standaard 48 2" xfId="1219" xr:uid="{00000000-0005-0000-0000-0000CC040000}"/>
    <cellStyle name="Standaard 48 20" xfId="1220" xr:uid="{00000000-0005-0000-0000-0000CD040000}"/>
    <cellStyle name="Standaard 48 21" xfId="1221" xr:uid="{00000000-0005-0000-0000-0000CE040000}"/>
    <cellStyle name="Standaard 48 3" xfId="1222" xr:uid="{00000000-0005-0000-0000-0000CF040000}"/>
    <cellStyle name="Standaard 48 4" xfId="1223" xr:uid="{00000000-0005-0000-0000-0000D0040000}"/>
    <cellStyle name="Standaard 48 5" xfId="1224" xr:uid="{00000000-0005-0000-0000-0000D1040000}"/>
    <cellStyle name="Standaard 48 6" xfId="1225" xr:uid="{00000000-0005-0000-0000-0000D2040000}"/>
    <cellStyle name="Standaard 48 7" xfId="1226" xr:uid="{00000000-0005-0000-0000-0000D3040000}"/>
    <cellStyle name="Standaard 48 8" xfId="1227" xr:uid="{00000000-0005-0000-0000-0000D4040000}"/>
    <cellStyle name="Standaard 48 9" xfId="1228" xr:uid="{00000000-0005-0000-0000-0000D5040000}"/>
    <cellStyle name="Standaard 49" xfId="1229" xr:uid="{00000000-0005-0000-0000-0000D6040000}"/>
    <cellStyle name="Standaard 5" xfId="1230" xr:uid="{00000000-0005-0000-0000-0000D7040000}"/>
    <cellStyle name="Standaard 5 2" xfId="1231" xr:uid="{00000000-0005-0000-0000-0000D8040000}"/>
    <cellStyle name="Standaard 54" xfId="1232" xr:uid="{00000000-0005-0000-0000-0000D9040000}"/>
    <cellStyle name="Standaard 54 10" xfId="1233" xr:uid="{00000000-0005-0000-0000-0000DA040000}"/>
    <cellStyle name="Standaard 54 11" xfId="1234" xr:uid="{00000000-0005-0000-0000-0000DB040000}"/>
    <cellStyle name="Standaard 54 12" xfId="1235" xr:uid="{00000000-0005-0000-0000-0000DC040000}"/>
    <cellStyle name="Standaard 54 13" xfId="1236" xr:uid="{00000000-0005-0000-0000-0000DD040000}"/>
    <cellStyle name="Standaard 54 14" xfId="1237" xr:uid="{00000000-0005-0000-0000-0000DE040000}"/>
    <cellStyle name="Standaard 54 15" xfId="1238" xr:uid="{00000000-0005-0000-0000-0000DF040000}"/>
    <cellStyle name="Standaard 54 16" xfId="1239" xr:uid="{00000000-0005-0000-0000-0000E0040000}"/>
    <cellStyle name="Standaard 54 17" xfId="1240" xr:uid="{00000000-0005-0000-0000-0000E1040000}"/>
    <cellStyle name="Standaard 54 18" xfId="1241" xr:uid="{00000000-0005-0000-0000-0000E2040000}"/>
    <cellStyle name="Standaard 54 19" xfId="1242" xr:uid="{00000000-0005-0000-0000-0000E3040000}"/>
    <cellStyle name="Standaard 54 2" xfId="1243" xr:uid="{00000000-0005-0000-0000-0000E4040000}"/>
    <cellStyle name="Standaard 54 20" xfId="1244" xr:uid="{00000000-0005-0000-0000-0000E5040000}"/>
    <cellStyle name="Standaard 54 3" xfId="1245" xr:uid="{00000000-0005-0000-0000-0000E6040000}"/>
    <cellStyle name="Standaard 54 4" xfId="1246" xr:uid="{00000000-0005-0000-0000-0000E7040000}"/>
    <cellStyle name="Standaard 54 5" xfId="1247" xr:uid="{00000000-0005-0000-0000-0000E8040000}"/>
    <cellStyle name="Standaard 54 6" xfId="1248" xr:uid="{00000000-0005-0000-0000-0000E9040000}"/>
    <cellStyle name="Standaard 54 7" xfId="1249" xr:uid="{00000000-0005-0000-0000-0000EA040000}"/>
    <cellStyle name="Standaard 54 8" xfId="1250" xr:uid="{00000000-0005-0000-0000-0000EB040000}"/>
    <cellStyle name="Standaard 54 9" xfId="1251" xr:uid="{00000000-0005-0000-0000-0000EC040000}"/>
    <cellStyle name="Standaard 55 2" xfId="1252" xr:uid="{00000000-0005-0000-0000-0000ED040000}"/>
    <cellStyle name="Standaard 55 3" xfId="1253" xr:uid="{00000000-0005-0000-0000-0000EE040000}"/>
    <cellStyle name="Standaard 55 4" xfId="1254" xr:uid="{00000000-0005-0000-0000-0000EF040000}"/>
    <cellStyle name="Standaard 56" xfId="1255" xr:uid="{00000000-0005-0000-0000-0000F0040000}"/>
    <cellStyle name="Standaard 56 2" xfId="1256" xr:uid="{00000000-0005-0000-0000-0000F1040000}"/>
    <cellStyle name="Standaard 56 3" xfId="1257" xr:uid="{00000000-0005-0000-0000-0000F2040000}"/>
    <cellStyle name="Standaard 56 4" xfId="1258" xr:uid="{00000000-0005-0000-0000-0000F3040000}"/>
    <cellStyle name="Standaard 57" xfId="1259" xr:uid="{00000000-0005-0000-0000-0000F4040000}"/>
    <cellStyle name="Standaard 57 2" xfId="1260" xr:uid="{00000000-0005-0000-0000-0000F5040000}"/>
    <cellStyle name="Standaard 58" xfId="1261" xr:uid="{00000000-0005-0000-0000-0000F6040000}"/>
    <cellStyle name="Standaard 58 2" xfId="1262" xr:uid="{00000000-0005-0000-0000-0000F7040000}"/>
    <cellStyle name="Standaard 59" xfId="1263" xr:uid="{00000000-0005-0000-0000-0000F8040000}"/>
    <cellStyle name="Standaard 59 2" xfId="1264" xr:uid="{00000000-0005-0000-0000-0000F9040000}"/>
    <cellStyle name="Standaard 6" xfId="1265" xr:uid="{00000000-0005-0000-0000-0000FA040000}"/>
    <cellStyle name="Standaard 6 2" xfId="1266" xr:uid="{00000000-0005-0000-0000-0000FB040000}"/>
    <cellStyle name="Standaard 60" xfId="1267" xr:uid="{00000000-0005-0000-0000-0000FC040000}"/>
    <cellStyle name="Standaard 60 2" xfId="1268" xr:uid="{00000000-0005-0000-0000-0000FD040000}"/>
    <cellStyle name="Standaard 61" xfId="1269" xr:uid="{00000000-0005-0000-0000-0000FE040000}"/>
    <cellStyle name="Standaard 61 2" xfId="1270" xr:uid="{00000000-0005-0000-0000-0000FF040000}"/>
    <cellStyle name="Standaard 62" xfId="1271" xr:uid="{00000000-0005-0000-0000-000000050000}"/>
    <cellStyle name="Standaard 62 2" xfId="1272" xr:uid="{00000000-0005-0000-0000-000001050000}"/>
    <cellStyle name="Standaard 63" xfId="1273" xr:uid="{00000000-0005-0000-0000-000002050000}"/>
    <cellStyle name="Standaard 63 2" xfId="1274" xr:uid="{00000000-0005-0000-0000-000003050000}"/>
    <cellStyle name="Standaard 64" xfId="1275" xr:uid="{00000000-0005-0000-0000-000004050000}"/>
    <cellStyle name="Standaard 64 2" xfId="1276" xr:uid="{00000000-0005-0000-0000-000005050000}"/>
    <cellStyle name="Standaard 65" xfId="1277" xr:uid="{00000000-0005-0000-0000-000006050000}"/>
    <cellStyle name="Standaard 66" xfId="1278" xr:uid="{00000000-0005-0000-0000-000007050000}"/>
    <cellStyle name="Standaard 66 2" xfId="1279" xr:uid="{00000000-0005-0000-0000-000008050000}"/>
    <cellStyle name="Standaard 67" xfId="1280" xr:uid="{00000000-0005-0000-0000-000009050000}"/>
    <cellStyle name="Standaard 67 2" xfId="1281" xr:uid="{00000000-0005-0000-0000-00000A050000}"/>
    <cellStyle name="Standaard 68" xfId="1282" xr:uid="{00000000-0005-0000-0000-00000B050000}"/>
    <cellStyle name="Standaard 68 2" xfId="1283" xr:uid="{00000000-0005-0000-0000-00000C050000}"/>
    <cellStyle name="Standaard 68 3" xfId="1284" xr:uid="{00000000-0005-0000-0000-00000D050000}"/>
    <cellStyle name="Standaard 68 4" xfId="1285" xr:uid="{00000000-0005-0000-0000-00000E050000}"/>
    <cellStyle name="Standaard 7" xfId="1286" xr:uid="{00000000-0005-0000-0000-00000F050000}"/>
    <cellStyle name="Standaard 7 2" xfId="1287" xr:uid="{00000000-0005-0000-0000-000010050000}"/>
    <cellStyle name="Standaard 70" xfId="1288" xr:uid="{00000000-0005-0000-0000-000011050000}"/>
    <cellStyle name="Standaard 72" xfId="1289" xr:uid="{00000000-0005-0000-0000-000012050000}"/>
    <cellStyle name="Standaard 73" xfId="1290" xr:uid="{00000000-0005-0000-0000-000013050000}"/>
    <cellStyle name="Standaard 73 2" xfId="1291" xr:uid="{00000000-0005-0000-0000-000014050000}"/>
    <cellStyle name="Standaard 74" xfId="1292" xr:uid="{00000000-0005-0000-0000-000015050000}"/>
    <cellStyle name="Standaard 74 2" xfId="1293" xr:uid="{00000000-0005-0000-0000-000016050000}"/>
    <cellStyle name="Standaard 75" xfId="1294" xr:uid="{00000000-0005-0000-0000-000017050000}"/>
    <cellStyle name="Standaard 75 2" xfId="1295" xr:uid="{00000000-0005-0000-0000-000018050000}"/>
    <cellStyle name="Standaard 8" xfId="1296" xr:uid="{00000000-0005-0000-0000-000019050000}"/>
    <cellStyle name="Standaard 8 2" xfId="1297" xr:uid="{00000000-0005-0000-0000-00001A050000}"/>
    <cellStyle name="Standaard 84" xfId="1298" xr:uid="{00000000-0005-0000-0000-00001B050000}"/>
    <cellStyle name="Standaard 9" xfId="1299" xr:uid="{00000000-0005-0000-0000-00001C050000}"/>
    <cellStyle name="Titel 10" xfId="1300" xr:uid="{00000000-0005-0000-0000-00001D050000}"/>
    <cellStyle name="Titel 11" xfId="1301" xr:uid="{00000000-0005-0000-0000-00001E050000}"/>
    <cellStyle name="Titel 12" xfId="1302" xr:uid="{00000000-0005-0000-0000-00001F050000}"/>
    <cellStyle name="Titel 2" xfId="1303" xr:uid="{00000000-0005-0000-0000-000020050000}"/>
    <cellStyle name="Titel 2 2" xfId="1304" xr:uid="{00000000-0005-0000-0000-000021050000}"/>
    <cellStyle name="Titel 3" xfId="1305" xr:uid="{00000000-0005-0000-0000-000022050000}"/>
    <cellStyle name="Titel 4" xfId="1306" xr:uid="{00000000-0005-0000-0000-000023050000}"/>
    <cellStyle name="Titel 5" xfId="1307" xr:uid="{00000000-0005-0000-0000-000024050000}"/>
    <cellStyle name="Titel 6" xfId="1308" xr:uid="{00000000-0005-0000-0000-000025050000}"/>
    <cellStyle name="Titel 7" xfId="1309" xr:uid="{00000000-0005-0000-0000-000026050000}"/>
    <cellStyle name="Titel 8" xfId="1310" xr:uid="{00000000-0005-0000-0000-000027050000}"/>
    <cellStyle name="Titel 9" xfId="1311" xr:uid="{00000000-0005-0000-0000-000028050000}"/>
    <cellStyle name="Title 2" xfId="1312" xr:uid="{00000000-0005-0000-0000-000029050000}"/>
    <cellStyle name="Totaal 2" xfId="1313" xr:uid="{00000000-0005-0000-0000-00002A050000}"/>
    <cellStyle name="Uitvoer 2" xfId="1314" xr:uid="{00000000-0005-0000-0000-00002B050000}"/>
    <cellStyle name="Verklarende tekst 2" xfId="1315" xr:uid="{00000000-0005-0000-0000-00002C050000}"/>
    <cellStyle name="Waarschuwingstekst 2" xfId="1316" xr:uid="{00000000-0005-0000-0000-00002D050000}"/>
  </cellStyles>
  <dxfs count="9">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s>
  <tableStyles count="0" defaultTableStyle="TableStyleMedium2" defaultPivotStyle="PivotStyleLight16"/>
  <colors>
    <mruColors>
      <color rgb="FF3F3F76"/>
      <color rgb="FF6DFFE3"/>
      <color rgb="FF66FFCC"/>
      <color rgb="FF00FF99"/>
      <color rgb="FF00FFCC"/>
      <color rgb="FF29FF9E"/>
      <color rgb="FFFF6600"/>
      <color rgb="FFFFFF00"/>
      <color rgb="FFE7EEF5"/>
      <color rgb="FFEDF2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40109179800262879"/>
          <c:y val="7.9581095451547332E-2"/>
          <c:w val="0.54898620511749607"/>
          <c:h val="0.76577790790022748"/>
        </c:manualLayout>
      </c:layout>
      <c:barChart>
        <c:barDir val="bar"/>
        <c:grouping val="clustered"/>
        <c:varyColors val="0"/>
        <c:ser>
          <c:idx val="0"/>
          <c:order val="0"/>
          <c:spPr>
            <a:solidFill>
              <a:schemeClr val="accent3">
                <a:alpha val="50000"/>
              </a:schemeClr>
            </a:solidFill>
            <a:ln w="12700">
              <a:solidFill>
                <a:srgbClr val="000000"/>
              </a:solidFill>
              <a:prstDash val="solid"/>
            </a:ln>
          </c:spPr>
          <c:invertIfNegative val="0"/>
          <c:cat>
            <c:strRef>
              <c:f>'Tornado Diagram'!$I$8:$I$22</c:f>
              <c:strCache>
                <c:ptCount val="14"/>
                <c:pt idx="0">
                  <c:v>Vaccine efficacy: Influenza mortality</c:v>
                </c:pt>
                <c:pt idx="1">
                  <c:v>Delivery costs per unit</c:v>
                </c:pt>
                <c:pt idx="2">
                  <c:v>Vaccine efficacy: Influenza hospitalisation</c:v>
                </c:pt>
                <c:pt idx="3">
                  <c:v>Vaccine price per unit</c:v>
                </c:pt>
                <c:pt idx="4">
                  <c:v>Incidence: Influenza-related mortality</c:v>
                </c:pt>
                <c:pt idx="5">
                  <c:v>Cost per influenza-related hospitalization/SARI </c:v>
                </c:pt>
                <c:pt idx="6">
                  <c:v>Vaccine efficacy: Influenza illness</c:v>
                </c:pt>
                <c:pt idx="7">
                  <c:v>Incidence: Influenza-related hospital visits</c:v>
                </c:pt>
                <c:pt idx="8">
                  <c:v>Cost per influenza-related outpatient visit</c:v>
                </c:pt>
                <c:pt idx="9">
                  <c:v>Incidence: Influenza-related illness</c:v>
                </c:pt>
                <c:pt idx="10">
                  <c:v>QALY loss per non-hospitalized influenza episode</c:v>
                </c:pt>
                <c:pt idx="11">
                  <c:v>Cost of adverse events</c:v>
                </c:pt>
                <c:pt idx="12">
                  <c:v>Incidence of adverse events</c:v>
                </c:pt>
                <c:pt idx="13">
                  <c:v>QALY loss per hospitalized influenza episode</c:v>
                </c:pt>
              </c:strCache>
            </c:strRef>
          </c:cat>
          <c:val>
            <c:numRef>
              <c:f>'Tornado Diagram'!$J$8:$J$22</c:f>
              <c:numCache>
                <c:formatCode>#,##0</c:formatCode>
                <c:ptCount val="15"/>
                <c:pt idx="0">
                  <c:v>4228.4639164778209</c:v>
                </c:pt>
                <c:pt idx="1">
                  <c:v>1015.5167420623584</c:v>
                </c:pt>
                <c:pt idx="2">
                  <c:v>2471.4419087346218</c:v>
                </c:pt>
                <c:pt idx="3">
                  <c:v>1201.2418771047433</c:v>
                </c:pt>
                <c:pt idx="4">
                  <c:v>2393.1882714227663</c:v>
                </c:pt>
                <c:pt idx="5">
                  <c:v>2190.7476370022619</c:v>
                </c:pt>
                <c:pt idx="6">
                  <c:v>2172.2292939391077</c:v>
                </c:pt>
                <c:pt idx="7">
                  <c:v>2000.2623888441904</c:v>
                </c:pt>
                <c:pt idx="8">
                  <c:v>1942.7664263591882</c:v>
                </c:pt>
                <c:pt idx="9">
                  <c:v>1945.1824550188469</c:v>
                </c:pt>
                <c:pt idx="10">
                  <c:v>1895.5462461494783</c:v>
                </c:pt>
                <c:pt idx="11">
                  <c:v>1768.108265311582</c:v>
                </c:pt>
                <c:pt idx="12">
                  <c:v>1769.9463775182139</c:v>
                </c:pt>
                <c:pt idx="13">
                  <c:v>1835.7371555060101</c:v>
                </c:pt>
              </c:numCache>
            </c:numRef>
          </c:val>
          <c:extLst>
            <c:ext xmlns:c16="http://schemas.microsoft.com/office/drawing/2014/chart" uri="{C3380CC4-5D6E-409C-BE32-E72D297353CC}">
              <c16:uniqueId val="{00000000-93AF-42B0-A3F4-C5630C8B1906}"/>
            </c:ext>
          </c:extLst>
        </c:ser>
        <c:ser>
          <c:idx val="1"/>
          <c:order val="1"/>
          <c:spPr>
            <a:solidFill>
              <a:srgbClr val="00B050"/>
            </a:solidFill>
            <a:ln w="12700">
              <a:solidFill>
                <a:srgbClr val="000000"/>
              </a:solidFill>
              <a:prstDash val="solid"/>
            </a:ln>
          </c:spPr>
          <c:invertIfNegative val="0"/>
          <c:cat>
            <c:strRef>
              <c:f>'Tornado Diagram'!$I$8:$I$22</c:f>
              <c:strCache>
                <c:ptCount val="14"/>
                <c:pt idx="0">
                  <c:v>Vaccine efficacy: Influenza mortality</c:v>
                </c:pt>
                <c:pt idx="1">
                  <c:v>Delivery costs per unit</c:v>
                </c:pt>
                <c:pt idx="2">
                  <c:v>Vaccine efficacy: Influenza hospitalisation</c:v>
                </c:pt>
                <c:pt idx="3">
                  <c:v>Vaccine price per unit</c:v>
                </c:pt>
                <c:pt idx="4">
                  <c:v>Incidence: Influenza-related mortality</c:v>
                </c:pt>
                <c:pt idx="5">
                  <c:v>Cost per influenza-related hospitalization/SARI </c:v>
                </c:pt>
                <c:pt idx="6">
                  <c:v>Vaccine efficacy: Influenza illness</c:v>
                </c:pt>
                <c:pt idx="7">
                  <c:v>Incidence: Influenza-related hospital visits</c:v>
                </c:pt>
                <c:pt idx="8">
                  <c:v>Cost per influenza-related outpatient visit</c:v>
                </c:pt>
                <c:pt idx="9">
                  <c:v>Incidence: Influenza-related illness</c:v>
                </c:pt>
                <c:pt idx="10">
                  <c:v>QALY loss per non-hospitalized influenza episode</c:v>
                </c:pt>
                <c:pt idx="11">
                  <c:v>Cost of adverse events</c:v>
                </c:pt>
                <c:pt idx="12">
                  <c:v>Incidence of adverse events</c:v>
                </c:pt>
                <c:pt idx="13">
                  <c:v>QALY loss per hospitalized influenza episode</c:v>
                </c:pt>
              </c:strCache>
            </c:strRef>
          </c:cat>
          <c:val>
            <c:numRef>
              <c:f>'Tornado Diagram'!$K$8:$K$22</c:f>
              <c:numCache>
                <c:formatCode>#,##0</c:formatCode>
                <c:ptCount val="15"/>
                <c:pt idx="0">
                  <c:v>1347.0492711968229</c:v>
                </c:pt>
                <c:pt idx="1">
                  <c:v>2617.0698861315673</c:v>
                </c:pt>
                <c:pt idx="2">
                  <c:v>1435.9549659598574</c:v>
                </c:pt>
                <c:pt idx="3">
                  <c:v>2205.9995137131145</c:v>
                </c:pt>
                <c:pt idx="4">
                  <c:v>1469.5858056111697</c:v>
                </c:pt>
                <c:pt idx="5">
                  <c:v>1289.2201926782079</c:v>
                </c:pt>
                <c:pt idx="6">
                  <c:v>1653.7626042703148</c:v>
                </c:pt>
                <c:pt idx="7">
                  <c:v>1635.2645354576196</c:v>
                </c:pt>
                <c:pt idx="8">
                  <c:v>1689.8028311545227</c:v>
                </c:pt>
                <c:pt idx="9">
                  <c:v>1703.4349664556521</c:v>
                </c:pt>
                <c:pt idx="10">
                  <c:v>1743.4015627743652</c:v>
                </c:pt>
                <c:pt idx="11">
                  <c:v>1864.5857434616469</c:v>
                </c:pt>
                <c:pt idx="12">
                  <c:v>1862.6402506757145</c:v>
                </c:pt>
                <c:pt idx="13">
                  <c:v>1797.2570479804247</c:v>
                </c:pt>
              </c:numCache>
            </c:numRef>
          </c:val>
          <c:extLst>
            <c:ext xmlns:c16="http://schemas.microsoft.com/office/drawing/2014/chart" uri="{C3380CC4-5D6E-409C-BE32-E72D297353CC}">
              <c16:uniqueId val="{00000001-93AF-42B0-A3F4-C5630C8B1906}"/>
            </c:ext>
          </c:extLst>
        </c:ser>
        <c:dLbls>
          <c:showLegendKey val="0"/>
          <c:showVal val="0"/>
          <c:showCatName val="0"/>
          <c:showSerName val="0"/>
          <c:showPercent val="0"/>
          <c:showBubbleSize val="0"/>
        </c:dLbls>
        <c:gapWidth val="100"/>
        <c:overlap val="100"/>
        <c:axId val="1701717344"/>
        <c:axId val="1"/>
      </c:barChart>
      <c:catAx>
        <c:axId val="1701717344"/>
        <c:scaling>
          <c:orientation val="maxMin"/>
        </c:scaling>
        <c:delete val="0"/>
        <c:axPos val="l"/>
        <c:numFmt formatCode="General" sourceLinked="1"/>
        <c:majorTickMark val="none"/>
        <c:minorTickMark val="none"/>
        <c:tickLblPos val="low"/>
        <c:spPr>
          <a:ln w="3175">
            <a:solidFill>
              <a:srgbClr val="000000"/>
            </a:solidFill>
            <a:prstDash val="solid"/>
          </a:ln>
        </c:spPr>
        <c:txPr>
          <a:bodyPr rot="0" vert="horz"/>
          <a:lstStyle/>
          <a:p>
            <a:pPr>
              <a:defRPr sz="1200" b="1"/>
            </a:pPr>
            <a:endParaRPr lang="en-US"/>
          </a:p>
        </c:txPr>
        <c:crossAx val="1"/>
        <c:crossesAt val="1816"/>
        <c:auto val="0"/>
        <c:lblAlgn val="ctr"/>
        <c:lblOffset val="100"/>
        <c:tickLblSkip val="1"/>
        <c:tickMarkSkip val="1"/>
        <c:noMultiLvlLbl val="0"/>
      </c:catAx>
      <c:valAx>
        <c:axId val="1"/>
        <c:scaling>
          <c:orientation val="minMax"/>
        </c:scaling>
        <c:delete val="0"/>
        <c:axPos val="b"/>
        <c:title>
          <c:tx>
            <c:rich>
              <a:bodyPr/>
              <a:lstStyle/>
              <a:p>
                <a:pPr>
                  <a:defRPr sz="1400"/>
                </a:pPr>
                <a:r>
                  <a:rPr lang="en-GB" sz="1400" b="1"/>
                  <a:t>ICER</a:t>
                </a:r>
                <a:r>
                  <a:rPr lang="en-GB" sz="1400" b="1" baseline="0"/>
                  <a:t> ($/QALY)</a:t>
                </a:r>
                <a:endParaRPr lang="en-GB" sz="1400" b="1"/>
              </a:p>
            </c:rich>
          </c:tx>
          <c:layout>
            <c:manualLayout>
              <c:xMode val="edge"/>
              <c:yMode val="edge"/>
              <c:x val="0.62131483102110763"/>
              <c:y val="0.92237221284780802"/>
            </c:manualLayout>
          </c:layout>
          <c:overlay val="0"/>
        </c:title>
        <c:numFmt formatCode="#,##0" sourceLinked="1"/>
        <c:majorTickMark val="cross"/>
        <c:minorTickMark val="none"/>
        <c:tickLblPos val="nextTo"/>
        <c:spPr>
          <a:ln w="3175">
            <a:solidFill>
              <a:srgbClr val="000000"/>
            </a:solidFill>
            <a:prstDash val="solid"/>
          </a:ln>
        </c:spPr>
        <c:txPr>
          <a:bodyPr rot="0" vert="horz"/>
          <a:lstStyle/>
          <a:p>
            <a:pPr>
              <a:defRPr sz="900"/>
            </a:pPr>
            <a:endParaRPr lang="en-US"/>
          </a:p>
        </c:txPr>
        <c:crossAx val="1701717344"/>
        <c:crosses val="max"/>
        <c:crossBetween val="between"/>
      </c:valAx>
      <c:spPr>
        <a:noFill/>
        <a:ln w="25400">
          <a:noFill/>
        </a:ln>
      </c:spPr>
    </c:plotArea>
    <c:plotVisOnly val="1"/>
    <c:dispBlanksAs val="gap"/>
    <c:showDLblsOverMax val="0"/>
  </c:chart>
  <c:spPr>
    <a:solidFill>
      <a:srgbClr val="FFFFFF"/>
    </a:solidFill>
    <a:ln w="12700">
      <a:solidFill>
        <a:schemeClr val="bg1"/>
      </a:solidFill>
      <a:prstDash val="solid"/>
    </a:ln>
  </c:spPr>
  <c:txPr>
    <a:bodyPr/>
    <a:lstStyle/>
    <a:p>
      <a:pPr>
        <a:defRPr sz="1000" b="0" i="0" u="none" strike="noStrike" baseline="0">
          <a:solidFill>
            <a:srgbClr val="000000"/>
          </a:solidFill>
          <a:latin typeface="+mn-lt"/>
          <a:ea typeface="Courier"/>
          <a:cs typeface="Courier"/>
        </a:defRPr>
      </a:pPr>
      <a:endParaRPr lang="en-US"/>
    </a:p>
  </c:txPr>
  <c:printSettings>
    <c:headerFooter alignWithMargins="0">
      <c:oddHeader>&amp;A</c:oddHeader>
      <c:oddFooter>Page &amp;P</c:oddFooter>
    </c:headerFooter>
    <c:pageMargins b="1" l="0.75" r="0.75" t="1" header="0.5" footer="0.5"/>
    <c:pageSetup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37423170204991"/>
          <c:y val="3.9320822162645222E-2"/>
          <c:w val="0.8104660335179622"/>
          <c:h val="0.80240062485486896"/>
        </c:manualLayout>
      </c:layout>
      <c:scatterChart>
        <c:scatterStyle val="lineMarker"/>
        <c:varyColors val="0"/>
        <c:ser>
          <c:idx val="0"/>
          <c:order val="0"/>
          <c:tx>
            <c:v>Pregnant Women</c:v>
          </c:tx>
          <c:spPr>
            <a:ln w="25400" cap="rnd">
              <a:solidFill>
                <a:srgbClr val="7030A0"/>
              </a:solidFill>
              <a:round/>
            </a:ln>
            <a:effectLst/>
          </c:spPr>
          <c:marker>
            <c:symbol val="circle"/>
            <c:size val="5"/>
            <c:spPr>
              <a:solidFill>
                <a:srgbClr val="7030A0"/>
              </a:solidFill>
              <a:ln w="9525">
                <a:noFill/>
              </a:ln>
              <a:effectLst/>
            </c:spPr>
          </c:marker>
          <c:xVal>
            <c:numRef>
              <c:f>'Input summary'!$Q$193:$Q$203</c:f>
              <c:numCache>
                <c:formatCode>_(* #,##0.0_);_(* \(#,##0.0\);_(* "-"??_);_(@_)</c:formatCode>
                <c:ptCount val="11"/>
                <c:pt idx="0">
                  <c:v>0.5</c:v>
                </c:pt>
                <c:pt idx="1">
                  <c:v>0.6</c:v>
                </c:pt>
                <c:pt idx="2">
                  <c:v>0.7</c:v>
                </c:pt>
                <c:pt idx="3">
                  <c:v>0.79999999999999993</c:v>
                </c:pt>
                <c:pt idx="4">
                  <c:v>0.89999999999999991</c:v>
                </c:pt>
                <c:pt idx="5">
                  <c:v>0.99999999999999989</c:v>
                </c:pt>
                <c:pt idx="6">
                  <c:v>1.0999999999999999</c:v>
                </c:pt>
                <c:pt idx="7">
                  <c:v>1.2</c:v>
                </c:pt>
                <c:pt idx="8">
                  <c:v>1.3</c:v>
                </c:pt>
                <c:pt idx="9">
                  <c:v>1.4000000000000001</c:v>
                </c:pt>
                <c:pt idx="10">
                  <c:v>1.5000000000000002</c:v>
                </c:pt>
              </c:numCache>
            </c:numRef>
          </c:xVal>
          <c:yVal>
            <c:numRef>
              <c:f>'Input summary'!$R$193:$R$203</c:f>
              <c:numCache>
                <c:formatCode>_(* #,##0_);_(* \(#,##0\);_(* "-"??_);_(@_)</c:formatCode>
                <c:ptCount val="11"/>
                <c:pt idx="0">
                  <c:v>4464.5460696895379</c:v>
                </c:pt>
                <c:pt idx="1">
                  <c:v>3581.7951511586762</c:v>
                </c:pt>
                <c:pt idx="2">
                  <c:v>2951.2587807794894</c:v>
                </c:pt>
                <c:pt idx="3">
                  <c:v>2478.3565029951051</c:v>
                </c:pt>
                <c:pt idx="4">
                  <c:v>2110.5436202739079</c:v>
                </c:pt>
                <c:pt idx="5">
                  <c:v>1816.2933140969631</c:v>
                </c:pt>
                <c:pt idx="6">
                  <c:v>1575.543063588543</c:v>
                </c:pt>
                <c:pt idx="7">
                  <c:v>1374.9178548315303</c:v>
                </c:pt>
                <c:pt idx="8">
                  <c:v>1205.1580628063662</c:v>
                </c:pt>
                <c:pt idx="9">
                  <c:v>1059.6496696419392</c:v>
                </c:pt>
                <c:pt idx="10">
                  <c:v>933.54239556610128</c:v>
                </c:pt>
              </c:numCache>
            </c:numRef>
          </c:yVal>
          <c:smooth val="0"/>
          <c:extLst>
            <c:ext xmlns:c16="http://schemas.microsoft.com/office/drawing/2014/chart" uri="{C3380CC4-5D6E-409C-BE32-E72D297353CC}">
              <c16:uniqueId val="{0000000B-EA4A-4718-A71E-8FAE5C2B5086}"/>
            </c:ext>
          </c:extLst>
        </c:ser>
        <c:ser>
          <c:idx val="1"/>
          <c:order val="1"/>
          <c:tx>
            <c:v>HIV+</c:v>
          </c:tx>
          <c:spPr>
            <a:ln w="25400" cap="rnd">
              <a:solidFill>
                <a:srgbClr val="FFC000"/>
              </a:solidFill>
              <a:round/>
            </a:ln>
            <a:effectLst/>
          </c:spPr>
          <c:marker>
            <c:symbol val="circle"/>
            <c:size val="5"/>
            <c:spPr>
              <a:solidFill>
                <a:srgbClr val="FFC000"/>
              </a:solidFill>
              <a:ln w="9525">
                <a:noFill/>
              </a:ln>
              <a:effectLst/>
            </c:spPr>
          </c:marker>
          <c:xVal>
            <c:numRef>
              <c:f>'Input summary'!$T$193:$T$203</c:f>
              <c:numCache>
                <c:formatCode>_(* #,##0.0_);_(* \(#,##0.0\);_(* "-"??_);_(@_)</c:formatCode>
                <c:ptCount val="11"/>
                <c:pt idx="0">
                  <c:v>0.5</c:v>
                </c:pt>
                <c:pt idx="1">
                  <c:v>0.6</c:v>
                </c:pt>
                <c:pt idx="2">
                  <c:v>0.7</c:v>
                </c:pt>
                <c:pt idx="3">
                  <c:v>0.79999999999999993</c:v>
                </c:pt>
                <c:pt idx="4">
                  <c:v>0.89999999999999991</c:v>
                </c:pt>
                <c:pt idx="5">
                  <c:v>0.99999999999999989</c:v>
                </c:pt>
                <c:pt idx="6">
                  <c:v>1.0999999999999999</c:v>
                </c:pt>
                <c:pt idx="7">
                  <c:v>1.2</c:v>
                </c:pt>
                <c:pt idx="8">
                  <c:v>1.3</c:v>
                </c:pt>
                <c:pt idx="9">
                  <c:v>1.4000000000000001</c:v>
                </c:pt>
                <c:pt idx="10">
                  <c:v>1.5000000000000002</c:v>
                </c:pt>
              </c:numCache>
            </c:numRef>
          </c:xVal>
          <c:yVal>
            <c:numRef>
              <c:f>'Input summary'!$U$193:$U$203</c:f>
              <c:numCache>
                <c:formatCode>_(* #,##0_);_(* \(#,##0\);_(* "-"??_);_(@_)</c:formatCode>
                <c:ptCount val="11"/>
                <c:pt idx="0">
                  <c:v>4717.11083504833</c:v>
                </c:pt>
                <c:pt idx="1">
                  <c:v>3841.4451564905116</c:v>
                </c:pt>
                <c:pt idx="2">
                  <c:v>3215.969671806341</c:v>
                </c:pt>
                <c:pt idx="3">
                  <c:v>2746.8630582931919</c:v>
                </c:pt>
                <c:pt idx="4">
                  <c:v>2382.002358894078</c:v>
                </c:pt>
                <c:pt idx="5">
                  <c:v>2090.1137993747889</c:v>
                </c:pt>
                <c:pt idx="6">
                  <c:v>1851.2958870408252</c:v>
                </c:pt>
                <c:pt idx="7">
                  <c:v>1652.2809600958733</c:v>
                </c:pt>
                <c:pt idx="8">
                  <c:v>1483.8837142193447</c:v>
                </c:pt>
                <c:pt idx="9">
                  <c:v>1339.5432177537696</c:v>
                </c:pt>
                <c:pt idx="10">
                  <c:v>1214.448120816932</c:v>
                </c:pt>
              </c:numCache>
            </c:numRef>
          </c:yVal>
          <c:smooth val="0"/>
          <c:extLst>
            <c:ext xmlns:c16="http://schemas.microsoft.com/office/drawing/2014/chart" uri="{C3380CC4-5D6E-409C-BE32-E72D297353CC}">
              <c16:uniqueId val="{0000000C-EA4A-4718-A71E-8FAE5C2B5086}"/>
            </c:ext>
          </c:extLst>
        </c:ser>
        <c:ser>
          <c:idx val="2"/>
          <c:order val="2"/>
          <c:tx>
            <c:v>Elderly</c:v>
          </c:tx>
          <c:spPr>
            <a:ln w="25400" cap="rnd">
              <a:solidFill>
                <a:srgbClr val="002060"/>
              </a:solidFill>
              <a:round/>
            </a:ln>
            <a:effectLst/>
          </c:spPr>
          <c:marker>
            <c:symbol val="circle"/>
            <c:size val="5"/>
            <c:spPr>
              <a:solidFill>
                <a:srgbClr val="002060"/>
              </a:solidFill>
              <a:ln w="9525">
                <a:noFill/>
              </a:ln>
              <a:effectLst/>
            </c:spPr>
          </c:marker>
          <c:xVal>
            <c:numRef>
              <c:f>'Input summary'!$W$193:$W$203</c:f>
              <c:numCache>
                <c:formatCode>_(* #,##0.0_);_(* \(#,##0.0\);_(* "-"??_);_(@_)</c:formatCode>
                <c:ptCount val="11"/>
                <c:pt idx="0">
                  <c:v>0.5</c:v>
                </c:pt>
                <c:pt idx="1">
                  <c:v>0.6</c:v>
                </c:pt>
                <c:pt idx="2">
                  <c:v>0.7</c:v>
                </c:pt>
                <c:pt idx="3">
                  <c:v>0.79999999999999993</c:v>
                </c:pt>
                <c:pt idx="4">
                  <c:v>0.89999999999999991</c:v>
                </c:pt>
                <c:pt idx="5">
                  <c:v>0.99999999999999989</c:v>
                </c:pt>
                <c:pt idx="6">
                  <c:v>1.0999999999999999</c:v>
                </c:pt>
                <c:pt idx="7">
                  <c:v>1.2</c:v>
                </c:pt>
                <c:pt idx="8">
                  <c:v>1.3</c:v>
                </c:pt>
                <c:pt idx="9">
                  <c:v>1.4000000000000001</c:v>
                </c:pt>
                <c:pt idx="10">
                  <c:v>1.5000000000000002</c:v>
                </c:pt>
              </c:numCache>
            </c:numRef>
          </c:xVal>
          <c:yVal>
            <c:numRef>
              <c:f>'Input summary'!$X$193:$X$203</c:f>
              <c:numCache>
                <c:formatCode>_(* #,##0_);_(* \(#,##0\);_(* "-"??_);_(@_)</c:formatCode>
                <c:ptCount val="11"/>
                <c:pt idx="0">
                  <c:v>5596.2063092665594</c:v>
                </c:pt>
                <c:pt idx="1">
                  <c:v>4555.8753974923011</c:v>
                </c:pt>
                <c:pt idx="2">
                  <c:v>3812.7818890819758</c:v>
                </c:pt>
                <c:pt idx="3">
                  <c:v>3255.4617577742829</c:v>
                </c:pt>
                <c:pt idx="4">
                  <c:v>2821.9905445349968</c:v>
                </c:pt>
                <c:pt idx="5">
                  <c:v>2475.2135739435571</c:v>
                </c:pt>
                <c:pt idx="6">
                  <c:v>2191.4869616414544</c:v>
                </c:pt>
                <c:pt idx="7">
                  <c:v>1955.0481180563738</c:v>
                </c:pt>
                <c:pt idx="8">
                  <c:v>1754.984481176698</c:v>
                </c:pt>
                <c:pt idx="9">
                  <c:v>1583.5013638512667</c:v>
                </c:pt>
                <c:pt idx="10">
                  <c:v>1434.8826621692065</c:v>
                </c:pt>
              </c:numCache>
            </c:numRef>
          </c:yVal>
          <c:smooth val="0"/>
          <c:extLst>
            <c:ext xmlns:c16="http://schemas.microsoft.com/office/drawing/2014/chart" uri="{C3380CC4-5D6E-409C-BE32-E72D297353CC}">
              <c16:uniqueId val="{0000000D-EA4A-4718-A71E-8FAE5C2B5086}"/>
            </c:ext>
          </c:extLst>
        </c:ser>
        <c:ser>
          <c:idx val="3"/>
          <c:order val="3"/>
          <c:tx>
            <c:v>Underlying Medical Conditions</c:v>
          </c:tx>
          <c:spPr>
            <a:ln w="25400" cap="rnd">
              <a:solidFill>
                <a:srgbClr val="FF0000"/>
              </a:solidFill>
              <a:round/>
            </a:ln>
            <a:effectLst/>
          </c:spPr>
          <c:marker>
            <c:symbol val="circle"/>
            <c:size val="5"/>
            <c:spPr>
              <a:solidFill>
                <a:srgbClr val="FF0000"/>
              </a:solidFill>
              <a:ln w="9525">
                <a:noFill/>
              </a:ln>
              <a:effectLst/>
            </c:spPr>
          </c:marker>
          <c:xVal>
            <c:numRef>
              <c:f>'Input summary'!$Z$193:$Z$203</c:f>
              <c:numCache>
                <c:formatCode>_(* #,##0.0_);_(* \(#,##0.0\);_(* "-"??_);_(@_)</c:formatCode>
                <c:ptCount val="11"/>
                <c:pt idx="0">
                  <c:v>0.5</c:v>
                </c:pt>
                <c:pt idx="1">
                  <c:v>0.6</c:v>
                </c:pt>
                <c:pt idx="2">
                  <c:v>0.7</c:v>
                </c:pt>
                <c:pt idx="3">
                  <c:v>0.79999999999999993</c:v>
                </c:pt>
                <c:pt idx="4">
                  <c:v>0.89999999999999991</c:v>
                </c:pt>
                <c:pt idx="5">
                  <c:v>0.99999999999999989</c:v>
                </c:pt>
                <c:pt idx="6">
                  <c:v>1.0999999999999999</c:v>
                </c:pt>
                <c:pt idx="7">
                  <c:v>1.2</c:v>
                </c:pt>
                <c:pt idx="8">
                  <c:v>1.3</c:v>
                </c:pt>
                <c:pt idx="9">
                  <c:v>1.4000000000000001</c:v>
                </c:pt>
                <c:pt idx="10">
                  <c:v>1.5000000000000002</c:v>
                </c:pt>
              </c:numCache>
            </c:numRef>
          </c:xVal>
          <c:yVal>
            <c:numRef>
              <c:f>'Input summary'!$AA$193:$AA$203</c:f>
              <c:numCache>
                <c:formatCode>_(* #,##0_);_(* \(#,##0\);_(* "-"??_);_(@_)</c:formatCode>
                <c:ptCount val="11"/>
                <c:pt idx="0">
                  <c:v>6861.9309005780606</c:v>
                </c:pt>
                <c:pt idx="1">
                  <c:v>5622.5161343966374</c:v>
                </c:pt>
                <c:pt idx="2">
                  <c:v>4737.2198728383946</c:v>
                </c:pt>
                <c:pt idx="3">
                  <c:v>4073.2476766698355</c:v>
                </c:pt>
                <c:pt idx="4">
                  <c:v>3556.8248574275181</c:v>
                </c:pt>
                <c:pt idx="5">
                  <c:v>3143.6866020336988</c:v>
                </c:pt>
                <c:pt idx="6">
                  <c:v>2805.6643930751234</c:v>
                </c:pt>
                <c:pt idx="7">
                  <c:v>2523.9792189429527</c:v>
                </c:pt>
                <c:pt idx="8">
                  <c:v>2285.6302254465227</c:v>
                </c:pt>
                <c:pt idx="9">
                  <c:v>2081.3310881638672</c:v>
                </c:pt>
                <c:pt idx="10">
                  <c:v>1904.271835852227</c:v>
                </c:pt>
              </c:numCache>
            </c:numRef>
          </c:yVal>
          <c:smooth val="0"/>
          <c:extLst>
            <c:ext xmlns:c16="http://schemas.microsoft.com/office/drawing/2014/chart" uri="{C3380CC4-5D6E-409C-BE32-E72D297353CC}">
              <c16:uniqueId val="{0000000E-EA4A-4718-A71E-8FAE5C2B5086}"/>
            </c:ext>
          </c:extLst>
        </c:ser>
        <c:ser>
          <c:idx val="4"/>
          <c:order val="4"/>
          <c:tx>
            <c:v>Children</c:v>
          </c:tx>
          <c:spPr>
            <a:ln w="25400" cap="rnd">
              <a:solidFill>
                <a:srgbClr val="00B050"/>
              </a:solidFill>
              <a:round/>
            </a:ln>
            <a:effectLst/>
          </c:spPr>
          <c:marker>
            <c:symbol val="circle"/>
            <c:size val="5"/>
            <c:spPr>
              <a:solidFill>
                <a:srgbClr val="00B050"/>
              </a:solidFill>
              <a:ln w="9525">
                <a:noFill/>
              </a:ln>
              <a:effectLst/>
            </c:spPr>
          </c:marker>
          <c:xVal>
            <c:numRef>
              <c:f>'Input summary'!$AC$193:$AC$203</c:f>
              <c:numCache>
                <c:formatCode>_(* #,##0.0_);_(* \(#,##0.0\);_(* "-"??_);_(@_)</c:formatCode>
                <c:ptCount val="11"/>
                <c:pt idx="0">
                  <c:v>0.5</c:v>
                </c:pt>
                <c:pt idx="1">
                  <c:v>0.6</c:v>
                </c:pt>
                <c:pt idx="2">
                  <c:v>0.7</c:v>
                </c:pt>
                <c:pt idx="3">
                  <c:v>0.79999999999999993</c:v>
                </c:pt>
                <c:pt idx="4">
                  <c:v>0.89999999999999991</c:v>
                </c:pt>
                <c:pt idx="5">
                  <c:v>0.99999999999999989</c:v>
                </c:pt>
                <c:pt idx="6">
                  <c:v>1.0999999999999999</c:v>
                </c:pt>
                <c:pt idx="7">
                  <c:v>1.2</c:v>
                </c:pt>
                <c:pt idx="8">
                  <c:v>1.3</c:v>
                </c:pt>
                <c:pt idx="9">
                  <c:v>1.4000000000000001</c:v>
                </c:pt>
                <c:pt idx="10">
                  <c:v>1.5000000000000002</c:v>
                </c:pt>
              </c:numCache>
            </c:numRef>
          </c:xVal>
          <c:yVal>
            <c:numRef>
              <c:f>'Input summary'!$AD$193:$AD$203</c:f>
              <c:numCache>
                <c:formatCode>_(* #,##0_);_(* \(#,##0\);_(* "-"??_);_(@_)</c:formatCode>
                <c:ptCount val="11"/>
                <c:pt idx="0">
                  <c:v>9990.0740949035971</c:v>
                </c:pt>
                <c:pt idx="1">
                  <c:v>8217.6471071466713</c:v>
                </c:pt>
                <c:pt idx="2">
                  <c:v>6951.6278301774582</c:v>
                </c:pt>
                <c:pt idx="3">
                  <c:v>6002.1133724507226</c:v>
                </c:pt>
                <c:pt idx="4">
                  <c:v>5263.6021275520216</c:v>
                </c:pt>
                <c:pt idx="5">
                  <c:v>4672.7931316331797</c:v>
                </c:pt>
                <c:pt idx="6">
                  <c:v>4189.4039531540329</c:v>
                </c:pt>
                <c:pt idx="7">
                  <c:v>3786.5796377548245</c:v>
                </c:pt>
                <c:pt idx="8">
                  <c:v>3445.7282939554739</c:v>
                </c:pt>
                <c:pt idx="9">
                  <c:v>3153.5699992703203</c:v>
                </c:pt>
                <c:pt idx="10">
                  <c:v>2900.3661438765189</c:v>
                </c:pt>
              </c:numCache>
            </c:numRef>
          </c:yVal>
          <c:smooth val="0"/>
          <c:extLst>
            <c:ext xmlns:c16="http://schemas.microsoft.com/office/drawing/2014/chart" uri="{C3380CC4-5D6E-409C-BE32-E72D297353CC}">
              <c16:uniqueId val="{0000000F-EA4A-4718-A71E-8FAE5C2B5086}"/>
            </c:ext>
          </c:extLst>
        </c:ser>
        <c:dLbls>
          <c:showLegendKey val="0"/>
          <c:showVal val="0"/>
          <c:showCatName val="0"/>
          <c:showSerName val="0"/>
          <c:showPercent val="0"/>
          <c:showBubbleSize val="0"/>
        </c:dLbls>
        <c:axId val="199775728"/>
        <c:axId val="199761168"/>
      </c:scatterChart>
      <c:valAx>
        <c:axId val="199775728"/>
        <c:scaling>
          <c:orientation val="minMax"/>
          <c:max val="1.5"/>
          <c:min val="0.5"/>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Vaccine Efficacy Multiplier</a:t>
                </a:r>
              </a:p>
            </c:rich>
          </c:tx>
          <c:layout>
            <c:manualLayout>
              <c:xMode val="edge"/>
              <c:yMode val="edge"/>
              <c:x val="0.40778079955195473"/>
              <c:y val="0.9246464433232709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_);_(* \(#,##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99761168"/>
        <c:crosses val="autoZero"/>
        <c:crossBetween val="midCat"/>
        <c:majorUnit val="0.1"/>
      </c:valAx>
      <c:valAx>
        <c:axId val="199761168"/>
        <c:scaling>
          <c:orientation val="minMax"/>
          <c:max val="1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solidFill>
                    <a:latin typeface="+mn-lt"/>
                    <a:ea typeface="+mn-ea"/>
                    <a:cs typeface="+mn-cs"/>
                  </a:defRPr>
                </a:pPr>
                <a:r>
                  <a:rPr lang="en-US" sz="900" b="1">
                    <a:solidFill>
                      <a:schemeClr val="tx1"/>
                    </a:solidFill>
                  </a:rPr>
                  <a:t>Incremental</a:t>
                </a:r>
                <a:r>
                  <a:rPr lang="en-US" sz="900" b="1" baseline="0">
                    <a:solidFill>
                      <a:schemeClr val="tx1"/>
                    </a:solidFill>
                  </a:rPr>
                  <a:t> Cost-Effectiveness Ratio</a:t>
                </a:r>
                <a:endParaRPr lang="en-US" sz="900" b="1">
                  <a:solidFill>
                    <a:schemeClr val="tx1"/>
                  </a:solidFill>
                </a:endParaRP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99775728"/>
        <c:crosses val="autoZero"/>
        <c:crossBetween val="midCat"/>
        <c:majorUnit val="1000"/>
      </c:valAx>
      <c:spPr>
        <a:noFill/>
        <a:ln>
          <a:noFill/>
        </a:ln>
        <a:effectLst/>
      </c:spPr>
    </c:plotArea>
    <c:legend>
      <c:legendPos val="b"/>
      <c:layout>
        <c:manualLayout>
          <c:xMode val="edge"/>
          <c:yMode val="edge"/>
          <c:x val="0.53328435211421354"/>
          <c:y val="6.3895913815062655E-2"/>
          <c:w val="0.37948313422847463"/>
          <c:h val="0.20330694588109463"/>
        </c:manualLayout>
      </c:layout>
      <c:overlay val="0"/>
      <c:spPr>
        <a:solidFill>
          <a:schemeClr val="bg1"/>
        </a:solidFill>
        <a:ln>
          <a:solidFill>
            <a:schemeClr val="bg1">
              <a:lumMod val="75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425702601128348"/>
          <c:y val="5.7881757586057125E-2"/>
          <c:w val="0.73513624750394568"/>
          <c:h val="0.80545151280550376"/>
        </c:manualLayout>
      </c:layout>
      <c:scatterChart>
        <c:scatterStyle val="lineMarker"/>
        <c:varyColors val="0"/>
        <c:ser>
          <c:idx val="1"/>
          <c:order val="0"/>
          <c:tx>
            <c:strRef>
              <c:f>'PSA outputs'!$I$3</c:f>
              <c:strCache>
                <c:ptCount val="1"/>
                <c:pt idx="0">
                  <c:v>HCP perspective</c:v>
                </c:pt>
              </c:strCache>
            </c:strRef>
          </c:tx>
          <c:spPr>
            <a:ln w="28575">
              <a:noFill/>
            </a:ln>
          </c:spPr>
          <c:marker>
            <c:symbol val="square"/>
            <c:size val="3"/>
          </c:marker>
          <c:xVal>
            <c:numRef>
              <c:f>'PSA outputs'!$H$9:$H$1008</c:f>
              <c:numCache>
                <c:formatCode>_(* #,##0_);_(* \(#,##0\);_(* "-"??_);_(@_)</c:formatCode>
                <c:ptCount val="1000"/>
                <c:pt idx="0">
                  <c:v>1156.5728919061003</c:v>
                </c:pt>
                <c:pt idx="1">
                  <c:v>1298.9282901681872</c:v>
                </c:pt>
                <c:pt idx="2">
                  <c:v>1206.8141011694825</c:v>
                </c:pt>
                <c:pt idx="3">
                  <c:v>1076.6073389818921</c:v>
                </c:pt>
                <c:pt idx="4">
                  <c:v>1212.0307269469413</c:v>
                </c:pt>
                <c:pt idx="5">
                  <c:v>1226.3816994368171</c:v>
                </c:pt>
                <c:pt idx="6">
                  <c:v>1173.3110936793382</c:v>
                </c:pt>
                <c:pt idx="7">
                  <c:v>1084.3534772163111</c:v>
                </c:pt>
                <c:pt idx="8">
                  <c:v>1191.0507321214245</c:v>
                </c:pt>
                <c:pt idx="9">
                  <c:v>1125.4637932506084</c:v>
                </c:pt>
                <c:pt idx="10">
                  <c:v>1184.7510231812703</c:v>
                </c:pt>
                <c:pt idx="11">
                  <c:v>1057.0878524597938</c:v>
                </c:pt>
                <c:pt idx="12">
                  <c:v>1003.08852272488</c:v>
                </c:pt>
                <c:pt idx="13">
                  <c:v>1308.8321850564826</c:v>
                </c:pt>
                <c:pt idx="14">
                  <c:v>1072.4175304042656</c:v>
                </c:pt>
                <c:pt idx="15">
                  <c:v>1363.90946464218</c:v>
                </c:pt>
                <c:pt idx="16">
                  <c:v>1124.1272478664832</c:v>
                </c:pt>
                <c:pt idx="17">
                  <c:v>1104.7183613861635</c:v>
                </c:pt>
                <c:pt idx="18">
                  <c:v>1379.0588361885748</c:v>
                </c:pt>
                <c:pt idx="19">
                  <c:v>1059.1867989903549</c:v>
                </c:pt>
                <c:pt idx="20">
                  <c:v>1155.3708435586523</c:v>
                </c:pt>
                <c:pt idx="21">
                  <c:v>1152.797623702405</c:v>
                </c:pt>
                <c:pt idx="22">
                  <c:v>1089.8550371464662</c:v>
                </c:pt>
                <c:pt idx="23">
                  <c:v>1214.1264901344548</c:v>
                </c:pt>
                <c:pt idx="24">
                  <c:v>1310.8414801018953</c:v>
                </c:pt>
                <c:pt idx="25">
                  <c:v>1062.6970388316186</c:v>
                </c:pt>
                <c:pt idx="26">
                  <c:v>1149.7023140654273</c:v>
                </c:pt>
                <c:pt idx="27">
                  <c:v>1134.8634373898676</c:v>
                </c:pt>
                <c:pt idx="28">
                  <c:v>1000.857236993259</c:v>
                </c:pt>
                <c:pt idx="29">
                  <c:v>1105.4740916863884</c:v>
                </c:pt>
                <c:pt idx="30">
                  <c:v>1137.2825361662181</c:v>
                </c:pt>
                <c:pt idx="31">
                  <c:v>1076.2399670847008</c:v>
                </c:pt>
                <c:pt idx="32">
                  <c:v>966.3870011621766</c:v>
                </c:pt>
                <c:pt idx="33">
                  <c:v>1208.2244742172479</c:v>
                </c:pt>
                <c:pt idx="34">
                  <c:v>1284.3931501732586</c:v>
                </c:pt>
                <c:pt idx="35">
                  <c:v>1179.8822726443686</c:v>
                </c:pt>
                <c:pt idx="36">
                  <c:v>1111.782406299877</c:v>
                </c:pt>
                <c:pt idx="37">
                  <c:v>1379.9163775265988</c:v>
                </c:pt>
                <c:pt idx="38">
                  <c:v>1046.6962684035971</c:v>
                </c:pt>
                <c:pt idx="39">
                  <c:v>1178.8360651277399</c:v>
                </c:pt>
                <c:pt idx="40">
                  <c:v>1053.0448847890657</c:v>
                </c:pt>
                <c:pt idx="41">
                  <c:v>950.82328174523718</c:v>
                </c:pt>
                <c:pt idx="42">
                  <c:v>1291.1904857251357</c:v>
                </c:pt>
                <c:pt idx="43">
                  <c:v>1364.4667503945966</c:v>
                </c:pt>
                <c:pt idx="44">
                  <c:v>1239.8710781485206</c:v>
                </c:pt>
                <c:pt idx="45">
                  <c:v>1225.6180008160518</c:v>
                </c:pt>
                <c:pt idx="46">
                  <c:v>1153.6836931241633</c:v>
                </c:pt>
                <c:pt idx="47">
                  <c:v>1033.1328296035208</c:v>
                </c:pt>
                <c:pt idx="48">
                  <c:v>1179.7006454859511</c:v>
                </c:pt>
                <c:pt idx="49">
                  <c:v>1393.0800153721793</c:v>
                </c:pt>
                <c:pt idx="50">
                  <c:v>1207.3887741839862</c:v>
                </c:pt>
                <c:pt idx="51">
                  <c:v>1059.2456124160672</c:v>
                </c:pt>
                <c:pt idx="52">
                  <c:v>1136.1993852357482</c:v>
                </c:pt>
                <c:pt idx="53">
                  <c:v>1387.940623845614</c:v>
                </c:pt>
                <c:pt idx="54">
                  <c:v>1119.2251322994925</c:v>
                </c:pt>
                <c:pt idx="55">
                  <c:v>1110.0961363973984</c:v>
                </c:pt>
                <c:pt idx="56">
                  <c:v>995.27465838802163</c:v>
                </c:pt>
                <c:pt idx="57">
                  <c:v>1086.1434445921914</c:v>
                </c:pt>
                <c:pt idx="58">
                  <c:v>1401.1362315809747</c:v>
                </c:pt>
                <c:pt idx="59">
                  <c:v>1311.7451405879256</c:v>
                </c:pt>
                <c:pt idx="60">
                  <c:v>1100.4886046916363</c:v>
                </c:pt>
                <c:pt idx="61">
                  <c:v>1230.0119452833969</c:v>
                </c:pt>
                <c:pt idx="62">
                  <c:v>947.15322003660549</c:v>
                </c:pt>
                <c:pt idx="63">
                  <c:v>1442.7633257617053</c:v>
                </c:pt>
                <c:pt idx="64">
                  <c:v>1353.3106116841591</c:v>
                </c:pt>
                <c:pt idx="65">
                  <c:v>1138.2031079375374</c:v>
                </c:pt>
                <c:pt idx="66">
                  <c:v>1132.9869049384506</c:v>
                </c:pt>
                <c:pt idx="67">
                  <c:v>1265.3446489809867</c:v>
                </c:pt>
                <c:pt idx="68">
                  <c:v>1181.2013965139631</c:v>
                </c:pt>
                <c:pt idx="69">
                  <c:v>1131.2913857045496</c:v>
                </c:pt>
                <c:pt idx="70">
                  <c:v>1277.0127185123929</c:v>
                </c:pt>
                <c:pt idx="71">
                  <c:v>1212.0911128258958</c:v>
                </c:pt>
                <c:pt idx="72">
                  <c:v>1009.8557147082538</c:v>
                </c:pt>
                <c:pt idx="73">
                  <c:v>1032.3593923773005</c:v>
                </c:pt>
                <c:pt idx="74">
                  <c:v>1113.7392212108243</c:v>
                </c:pt>
                <c:pt idx="75">
                  <c:v>1292.4962521006964</c:v>
                </c:pt>
                <c:pt idx="76">
                  <c:v>916.25761026809778</c:v>
                </c:pt>
                <c:pt idx="77">
                  <c:v>1222.4150016255953</c:v>
                </c:pt>
                <c:pt idx="78">
                  <c:v>1119.9464038315782</c:v>
                </c:pt>
                <c:pt idx="79">
                  <c:v>1225.0987353631572</c:v>
                </c:pt>
                <c:pt idx="80">
                  <c:v>1118.3183270530353</c:v>
                </c:pt>
                <c:pt idx="81">
                  <c:v>1234.2609532785355</c:v>
                </c:pt>
                <c:pt idx="82">
                  <c:v>1109.4269073429823</c:v>
                </c:pt>
                <c:pt idx="83">
                  <c:v>1149.414977446897</c:v>
                </c:pt>
                <c:pt idx="84">
                  <c:v>1512.0836002719661</c:v>
                </c:pt>
                <c:pt idx="85">
                  <c:v>1139.9905629323403</c:v>
                </c:pt>
                <c:pt idx="86">
                  <c:v>1270.6427403320413</c:v>
                </c:pt>
                <c:pt idx="87">
                  <c:v>1298.0950328345061</c:v>
                </c:pt>
                <c:pt idx="88">
                  <c:v>1256.5044036122854</c:v>
                </c:pt>
                <c:pt idx="89">
                  <c:v>1031.9373495702894</c:v>
                </c:pt>
                <c:pt idx="90">
                  <c:v>1259.0927519776378</c:v>
                </c:pt>
                <c:pt idx="91">
                  <c:v>1185.3675557465249</c:v>
                </c:pt>
                <c:pt idx="92">
                  <c:v>1095.1405443216936</c:v>
                </c:pt>
                <c:pt idx="93">
                  <c:v>1259.9911728705847</c:v>
                </c:pt>
                <c:pt idx="94">
                  <c:v>1178.6556075717162</c:v>
                </c:pt>
                <c:pt idx="95">
                  <c:v>1129.0996934905561</c:v>
                </c:pt>
                <c:pt idx="96">
                  <c:v>1130.1121293618853</c:v>
                </c:pt>
                <c:pt idx="97">
                  <c:v>1090.7525231214604</c:v>
                </c:pt>
                <c:pt idx="98">
                  <c:v>1319.8416036545532</c:v>
                </c:pt>
                <c:pt idx="99">
                  <c:v>1183.4707810251566</c:v>
                </c:pt>
                <c:pt idx="100">
                  <c:v>1099.2073850300585</c:v>
                </c:pt>
                <c:pt idx="101">
                  <c:v>1101.0267114292947</c:v>
                </c:pt>
                <c:pt idx="102">
                  <c:v>1016.8477558583836</c:v>
                </c:pt>
                <c:pt idx="103">
                  <c:v>1071.6763449000864</c:v>
                </c:pt>
                <c:pt idx="104">
                  <c:v>1168.7843715160489</c:v>
                </c:pt>
                <c:pt idx="105">
                  <c:v>1225.4056154416539</c:v>
                </c:pt>
                <c:pt idx="106">
                  <c:v>1353.5573138702675</c:v>
                </c:pt>
                <c:pt idx="107">
                  <c:v>1206.8604388718595</c:v>
                </c:pt>
                <c:pt idx="108">
                  <c:v>1243.4164268584209</c:v>
                </c:pt>
                <c:pt idx="109">
                  <c:v>1063.2135059223801</c:v>
                </c:pt>
                <c:pt idx="110">
                  <c:v>1268.2964731886386</c:v>
                </c:pt>
                <c:pt idx="111">
                  <c:v>1225.2405676948329</c:v>
                </c:pt>
                <c:pt idx="112">
                  <c:v>1213.541673677646</c:v>
                </c:pt>
                <c:pt idx="113">
                  <c:v>1367.1986953217129</c:v>
                </c:pt>
                <c:pt idx="114">
                  <c:v>1174.3968008131924</c:v>
                </c:pt>
                <c:pt idx="115">
                  <c:v>1421.5051118096671</c:v>
                </c:pt>
                <c:pt idx="116">
                  <c:v>1101.118921516987</c:v>
                </c:pt>
                <c:pt idx="117">
                  <c:v>963.25483562776208</c:v>
                </c:pt>
                <c:pt idx="118">
                  <c:v>1147.9675838190451</c:v>
                </c:pt>
                <c:pt idx="119">
                  <c:v>1055.7937767954645</c:v>
                </c:pt>
                <c:pt idx="120">
                  <c:v>1034.8182049621464</c:v>
                </c:pt>
                <c:pt idx="121">
                  <c:v>1323.5829318701435</c:v>
                </c:pt>
                <c:pt idx="122">
                  <c:v>1275.5938721927523</c:v>
                </c:pt>
                <c:pt idx="123">
                  <c:v>1151.4999690895856</c:v>
                </c:pt>
                <c:pt idx="124">
                  <c:v>1209.62728563173</c:v>
                </c:pt>
                <c:pt idx="125">
                  <c:v>1318.2859988119599</c:v>
                </c:pt>
                <c:pt idx="126">
                  <c:v>1275.519241231952</c:v>
                </c:pt>
                <c:pt idx="127">
                  <c:v>970.0365067025341</c:v>
                </c:pt>
                <c:pt idx="128">
                  <c:v>1180.6377332135453</c:v>
                </c:pt>
                <c:pt idx="129">
                  <c:v>1159.5930182790325</c:v>
                </c:pt>
                <c:pt idx="130">
                  <c:v>1219.9655322894687</c:v>
                </c:pt>
                <c:pt idx="131">
                  <c:v>1331.4847144659725</c:v>
                </c:pt>
                <c:pt idx="132">
                  <c:v>1379.2610443010926</c:v>
                </c:pt>
                <c:pt idx="133">
                  <c:v>1227.898406323875</c:v>
                </c:pt>
                <c:pt idx="134">
                  <c:v>1146.463313315151</c:v>
                </c:pt>
                <c:pt idx="135">
                  <c:v>1216.2170498211271</c:v>
                </c:pt>
                <c:pt idx="136">
                  <c:v>1131.8935573747367</c:v>
                </c:pt>
                <c:pt idx="137">
                  <c:v>1169.2837346905872</c:v>
                </c:pt>
                <c:pt idx="138">
                  <c:v>1344.8271460318065</c:v>
                </c:pt>
                <c:pt idx="139">
                  <c:v>944.28621139981988</c:v>
                </c:pt>
                <c:pt idx="140">
                  <c:v>953.74041976671288</c:v>
                </c:pt>
                <c:pt idx="141">
                  <c:v>1318.3531659892324</c:v>
                </c:pt>
                <c:pt idx="142">
                  <c:v>1242.2285529270594</c:v>
                </c:pt>
                <c:pt idx="143">
                  <c:v>1055.7323305398459</c:v>
                </c:pt>
                <c:pt idx="144">
                  <c:v>1334.7687233663601</c:v>
                </c:pt>
                <c:pt idx="145">
                  <c:v>1112.0546004382704</c:v>
                </c:pt>
                <c:pt idx="146">
                  <c:v>1198.7096798636485</c:v>
                </c:pt>
                <c:pt idx="147">
                  <c:v>1349.1996890139271</c:v>
                </c:pt>
                <c:pt idx="148">
                  <c:v>1239.6212489435784</c:v>
                </c:pt>
                <c:pt idx="149">
                  <c:v>1182.3439959908719</c:v>
                </c:pt>
                <c:pt idx="150">
                  <c:v>1281.4730885892641</c:v>
                </c:pt>
                <c:pt idx="151">
                  <c:v>1208.6004738286138</c:v>
                </c:pt>
                <c:pt idx="152">
                  <c:v>1101.8587431665146</c:v>
                </c:pt>
                <c:pt idx="153">
                  <c:v>1010.3400457780735</c:v>
                </c:pt>
                <c:pt idx="154">
                  <c:v>1219.362094602322</c:v>
                </c:pt>
                <c:pt idx="155">
                  <c:v>1125.7115955460686</c:v>
                </c:pt>
                <c:pt idx="156">
                  <c:v>1074.511266720554</c:v>
                </c:pt>
                <c:pt idx="157">
                  <c:v>1116.4784193405576</c:v>
                </c:pt>
                <c:pt idx="158">
                  <c:v>1193.5495505343351</c:v>
                </c:pt>
                <c:pt idx="159">
                  <c:v>1373.8109778232101</c:v>
                </c:pt>
                <c:pt idx="160">
                  <c:v>1246.0366697386125</c:v>
                </c:pt>
                <c:pt idx="161">
                  <c:v>1074.9411071765717</c:v>
                </c:pt>
                <c:pt idx="162">
                  <c:v>1068.5606479107882</c:v>
                </c:pt>
                <c:pt idx="163">
                  <c:v>1087.1589403852558</c:v>
                </c:pt>
                <c:pt idx="164">
                  <c:v>1035.3958562555272</c:v>
                </c:pt>
                <c:pt idx="165">
                  <c:v>1263.8968020661923</c:v>
                </c:pt>
                <c:pt idx="166">
                  <c:v>1101.9875802498209</c:v>
                </c:pt>
                <c:pt idx="167">
                  <c:v>1272.2113258445243</c:v>
                </c:pt>
                <c:pt idx="168">
                  <c:v>1169.1722359214837</c:v>
                </c:pt>
                <c:pt idx="169">
                  <c:v>1159.0460983267549</c:v>
                </c:pt>
                <c:pt idx="170">
                  <c:v>1121.0724091786979</c:v>
                </c:pt>
                <c:pt idx="171">
                  <c:v>1105.3577985728771</c:v>
                </c:pt>
                <c:pt idx="172">
                  <c:v>1090.8877684145191</c:v>
                </c:pt>
                <c:pt idx="173">
                  <c:v>1179.57612779185</c:v>
                </c:pt>
                <c:pt idx="174">
                  <c:v>1072.3774275606338</c:v>
                </c:pt>
                <c:pt idx="175">
                  <c:v>963.63110497476009</c:v>
                </c:pt>
                <c:pt idx="176">
                  <c:v>1154.7913632344353</c:v>
                </c:pt>
                <c:pt idx="177">
                  <c:v>1059.3108303777044</c:v>
                </c:pt>
                <c:pt idx="178">
                  <c:v>1337.5466882431137</c:v>
                </c:pt>
                <c:pt idx="179">
                  <c:v>1385.8620209760411</c:v>
                </c:pt>
                <c:pt idx="180">
                  <c:v>1316.6791261549442</c:v>
                </c:pt>
                <c:pt idx="181">
                  <c:v>1461.278960767042</c:v>
                </c:pt>
                <c:pt idx="182">
                  <c:v>1064.0682342352593</c:v>
                </c:pt>
                <c:pt idx="183">
                  <c:v>1215.8859379380301</c:v>
                </c:pt>
                <c:pt idx="184">
                  <c:v>1279.7715108107514</c:v>
                </c:pt>
                <c:pt idx="185">
                  <c:v>1246.3323042378906</c:v>
                </c:pt>
                <c:pt idx="186">
                  <c:v>1364.3043714205196</c:v>
                </c:pt>
                <c:pt idx="187">
                  <c:v>1147.1491760377685</c:v>
                </c:pt>
                <c:pt idx="188">
                  <c:v>1071.7386151480314</c:v>
                </c:pt>
                <c:pt idx="189">
                  <c:v>1470.0562737553555</c:v>
                </c:pt>
                <c:pt idx="190">
                  <c:v>1249.2997087974436</c:v>
                </c:pt>
                <c:pt idx="191">
                  <c:v>1168.0040740289478</c:v>
                </c:pt>
                <c:pt idx="192">
                  <c:v>1369.9298998078884</c:v>
                </c:pt>
                <c:pt idx="193">
                  <c:v>1102.0662745712689</c:v>
                </c:pt>
                <c:pt idx="194">
                  <c:v>1252.8953788707004</c:v>
                </c:pt>
                <c:pt idx="195">
                  <c:v>1195.3454007985711</c:v>
                </c:pt>
                <c:pt idx="196">
                  <c:v>1112.8395547218024</c:v>
                </c:pt>
                <c:pt idx="197">
                  <c:v>1110.6605509991496</c:v>
                </c:pt>
                <c:pt idx="198">
                  <c:v>1229.4176560864144</c:v>
                </c:pt>
                <c:pt idx="199">
                  <c:v>1139.7592766535963</c:v>
                </c:pt>
                <c:pt idx="200">
                  <c:v>1072.2782318984609</c:v>
                </c:pt>
                <c:pt idx="201">
                  <c:v>1462.4276566890694</c:v>
                </c:pt>
                <c:pt idx="202">
                  <c:v>1198.089223443938</c:v>
                </c:pt>
                <c:pt idx="203">
                  <c:v>1343.3074618047685</c:v>
                </c:pt>
                <c:pt idx="204">
                  <c:v>1348.1216451079454</c:v>
                </c:pt>
                <c:pt idx="205">
                  <c:v>1192.5659391896334</c:v>
                </c:pt>
                <c:pt idx="206">
                  <c:v>1202.4451427527601</c:v>
                </c:pt>
                <c:pt idx="207">
                  <c:v>1083.8438170657537</c:v>
                </c:pt>
                <c:pt idx="208">
                  <c:v>1300.6652221375189</c:v>
                </c:pt>
                <c:pt idx="209">
                  <c:v>1191.5721298040444</c:v>
                </c:pt>
                <c:pt idx="210">
                  <c:v>1135.7149412598519</c:v>
                </c:pt>
                <c:pt idx="211">
                  <c:v>1215.4449554240782</c:v>
                </c:pt>
                <c:pt idx="212">
                  <c:v>1124.203584411116</c:v>
                </c:pt>
                <c:pt idx="213">
                  <c:v>1183.5573692788457</c:v>
                </c:pt>
                <c:pt idx="214">
                  <c:v>1243.2315625260817</c:v>
                </c:pt>
                <c:pt idx="215">
                  <c:v>1387.8467682361661</c:v>
                </c:pt>
                <c:pt idx="216">
                  <c:v>1231.9502879790161</c:v>
                </c:pt>
                <c:pt idx="217">
                  <c:v>1167.9437145720149</c:v>
                </c:pt>
                <c:pt idx="218">
                  <c:v>1267.8467772207005</c:v>
                </c:pt>
                <c:pt idx="219">
                  <c:v>1164.7379877780841</c:v>
                </c:pt>
                <c:pt idx="220">
                  <c:v>1335.6576611128621</c:v>
                </c:pt>
                <c:pt idx="221">
                  <c:v>1356.6211452556527</c:v>
                </c:pt>
                <c:pt idx="222">
                  <c:v>1203.6285958180597</c:v>
                </c:pt>
                <c:pt idx="223">
                  <c:v>1267.9606117490403</c:v>
                </c:pt>
                <c:pt idx="224">
                  <c:v>1028.6851208774606</c:v>
                </c:pt>
                <c:pt idx="225">
                  <c:v>1423.930196551315</c:v>
                </c:pt>
                <c:pt idx="226">
                  <c:v>1236.7474178780831</c:v>
                </c:pt>
                <c:pt idx="227">
                  <c:v>1095.1107228666951</c:v>
                </c:pt>
                <c:pt idx="228">
                  <c:v>1266.6284422752287</c:v>
                </c:pt>
                <c:pt idx="229">
                  <c:v>1036.4409066254157</c:v>
                </c:pt>
                <c:pt idx="230">
                  <c:v>1194.2206278364101</c:v>
                </c:pt>
                <c:pt idx="231">
                  <c:v>1074.7709800702069</c:v>
                </c:pt>
                <c:pt idx="232">
                  <c:v>1056.9806051656196</c:v>
                </c:pt>
                <c:pt idx="233">
                  <c:v>1198.2684543817086</c:v>
                </c:pt>
                <c:pt idx="234">
                  <c:v>1256.9517071425871</c:v>
                </c:pt>
                <c:pt idx="235">
                  <c:v>1170.3594480568863</c:v>
                </c:pt>
                <c:pt idx="236">
                  <c:v>1401.6129369755654</c:v>
                </c:pt>
                <c:pt idx="237">
                  <c:v>998.49251875370101</c:v>
                </c:pt>
                <c:pt idx="238">
                  <c:v>1135.0688282607589</c:v>
                </c:pt>
                <c:pt idx="239">
                  <c:v>1284.2046211223205</c:v>
                </c:pt>
                <c:pt idx="240">
                  <c:v>1090.5602156964378</c:v>
                </c:pt>
                <c:pt idx="241">
                  <c:v>1166.8483049916249</c:v>
                </c:pt>
                <c:pt idx="242">
                  <c:v>1319.8650547106226</c:v>
                </c:pt>
                <c:pt idx="243">
                  <c:v>1058.2425971357152</c:v>
                </c:pt>
                <c:pt idx="244">
                  <c:v>1395.3616386437352</c:v>
                </c:pt>
                <c:pt idx="245">
                  <c:v>1257.4429318413604</c:v>
                </c:pt>
                <c:pt idx="246">
                  <c:v>1301.753977982291</c:v>
                </c:pt>
                <c:pt idx="247">
                  <c:v>1414.2060821930936</c:v>
                </c:pt>
                <c:pt idx="248">
                  <c:v>1206.8003350788931</c:v>
                </c:pt>
                <c:pt idx="249">
                  <c:v>1212.581587882014</c:v>
                </c:pt>
                <c:pt idx="250">
                  <c:v>1486.4202843968524</c:v>
                </c:pt>
                <c:pt idx="251">
                  <c:v>1085.2615633560126</c:v>
                </c:pt>
                <c:pt idx="252">
                  <c:v>1066.6586656858562</c:v>
                </c:pt>
                <c:pt idx="253">
                  <c:v>1091.5464267939024</c:v>
                </c:pt>
                <c:pt idx="254">
                  <c:v>1101.0473102598771</c:v>
                </c:pt>
                <c:pt idx="255">
                  <c:v>1234.1727950150307</c:v>
                </c:pt>
                <c:pt idx="256">
                  <c:v>1230.2003397896697</c:v>
                </c:pt>
                <c:pt idx="257">
                  <c:v>1238.9596783480738</c:v>
                </c:pt>
                <c:pt idx="258">
                  <c:v>1111.1952579821154</c:v>
                </c:pt>
                <c:pt idx="259">
                  <c:v>945.3060940233845</c:v>
                </c:pt>
                <c:pt idx="260">
                  <c:v>1145.4821787796391</c:v>
                </c:pt>
                <c:pt idx="261">
                  <c:v>1107.2740259649363</c:v>
                </c:pt>
                <c:pt idx="262">
                  <c:v>1066.5718577888983</c:v>
                </c:pt>
                <c:pt idx="263">
                  <c:v>1311.9442602840863</c:v>
                </c:pt>
                <c:pt idx="264">
                  <c:v>1086.4000518452158</c:v>
                </c:pt>
                <c:pt idx="265">
                  <c:v>1129.3675650321165</c:v>
                </c:pt>
                <c:pt idx="266">
                  <c:v>949.46147606949671</c:v>
                </c:pt>
                <c:pt idx="267">
                  <c:v>1295.8524517949336</c:v>
                </c:pt>
                <c:pt idx="268">
                  <c:v>1235.9678047850321</c:v>
                </c:pt>
                <c:pt idx="269">
                  <c:v>1091.5200796775825</c:v>
                </c:pt>
                <c:pt idx="270">
                  <c:v>1297.2664519679529</c:v>
                </c:pt>
                <c:pt idx="271">
                  <c:v>1184.847279164067</c:v>
                </c:pt>
                <c:pt idx="272">
                  <c:v>1071.2332033121274</c:v>
                </c:pt>
                <c:pt idx="273">
                  <c:v>954.13523701980739</c:v>
                </c:pt>
                <c:pt idx="274">
                  <c:v>1469.3230402308182</c:v>
                </c:pt>
                <c:pt idx="275">
                  <c:v>1134.7417129041496</c:v>
                </c:pt>
                <c:pt idx="276">
                  <c:v>1030.0059749484208</c:v>
                </c:pt>
                <c:pt idx="277">
                  <c:v>1552.7045006186017</c:v>
                </c:pt>
                <c:pt idx="278">
                  <c:v>1107.1232171143129</c:v>
                </c:pt>
                <c:pt idx="279">
                  <c:v>1499.6154246090882</c:v>
                </c:pt>
                <c:pt idx="280">
                  <c:v>1174.2516702553403</c:v>
                </c:pt>
                <c:pt idx="281">
                  <c:v>976.61223254507786</c:v>
                </c:pt>
                <c:pt idx="282">
                  <c:v>1291.9525106725778</c:v>
                </c:pt>
                <c:pt idx="283">
                  <c:v>1118.033725776666</c:v>
                </c:pt>
                <c:pt idx="284">
                  <c:v>1073.7481466561439</c:v>
                </c:pt>
                <c:pt idx="285">
                  <c:v>1292.5184750647677</c:v>
                </c:pt>
                <c:pt idx="286">
                  <c:v>1062.4291647517093</c:v>
                </c:pt>
                <c:pt idx="287">
                  <c:v>1091.0962881652231</c:v>
                </c:pt>
                <c:pt idx="288">
                  <c:v>1117.408146229347</c:v>
                </c:pt>
                <c:pt idx="289">
                  <c:v>1145.4582078494277</c:v>
                </c:pt>
                <c:pt idx="290">
                  <c:v>1147.6712550031225</c:v>
                </c:pt>
                <c:pt idx="291">
                  <c:v>1343.6584770808549</c:v>
                </c:pt>
                <c:pt idx="292">
                  <c:v>1056.9653420988325</c:v>
                </c:pt>
                <c:pt idx="293">
                  <c:v>1178.8983264421404</c:v>
                </c:pt>
                <c:pt idx="294">
                  <c:v>1176.3119193504899</c:v>
                </c:pt>
                <c:pt idx="295">
                  <c:v>1055.7620729648916</c:v>
                </c:pt>
                <c:pt idx="296">
                  <c:v>974.52456337743934</c:v>
                </c:pt>
                <c:pt idx="297">
                  <c:v>936.96991114529374</c:v>
                </c:pt>
                <c:pt idx="298">
                  <c:v>1173.817489372399</c:v>
                </c:pt>
                <c:pt idx="299">
                  <c:v>977.62800915254775</c:v>
                </c:pt>
                <c:pt idx="300">
                  <c:v>1238.675561892509</c:v>
                </c:pt>
                <c:pt idx="301">
                  <c:v>1212.9524981661525</c:v>
                </c:pt>
                <c:pt idx="302">
                  <c:v>1222.861702940223</c:v>
                </c:pt>
                <c:pt idx="303">
                  <c:v>1003.4961656667219</c:v>
                </c:pt>
                <c:pt idx="304">
                  <c:v>1238.8005609073953</c:v>
                </c:pt>
                <c:pt idx="305">
                  <c:v>1136.979078139324</c:v>
                </c:pt>
                <c:pt idx="306">
                  <c:v>1310.9624387531512</c:v>
                </c:pt>
                <c:pt idx="307">
                  <c:v>1220.8369865664936</c:v>
                </c:pt>
                <c:pt idx="308">
                  <c:v>1493.6486575870294</c:v>
                </c:pt>
                <c:pt idx="309">
                  <c:v>1393.35696504511</c:v>
                </c:pt>
                <c:pt idx="310">
                  <c:v>1262.3368484560851</c:v>
                </c:pt>
                <c:pt idx="311">
                  <c:v>1186.8034119347358</c:v>
                </c:pt>
                <c:pt idx="312">
                  <c:v>1081.0983895775207</c:v>
                </c:pt>
                <c:pt idx="313">
                  <c:v>1074.7804434531863</c:v>
                </c:pt>
                <c:pt idx="314">
                  <c:v>1466.7705862425719</c:v>
                </c:pt>
                <c:pt idx="315">
                  <c:v>1146.5787202861611</c:v>
                </c:pt>
                <c:pt idx="316">
                  <c:v>1184.1784746013145</c:v>
                </c:pt>
                <c:pt idx="317">
                  <c:v>1056.7352378185897</c:v>
                </c:pt>
                <c:pt idx="318">
                  <c:v>1112.9153175489628</c:v>
                </c:pt>
                <c:pt idx="319">
                  <c:v>1079.1194165225243</c:v>
                </c:pt>
                <c:pt idx="320">
                  <c:v>1247.3680331315991</c:v>
                </c:pt>
                <c:pt idx="321">
                  <c:v>1219.1024775462211</c:v>
                </c:pt>
                <c:pt idx="322">
                  <c:v>1193.1049188922043</c:v>
                </c:pt>
                <c:pt idx="323">
                  <c:v>1119.9895541587175</c:v>
                </c:pt>
                <c:pt idx="324">
                  <c:v>1314.6061045495735</c:v>
                </c:pt>
                <c:pt idx="325">
                  <c:v>1021.9991823072196</c:v>
                </c:pt>
                <c:pt idx="326">
                  <c:v>1165.1379866408824</c:v>
                </c:pt>
                <c:pt idx="327">
                  <c:v>1209.3352977057075</c:v>
                </c:pt>
                <c:pt idx="328">
                  <c:v>1122.1440197239208</c:v>
                </c:pt>
                <c:pt idx="329">
                  <c:v>1229.7660886720914</c:v>
                </c:pt>
                <c:pt idx="330">
                  <c:v>1180.175705605674</c:v>
                </c:pt>
                <c:pt idx="331">
                  <c:v>1237.392027886679</c:v>
                </c:pt>
                <c:pt idx="332">
                  <c:v>940.78658628732956</c:v>
                </c:pt>
                <c:pt idx="333">
                  <c:v>1309.6808082779316</c:v>
                </c:pt>
                <c:pt idx="334">
                  <c:v>1117.8275130258917</c:v>
                </c:pt>
                <c:pt idx="335">
                  <c:v>1103.538607586037</c:v>
                </c:pt>
                <c:pt idx="336">
                  <c:v>1106.0856006632093</c:v>
                </c:pt>
                <c:pt idx="337">
                  <c:v>1270.9767930107409</c:v>
                </c:pt>
                <c:pt idx="338">
                  <c:v>1203.7513812925899</c:v>
                </c:pt>
                <c:pt idx="339">
                  <c:v>1014.7470186061328</c:v>
                </c:pt>
                <c:pt idx="340">
                  <c:v>938.52508277229208</c:v>
                </c:pt>
                <c:pt idx="341">
                  <c:v>1328.8671338472341</c:v>
                </c:pt>
                <c:pt idx="342">
                  <c:v>1275.592285215258</c:v>
                </c:pt>
                <c:pt idx="343">
                  <c:v>1301.1632108413978</c:v>
                </c:pt>
                <c:pt idx="344">
                  <c:v>1091.8460489518257</c:v>
                </c:pt>
                <c:pt idx="345">
                  <c:v>1150.0501946494696</c:v>
                </c:pt>
                <c:pt idx="346">
                  <c:v>1270.6149830980285</c:v>
                </c:pt>
                <c:pt idx="347">
                  <c:v>1102.6942245728278</c:v>
                </c:pt>
                <c:pt idx="348">
                  <c:v>1117.9132922552672</c:v>
                </c:pt>
                <c:pt idx="349">
                  <c:v>1348.0766370892597</c:v>
                </c:pt>
                <c:pt idx="350">
                  <c:v>1042.8711558362047</c:v>
                </c:pt>
                <c:pt idx="351">
                  <c:v>1185.9004076320052</c:v>
                </c:pt>
                <c:pt idx="352">
                  <c:v>1358.9882083307966</c:v>
                </c:pt>
                <c:pt idx="353">
                  <c:v>1094.8332758455363</c:v>
                </c:pt>
                <c:pt idx="354">
                  <c:v>1039.1273067851216</c:v>
                </c:pt>
                <c:pt idx="355">
                  <c:v>1293.8619243193898</c:v>
                </c:pt>
                <c:pt idx="356">
                  <c:v>1241.8105200921345</c:v>
                </c:pt>
                <c:pt idx="357">
                  <c:v>1197.9713093555038</c:v>
                </c:pt>
                <c:pt idx="358">
                  <c:v>1077.0111547079359</c:v>
                </c:pt>
                <c:pt idx="359">
                  <c:v>1262.3875496117325</c:v>
                </c:pt>
                <c:pt idx="360">
                  <c:v>1221.5335898603225</c:v>
                </c:pt>
                <c:pt idx="361">
                  <c:v>1102.7310262953106</c:v>
                </c:pt>
                <c:pt idx="362">
                  <c:v>992.69339434456924</c:v>
                </c:pt>
                <c:pt idx="363">
                  <c:v>1084.1867106061982</c:v>
                </c:pt>
                <c:pt idx="364">
                  <c:v>1183.3138938388365</c:v>
                </c:pt>
                <c:pt idx="365">
                  <c:v>1210.9281469626876</c:v>
                </c:pt>
                <c:pt idx="366">
                  <c:v>1082.666351801352</c:v>
                </c:pt>
                <c:pt idx="367">
                  <c:v>1159.9286759568713</c:v>
                </c:pt>
                <c:pt idx="368">
                  <c:v>1202.255885945553</c:v>
                </c:pt>
                <c:pt idx="369">
                  <c:v>1087.7732353649699</c:v>
                </c:pt>
                <c:pt idx="370">
                  <c:v>1393.1662935752684</c:v>
                </c:pt>
                <c:pt idx="371">
                  <c:v>1570.0013765532422</c:v>
                </c:pt>
                <c:pt idx="372">
                  <c:v>1016.7120576876769</c:v>
                </c:pt>
                <c:pt idx="373">
                  <c:v>1458.0604190973027</c:v>
                </c:pt>
                <c:pt idx="374">
                  <c:v>1044.3029146953122</c:v>
                </c:pt>
                <c:pt idx="375">
                  <c:v>1095.0757663673285</c:v>
                </c:pt>
                <c:pt idx="376">
                  <c:v>1071.3126289094434</c:v>
                </c:pt>
                <c:pt idx="377">
                  <c:v>1092.0005004005143</c:v>
                </c:pt>
                <c:pt idx="378">
                  <c:v>1417.5572866137663</c:v>
                </c:pt>
                <c:pt idx="379">
                  <c:v>1258.9928478654037</c:v>
                </c:pt>
                <c:pt idx="380">
                  <c:v>955.91351921050227</c:v>
                </c:pt>
                <c:pt idx="381">
                  <c:v>1246.7270454615646</c:v>
                </c:pt>
                <c:pt idx="382">
                  <c:v>1256.6310286702792</c:v>
                </c:pt>
                <c:pt idx="383">
                  <c:v>1054.0731776425309</c:v>
                </c:pt>
                <c:pt idx="384">
                  <c:v>1226.6538334108482</c:v>
                </c:pt>
                <c:pt idx="385">
                  <c:v>1175.3571999748092</c:v>
                </c:pt>
                <c:pt idx="386">
                  <c:v>1250.0333587446949</c:v>
                </c:pt>
                <c:pt idx="387">
                  <c:v>1023.0123822769165</c:v>
                </c:pt>
                <c:pt idx="388">
                  <c:v>1126.9966449149288</c:v>
                </c:pt>
                <c:pt idx="389">
                  <c:v>1488.9818258947707</c:v>
                </c:pt>
                <c:pt idx="390">
                  <c:v>1190.5757361394644</c:v>
                </c:pt>
                <c:pt idx="391">
                  <c:v>940.22608224902797</c:v>
                </c:pt>
                <c:pt idx="392">
                  <c:v>1144.135437587749</c:v>
                </c:pt>
                <c:pt idx="393">
                  <c:v>1213.1339194141037</c:v>
                </c:pt>
                <c:pt idx="394">
                  <c:v>1182.9534806824158</c:v>
                </c:pt>
                <c:pt idx="395">
                  <c:v>985.89478722142667</c:v>
                </c:pt>
                <c:pt idx="396">
                  <c:v>1097.7658664746632</c:v>
                </c:pt>
                <c:pt idx="397">
                  <c:v>1201.7062569832196</c:v>
                </c:pt>
                <c:pt idx="398">
                  <c:v>1075.6024274538431</c:v>
                </c:pt>
                <c:pt idx="399">
                  <c:v>1241.2380393618296</c:v>
                </c:pt>
                <c:pt idx="400">
                  <c:v>1011.6734522645565</c:v>
                </c:pt>
                <c:pt idx="401">
                  <c:v>1217.7583500106484</c:v>
                </c:pt>
                <c:pt idx="402">
                  <c:v>1355.3310941488962</c:v>
                </c:pt>
                <c:pt idx="403">
                  <c:v>1255.1318728786937</c:v>
                </c:pt>
                <c:pt idx="404">
                  <c:v>1154.7944416229002</c:v>
                </c:pt>
                <c:pt idx="405">
                  <c:v>1202.3075543019222</c:v>
                </c:pt>
                <c:pt idx="406">
                  <c:v>1075.6071404794347</c:v>
                </c:pt>
                <c:pt idx="407">
                  <c:v>1069.1260921634384</c:v>
                </c:pt>
                <c:pt idx="408">
                  <c:v>1236.1257198813837</c:v>
                </c:pt>
                <c:pt idx="409">
                  <c:v>1027.1857260293909</c:v>
                </c:pt>
                <c:pt idx="410">
                  <c:v>1159.8636754481995</c:v>
                </c:pt>
                <c:pt idx="411">
                  <c:v>1291.7733072493793</c:v>
                </c:pt>
                <c:pt idx="412">
                  <c:v>1104.5173644091919</c:v>
                </c:pt>
                <c:pt idx="413">
                  <c:v>1062.931065340832</c:v>
                </c:pt>
                <c:pt idx="414">
                  <c:v>1171.9219966210512</c:v>
                </c:pt>
                <c:pt idx="415">
                  <c:v>1146.1940661053522</c:v>
                </c:pt>
                <c:pt idx="416">
                  <c:v>1334.839035723744</c:v>
                </c:pt>
                <c:pt idx="417">
                  <c:v>1223.1137637209977</c:v>
                </c:pt>
                <c:pt idx="418">
                  <c:v>1343.9321493257885</c:v>
                </c:pt>
                <c:pt idx="419">
                  <c:v>1177.9798422926833</c:v>
                </c:pt>
                <c:pt idx="420">
                  <c:v>1234.4380895970171</c:v>
                </c:pt>
                <c:pt idx="421">
                  <c:v>891.00775676000922</c:v>
                </c:pt>
                <c:pt idx="422">
                  <c:v>1276.1621851995733</c:v>
                </c:pt>
                <c:pt idx="423">
                  <c:v>1262.3036823450238</c:v>
                </c:pt>
                <c:pt idx="424">
                  <c:v>1092.4778599854762</c:v>
                </c:pt>
                <c:pt idx="425">
                  <c:v>1076.514484571846</c:v>
                </c:pt>
                <c:pt idx="426">
                  <c:v>1212.0697762623677</c:v>
                </c:pt>
                <c:pt idx="427">
                  <c:v>1296.1297481294969</c:v>
                </c:pt>
                <c:pt idx="428">
                  <c:v>1285.1633463025209</c:v>
                </c:pt>
                <c:pt idx="429">
                  <c:v>1179.700141648078</c:v>
                </c:pt>
                <c:pt idx="430">
                  <c:v>1162.7696972068225</c:v>
                </c:pt>
                <c:pt idx="431">
                  <c:v>1194.4434838764064</c:v>
                </c:pt>
                <c:pt idx="432">
                  <c:v>1136.5373159166265</c:v>
                </c:pt>
                <c:pt idx="433">
                  <c:v>1020.1826259806257</c:v>
                </c:pt>
                <c:pt idx="434">
                  <c:v>961.1576647111724</c:v>
                </c:pt>
                <c:pt idx="435">
                  <c:v>1220.5166010599496</c:v>
                </c:pt>
                <c:pt idx="436">
                  <c:v>1453.0385505727027</c:v>
                </c:pt>
                <c:pt idx="437">
                  <c:v>1072.3306105226147</c:v>
                </c:pt>
                <c:pt idx="438">
                  <c:v>1066.2545483117865</c:v>
                </c:pt>
                <c:pt idx="439">
                  <c:v>1093.0487867654447</c:v>
                </c:pt>
                <c:pt idx="440">
                  <c:v>1055.309031391982</c:v>
                </c:pt>
                <c:pt idx="441">
                  <c:v>1270.7807742145233</c:v>
                </c:pt>
                <c:pt idx="442">
                  <c:v>1183.56177521059</c:v>
                </c:pt>
                <c:pt idx="443">
                  <c:v>1035.1929574428068</c:v>
                </c:pt>
                <c:pt idx="444">
                  <c:v>1269.4463072660874</c:v>
                </c:pt>
                <c:pt idx="445">
                  <c:v>1323.9678624055741</c:v>
                </c:pt>
                <c:pt idx="446">
                  <c:v>1132.7092428166361</c:v>
                </c:pt>
                <c:pt idx="447">
                  <c:v>1030.2801668394022</c:v>
                </c:pt>
                <c:pt idx="448">
                  <c:v>1125.2354409790933</c:v>
                </c:pt>
                <c:pt idx="449">
                  <c:v>971.94524218346487</c:v>
                </c:pt>
                <c:pt idx="450">
                  <c:v>1108.5361704107854</c:v>
                </c:pt>
                <c:pt idx="451">
                  <c:v>1353.0640046635017</c:v>
                </c:pt>
                <c:pt idx="452">
                  <c:v>1203.0426129651169</c:v>
                </c:pt>
                <c:pt idx="453">
                  <c:v>1306.1690604666655</c:v>
                </c:pt>
                <c:pt idx="454">
                  <c:v>1261.1503881731696</c:v>
                </c:pt>
                <c:pt idx="455">
                  <c:v>1208.4918900261982</c:v>
                </c:pt>
                <c:pt idx="456">
                  <c:v>1049.4399753791949</c:v>
                </c:pt>
                <c:pt idx="457">
                  <c:v>1073.6353777045733</c:v>
                </c:pt>
                <c:pt idx="458">
                  <c:v>1176.4527465811625</c:v>
                </c:pt>
                <c:pt idx="459">
                  <c:v>1189.7339547730735</c:v>
                </c:pt>
                <c:pt idx="460">
                  <c:v>1113.8410649600628</c:v>
                </c:pt>
                <c:pt idx="461">
                  <c:v>994.79678194154985</c:v>
                </c:pt>
                <c:pt idx="462">
                  <c:v>1276.780183156865</c:v>
                </c:pt>
                <c:pt idx="463">
                  <c:v>1155.6234142889734</c:v>
                </c:pt>
                <c:pt idx="464">
                  <c:v>1204.6318586536217</c:v>
                </c:pt>
                <c:pt idx="465">
                  <c:v>1292.3265829405791</c:v>
                </c:pt>
                <c:pt idx="466">
                  <c:v>954.59772171792429</c:v>
                </c:pt>
                <c:pt idx="467">
                  <c:v>1268.5579056954739</c:v>
                </c:pt>
                <c:pt idx="468">
                  <c:v>1119.9642714095171</c:v>
                </c:pt>
                <c:pt idx="469">
                  <c:v>1132.1911577030769</c:v>
                </c:pt>
                <c:pt idx="470">
                  <c:v>1309.8248130961219</c:v>
                </c:pt>
                <c:pt idx="471">
                  <c:v>1172.1240445056392</c:v>
                </c:pt>
                <c:pt idx="472">
                  <c:v>1299.868596209315</c:v>
                </c:pt>
                <c:pt idx="473">
                  <c:v>1255.3461852355613</c:v>
                </c:pt>
                <c:pt idx="474">
                  <c:v>1102.9658627254539</c:v>
                </c:pt>
                <c:pt idx="475">
                  <c:v>1105.9366562942669</c:v>
                </c:pt>
                <c:pt idx="476">
                  <c:v>952.55581613518734</c:v>
                </c:pt>
                <c:pt idx="477">
                  <c:v>1174.2317093184392</c:v>
                </c:pt>
                <c:pt idx="478">
                  <c:v>1169.6008927733928</c:v>
                </c:pt>
                <c:pt idx="479">
                  <c:v>1336.3836426532944</c:v>
                </c:pt>
                <c:pt idx="480">
                  <c:v>1275.701600419372</c:v>
                </c:pt>
                <c:pt idx="481">
                  <c:v>1334.2528920616096</c:v>
                </c:pt>
                <c:pt idx="482">
                  <c:v>1148.2337011291747</c:v>
                </c:pt>
                <c:pt idx="483">
                  <c:v>1107.5683019731223</c:v>
                </c:pt>
                <c:pt idx="484">
                  <c:v>1135.2404026517615</c:v>
                </c:pt>
                <c:pt idx="485">
                  <c:v>1309.7151621145094</c:v>
                </c:pt>
                <c:pt idx="486">
                  <c:v>1210.3913808581201</c:v>
                </c:pt>
                <c:pt idx="487">
                  <c:v>1231.0172374123795</c:v>
                </c:pt>
                <c:pt idx="488">
                  <c:v>1177.1451061649277</c:v>
                </c:pt>
                <c:pt idx="489">
                  <c:v>961.54735534890642</c:v>
                </c:pt>
                <c:pt idx="490">
                  <c:v>1333.5674063678016</c:v>
                </c:pt>
                <c:pt idx="491">
                  <c:v>1104.2686257357709</c:v>
                </c:pt>
                <c:pt idx="492">
                  <c:v>1208.0394327811155</c:v>
                </c:pt>
                <c:pt idx="493">
                  <c:v>1081.4672883223539</c:v>
                </c:pt>
                <c:pt idx="494">
                  <c:v>1282.0658877248206</c:v>
                </c:pt>
                <c:pt idx="495">
                  <c:v>1098.601163610896</c:v>
                </c:pt>
                <c:pt idx="496">
                  <c:v>1229.9114173621492</c:v>
                </c:pt>
                <c:pt idx="497">
                  <c:v>1274.6502444224825</c:v>
                </c:pt>
                <c:pt idx="498">
                  <c:v>1296.8087742112475</c:v>
                </c:pt>
                <c:pt idx="499">
                  <c:v>1247.2457770704277</c:v>
                </c:pt>
                <c:pt idx="500">
                  <c:v>1079.4073777877129</c:v>
                </c:pt>
                <c:pt idx="501">
                  <c:v>1258.924306916706</c:v>
                </c:pt>
                <c:pt idx="502">
                  <c:v>1181.7040739245131</c:v>
                </c:pt>
                <c:pt idx="503">
                  <c:v>1334.4881801404408</c:v>
                </c:pt>
                <c:pt idx="504">
                  <c:v>1165.3646962061903</c:v>
                </c:pt>
                <c:pt idx="505">
                  <c:v>1194.7284370341949</c:v>
                </c:pt>
                <c:pt idx="506">
                  <c:v>988.19349600598071</c:v>
                </c:pt>
                <c:pt idx="507">
                  <c:v>1134.0833507625211</c:v>
                </c:pt>
                <c:pt idx="508">
                  <c:v>1384.4506010984915</c:v>
                </c:pt>
                <c:pt idx="509">
                  <c:v>1096.9782879191334</c:v>
                </c:pt>
                <c:pt idx="510">
                  <c:v>1141.0153204548042</c:v>
                </c:pt>
                <c:pt idx="511">
                  <c:v>1359.8263493821942</c:v>
                </c:pt>
                <c:pt idx="512">
                  <c:v>1139.6135894499821</c:v>
                </c:pt>
                <c:pt idx="513">
                  <c:v>1249.4800346704287</c:v>
                </c:pt>
                <c:pt idx="514">
                  <c:v>983.46727707579703</c:v>
                </c:pt>
                <c:pt idx="515">
                  <c:v>1199.6665848696939</c:v>
                </c:pt>
                <c:pt idx="516">
                  <c:v>1399.726756079348</c:v>
                </c:pt>
                <c:pt idx="517">
                  <c:v>1380.9917852227009</c:v>
                </c:pt>
                <c:pt idx="518">
                  <c:v>1148.3157737611327</c:v>
                </c:pt>
                <c:pt idx="519">
                  <c:v>1138.0138653221802</c:v>
                </c:pt>
                <c:pt idx="520">
                  <c:v>1158.6665934729535</c:v>
                </c:pt>
                <c:pt idx="521">
                  <c:v>1171.1684110524657</c:v>
                </c:pt>
                <c:pt idx="522">
                  <c:v>1218.4374039811664</c:v>
                </c:pt>
                <c:pt idx="523">
                  <c:v>984.70800681687979</c:v>
                </c:pt>
                <c:pt idx="524">
                  <c:v>1154.9148254645334</c:v>
                </c:pt>
                <c:pt idx="525">
                  <c:v>1234.6041823945561</c:v>
                </c:pt>
                <c:pt idx="526">
                  <c:v>1383.7243117480321</c:v>
                </c:pt>
                <c:pt idx="527">
                  <c:v>1226.1876172894699</c:v>
                </c:pt>
                <c:pt idx="528">
                  <c:v>1139.6464824020295</c:v>
                </c:pt>
                <c:pt idx="529">
                  <c:v>1293.7183463494366</c:v>
                </c:pt>
                <c:pt idx="530">
                  <c:v>1224.9461121700733</c:v>
                </c:pt>
                <c:pt idx="531">
                  <c:v>1113.9728909092373</c:v>
                </c:pt>
                <c:pt idx="532">
                  <c:v>1067.4190987126931</c:v>
                </c:pt>
                <c:pt idx="533">
                  <c:v>1153.557074004224</c:v>
                </c:pt>
                <c:pt idx="534">
                  <c:v>1172.8101483610444</c:v>
                </c:pt>
                <c:pt idx="535">
                  <c:v>923.33844989349745</c:v>
                </c:pt>
                <c:pt idx="536">
                  <c:v>1130.864953972763</c:v>
                </c:pt>
                <c:pt idx="537">
                  <c:v>1295.5726961077598</c:v>
                </c:pt>
                <c:pt idx="538">
                  <c:v>1132.8372190131922</c:v>
                </c:pt>
                <c:pt idx="539">
                  <c:v>1074.4460351405869</c:v>
                </c:pt>
                <c:pt idx="540">
                  <c:v>1264.1884089288433</c:v>
                </c:pt>
                <c:pt idx="541">
                  <c:v>1104.769439489326</c:v>
                </c:pt>
                <c:pt idx="542">
                  <c:v>1237.7930962425817</c:v>
                </c:pt>
                <c:pt idx="543">
                  <c:v>1338.2398234243665</c:v>
                </c:pt>
                <c:pt idx="544">
                  <c:v>1261.7821503993036</c:v>
                </c:pt>
                <c:pt idx="545">
                  <c:v>1012.5866263149874</c:v>
                </c:pt>
                <c:pt idx="546">
                  <c:v>1165.6201232673266</c:v>
                </c:pt>
                <c:pt idx="547">
                  <c:v>1222.9257244361943</c:v>
                </c:pt>
                <c:pt idx="548">
                  <c:v>1040.4857545060804</c:v>
                </c:pt>
                <c:pt idx="549">
                  <c:v>1155.6626166922288</c:v>
                </c:pt>
                <c:pt idx="550">
                  <c:v>1326.593443415346</c:v>
                </c:pt>
                <c:pt idx="551">
                  <c:v>928.7908506274689</c:v>
                </c:pt>
                <c:pt idx="552">
                  <c:v>1096.6027553018721</c:v>
                </c:pt>
                <c:pt idx="553">
                  <c:v>1150.1396014214697</c:v>
                </c:pt>
                <c:pt idx="554">
                  <c:v>1398.4303441417433</c:v>
                </c:pt>
                <c:pt idx="555">
                  <c:v>1333.9626875627146</c:v>
                </c:pt>
                <c:pt idx="556">
                  <c:v>1494.1752174985013</c:v>
                </c:pt>
                <c:pt idx="557">
                  <c:v>1192.5706794102589</c:v>
                </c:pt>
                <c:pt idx="558">
                  <c:v>1197.2586664192131</c:v>
                </c:pt>
                <c:pt idx="559">
                  <c:v>1132.178979020704</c:v>
                </c:pt>
                <c:pt idx="560">
                  <c:v>1027.1056442575282</c:v>
                </c:pt>
                <c:pt idx="561">
                  <c:v>1102.5351191472</c:v>
                </c:pt>
                <c:pt idx="562">
                  <c:v>1175.0714004392648</c:v>
                </c:pt>
                <c:pt idx="563">
                  <c:v>1393.3916296360258</c:v>
                </c:pt>
                <c:pt idx="564">
                  <c:v>1205.8780181722686</c:v>
                </c:pt>
                <c:pt idx="565">
                  <c:v>1486.3405830027259</c:v>
                </c:pt>
                <c:pt idx="566">
                  <c:v>1328.7854285771537</c:v>
                </c:pt>
                <c:pt idx="567">
                  <c:v>1269.2409354551783</c:v>
                </c:pt>
                <c:pt idx="568">
                  <c:v>1280.2325004806917</c:v>
                </c:pt>
                <c:pt idx="569">
                  <c:v>1212.3623871390664</c:v>
                </c:pt>
                <c:pt idx="570">
                  <c:v>1144.2705988012749</c:v>
                </c:pt>
                <c:pt idx="571">
                  <c:v>1096.7825052390763</c:v>
                </c:pt>
                <c:pt idx="572">
                  <c:v>1058.5660482601597</c:v>
                </c:pt>
                <c:pt idx="573">
                  <c:v>1058.8217164769158</c:v>
                </c:pt>
                <c:pt idx="574">
                  <c:v>895.76657418633113</c:v>
                </c:pt>
                <c:pt idx="575">
                  <c:v>1071.8900056818748</c:v>
                </c:pt>
                <c:pt idx="576">
                  <c:v>1048.9514595261135</c:v>
                </c:pt>
                <c:pt idx="577">
                  <c:v>899.41269946292596</c:v>
                </c:pt>
                <c:pt idx="578">
                  <c:v>963.06068921983388</c:v>
                </c:pt>
                <c:pt idx="579">
                  <c:v>961.24937369684631</c:v>
                </c:pt>
                <c:pt idx="580">
                  <c:v>1299.3326155607137</c:v>
                </c:pt>
                <c:pt idx="581">
                  <c:v>1224.6401152795152</c:v>
                </c:pt>
                <c:pt idx="582">
                  <c:v>1220.2505148910059</c:v>
                </c:pt>
                <c:pt idx="583">
                  <c:v>1089.2775583412295</c:v>
                </c:pt>
                <c:pt idx="584">
                  <c:v>1185.5700725856077</c:v>
                </c:pt>
                <c:pt idx="585">
                  <c:v>1123.0344773484176</c:v>
                </c:pt>
                <c:pt idx="586">
                  <c:v>1026.1433685809097</c:v>
                </c:pt>
                <c:pt idx="587">
                  <c:v>1372.8562512676435</c:v>
                </c:pt>
                <c:pt idx="588">
                  <c:v>1079.6477131700885</c:v>
                </c:pt>
                <c:pt idx="589">
                  <c:v>1078.0051013996344</c:v>
                </c:pt>
                <c:pt idx="590">
                  <c:v>1462.2848342063735</c:v>
                </c:pt>
                <c:pt idx="591">
                  <c:v>1066.6464219469999</c:v>
                </c:pt>
                <c:pt idx="592">
                  <c:v>1476.2481883636647</c:v>
                </c:pt>
                <c:pt idx="593">
                  <c:v>1255.5995610800092</c:v>
                </c:pt>
                <c:pt idx="594">
                  <c:v>1286.9661654403972</c:v>
                </c:pt>
                <c:pt idx="595">
                  <c:v>1096.9812531744246</c:v>
                </c:pt>
                <c:pt idx="596">
                  <c:v>1346.5733215549844</c:v>
                </c:pt>
                <c:pt idx="597">
                  <c:v>1110.8152595091378</c:v>
                </c:pt>
                <c:pt idx="598">
                  <c:v>1063.0932380150189</c:v>
                </c:pt>
                <c:pt idx="599">
                  <c:v>1405.8954055951472</c:v>
                </c:pt>
                <c:pt idx="600">
                  <c:v>951.42549872571544</c:v>
                </c:pt>
                <c:pt idx="601">
                  <c:v>1067.2022387174657</c:v>
                </c:pt>
                <c:pt idx="602">
                  <c:v>1069.9050991465047</c:v>
                </c:pt>
                <c:pt idx="603">
                  <c:v>1313.7815371150064</c:v>
                </c:pt>
                <c:pt idx="604">
                  <c:v>1185.2225056923999</c:v>
                </c:pt>
                <c:pt idx="605">
                  <c:v>1114.2229277707374</c:v>
                </c:pt>
                <c:pt idx="606">
                  <c:v>1179.2036375149764</c:v>
                </c:pt>
                <c:pt idx="607">
                  <c:v>1128.9625040554893</c:v>
                </c:pt>
                <c:pt idx="608">
                  <c:v>1136.0175912422128</c:v>
                </c:pt>
                <c:pt idx="609">
                  <c:v>1285.4727316262215</c:v>
                </c:pt>
                <c:pt idx="610">
                  <c:v>1210.8098313992668</c:v>
                </c:pt>
                <c:pt idx="611">
                  <c:v>1061.1031295508801</c:v>
                </c:pt>
                <c:pt idx="612">
                  <c:v>1166.3585800575383</c:v>
                </c:pt>
                <c:pt idx="613">
                  <c:v>1033.2573838407625</c:v>
                </c:pt>
                <c:pt idx="614">
                  <c:v>1178.92713432858</c:v>
                </c:pt>
                <c:pt idx="615">
                  <c:v>1274.1006031719808</c:v>
                </c:pt>
                <c:pt idx="616">
                  <c:v>1030.9158451859548</c:v>
                </c:pt>
                <c:pt idx="617">
                  <c:v>1213.7422582362196</c:v>
                </c:pt>
                <c:pt idx="618">
                  <c:v>1186.5719876951771</c:v>
                </c:pt>
                <c:pt idx="619">
                  <c:v>1436.0128122212118</c:v>
                </c:pt>
                <c:pt idx="620">
                  <c:v>1112.8568729663384</c:v>
                </c:pt>
                <c:pt idx="621">
                  <c:v>1194.346259586564</c:v>
                </c:pt>
                <c:pt idx="622">
                  <c:v>972.89545837813785</c:v>
                </c:pt>
                <c:pt idx="623">
                  <c:v>1043.1965579679527</c:v>
                </c:pt>
                <c:pt idx="624">
                  <c:v>927.68964324158151</c:v>
                </c:pt>
                <c:pt idx="625">
                  <c:v>1211.6086836551112</c:v>
                </c:pt>
                <c:pt idx="626">
                  <c:v>1041.2295621570156</c:v>
                </c:pt>
                <c:pt idx="627">
                  <c:v>1186.1632103124502</c:v>
                </c:pt>
                <c:pt idx="628">
                  <c:v>1215.2617972890584</c:v>
                </c:pt>
                <c:pt idx="629">
                  <c:v>964.63072032859054</c:v>
                </c:pt>
                <c:pt idx="630">
                  <c:v>1129.6411779169066</c:v>
                </c:pt>
                <c:pt idx="631">
                  <c:v>1142.8498294132078</c:v>
                </c:pt>
                <c:pt idx="632">
                  <c:v>1257.4311590695579</c:v>
                </c:pt>
                <c:pt idx="633">
                  <c:v>1161.1019185161203</c:v>
                </c:pt>
                <c:pt idx="634">
                  <c:v>1279.0360344489163</c:v>
                </c:pt>
                <c:pt idx="635">
                  <c:v>1143.8936458094759</c:v>
                </c:pt>
                <c:pt idx="636">
                  <c:v>1189.5688564222146</c:v>
                </c:pt>
                <c:pt idx="637">
                  <c:v>1167.8077702053997</c:v>
                </c:pt>
                <c:pt idx="638">
                  <c:v>1064.3106865336449</c:v>
                </c:pt>
                <c:pt idx="639">
                  <c:v>1260.7871834903635</c:v>
                </c:pt>
                <c:pt idx="640">
                  <c:v>1294.2990103445336</c:v>
                </c:pt>
                <c:pt idx="641">
                  <c:v>1051.5582299635571</c:v>
                </c:pt>
                <c:pt idx="642">
                  <c:v>1314.1661058276077</c:v>
                </c:pt>
                <c:pt idx="643">
                  <c:v>1103.2115037216136</c:v>
                </c:pt>
                <c:pt idx="644">
                  <c:v>1167.0795846324763</c:v>
                </c:pt>
                <c:pt idx="645">
                  <c:v>1174.8200140788322</c:v>
                </c:pt>
                <c:pt idx="646">
                  <c:v>1369.0644947144174</c:v>
                </c:pt>
                <c:pt idx="647">
                  <c:v>1007.789843742481</c:v>
                </c:pt>
                <c:pt idx="648">
                  <c:v>1018.3802713281257</c:v>
                </c:pt>
                <c:pt idx="649">
                  <c:v>1128.4036774041524</c:v>
                </c:pt>
                <c:pt idx="650">
                  <c:v>1234.0251222901279</c:v>
                </c:pt>
                <c:pt idx="651">
                  <c:v>1103.6451576615655</c:v>
                </c:pt>
                <c:pt idx="652">
                  <c:v>1123.4103491669448</c:v>
                </c:pt>
                <c:pt idx="653">
                  <c:v>1383.7602109098516</c:v>
                </c:pt>
                <c:pt idx="654">
                  <c:v>1279.8227390075699</c:v>
                </c:pt>
                <c:pt idx="655">
                  <c:v>1196.1655190369202</c:v>
                </c:pt>
                <c:pt idx="656">
                  <c:v>1135.5125972196402</c:v>
                </c:pt>
                <c:pt idx="657">
                  <c:v>1026.7739449854489</c:v>
                </c:pt>
                <c:pt idx="658">
                  <c:v>1236.8249156122547</c:v>
                </c:pt>
                <c:pt idx="659">
                  <c:v>1123.169742719183</c:v>
                </c:pt>
                <c:pt idx="660">
                  <c:v>1194.1289220088365</c:v>
                </c:pt>
                <c:pt idx="661">
                  <c:v>1152.3387604715826</c:v>
                </c:pt>
                <c:pt idx="662">
                  <c:v>1129.0198301551427</c:v>
                </c:pt>
                <c:pt idx="663">
                  <c:v>1084.0427227286782</c:v>
                </c:pt>
                <c:pt idx="664">
                  <c:v>1228.3329138088957</c:v>
                </c:pt>
                <c:pt idx="665">
                  <c:v>1235.261339778328</c:v>
                </c:pt>
                <c:pt idx="666">
                  <c:v>1275.1061877263637</c:v>
                </c:pt>
                <c:pt idx="667">
                  <c:v>1347.9967786883062</c:v>
                </c:pt>
                <c:pt idx="668">
                  <c:v>1383.5358732081731</c:v>
                </c:pt>
                <c:pt idx="669">
                  <c:v>1187.4159556716186</c:v>
                </c:pt>
                <c:pt idx="670">
                  <c:v>1103.5420793353187</c:v>
                </c:pt>
                <c:pt idx="671">
                  <c:v>1280.4513805309034</c:v>
                </c:pt>
                <c:pt idx="672">
                  <c:v>1280.6713046678051</c:v>
                </c:pt>
                <c:pt idx="673">
                  <c:v>1109.1623802282411</c:v>
                </c:pt>
                <c:pt idx="674">
                  <c:v>1098.443603038213</c:v>
                </c:pt>
                <c:pt idx="675">
                  <c:v>1076.1601763402286</c:v>
                </c:pt>
                <c:pt idx="676">
                  <c:v>1148.0883050394987</c:v>
                </c:pt>
                <c:pt idx="677">
                  <c:v>1148.9965393413295</c:v>
                </c:pt>
                <c:pt idx="678">
                  <c:v>1213.6767396662835</c:v>
                </c:pt>
                <c:pt idx="679">
                  <c:v>1305.5992335368064</c:v>
                </c:pt>
                <c:pt idx="680">
                  <c:v>1198.7802881835232</c:v>
                </c:pt>
                <c:pt idx="681">
                  <c:v>1119.9081580612619</c:v>
                </c:pt>
                <c:pt idx="682">
                  <c:v>1207.4090874715403</c:v>
                </c:pt>
                <c:pt idx="683">
                  <c:v>1262.2107819088124</c:v>
                </c:pt>
                <c:pt idx="684">
                  <c:v>1205.8607270720095</c:v>
                </c:pt>
                <c:pt idx="685">
                  <c:v>1187.2489527040671</c:v>
                </c:pt>
                <c:pt idx="686">
                  <c:v>1073.7278404902318</c:v>
                </c:pt>
                <c:pt idx="687">
                  <c:v>1101.8347949480449</c:v>
                </c:pt>
                <c:pt idx="688">
                  <c:v>1022.9709597589972</c:v>
                </c:pt>
                <c:pt idx="689">
                  <c:v>1222.9235926900583</c:v>
                </c:pt>
                <c:pt idx="690">
                  <c:v>1340.3552462532534</c:v>
                </c:pt>
                <c:pt idx="691">
                  <c:v>1079.7193554679616</c:v>
                </c:pt>
                <c:pt idx="692">
                  <c:v>970.23754346806527</c:v>
                </c:pt>
                <c:pt idx="693">
                  <c:v>1105.5647209905146</c:v>
                </c:pt>
                <c:pt idx="694">
                  <c:v>1209.8795529123017</c:v>
                </c:pt>
                <c:pt idx="695">
                  <c:v>1210.1228688166739</c:v>
                </c:pt>
                <c:pt idx="696">
                  <c:v>1183.0260970851377</c:v>
                </c:pt>
                <c:pt idx="697">
                  <c:v>1226.4798082182606</c:v>
                </c:pt>
                <c:pt idx="698">
                  <c:v>909.34520487462578</c:v>
                </c:pt>
                <c:pt idx="699">
                  <c:v>1091.9612622295244</c:v>
                </c:pt>
                <c:pt idx="700">
                  <c:v>1236.1629484966543</c:v>
                </c:pt>
                <c:pt idx="701">
                  <c:v>1044.2456568351336</c:v>
                </c:pt>
                <c:pt idx="702">
                  <c:v>1109.6022285017316</c:v>
                </c:pt>
                <c:pt idx="703">
                  <c:v>1203.7182183338518</c:v>
                </c:pt>
                <c:pt idx="704">
                  <c:v>1402.4299975807153</c:v>
                </c:pt>
                <c:pt idx="705">
                  <c:v>1157.0923538449497</c:v>
                </c:pt>
                <c:pt idx="706">
                  <c:v>1348.1547881672304</c:v>
                </c:pt>
                <c:pt idx="707">
                  <c:v>1071.0962591988937</c:v>
                </c:pt>
                <c:pt idx="708">
                  <c:v>1174.5605133683785</c:v>
                </c:pt>
                <c:pt idx="709">
                  <c:v>1112.2710442396638</c:v>
                </c:pt>
                <c:pt idx="710">
                  <c:v>1150.5183841523831</c:v>
                </c:pt>
                <c:pt idx="711">
                  <c:v>1163.4872641616603</c:v>
                </c:pt>
                <c:pt idx="712">
                  <c:v>1130.6323800748141</c:v>
                </c:pt>
                <c:pt idx="713">
                  <c:v>1197.1896432506546</c:v>
                </c:pt>
                <c:pt idx="714">
                  <c:v>997.3653156556029</c:v>
                </c:pt>
                <c:pt idx="715">
                  <c:v>1111.0125735504844</c:v>
                </c:pt>
                <c:pt idx="716">
                  <c:v>1265.0603562342949</c:v>
                </c:pt>
                <c:pt idx="717">
                  <c:v>988.09504818452115</c:v>
                </c:pt>
                <c:pt idx="718">
                  <c:v>1137.1864748591179</c:v>
                </c:pt>
                <c:pt idx="719">
                  <c:v>1236.0533711337266</c:v>
                </c:pt>
                <c:pt idx="720">
                  <c:v>991.94139191626164</c:v>
                </c:pt>
                <c:pt idx="721">
                  <c:v>1081.0147118587556</c:v>
                </c:pt>
                <c:pt idx="722">
                  <c:v>1033.0608778767928</c:v>
                </c:pt>
                <c:pt idx="723">
                  <c:v>1013.6447912347649</c:v>
                </c:pt>
                <c:pt idx="724">
                  <c:v>1463.2926071497204</c:v>
                </c:pt>
                <c:pt idx="725">
                  <c:v>1285.2246692246335</c:v>
                </c:pt>
                <c:pt idx="726">
                  <c:v>1147.9542613427257</c:v>
                </c:pt>
                <c:pt idx="727">
                  <c:v>983.28100656626339</c:v>
                </c:pt>
                <c:pt idx="728">
                  <c:v>1183.8136578193371</c:v>
                </c:pt>
                <c:pt idx="729">
                  <c:v>1272.6296414215612</c:v>
                </c:pt>
                <c:pt idx="730">
                  <c:v>1302.4606018460836</c:v>
                </c:pt>
                <c:pt idx="731">
                  <c:v>1378.3385606690135</c:v>
                </c:pt>
                <c:pt idx="732">
                  <c:v>1135.1826154044902</c:v>
                </c:pt>
                <c:pt idx="733">
                  <c:v>1094.6309344108668</c:v>
                </c:pt>
                <c:pt idx="734">
                  <c:v>1243.0215082659779</c:v>
                </c:pt>
                <c:pt idx="735">
                  <c:v>1311.4454127458157</c:v>
                </c:pt>
                <c:pt idx="736">
                  <c:v>1138.8586251259694</c:v>
                </c:pt>
                <c:pt idx="737">
                  <c:v>1415.9157926688786</c:v>
                </c:pt>
                <c:pt idx="738">
                  <c:v>1278.6500256062282</c:v>
                </c:pt>
                <c:pt idx="739">
                  <c:v>1222.9551220277863</c:v>
                </c:pt>
                <c:pt idx="740">
                  <c:v>939.97694142253022</c:v>
                </c:pt>
                <c:pt idx="741">
                  <c:v>1013.324648999027</c:v>
                </c:pt>
                <c:pt idx="742">
                  <c:v>1472.1573150868207</c:v>
                </c:pt>
                <c:pt idx="743">
                  <c:v>1046.2097961180916</c:v>
                </c:pt>
                <c:pt idx="744">
                  <c:v>1253.9787313244015</c:v>
                </c:pt>
                <c:pt idx="745">
                  <c:v>1187.0963299936921</c:v>
                </c:pt>
                <c:pt idx="746">
                  <c:v>1187.5388866215362</c:v>
                </c:pt>
                <c:pt idx="747">
                  <c:v>1330.9034066645618</c:v>
                </c:pt>
                <c:pt idx="748">
                  <c:v>1065.8789795595585</c:v>
                </c:pt>
                <c:pt idx="749">
                  <c:v>1259.7425538419338</c:v>
                </c:pt>
                <c:pt idx="750">
                  <c:v>1166.2150260372509</c:v>
                </c:pt>
                <c:pt idx="751">
                  <c:v>1073.7141431250056</c:v>
                </c:pt>
                <c:pt idx="752">
                  <c:v>1258.0415893250538</c:v>
                </c:pt>
                <c:pt idx="753">
                  <c:v>1367.0827018132259</c:v>
                </c:pt>
                <c:pt idx="754">
                  <c:v>1135.8072086662069</c:v>
                </c:pt>
                <c:pt idx="755">
                  <c:v>1203.1415784797136</c:v>
                </c:pt>
                <c:pt idx="756">
                  <c:v>1165.0392844767994</c:v>
                </c:pt>
                <c:pt idx="757">
                  <c:v>1056.5656925103467</c:v>
                </c:pt>
                <c:pt idx="758">
                  <c:v>1214.8171049715675</c:v>
                </c:pt>
                <c:pt idx="759">
                  <c:v>1335.0170784845614</c:v>
                </c:pt>
                <c:pt idx="760">
                  <c:v>1203.0102463810108</c:v>
                </c:pt>
                <c:pt idx="761">
                  <c:v>1193.5896545214564</c:v>
                </c:pt>
                <c:pt idx="762">
                  <c:v>1209.1578559403279</c:v>
                </c:pt>
                <c:pt idx="763">
                  <c:v>1322.558163488713</c:v>
                </c:pt>
                <c:pt idx="764">
                  <c:v>1277.8660097623797</c:v>
                </c:pt>
                <c:pt idx="765">
                  <c:v>1107.8641999665706</c:v>
                </c:pt>
                <c:pt idx="766">
                  <c:v>1116.5929904983859</c:v>
                </c:pt>
                <c:pt idx="767">
                  <c:v>1237.7511156069959</c:v>
                </c:pt>
                <c:pt idx="768">
                  <c:v>1132.0931024446472</c:v>
                </c:pt>
                <c:pt idx="769">
                  <c:v>1170.8483068134883</c:v>
                </c:pt>
                <c:pt idx="770">
                  <c:v>1256.1695633238924</c:v>
                </c:pt>
                <c:pt idx="771">
                  <c:v>1161.981584225301</c:v>
                </c:pt>
                <c:pt idx="772">
                  <c:v>1063.8357970733341</c:v>
                </c:pt>
                <c:pt idx="773">
                  <c:v>1062.3723925550439</c:v>
                </c:pt>
                <c:pt idx="774">
                  <c:v>1322.932800461931</c:v>
                </c:pt>
                <c:pt idx="775">
                  <c:v>1120.415794756489</c:v>
                </c:pt>
                <c:pt idx="776">
                  <c:v>1098.3736562375998</c:v>
                </c:pt>
                <c:pt idx="777">
                  <c:v>1195.2335641793397</c:v>
                </c:pt>
                <c:pt idx="778">
                  <c:v>1181.5522863078586</c:v>
                </c:pt>
                <c:pt idx="779">
                  <c:v>1052.2043997038272</c:v>
                </c:pt>
                <c:pt idx="780">
                  <c:v>1093.0604501759226</c:v>
                </c:pt>
                <c:pt idx="781">
                  <c:v>1132.1873954497132</c:v>
                </c:pt>
                <c:pt idx="782">
                  <c:v>1321.1241776712195</c:v>
                </c:pt>
                <c:pt idx="783">
                  <c:v>1227.1019389343637</c:v>
                </c:pt>
                <c:pt idx="784">
                  <c:v>870.23238503339962</c:v>
                </c:pt>
                <c:pt idx="785">
                  <c:v>1203.6634832718119</c:v>
                </c:pt>
                <c:pt idx="786">
                  <c:v>1277.4975992930849</c:v>
                </c:pt>
                <c:pt idx="787">
                  <c:v>1333.6707881639159</c:v>
                </c:pt>
                <c:pt idx="788">
                  <c:v>1058.0507882404709</c:v>
                </c:pt>
                <c:pt idx="789">
                  <c:v>1197.9333048522676</c:v>
                </c:pt>
                <c:pt idx="790">
                  <c:v>1260.6362380185747</c:v>
                </c:pt>
                <c:pt idx="791">
                  <c:v>1199.4278117682043</c:v>
                </c:pt>
                <c:pt idx="792">
                  <c:v>1255.4069421542663</c:v>
                </c:pt>
                <c:pt idx="793">
                  <c:v>1429.3152918396227</c:v>
                </c:pt>
                <c:pt idx="794">
                  <c:v>1109.8074365174034</c:v>
                </c:pt>
                <c:pt idx="795">
                  <c:v>1254.5036758344067</c:v>
                </c:pt>
                <c:pt idx="796">
                  <c:v>905.33412618787406</c:v>
                </c:pt>
                <c:pt idx="797">
                  <c:v>1287.6063005535398</c:v>
                </c:pt>
                <c:pt idx="798">
                  <c:v>1208.2303967070111</c:v>
                </c:pt>
                <c:pt idx="799">
                  <c:v>1302.9937740791065</c:v>
                </c:pt>
                <c:pt idx="800">
                  <c:v>1355.9824024670597</c:v>
                </c:pt>
                <c:pt idx="801">
                  <c:v>1235.0666487950366</c:v>
                </c:pt>
                <c:pt idx="802">
                  <c:v>1139.9300262685574</c:v>
                </c:pt>
                <c:pt idx="803">
                  <c:v>1219.2933573062837</c:v>
                </c:pt>
                <c:pt idx="804">
                  <c:v>1064.5480047158344</c:v>
                </c:pt>
                <c:pt idx="805">
                  <c:v>1182.7408348237586</c:v>
                </c:pt>
                <c:pt idx="806">
                  <c:v>1161.6863906408689</c:v>
                </c:pt>
                <c:pt idx="807">
                  <c:v>1025.0550644085306</c:v>
                </c:pt>
                <c:pt idx="808">
                  <c:v>1079.6723243267334</c:v>
                </c:pt>
                <c:pt idx="809">
                  <c:v>1168.6474450292299</c:v>
                </c:pt>
                <c:pt idx="810">
                  <c:v>1174.8631891081823</c:v>
                </c:pt>
                <c:pt idx="811">
                  <c:v>1306.081953456167</c:v>
                </c:pt>
                <c:pt idx="812">
                  <c:v>1135.5721908185296</c:v>
                </c:pt>
                <c:pt idx="813">
                  <c:v>1331.8765584454595</c:v>
                </c:pt>
                <c:pt idx="814">
                  <c:v>1174.1767777412388</c:v>
                </c:pt>
                <c:pt idx="815">
                  <c:v>1318.6604282275293</c:v>
                </c:pt>
                <c:pt idx="816">
                  <c:v>1126.3841989827342</c:v>
                </c:pt>
                <c:pt idx="817">
                  <c:v>1269.4890930930706</c:v>
                </c:pt>
                <c:pt idx="818">
                  <c:v>1229.5931697144188</c:v>
                </c:pt>
                <c:pt idx="819">
                  <c:v>1114.6013265736692</c:v>
                </c:pt>
                <c:pt idx="820">
                  <c:v>1330.7513535451289</c:v>
                </c:pt>
                <c:pt idx="821">
                  <c:v>1231.8108575114456</c:v>
                </c:pt>
                <c:pt idx="822">
                  <c:v>1298.0632422999988</c:v>
                </c:pt>
                <c:pt idx="823">
                  <c:v>1094.7548908728349</c:v>
                </c:pt>
                <c:pt idx="824">
                  <c:v>1255.7999292447203</c:v>
                </c:pt>
                <c:pt idx="825">
                  <c:v>1217.9065999076629</c:v>
                </c:pt>
                <c:pt idx="826">
                  <c:v>1262.7417142879494</c:v>
                </c:pt>
                <c:pt idx="827">
                  <c:v>1184.7921228098639</c:v>
                </c:pt>
                <c:pt idx="828">
                  <c:v>960.21480586892721</c:v>
                </c:pt>
                <c:pt idx="829">
                  <c:v>1202.6259672191518</c:v>
                </c:pt>
                <c:pt idx="830">
                  <c:v>1177.1608651011193</c:v>
                </c:pt>
                <c:pt idx="831">
                  <c:v>1338.812738256529</c:v>
                </c:pt>
                <c:pt idx="832">
                  <c:v>1188.9258287031989</c:v>
                </c:pt>
                <c:pt idx="833">
                  <c:v>1215.1838862395525</c:v>
                </c:pt>
                <c:pt idx="834">
                  <c:v>1088.2287827284454</c:v>
                </c:pt>
                <c:pt idx="835">
                  <c:v>933.6848051924535</c:v>
                </c:pt>
                <c:pt idx="836">
                  <c:v>1472.9668243768465</c:v>
                </c:pt>
                <c:pt idx="837">
                  <c:v>1062.4291804954119</c:v>
                </c:pt>
                <c:pt idx="838">
                  <c:v>1299.422505980503</c:v>
                </c:pt>
                <c:pt idx="839">
                  <c:v>1042.6116555257831</c:v>
                </c:pt>
                <c:pt idx="840">
                  <c:v>1168.7363854816722</c:v>
                </c:pt>
                <c:pt idx="841">
                  <c:v>1180.5842094154141</c:v>
                </c:pt>
                <c:pt idx="842">
                  <c:v>1285.90565388291</c:v>
                </c:pt>
                <c:pt idx="843">
                  <c:v>1225.4007604931976</c:v>
                </c:pt>
                <c:pt idx="844">
                  <c:v>1022.5745970108546</c:v>
                </c:pt>
                <c:pt idx="845">
                  <c:v>1003.6696911505351</c:v>
                </c:pt>
                <c:pt idx="846">
                  <c:v>1388.6790034009318</c:v>
                </c:pt>
                <c:pt idx="847">
                  <c:v>1258.4483233496576</c:v>
                </c:pt>
                <c:pt idx="848">
                  <c:v>1366.024337838433</c:v>
                </c:pt>
                <c:pt idx="849">
                  <c:v>1404.0450321843891</c:v>
                </c:pt>
                <c:pt idx="850">
                  <c:v>1167.6885346673371</c:v>
                </c:pt>
                <c:pt idx="851">
                  <c:v>1214.5558398055218</c:v>
                </c:pt>
                <c:pt idx="852">
                  <c:v>1090.8380832452094</c:v>
                </c:pt>
                <c:pt idx="853">
                  <c:v>1305.5188601057234</c:v>
                </c:pt>
                <c:pt idx="854">
                  <c:v>1102.9986445841641</c:v>
                </c:pt>
                <c:pt idx="855">
                  <c:v>1076.8389375547631</c:v>
                </c:pt>
                <c:pt idx="856">
                  <c:v>1217.2443588649985</c:v>
                </c:pt>
                <c:pt idx="857">
                  <c:v>993.08748926233238</c:v>
                </c:pt>
                <c:pt idx="858">
                  <c:v>954.34162138387182</c:v>
                </c:pt>
                <c:pt idx="859">
                  <c:v>1393.0363304434868</c:v>
                </c:pt>
                <c:pt idx="860">
                  <c:v>1203.9488025943283</c:v>
                </c:pt>
                <c:pt idx="861">
                  <c:v>1250.4483606729846</c:v>
                </c:pt>
                <c:pt idx="862">
                  <c:v>1254.7086628935867</c:v>
                </c:pt>
                <c:pt idx="863">
                  <c:v>1189.7037896726324</c:v>
                </c:pt>
                <c:pt idx="864">
                  <c:v>1171.1449595475933</c:v>
                </c:pt>
                <c:pt idx="865">
                  <c:v>1323.6529731205082</c:v>
                </c:pt>
                <c:pt idx="866">
                  <c:v>1341.4568064583582</c:v>
                </c:pt>
                <c:pt idx="867">
                  <c:v>1233.686660919826</c:v>
                </c:pt>
                <c:pt idx="868">
                  <c:v>1057.9118782421574</c:v>
                </c:pt>
                <c:pt idx="869">
                  <c:v>1016.2865728890465</c:v>
                </c:pt>
                <c:pt idx="870">
                  <c:v>1347.5458663693862</c:v>
                </c:pt>
                <c:pt idx="871">
                  <c:v>1244.513755372187</c:v>
                </c:pt>
                <c:pt idx="872">
                  <c:v>1083.3076729229069</c:v>
                </c:pt>
                <c:pt idx="873">
                  <c:v>1153.3620511281697</c:v>
                </c:pt>
                <c:pt idx="874">
                  <c:v>1217.9819382535643</c:v>
                </c:pt>
                <c:pt idx="875">
                  <c:v>1172.161709572385</c:v>
                </c:pt>
                <c:pt idx="876">
                  <c:v>1233.3265850022508</c:v>
                </c:pt>
                <c:pt idx="877">
                  <c:v>1118.9942820710276</c:v>
                </c:pt>
                <c:pt idx="878">
                  <c:v>1065.7993924096663</c:v>
                </c:pt>
                <c:pt idx="879">
                  <c:v>1020.939672947592</c:v>
                </c:pt>
                <c:pt idx="880">
                  <c:v>1011.4340161133005</c:v>
                </c:pt>
                <c:pt idx="881">
                  <c:v>1335.8033978426174</c:v>
                </c:pt>
                <c:pt idx="882">
                  <c:v>1143.000845601011</c:v>
                </c:pt>
                <c:pt idx="883">
                  <c:v>1095.5572505896489</c:v>
                </c:pt>
                <c:pt idx="884">
                  <c:v>1273.7291709678248</c:v>
                </c:pt>
                <c:pt idx="885">
                  <c:v>1169.1077177107072</c:v>
                </c:pt>
                <c:pt idx="886">
                  <c:v>1094.733941587263</c:v>
                </c:pt>
                <c:pt idx="887">
                  <c:v>1151.5336263181234</c:v>
                </c:pt>
                <c:pt idx="888">
                  <c:v>1243.9641808088054</c:v>
                </c:pt>
                <c:pt idx="889">
                  <c:v>1180.9877899485655</c:v>
                </c:pt>
                <c:pt idx="890">
                  <c:v>1480.1970124153086</c:v>
                </c:pt>
                <c:pt idx="891">
                  <c:v>1134.3141701935674</c:v>
                </c:pt>
                <c:pt idx="892">
                  <c:v>1067.9124465261048</c:v>
                </c:pt>
                <c:pt idx="893">
                  <c:v>1214.9084369331322</c:v>
                </c:pt>
                <c:pt idx="894">
                  <c:v>1201.1940112565062</c:v>
                </c:pt>
                <c:pt idx="895">
                  <c:v>1243.5928502486859</c:v>
                </c:pt>
                <c:pt idx="896">
                  <c:v>1111.8395913145796</c:v>
                </c:pt>
                <c:pt idx="897">
                  <c:v>1204.2419780391574</c:v>
                </c:pt>
                <c:pt idx="898">
                  <c:v>1326.8397941978765</c:v>
                </c:pt>
                <c:pt idx="899">
                  <c:v>1333.9901524119123</c:v>
                </c:pt>
                <c:pt idx="900">
                  <c:v>1187.7361689497993</c:v>
                </c:pt>
                <c:pt idx="901">
                  <c:v>1045.7636857230682</c:v>
                </c:pt>
                <c:pt idx="902">
                  <c:v>1236.3695473212283</c:v>
                </c:pt>
                <c:pt idx="903">
                  <c:v>1022.8408040410286</c:v>
                </c:pt>
                <c:pt idx="904">
                  <c:v>1406.5023550719779</c:v>
                </c:pt>
                <c:pt idx="905">
                  <c:v>1243.5438356052837</c:v>
                </c:pt>
                <c:pt idx="906">
                  <c:v>970.07676394667942</c:v>
                </c:pt>
                <c:pt idx="907">
                  <c:v>1383.1234422725756</c:v>
                </c:pt>
                <c:pt idx="908">
                  <c:v>1323.1749035526955</c:v>
                </c:pt>
                <c:pt idx="909">
                  <c:v>1051.6578294118153</c:v>
                </c:pt>
                <c:pt idx="910">
                  <c:v>1008.7863914695699</c:v>
                </c:pt>
                <c:pt idx="911">
                  <c:v>1205.3862888861258</c:v>
                </c:pt>
                <c:pt idx="912">
                  <c:v>1226.4349154983356</c:v>
                </c:pt>
                <c:pt idx="913">
                  <c:v>1165.0224429784939</c:v>
                </c:pt>
                <c:pt idx="914">
                  <c:v>1250.6554647591038</c:v>
                </c:pt>
                <c:pt idx="915">
                  <c:v>870.39952453762817</c:v>
                </c:pt>
                <c:pt idx="916">
                  <c:v>1146.2679286680068</c:v>
                </c:pt>
                <c:pt idx="917">
                  <c:v>1188.9237922648244</c:v>
                </c:pt>
                <c:pt idx="918">
                  <c:v>1209.3220271047903</c:v>
                </c:pt>
                <c:pt idx="919">
                  <c:v>1256.1042329020929</c:v>
                </c:pt>
                <c:pt idx="920">
                  <c:v>1134.5996215845444</c:v>
                </c:pt>
                <c:pt idx="921">
                  <c:v>1098.1213519838202</c:v>
                </c:pt>
                <c:pt idx="922">
                  <c:v>1224.6275282934221</c:v>
                </c:pt>
                <c:pt idx="923">
                  <c:v>1483.2186328559619</c:v>
                </c:pt>
                <c:pt idx="924">
                  <c:v>962.98404124854278</c:v>
                </c:pt>
                <c:pt idx="925">
                  <c:v>1327.3470710288457</c:v>
                </c:pt>
                <c:pt idx="926">
                  <c:v>1151.7072417694289</c:v>
                </c:pt>
                <c:pt idx="927">
                  <c:v>1283.2337629520407</c:v>
                </c:pt>
                <c:pt idx="928">
                  <c:v>1084.1281900841423</c:v>
                </c:pt>
                <c:pt idx="929">
                  <c:v>1177.2758540643626</c:v>
                </c:pt>
                <c:pt idx="930">
                  <c:v>1180.1457117866958</c:v>
                </c:pt>
                <c:pt idx="931">
                  <c:v>1330.792892486068</c:v>
                </c:pt>
                <c:pt idx="932">
                  <c:v>1221.4522200851206</c:v>
                </c:pt>
                <c:pt idx="933">
                  <c:v>1035.3322406730585</c:v>
                </c:pt>
                <c:pt idx="934">
                  <c:v>1257.4212470271596</c:v>
                </c:pt>
                <c:pt idx="935">
                  <c:v>1108.9873219715228</c:v>
                </c:pt>
                <c:pt idx="936">
                  <c:v>1300.0258592952887</c:v>
                </c:pt>
                <c:pt idx="937">
                  <c:v>1321.3891611155123</c:v>
                </c:pt>
                <c:pt idx="938">
                  <c:v>1060.5123321039209</c:v>
                </c:pt>
                <c:pt idx="939">
                  <c:v>1383.8819823868325</c:v>
                </c:pt>
                <c:pt idx="940">
                  <c:v>1231.4497275825634</c:v>
                </c:pt>
                <c:pt idx="941">
                  <c:v>1029.1630847461056</c:v>
                </c:pt>
                <c:pt idx="942">
                  <c:v>1160.4110469846055</c:v>
                </c:pt>
                <c:pt idx="943">
                  <c:v>1301.3452102018491</c:v>
                </c:pt>
                <c:pt idx="944">
                  <c:v>1425.510528235136</c:v>
                </c:pt>
                <c:pt idx="945">
                  <c:v>1182.7953596977677</c:v>
                </c:pt>
                <c:pt idx="946">
                  <c:v>998.80646952940151</c:v>
                </c:pt>
                <c:pt idx="947">
                  <c:v>964.25186371883319</c:v>
                </c:pt>
                <c:pt idx="948">
                  <c:v>1140.4561448481982</c:v>
                </c:pt>
                <c:pt idx="949">
                  <c:v>1086.2538375365111</c:v>
                </c:pt>
                <c:pt idx="950">
                  <c:v>1235.2405724508208</c:v>
                </c:pt>
                <c:pt idx="951">
                  <c:v>1083.3919496929811</c:v>
                </c:pt>
                <c:pt idx="952">
                  <c:v>1227.1603549065476</c:v>
                </c:pt>
                <c:pt idx="953">
                  <c:v>1115.9964669522305</c:v>
                </c:pt>
                <c:pt idx="954">
                  <c:v>1156.3027983541106</c:v>
                </c:pt>
                <c:pt idx="955">
                  <c:v>1274.7976540551535</c:v>
                </c:pt>
                <c:pt idx="956">
                  <c:v>1266.4233992577429</c:v>
                </c:pt>
                <c:pt idx="957">
                  <c:v>984.76383665065805</c:v>
                </c:pt>
                <c:pt idx="958">
                  <c:v>1035.0055895261903</c:v>
                </c:pt>
                <c:pt idx="959">
                  <c:v>1248.5568319003796</c:v>
                </c:pt>
                <c:pt idx="960">
                  <c:v>1089.9856541690824</c:v>
                </c:pt>
                <c:pt idx="961">
                  <c:v>1021.315528931169</c:v>
                </c:pt>
                <c:pt idx="962">
                  <c:v>1198.5962362313439</c:v>
                </c:pt>
                <c:pt idx="963">
                  <c:v>1133.2872240389261</c:v>
                </c:pt>
                <c:pt idx="964">
                  <c:v>1176.1855240915465</c:v>
                </c:pt>
                <c:pt idx="965">
                  <c:v>1243.1141472197341</c:v>
                </c:pt>
                <c:pt idx="966">
                  <c:v>1195.9869596720964</c:v>
                </c:pt>
                <c:pt idx="967">
                  <c:v>1062.1233663878666</c:v>
                </c:pt>
                <c:pt idx="968">
                  <c:v>1539.9294092982018</c:v>
                </c:pt>
                <c:pt idx="969">
                  <c:v>1084.9568982935962</c:v>
                </c:pt>
                <c:pt idx="970">
                  <c:v>1325.0047331603637</c:v>
                </c:pt>
                <c:pt idx="971">
                  <c:v>1386.1812464884861</c:v>
                </c:pt>
                <c:pt idx="972">
                  <c:v>1316.4575823113701</c:v>
                </c:pt>
                <c:pt idx="973">
                  <c:v>1380.2195755469656</c:v>
                </c:pt>
                <c:pt idx="974">
                  <c:v>1405.6510508711362</c:v>
                </c:pt>
                <c:pt idx="975">
                  <c:v>1175.3052583609169</c:v>
                </c:pt>
                <c:pt idx="976">
                  <c:v>1085.6888730305363</c:v>
                </c:pt>
                <c:pt idx="977">
                  <c:v>1158.2975578018231</c:v>
                </c:pt>
                <c:pt idx="978">
                  <c:v>1146.9487110906994</c:v>
                </c:pt>
                <c:pt idx="979">
                  <c:v>1576.06346259977</c:v>
                </c:pt>
                <c:pt idx="980">
                  <c:v>1220.0190804144877</c:v>
                </c:pt>
                <c:pt idx="981">
                  <c:v>1141.1117048253655</c:v>
                </c:pt>
                <c:pt idx="982">
                  <c:v>1184.3580866460907</c:v>
                </c:pt>
                <c:pt idx="983">
                  <c:v>903.21473633182177</c:v>
                </c:pt>
                <c:pt idx="984">
                  <c:v>1202.3016834720911</c:v>
                </c:pt>
                <c:pt idx="985">
                  <c:v>1732.0382347991981</c:v>
                </c:pt>
                <c:pt idx="986">
                  <c:v>1327.738562850951</c:v>
                </c:pt>
                <c:pt idx="987">
                  <c:v>1199.8818738667469</c:v>
                </c:pt>
                <c:pt idx="988">
                  <c:v>1283.1817763199215</c:v>
                </c:pt>
                <c:pt idx="989">
                  <c:v>1176.4140717774353</c:v>
                </c:pt>
                <c:pt idx="990">
                  <c:v>1340.7631739876524</c:v>
                </c:pt>
                <c:pt idx="991">
                  <c:v>1308.8787953451101</c:v>
                </c:pt>
                <c:pt idx="992">
                  <c:v>990.67862449527456</c:v>
                </c:pt>
                <c:pt idx="993">
                  <c:v>1297.6331054990733</c:v>
                </c:pt>
                <c:pt idx="994">
                  <c:v>1054.2395707072574</c:v>
                </c:pt>
                <c:pt idx="995">
                  <c:v>912.52851967342576</c:v>
                </c:pt>
                <c:pt idx="996">
                  <c:v>1247.2488461401299</c:v>
                </c:pt>
                <c:pt idx="997">
                  <c:v>1046.0017592550867</c:v>
                </c:pt>
                <c:pt idx="998">
                  <c:v>1281.1767866137961</c:v>
                </c:pt>
                <c:pt idx="999">
                  <c:v>1294.3568441154348</c:v>
                </c:pt>
              </c:numCache>
            </c:numRef>
          </c:xVal>
          <c:yVal>
            <c:numRef>
              <c:f>'PSA outputs'!$I$9:$I$1008</c:f>
              <c:numCache>
                <c:formatCode>_(* #,##0_);_(* \(#,##0\);_(* "-"??_);_(@_)</c:formatCode>
                <c:ptCount val="1000"/>
                <c:pt idx="0">
                  <c:v>1266081.0034585046</c:v>
                </c:pt>
                <c:pt idx="1">
                  <c:v>893720.81730741623</c:v>
                </c:pt>
                <c:pt idx="2">
                  <c:v>924594.75869058247</c:v>
                </c:pt>
                <c:pt idx="3">
                  <c:v>1447380.2815408164</c:v>
                </c:pt>
                <c:pt idx="4">
                  <c:v>1434959.1414071252</c:v>
                </c:pt>
                <c:pt idx="5">
                  <c:v>1228592.6994884168</c:v>
                </c:pt>
                <c:pt idx="6">
                  <c:v>688454.46786800574</c:v>
                </c:pt>
                <c:pt idx="7">
                  <c:v>2142475.9558534832</c:v>
                </c:pt>
                <c:pt idx="8">
                  <c:v>1542881.3873986611</c:v>
                </c:pt>
                <c:pt idx="9">
                  <c:v>-95286.126110097175</c:v>
                </c:pt>
                <c:pt idx="10">
                  <c:v>651102.71720568556</c:v>
                </c:pt>
                <c:pt idx="11">
                  <c:v>1125149.0447327776</c:v>
                </c:pt>
                <c:pt idx="12">
                  <c:v>1959545.3870908862</c:v>
                </c:pt>
                <c:pt idx="13">
                  <c:v>1419773.8818415718</c:v>
                </c:pt>
                <c:pt idx="14">
                  <c:v>1139077.6058685891</c:v>
                </c:pt>
                <c:pt idx="15">
                  <c:v>1898574.5281631891</c:v>
                </c:pt>
                <c:pt idx="16">
                  <c:v>1504048.6361907278</c:v>
                </c:pt>
                <c:pt idx="17">
                  <c:v>1158027.5066984484</c:v>
                </c:pt>
                <c:pt idx="18">
                  <c:v>735330.35036606318</c:v>
                </c:pt>
                <c:pt idx="19">
                  <c:v>1597340.5755680325</c:v>
                </c:pt>
                <c:pt idx="20">
                  <c:v>617355.89772371377</c:v>
                </c:pt>
                <c:pt idx="21">
                  <c:v>1316147.477970216</c:v>
                </c:pt>
                <c:pt idx="22">
                  <c:v>1002426.2173546719</c:v>
                </c:pt>
                <c:pt idx="23">
                  <c:v>1381937.3150673849</c:v>
                </c:pt>
                <c:pt idx="24">
                  <c:v>1332180.8268427239</c:v>
                </c:pt>
                <c:pt idx="25">
                  <c:v>1025819.3067012614</c:v>
                </c:pt>
                <c:pt idx="26">
                  <c:v>1049630.3507780402</c:v>
                </c:pt>
                <c:pt idx="27">
                  <c:v>482838.18448562827</c:v>
                </c:pt>
                <c:pt idx="28">
                  <c:v>1103161.8155157843</c:v>
                </c:pt>
                <c:pt idx="29">
                  <c:v>549044.01245548634</c:v>
                </c:pt>
                <c:pt idx="30">
                  <c:v>1856659.1564243371</c:v>
                </c:pt>
                <c:pt idx="31">
                  <c:v>338213.46767720167</c:v>
                </c:pt>
                <c:pt idx="32">
                  <c:v>578449.91737415723</c:v>
                </c:pt>
                <c:pt idx="33">
                  <c:v>1597115.6072862493</c:v>
                </c:pt>
                <c:pt idx="34">
                  <c:v>972216.81192863011</c:v>
                </c:pt>
                <c:pt idx="35">
                  <c:v>1233079.9977128846</c:v>
                </c:pt>
                <c:pt idx="36">
                  <c:v>522265.83969372406</c:v>
                </c:pt>
                <c:pt idx="37">
                  <c:v>1683353.8751362157</c:v>
                </c:pt>
                <c:pt idx="38">
                  <c:v>878478.04730562121</c:v>
                </c:pt>
                <c:pt idx="39">
                  <c:v>1264862.5963030746</c:v>
                </c:pt>
                <c:pt idx="40">
                  <c:v>1331612.1661266517</c:v>
                </c:pt>
                <c:pt idx="41">
                  <c:v>1394225.0862580445</c:v>
                </c:pt>
                <c:pt idx="42">
                  <c:v>1155942.0587607636</c:v>
                </c:pt>
                <c:pt idx="43">
                  <c:v>874039.78945331485</c:v>
                </c:pt>
                <c:pt idx="44">
                  <c:v>733241.34046366147</c:v>
                </c:pt>
                <c:pt idx="45">
                  <c:v>1246963.1820653905</c:v>
                </c:pt>
                <c:pt idx="46">
                  <c:v>243658.45972955626</c:v>
                </c:pt>
                <c:pt idx="47">
                  <c:v>1110749.0561163037</c:v>
                </c:pt>
                <c:pt idx="48">
                  <c:v>1043987.6643209967</c:v>
                </c:pt>
                <c:pt idx="49">
                  <c:v>921804.13883760606</c:v>
                </c:pt>
                <c:pt idx="50">
                  <c:v>1217118.8313379027</c:v>
                </c:pt>
                <c:pt idx="51">
                  <c:v>1304800.3002379423</c:v>
                </c:pt>
                <c:pt idx="52">
                  <c:v>1108674.7824480273</c:v>
                </c:pt>
                <c:pt idx="53">
                  <c:v>308832.49029810407</c:v>
                </c:pt>
                <c:pt idx="54">
                  <c:v>1326384.9978662753</c:v>
                </c:pt>
                <c:pt idx="55">
                  <c:v>1169178.0417599084</c:v>
                </c:pt>
                <c:pt idx="56">
                  <c:v>847647.51464000694</c:v>
                </c:pt>
                <c:pt idx="57">
                  <c:v>853402.78136791976</c:v>
                </c:pt>
                <c:pt idx="58">
                  <c:v>1989520.6086448873</c:v>
                </c:pt>
                <c:pt idx="59">
                  <c:v>1504191.2099782561</c:v>
                </c:pt>
                <c:pt idx="60">
                  <c:v>708673.97855327383</c:v>
                </c:pt>
                <c:pt idx="61">
                  <c:v>1656097.4733981842</c:v>
                </c:pt>
                <c:pt idx="62">
                  <c:v>807717.90376068873</c:v>
                </c:pt>
                <c:pt idx="63">
                  <c:v>1178865.7021073087</c:v>
                </c:pt>
                <c:pt idx="64">
                  <c:v>785268.65287298453</c:v>
                </c:pt>
                <c:pt idx="65">
                  <c:v>1041442.2474419581</c:v>
                </c:pt>
                <c:pt idx="66">
                  <c:v>1145604.2446541553</c:v>
                </c:pt>
                <c:pt idx="67">
                  <c:v>1063422.5211678678</c:v>
                </c:pt>
                <c:pt idx="68">
                  <c:v>310354.93766377692</c:v>
                </c:pt>
                <c:pt idx="69">
                  <c:v>219657.55384259592</c:v>
                </c:pt>
                <c:pt idx="70">
                  <c:v>1187649.5306511705</c:v>
                </c:pt>
                <c:pt idx="71">
                  <c:v>903511.8855915881</c:v>
                </c:pt>
                <c:pt idx="72">
                  <c:v>1031820.4499309032</c:v>
                </c:pt>
                <c:pt idx="73">
                  <c:v>863842.43276020314</c:v>
                </c:pt>
                <c:pt idx="74">
                  <c:v>349730.16470049956</c:v>
                </c:pt>
                <c:pt idx="75">
                  <c:v>923481.86070456542</c:v>
                </c:pt>
                <c:pt idx="76">
                  <c:v>1499938.4312245338</c:v>
                </c:pt>
                <c:pt idx="77">
                  <c:v>1843905.1581550555</c:v>
                </c:pt>
                <c:pt idx="78">
                  <c:v>1567558.3072206737</c:v>
                </c:pt>
                <c:pt idx="79">
                  <c:v>1165876.1276855844</c:v>
                </c:pt>
                <c:pt idx="80">
                  <c:v>2084736.8395884742</c:v>
                </c:pt>
                <c:pt idx="81">
                  <c:v>2044142.0548488109</c:v>
                </c:pt>
                <c:pt idx="82">
                  <c:v>1510631.6080392271</c:v>
                </c:pt>
                <c:pt idx="83">
                  <c:v>742608.40580108354</c:v>
                </c:pt>
                <c:pt idx="84">
                  <c:v>1329874.9388935806</c:v>
                </c:pt>
                <c:pt idx="85">
                  <c:v>994214.87049941544</c:v>
                </c:pt>
                <c:pt idx="86">
                  <c:v>773783.25653949159</c:v>
                </c:pt>
                <c:pt idx="87">
                  <c:v>1067373.8316392938</c:v>
                </c:pt>
                <c:pt idx="88">
                  <c:v>1663417.4106213215</c:v>
                </c:pt>
                <c:pt idx="89">
                  <c:v>2115526.8303421428</c:v>
                </c:pt>
                <c:pt idx="90">
                  <c:v>1625102.585453345</c:v>
                </c:pt>
                <c:pt idx="91">
                  <c:v>1269102.4083637444</c:v>
                </c:pt>
                <c:pt idx="92">
                  <c:v>696993.55224263004</c:v>
                </c:pt>
                <c:pt idx="93">
                  <c:v>1737582.7237087626</c:v>
                </c:pt>
                <c:pt idx="94">
                  <c:v>1888663.282719976</c:v>
                </c:pt>
                <c:pt idx="95">
                  <c:v>1725892.5324332444</c:v>
                </c:pt>
                <c:pt idx="96">
                  <c:v>1616668.6446480379</c:v>
                </c:pt>
                <c:pt idx="97">
                  <c:v>1142469.8037280736</c:v>
                </c:pt>
                <c:pt idx="98">
                  <c:v>854653.10760452435</c:v>
                </c:pt>
                <c:pt idx="99">
                  <c:v>198584.24352441498</c:v>
                </c:pt>
                <c:pt idx="100">
                  <c:v>997799.35439106415</c:v>
                </c:pt>
                <c:pt idx="101">
                  <c:v>2083662.6478088261</c:v>
                </c:pt>
                <c:pt idx="102">
                  <c:v>1224239.8199907194</c:v>
                </c:pt>
                <c:pt idx="103">
                  <c:v>1146209.3615303591</c:v>
                </c:pt>
                <c:pt idx="104">
                  <c:v>1904243.936357117</c:v>
                </c:pt>
                <c:pt idx="105">
                  <c:v>754357.20743052138</c:v>
                </c:pt>
                <c:pt idx="106">
                  <c:v>2339449.1851889603</c:v>
                </c:pt>
                <c:pt idx="107">
                  <c:v>1600701.2543303575</c:v>
                </c:pt>
                <c:pt idx="108">
                  <c:v>1302413.3129083377</c:v>
                </c:pt>
                <c:pt idx="109">
                  <c:v>876840.83645459544</c:v>
                </c:pt>
                <c:pt idx="110">
                  <c:v>1941672.0662240717</c:v>
                </c:pt>
                <c:pt idx="111">
                  <c:v>955398.16521940497</c:v>
                </c:pt>
                <c:pt idx="112">
                  <c:v>600903.80592442339</c:v>
                </c:pt>
                <c:pt idx="113">
                  <c:v>1789529.1755463895</c:v>
                </c:pt>
                <c:pt idx="114">
                  <c:v>850105.67228803923</c:v>
                </c:pt>
                <c:pt idx="115">
                  <c:v>1202615.6251348148</c:v>
                </c:pt>
                <c:pt idx="116">
                  <c:v>983633.92177379096</c:v>
                </c:pt>
                <c:pt idx="117">
                  <c:v>610209.56253843941</c:v>
                </c:pt>
                <c:pt idx="118">
                  <c:v>1461280.9442404823</c:v>
                </c:pt>
                <c:pt idx="119">
                  <c:v>1287702.2391362158</c:v>
                </c:pt>
                <c:pt idx="120">
                  <c:v>1246614.0603259674</c:v>
                </c:pt>
                <c:pt idx="121">
                  <c:v>1440599.3035234381</c:v>
                </c:pt>
                <c:pt idx="122">
                  <c:v>730959.22020571586</c:v>
                </c:pt>
                <c:pt idx="123">
                  <c:v>1267811.550545451</c:v>
                </c:pt>
                <c:pt idx="124">
                  <c:v>1250017.904538257</c:v>
                </c:pt>
                <c:pt idx="125">
                  <c:v>1238551.3628717775</c:v>
                </c:pt>
                <c:pt idx="126">
                  <c:v>1417108.1373067272</c:v>
                </c:pt>
                <c:pt idx="127">
                  <c:v>1244718.5233768323</c:v>
                </c:pt>
                <c:pt idx="128">
                  <c:v>900552.0163839109</c:v>
                </c:pt>
                <c:pt idx="129">
                  <c:v>1623802.3637009277</c:v>
                </c:pt>
                <c:pt idx="130">
                  <c:v>1800973.690579542</c:v>
                </c:pt>
                <c:pt idx="131">
                  <c:v>994855.43570381659</c:v>
                </c:pt>
                <c:pt idx="132">
                  <c:v>2473944.4383113822</c:v>
                </c:pt>
                <c:pt idx="133">
                  <c:v>754285.09176238056</c:v>
                </c:pt>
                <c:pt idx="134">
                  <c:v>1374260.2411205005</c:v>
                </c:pt>
                <c:pt idx="135">
                  <c:v>1655709.5705884942</c:v>
                </c:pt>
                <c:pt idx="136">
                  <c:v>1649753.2853248115</c:v>
                </c:pt>
                <c:pt idx="137">
                  <c:v>1416075.473166028</c:v>
                </c:pt>
                <c:pt idx="138">
                  <c:v>1404723.8105321748</c:v>
                </c:pt>
                <c:pt idx="139">
                  <c:v>909647.80827021971</c:v>
                </c:pt>
                <c:pt idx="140">
                  <c:v>1569405.5218212081</c:v>
                </c:pt>
                <c:pt idx="141">
                  <c:v>927999.82768790994</c:v>
                </c:pt>
                <c:pt idx="142">
                  <c:v>936457.57481659518</c:v>
                </c:pt>
                <c:pt idx="143">
                  <c:v>1140835.1713150116</c:v>
                </c:pt>
                <c:pt idx="144">
                  <c:v>1287476.1178882653</c:v>
                </c:pt>
                <c:pt idx="145">
                  <c:v>1756529.664518232</c:v>
                </c:pt>
                <c:pt idx="146">
                  <c:v>1183328.1158977039</c:v>
                </c:pt>
                <c:pt idx="147">
                  <c:v>1084128.8884356609</c:v>
                </c:pt>
                <c:pt idx="148">
                  <c:v>809615.27516442526</c:v>
                </c:pt>
                <c:pt idx="149">
                  <c:v>1697231.2456758884</c:v>
                </c:pt>
                <c:pt idx="150">
                  <c:v>1137812.7900064311</c:v>
                </c:pt>
                <c:pt idx="151">
                  <c:v>1564087.9662675641</c:v>
                </c:pt>
                <c:pt idx="152">
                  <c:v>1456265.0624042402</c:v>
                </c:pt>
                <c:pt idx="153">
                  <c:v>295875.71757483511</c:v>
                </c:pt>
                <c:pt idx="154">
                  <c:v>1522959.7908423904</c:v>
                </c:pt>
                <c:pt idx="155">
                  <c:v>1000494.5173493091</c:v>
                </c:pt>
                <c:pt idx="156">
                  <c:v>1127498.082471102</c:v>
                </c:pt>
                <c:pt idx="157">
                  <c:v>1306885.9154690939</c:v>
                </c:pt>
                <c:pt idx="158">
                  <c:v>1309908.3050681979</c:v>
                </c:pt>
                <c:pt idx="159">
                  <c:v>1338958.7042996006</c:v>
                </c:pt>
                <c:pt idx="160">
                  <c:v>1123298.4409192367</c:v>
                </c:pt>
                <c:pt idx="161">
                  <c:v>1409175.3967757348</c:v>
                </c:pt>
                <c:pt idx="162">
                  <c:v>1604981.0766341456</c:v>
                </c:pt>
                <c:pt idx="163">
                  <c:v>1130351.4715453116</c:v>
                </c:pt>
                <c:pt idx="164">
                  <c:v>1635735.544867689</c:v>
                </c:pt>
                <c:pt idx="165">
                  <c:v>1366742.4043423911</c:v>
                </c:pt>
                <c:pt idx="166">
                  <c:v>1274416.3193868697</c:v>
                </c:pt>
                <c:pt idx="167">
                  <c:v>1318148.9228822144</c:v>
                </c:pt>
                <c:pt idx="168">
                  <c:v>856145.72602303128</c:v>
                </c:pt>
                <c:pt idx="169">
                  <c:v>1636142.7065603388</c:v>
                </c:pt>
                <c:pt idx="170">
                  <c:v>1332152.3053439639</c:v>
                </c:pt>
                <c:pt idx="171">
                  <c:v>557247.76309886936</c:v>
                </c:pt>
                <c:pt idx="172">
                  <c:v>1032990.1447127409</c:v>
                </c:pt>
                <c:pt idx="173">
                  <c:v>715478.53858386632</c:v>
                </c:pt>
                <c:pt idx="174">
                  <c:v>313580.09368749202</c:v>
                </c:pt>
                <c:pt idx="175">
                  <c:v>914864.54988706554</c:v>
                </c:pt>
                <c:pt idx="176">
                  <c:v>1020624.9108960099</c:v>
                </c:pt>
                <c:pt idx="177">
                  <c:v>1511030.278796507</c:v>
                </c:pt>
                <c:pt idx="178">
                  <c:v>1295339.2972506485</c:v>
                </c:pt>
                <c:pt idx="179">
                  <c:v>585742.85830446635</c:v>
                </c:pt>
                <c:pt idx="180">
                  <c:v>1029207.5508197567</c:v>
                </c:pt>
                <c:pt idx="181">
                  <c:v>1655663.3997160492</c:v>
                </c:pt>
                <c:pt idx="182">
                  <c:v>805509.28382490529</c:v>
                </c:pt>
                <c:pt idx="183">
                  <c:v>1460087.8893284451</c:v>
                </c:pt>
                <c:pt idx="184">
                  <c:v>1151406.1563209088</c:v>
                </c:pt>
                <c:pt idx="185">
                  <c:v>1615661.6601164525</c:v>
                </c:pt>
                <c:pt idx="186">
                  <c:v>1561376.8563650195</c:v>
                </c:pt>
                <c:pt idx="187">
                  <c:v>676126.87162540969</c:v>
                </c:pt>
                <c:pt idx="188">
                  <c:v>794243.30857550388</c:v>
                </c:pt>
                <c:pt idx="189">
                  <c:v>665661.36411610967</c:v>
                </c:pt>
                <c:pt idx="190">
                  <c:v>888274.72420891619</c:v>
                </c:pt>
                <c:pt idx="191">
                  <c:v>1458907.5177003634</c:v>
                </c:pt>
                <c:pt idx="192">
                  <c:v>863704.24464397971</c:v>
                </c:pt>
                <c:pt idx="193">
                  <c:v>1676977.7430561921</c:v>
                </c:pt>
                <c:pt idx="194">
                  <c:v>1239251.2093627001</c:v>
                </c:pt>
                <c:pt idx="195">
                  <c:v>1876863.1904179575</c:v>
                </c:pt>
                <c:pt idx="196">
                  <c:v>1855513.5009996833</c:v>
                </c:pt>
                <c:pt idx="197">
                  <c:v>1282803.7399195014</c:v>
                </c:pt>
                <c:pt idx="198">
                  <c:v>1214025.7400786239</c:v>
                </c:pt>
                <c:pt idx="199">
                  <c:v>3169444.0561180222</c:v>
                </c:pt>
                <c:pt idx="200">
                  <c:v>989497.45142045023</c:v>
                </c:pt>
                <c:pt idx="201">
                  <c:v>1163903.6135507019</c:v>
                </c:pt>
                <c:pt idx="202">
                  <c:v>1802618.1170995822</c:v>
                </c:pt>
                <c:pt idx="203">
                  <c:v>1421074.4966527747</c:v>
                </c:pt>
                <c:pt idx="204">
                  <c:v>1550796.3636588559</c:v>
                </c:pt>
                <c:pt idx="205">
                  <c:v>1095461.8862758467</c:v>
                </c:pt>
                <c:pt idx="206">
                  <c:v>1292293.7114911447</c:v>
                </c:pt>
                <c:pt idx="207">
                  <c:v>751445.89749247895</c:v>
                </c:pt>
                <c:pt idx="208">
                  <c:v>914173.83771822229</c:v>
                </c:pt>
                <c:pt idx="209">
                  <c:v>613640.75995512353</c:v>
                </c:pt>
                <c:pt idx="210">
                  <c:v>1635272.0652056145</c:v>
                </c:pt>
                <c:pt idx="211">
                  <c:v>775018.69455696922</c:v>
                </c:pt>
                <c:pt idx="212">
                  <c:v>1371097.6863014579</c:v>
                </c:pt>
                <c:pt idx="213">
                  <c:v>1410555.2642866224</c:v>
                </c:pt>
                <c:pt idx="214">
                  <c:v>1598460.3772565399</c:v>
                </c:pt>
                <c:pt idx="215">
                  <c:v>905311.29833335557</c:v>
                </c:pt>
                <c:pt idx="216">
                  <c:v>1337007.0128544036</c:v>
                </c:pt>
                <c:pt idx="217">
                  <c:v>580275.92828333029</c:v>
                </c:pt>
                <c:pt idx="218">
                  <c:v>2073575.4996626468</c:v>
                </c:pt>
                <c:pt idx="219">
                  <c:v>1007561.3112667092</c:v>
                </c:pt>
                <c:pt idx="220">
                  <c:v>978973.63577500684</c:v>
                </c:pt>
                <c:pt idx="221">
                  <c:v>952683.60555118183</c:v>
                </c:pt>
                <c:pt idx="222">
                  <c:v>623529.59337351588</c:v>
                </c:pt>
                <c:pt idx="223">
                  <c:v>688609.76397204516</c:v>
                </c:pt>
                <c:pt idx="224">
                  <c:v>829547.95357854664</c:v>
                </c:pt>
                <c:pt idx="225">
                  <c:v>1275878.4204524469</c:v>
                </c:pt>
                <c:pt idx="226">
                  <c:v>1060978.9579002159</c:v>
                </c:pt>
                <c:pt idx="227">
                  <c:v>859883.86321875977</c:v>
                </c:pt>
                <c:pt idx="228">
                  <c:v>1395807.2648334627</c:v>
                </c:pt>
                <c:pt idx="229">
                  <c:v>887767.2193612936</c:v>
                </c:pt>
                <c:pt idx="230">
                  <c:v>2589777.9846303482</c:v>
                </c:pt>
                <c:pt idx="231">
                  <c:v>652104.08388253115</c:v>
                </c:pt>
                <c:pt idx="232">
                  <c:v>1048682.369615301</c:v>
                </c:pt>
                <c:pt idx="233">
                  <c:v>1895686.2883388246</c:v>
                </c:pt>
                <c:pt idx="234">
                  <c:v>1698291.4402031461</c:v>
                </c:pt>
                <c:pt idx="235">
                  <c:v>1228166.2932264619</c:v>
                </c:pt>
                <c:pt idx="236">
                  <c:v>574053.28824001481</c:v>
                </c:pt>
                <c:pt idx="237">
                  <c:v>1908698.7655204262</c:v>
                </c:pt>
                <c:pt idx="238">
                  <c:v>727885.48665168893</c:v>
                </c:pt>
                <c:pt idx="239">
                  <c:v>275325.4644057019</c:v>
                </c:pt>
                <c:pt idx="240">
                  <c:v>2151743.8254753002</c:v>
                </c:pt>
                <c:pt idx="241">
                  <c:v>953189.05340785324</c:v>
                </c:pt>
                <c:pt idx="242">
                  <c:v>1749815.1049910793</c:v>
                </c:pt>
                <c:pt idx="243">
                  <c:v>1935065.6587795671</c:v>
                </c:pt>
                <c:pt idx="244">
                  <c:v>1372503.9686843569</c:v>
                </c:pt>
                <c:pt idx="245">
                  <c:v>1356717.3332682168</c:v>
                </c:pt>
                <c:pt idx="246">
                  <c:v>768967.30292839266</c:v>
                </c:pt>
                <c:pt idx="247">
                  <c:v>1701570.4093044288</c:v>
                </c:pt>
                <c:pt idx="248">
                  <c:v>769347.34873112908</c:v>
                </c:pt>
                <c:pt idx="249">
                  <c:v>1048592.8017162937</c:v>
                </c:pt>
                <c:pt idx="250">
                  <c:v>945191.69931610802</c:v>
                </c:pt>
                <c:pt idx="251">
                  <c:v>1656665.3438232858</c:v>
                </c:pt>
                <c:pt idx="252">
                  <c:v>787640.36343121168</c:v>
                </c:pt>
                <c:pt idx="253">
                  <c:v>844006.44932166906</c:v>
                </c:pt>
                <c:pt idx="254">
                  <c:v>1262113.8909497873</c:v>
                </c:pt>
                <c:pt idx="255">
                  <c:v>673970.50887154788</c:v>
                </c:pt>
                <c:pt idx="256">
                  <c:v>630171.05031116912</c:v>
                </c:pt>
                <c:pt idx="257">
                  <c:v>1810598.5740212509</c:v>
                </c:pt>
                <c:pt idx="258">
                  <c:v>2134168.1642465265</c:v>
                </c:pt>
                <c:pt idx="259">
                  <c:v>1428283.1284815087</c:v>
                </c:pt>
                <c:pt idx="260">
                  <c:v>1537334.9028451934</c:v>
                </c:pt>
                <c:pt idx="261">
                  <c:v>1912899.7301828219</c:v>
                </c:pt>
                <c:pt idx="262">
                  <c:v>1082358.5198738046</c:v>
                </c:pt>
                <c:pt idx="263">
                  <c:v>809048.17763363186</c:v>
                </c:pt>
                <c:pt idx="264">
                  <c:v>1754915.0302337476</c:v>
                </c:pt>
                <c:pt idx="265">
                  <c:v>1347387.2955565576</c:v>
                </c:pt>
                <c:pt idx="266">
                  <c:v>1040375.4765431555</c:v>
                </c:pt>
                <c:pt idx="267">
                  <c:v>1587315.7113794892</c:v>
                </c:pt>
                <c:pt idx="268">
                  <c:v>1571437.7095996814</c:v>
                </c:pt>
                <c:pt idx="269">
                  <c:v>889068.91277946951</c:v>
                </c:pt>
                <c:pt idx="270">
                  <c:v>2377358.785302652</c:v>
                </c:pt>
                <c:pt idx="271">
                  <c:v>1221439.5496527019</c:v>
                </c:pt>
                <c:pt idx="272">
                  <c:v>1633869.9550129543</c:v>
                </c:pt>
                <c:pt idx="273">
                  <c:v>1405254.76390742</c:v>
                </c:pt>
                <c:pt idx="274">
                  <c:v>1254523.6815777605</c:v>
                </c:pt>
                <c:pt idx="275">
                  <c:v>548107.66593320656</c:v>
                </c:pt>
                <c:pt idx="276">
                  <c:v>2094501.6685561847</c:v>
                </c:pt>
                <c:pt idx="277">
                  <c:v>2059000.5691578321</c:v>
                </c:pt>
                <c:pt idx="278">
                  <c:v>1835019.3490381148</c:v>
                </c:pt>
                <c:pt idx="279">
                  <c:v>600809.21204254427</c:v>
                </c:pt>
                <c:pt idx="280">
                  <c:v>2604834.5320891528</c:v>
                </c:pt>
                <c:pt idx="281">
                  <c:v>1208439.0600292238</c:v>
                </c:pt>
                <c:pt idx="282">
                  <c:v>1565242.6775686429</c:v>
                </c:pt>
                <c:pt idx="283">
                  <c:v>2284009.0436753351</c:v>
                </c:pt>
                <c:pt idx="284">
                  <c:v>2235935.959609508</c:v>
                </c:pt>
                <c:pt idx="285">
                  <c:v>510651.98771302117</c:v>
                </c:pt>
                <c:pt idx="286">
                  <c:v>2034231.5820368482</c:v>
                </c:pt>
                <c:pt idx="287">
                  <c:v>526726.4578474036</c:v>
                </c:pt>
                <c:pt idx="288">
                  <c:v>809383.33841195668</c:v>
                </c:pt>
                <c:pt idx="289">
                  <c:v>1157526.7997916706</c:v>
                </c:pt>
                <c:pt idx="290">
                  <c:v>1662164.6158593928</c:v>
                </c:pt>
                <c:pt idx="291">
                  <c:v>1864296.144903607</c:v>
                </c:pt>
                <c:pt idx="292">
                  <c:v>876999.65145104274</c:v>
                </c:pt>
                <c:pt idx="293">
                  <c:v>1127125.8604471518</c:v>
                </c:pt>
                <c:pt idx="294">
                  <c:v>2073293.9255521789</c:v>
                </c:pt>
                <c:pt idx="295">
                  <c:v>1719462.1756915066</c:v>
                </c:pt>
                <c:pt idx="296">
                  <c:v>1249992.998934391</c:v>
                </c:pt>
                <c:pt idx="297">
                  <c:v>497094.53334508283</c:v>
                </c:pt>
                <c:pt idx="298">
                  <c:v>1432739.0567928243</c:v>
                </c:pt>
                <c:pt idx="299">
                  <c:v>947134.90558029525</c:v>
                </c:pt>
                <c:pt idx="300">
                  <c:v>1465206.0959485965</c:v>
                </c:pt>
                <c:pt idx="301">
                  <c:v>2386576.5203817417</c:v>
                </c:pt>
                <c:pt idx="302">
                  <c:v>1242468.8059277735</c:v>
                </c:pt>
                <c:pt idx="303">
                  <c:v>1700690.9347339009</c:v>
                </c:pt>
                <c:pt idx="304">
                  <c:v>1033611.2649228793</c:v>
                </c:pt>
                <c:pt idx="305">
                  <c:v>1801119.7960602536</c:v>
                </c:pt>
                <c:pt idx="306">
                  <c:v>785999.48441506177</c:v>
                </c:pt>
                <c:pt idx="307">
                  <c:v>1189573.2282372538</c:v>
                </c:pt>
                <c:pt idx="308">
                  <c:v>1457179.0298109853</c:v>
                </c:pt>
                <c:pt idx="309">
                  <c:v>907140.69271760748</c:v>
                </c:pt>
                <c:pt idx="310">
                  <c:v>1898866.6137186426</c:v>
                </c:pt>
                <c:pt idx="311">
                  <c:v>1163489.7730927174</c:v>
                </c:pt>
                <c:pt idx="312">
                  <c:v>1379471.1689077725</c:v>
                </c:pt>
                <c:pt idx="313">
                  <c:v>1812127.6423921157</c:v>
                </c:pt>
                <c:pt idx="314">
                  <c:v>1450406.0868963497</c:v>
                </c:pt>
                <c:pt idx="315">
                  <c:v>1525735.9198863518</c:v>
                </c:pt>
                <c:pt idx="316">
                  <c:v>649387.30524462636</c:v>
                </c:pt>
                <c:pt idx="317">
                  <c:v>973473.85408076795</c:v>
                </c:pt>
                <c:pt idx="318">
                  <c:v>990336.87194407615</c:v>
                </c:pt>
                <c:pt idx="319">
                  <c:v>2125320.3478065589</c:v>
                </c:pt>
                <c:pt idx="320">
                  <c:v>931131.05703727552</c:v>
                </c:pt>
                <c:pt idx="321">
                  <c:v>2151195.8759858767</c:v>
                </c:pt>
                <c:pt idx="322">
                  <c:v>2823853.4326251573</c:v>
                </c:pt>
                <c:pt idx="323">
                  <c:v>1661457.9531229578</c:v>
                </c:pt>
                <c:pt idx="324">
                  <c:v>1515824.6500152487</c:v>
                </c:pt>
                <c:pt idx="325">
                  <c:v>1024646.5683195692</c:v>
                </c:pt>
                <c:pt idx="326">
                  <c:v>1054713.2588963911</c:v>
                </c:pt>
                <c:pt idx="327">
                  <c:v>1884472.4559720058</c:v>
                </c:pt>
                <c:pt idx="328">
                  <c:v>1258876.2473847393</c:v>
                </c:pt>
                <c:pt idx="329">
                  <c:v>1386196.8241152936</c:v>
                </c:pt>
                <c:pt idx="330">
                  <c:v>1391865.9914665367</c:v>
                </c:pt>
                <c:pt idx="331">
                  <c:v>506811.82710954914</c:v>
                </c:pt>
                <c:pt idx="332">
                  <c:v>765536.2617784387</c:v>
                </c:pt>
                <c:pt idx="333">
                  <c:v>1314404.4654552417</c:v>
                </c:pt>
                <c:pt idx="334">
                  <c:v>778654.15544527955</c:v>
                </c:pt>
                <c:pt idx="335">
                  <c:v>1231289.8960391851</c:v>
                </c:pt>
                <c:pt idx="336">
                  <c:v>2145604.538583809</c:v>
                </c:pt>
                <c:pt idx="337">
                  <c:v>1387836.3692968658</c:v>
                </c:pt>
                <c:pt idx="338">
                  <c:v>1252957.8892155164</c:v>
                </c:pt>
                <c:pt idx="339">
                  <c:v>838160.98675029003</c:v>
                </c:pt>
                <c:pt idx="340">
                  <c:v>1848459.0834534001</c:v>
                </c:pt>
                <c:pt idx="341">
                  <c:v>1187855.6439791368</c:v>
                </c:pt>
                <c:pt idx="342">
                  <c:v>2383066.8147339304</c:v>
                </c:pt>
                <c:pt idx="343">
                  <c:v>1036032.766343882</c:v>
                </c:pt>
                <c:pt idx="344">
                  <c:v>1438758.1584022273</c:v>
                </c:pt>
                <c:pt idx="345">
                  <c:v>697576.35193515418</c:v>
                </c:pt>
                <c:pt idx="346">
                  <c:v>775078.61681545898</c:v>
                </c:pt>
                <c:pt idx="347">
                  <c:v>1671253.2795735656</c:v>
                </c:pt>
                <c:pt idx="348">
                  <c:v>806946.82226449472</c:v>
                </c:pt>
                <c:pt idx="349">
                  <c:v>1762213.386184446</c:v>
                </c:pt>
                <c:pt idx="350">
                  <c:v>1006662.3053501339</c:v>
                </c:pt>
                <c:pt idx="351">
                  <c:v>1595519.4213148938</c:v>
                </c:pt>
                <c:pt idx="352">
                  <c:v>1352439.4582410031</c:v>
                </c:pt>
                <c:pt idx="353">
                  <c:v>734153.46185631398</c:v>
                </c:pt>
                <c:pt idx="354">
                  <c:v>1269051.926084666</c:v>
                </c:pt>
                <c:pt idx="355">
                  <c:v>810666.67264266883</c:v>
                </c:pt>
                <c:pt idx="356">
                  <c:v>1134623.6221677556</c:v>
                </c:pt>
                <c:pt idx="357">
                  <c:v>1746956.8691678874</c:v>
                </c:pt>
                <c:pt idx="358">
                  <c:v>1548940.2605022392</c:v>
                </c:pt>
                <c:pt idx="359">
                  <c:v>1712897.3964734471</c:v>
                </c:pt>
                <c:pt idx="360">
                  <c:v>1830535.2690230939</c:v>
                </c:pt>
                <c:pt idx="361">
                  <c:v>1028067.2475840478</c:v>
                </c:pt>
                <c:pt idx="362">
                  <c:v>729876.50652857998</c:v>
                </c:pt>
                <c:pt idx="363">
                  <c:v>527367.04815666599</c:v>
                </c:pt>
                <c:pt idx="364">
                  <c:v>1179679.4158850415</c:v>
                </c:pt>
                <c:pt idx="365">
                  <c:v>1397449.4461185483</c:v>
                </c:pt>
                <c:pt idx="366">
                  <c:v>2402792.4443268026</c:v>
                </c:pt>
                <c:pt idx="367">
                  <c:v>492313.42203279043</c:v>
                </c:pt>
                <c:pt idx="368">
                  <c:v>1809896.3838182127</c:v>
                </c:pt>
                <c:pt idx="369">
                  <c:v>526264.93954457343</c:v>
                </c:pt>
                <c:pt idx="370">
                  <c:v>597995.77967813786</c:v>
                </c:pt>
                <c:pt idx="371">
                  <c:v>1672080.8357289326</c:v>
                </c:pt>
                <c:pt idx="372">
                  <c:v>1143065.4810713124</c:v>
                </c:pt>
                <c:pt idx="373">
                  <c:v>1723908.3321238346</c:v>
                </c:pt>
                <c:pt idx="374">
                  <c:v>1403419.5150709823</c:v>
                </c:pt>
                <c:pt idx="375">
                  <c:v>1296507.7613633603</c:v>
                </c:pt>
                <c:pt idx="376">
                  <c:v>962235.77680789214</c:v>
                </c:pt>
                <c:pt idx="377">
                  <c:v>2163053.0460176296</c:v>
                </c:pt>
                <c:pt idx="378">
                  <c:v>1111261.2191644663</c:v>
                </c:pt>
                <c:pt idx="379">
                  <c:v>1261795.8804736503</c:v>
                </c:pt>
                <c:pt idx="380">
                  <c:v>1050323.6304329003</c:v>
                </c:pt>
                <c:pt idx="381">
                  <c:v>1061096.2042457641</c:v>
                </c:pt>
                <c:pt idx="382">
                  <c:v>1071093.0079652662</c:v>
                </c:pt>
                <c:pt idx="383">
                  <c:v>2044936.8473424232</c:v>
                </c:pt>
                <c:pt idx="384">
                  <c:v>1635065.2548347304</c:v>
                </c:pt>
                <c:pt idx="385">
                  <c:v>1118679.1281852061</c:v>
                </c:pt>
                <c:pt idx="386">
                  <c:v>2047193.730404014</c:v>
                </c:pt>
                <c:pt idx="387">
                  <c:v>1227893.7392350279</c:v>
                </c:pt>
                <c:pt idx="388">
                  <c:v>440068.48788613291</c:v>
                </c:pt>
                <c:pt idx="389">
                  <c:v>1947948.034865154</c:v>
                </c:pt>
                <c:pt idx="390">
                  <c:v>1253409.185074575</c:v>
                </c:pt>
                <c:pt idx="391">
                  <c:v>1297151.0565626726</c:v>
                </c:pt>
                <c:pt idx="392">
                  <c:v>1670162.3883704385</c:v>
                </c:pt>
                <c:pt idx="393">
                  <c:v>695503.47751680063</c:v>
                </c:pt>
                <c:pt idx="394">
                  <c:v>880999.67173985869</c:v>
                </c:pt>
                <c:pt idx="395">
                  <c:v>695427.73607018439</c:v>
                </c:pt>
                <c:pt idx="396">
                  <c:v>1423675.9662750291</c:v>
                </c:pt>
                <c:pt idx="397">
                  <c:v>1380206.6136585171</c:v>
                </c:pt>
                <c:pt idx="398">
                  <c:v>1158679.4405520228</c:v>
                </c:pt>
                <c:pt idx="399">
                  <c:v>1504521.7835815009</c:v>
                </c:pt>
                <c:pt idx="400">
                  <c:v>1310881.7573255564</c:v>
                </c:pt>
                <c:pt idx="401">
                  <c:v>1534059.0710385139</c:v>
                </c:pt>
                <c:pt idx="402">
                  <c:v>1253793.9504942745</c:v>
                </c:pt>
                <c:pt idx="403">
                  <c:v>1228302.5696593022</c:v>
                </c:pt>
                <c:pt idx="404">
                  <c:v>1190435.5454499545</c:v>
                </c:pt>
                <c:pt idx="405">
                  <c:v>615046.85656790773</c:v>
                </c:pt>
                <c:pt idx="406">
                  <c:v>456464.06409950071</c:v>
                </c:pt>
                <c:pt idx="407">
                  <c:v>1069100.8523436196</c:v>
                </c:pt>
                <c:pt idx="408">
                  <c:v>987579.87748884596</c:v>
                </c:pt>
                <c:pt idx="409">
                  <c:v>1725446.5715273961</c:v>
                </c:pt>
                <c:pt idx="410">
                  <c:v>852867.36489304027</c:v>
                </c:pt>
                <c:pt idx="411">
                  <c:v>1507927.0113744321</c:v>
                </c:pt>
                <c:pt idx="412">
                  <c:v>1068346.1552055157</c:v>
                </c:pt>
                <c:pt idx="413">
                  <c:v>1550716.0656418437</c:v>
                </c:pt>
                <c:pt idx="414">
                  <c:v>251385.68065222297</c:v>
                </c:pt>
                <c:pt idx="415">
                  <c:v>1869930.7393639055</c:v>
                </c:pt>
                <c:pt idx="416">
                  <c:v>1189772.8745815118</c:v>
                </c:pt>
                <c:pt idx="417">
                  <c:v>969281.01755579689</c:v>
                </c:pt>
                <c:pt idx="418">
                  <c:v>2051286.4635612422</c:v>
                </c:pt>
                <c:pt idx="419">
                  <c:v>1472739.0869447549</c:v>
                </c:pt>
                <c:pt idx="420">
                  <c:v>1537624.6295588017</c:v>
                </c:pt>
                <c:pt idx="421">
                  <c:v>1480538.7222467293</c:v>
                </c:pt>
                <c:pt idx="422">
                  <c:v>1380922.4868161781</c:v>
                </c:pt>
                <c:pt idx="423">
                  <c:v>1485596.7814695807</c:v>
                </c:pt>
                <c:pt idx="424">
                  <c:v>2848102.9366783663</c:v>
                </c:pt>
                <c:pt idx="425">
                  <c:v>449901.28738246905</c:v>
                </c:pt>
                <c:pt idx="426">
                  <c:v>746534.83256697783</c:v>
                </c:pt>
                <c:pt idx="427">
                  <c:v>1811688.8056986623</c:v>
                </c:pt>
                <c:pt idx="428">
                  <c:v>1873980.8266736721</c:v>
                </c:pt>
                <c:pt idx="429">
                  <c:v>330665.39314069308</c:v>
                </c:pt>
                <c:pt idx="430">
                  <c:v>1228465.681165684</c:v>
                </c:pt>
                <c:pt idx="431">
                  <c:v>1311989.8206872991</c:v>
                </c:pt>
                <c:pt idx="432">
                  <c:v>1145620.3980785839</c:v>
                </c:pt>
                <c:pt idx="433">
                  <c:v>1373146.8745882181</c:v>
                </c:pt>
                <c:pt idx="434">
                  <c:v>739980.8821269261</c:v>
                </c:pt>
                <c:pt idx="435">
                  <c:v>1590505.5069552464</c:v>
                </c:pt>
                <c:pt idx="436">
                  <c:v>662828.06913697009</c:v>
                </c:pt>
                <c:pt idx="437">
                  <c:v>1645526.9514797854</c:v>
                </c:pt>
                <c:pt idx="438">
                  <c:v>1130264.6757883043</c:v>
                </c:pt>
                <c:pt idx="439">
                  <c:v>1329393.8726122449</c:v>
                </c:pt>
                <c:pt idx="440">
                  <c:v>818532.39788675809</c:v>
                </c:pt>
                <c:pt idx="441">
                  <c:v>1132548.7744856037</c:v>
                </c:pt>
                <c:pt idx="442">
                  <c:v>890393.39940958575</c:v>
                </c:pt>
                <c:pt idx="443">
                  <c:v>2172469.2687149844</c:v>
                </c:pt>
                <c:pt idx="444">
                  <c:v>1694551.9233479109</c:v>
                </c:pt>
                <c:pt idx="445">
                  <c:v>1277523.0710701563</c:v>
                </c:pt>
                <c:pt idx="446">
                  <c:v>1774206.3770542669</c:v>
                </c:pt>
                <c:pt idx="447">
                  <c:v>1171152.2102679901</c:v>
                </c:pt>
                <c:pt idx="448">
                  <c:v>1762700.1789413651</c:v>
                </c:pt>
                <c:pt idx="449">
                  <c:v>978995.57036449434</c:v>
                </c:pt>
                <c:pt idx="450">
                  <c:v>1176489.5246140016</c:v>
                </c:pt>
                <c:pt idx="451">
                  <c:v>1059315.6183657243</c:v>
                </c:pt>
                <c:pt idx="452">
                  <c:v>1824688.5020299603</c:v>
                </c:pt>
                <c:pt idx="453">
                  <c:v>1076504.3253576206</c:v>
                </c:pt>
                <c:pt idx="454">
                  <c:v>1482424.2576224324</c:v>
                </c:pt>
                <c:pt idx="455">
                  <c:v>1081137.258176896</c:v>
                </c:pt>
                <c:pt idx="456">
                  <c:v>1996468.3252880762</c:v>
                </c:pt>
                <c:pt idx="457">
                  <c:v>539467.60656304879</c:v>
                </c:pt>
                <c:pt idx="458">
                  <c:v>892569.05780389975</c:v>
                </c:pt>
                <c:pt idx="459">
                  <c:v>1129933.1622698861</c:v>
                </c:pt>
                <c:pt idx="460">
                  <c:v>1424414.9313947514</c:v>
                </c:pt>
                <c:pt idx="461">
                  <c:v>1244372.2285207158</c:v>
                </c:pt>
                <c:pt idx="462">
                  <c:v>3081538.8456530333</c:v>
                </c:pt>
                <c:pt idx="463">
                  <c:v>1168250.2969423092</c:v>
                </c:pt>
                <c:pt idx="464">
                  <c:v>1154028.4189565263</c:v>
                </c:pt>
                <c:pt idx="465">
                  <c:v>641449.96637290693</c:v>
                </c:pt>
                <c:pt idx="466">
                  <c:v>217738.91941641233</c:v>
                </c:pt>
                <c:pt idx="467">
                  <c:v>696647.77898986603</c:v>
                </c:pt>
                <c:pt idx="468">
                  <c:v>627087.25363324478</c:v>
                </c:pt>
                <c:pt idx="469">
                  <c:v>1233641.296983995</c:v>
                </c:pt>
                <c:pt idx="470">
                  <c:v>1338895.8449338584</c:v>
                </c:pt>
                <c:pt idx="471">
                  <c:v>1131732.2828646388</c:v>
                </c:pt>
                <c:pt idx="472">
                  <c:v>464122.18491384783</c:v>
                </c:pt>
                <c:pt idx="473">
                  <c:v>1170937.0232209226</c:v>
                </c:pt>
                <c:pt idx="474">
                  <c:v>1798211.3579987078</c:v>
                </c:pt>
                <c:pt idx="475">
                  <c:v>1274533.3959247742</c:v>
                </c:pt>
                <c:pt idx="476">
                  <c:v>427675.94913977588</c:v>
                </c:pt>
                <c:pt idx="477">
                  <c:v>1079678.9716056387</c:v>
                </c:pt>
                <c:pt idx="478">
                  <c:v>1747942.4079981381</c:v>
                </c:pt>
                <c:pt idx="479">
                  <c:v>1816807.5059331795</c:v>
                </c:pt>
                <c:pt idx="480">
                  <c:v>1203128.463105849</c:v>
                </c:pt>
                <c:pt idx="481">
                  <c:v>642894.34919332375</c:v>
                </c:pt>
                <c:pt idx="482">
                  <c:v>2484057.5252553481</c:v>
                </c:pt>
                <c:pt idx="483">
                  <c:v>1003966.8026064015</c:v>
                </c:pt>
                <c:pt idx="484">
                  <c:v>332179.02084124886</c:v>
                </c:pt>
                <c:pt idx="485">
                  <c:v>1100895.4498897118</c:v>
                </c:pt>
                <c:pt idx="486">
                  <c:v>1054560.0782251656</c:v>
                </c:pt>
                <c:pt idx="487">
                  <c:v>1365929.9551725578</c:v>
                </c:pt>
                <c:pt idx="488">
                  <c:v>1160743.2617299471</c:v>
                </c:pt>
                <c:pt idx="489">
                  <c:v>1279712.138708571</c:v>
                </c:pt>
                <c:pt idx="490">
                  <c:v>264244.46981186705</c:v>
                </c:pt>
                <c:pt idx="491">
                  <c:v>1560254.9990117352</c:v>
                </c:pt>
                <c:pt idx="492">
                  <c:v>1247942.8153981795</c:v>
                </c:pt>
                <c:pt idx="493">
                  <c:v>1274844.1094561554</c:v>
                </c:pt>
                <c:pt idx="494">
                  <c:v>1446269.5589649542</c:v>
                </c:pt>
                <c:pt idx="495">
                  <c:v>1337508.3300195022</c:v>
                </c:pt>
                <c:pt idx="496">
                  <c:v>1046966.3191073118</c:v>
                </c:pt>
                <c:pt idx="497">
                  <c:v>1319031.2551875107</c:v>
                </c:pt>
                <c:pt idx="498">
                  <c:v>1258886.4351027007</c:v>
                </c:pt>
                <c:pt idx="499">
                  <c:v>1548386.8108722721</c:v>
                </c:pt>
                <c:pt idx="500">
                  <c:v>720670.49594396213</c:v>
                </c:pt>
                <c:pt idx="501">
                  <c:v>1464857.9276528896</c:v>
                </c:pt>
                <c:pt idx="502">
                  <c:v>1094200.3931353192</c:v>
                </c:pt>
                <c:pt idx="503">
                  <c:v>1582862.8011860007</c:v>
                </c:pt>
                <c:pt idx="504">
                  <c:v>1246950.8626467127</c:v>
                </c:pt>
                <c:pt idx="505">
                  <c:v>1702598.8406039362</c:v>
                </c:pt>
                <c:pt idx="506">
                  <c:v>262385.71859606606</c:v>
                </c:pt>
                <c:pt idx="507">
                  <c:v>779752.29155817768</c:v>
                </c:pt>
                <c:pt idx="508">
                  <c:v>997702.10904289165</c:v>
                </c:pt>
                <c:pt idx="509">
                  <c:v>1443807.2174524392</c:v>
                </c:pt>
                <c:pt idx="510">
                  <c:v>873401.20088742126</c:v>
                </c:pt>
                <c:pt idx="511">
                  <c:v>1273152.1123866581</c:v>
                </c:pt>
                <c:pt idx="512">
                  <c:v>1252616.8130974029</c:v>
                </c:pt>
                <c:pt idx="513">
                  <c:v>880340.00490176596</c:v>
                </c:pt>
                <c:pt idx="514">
                  <c:v>786842.67010790447</c:v>
                </c:pt>
                <c:pt idx="515">
                  <c:v>403425.57799800794</c:v>
                </c:pt>
                <c:pt idx="516">
                  <c:v>537284.80057788058</c:v>
                </c:pt>
                <c:pt idx="517">
                  <c:v>1835594.274289181</c:v>
                </c:pt>
                <c:pt idx="518">
                  <c:v>2315170.1858351021</c:v>
                </c:pt>
                <c:pt idx="519">
                  <c:v>1543012.9285767388</c:v>
                </c:pt>
                <c:pt idx="520">
                  <c:v>1836735.6237914939</c:v>
                </c:pt>
                <c:pt idx="521">
                  <c:v>68910.905286676163</c:v>
                </c:pt>
                <c:pt idx="522">
                  <c:v>960979.41667362116</c:v>
                </c:pt>
                <c:pt idx="523">
                  <c:v>1072660.2988280756</c:v>
                </c:pt>
                <c:pt idx="524">
                  <c:v>1321294.8894087782</c:v>
                </c:pt>
                <c:pt idx="525">
                  <c:v>819107.66481487628</c:v>
                </c:pt>
                <c:pt idx="526">
                  <c:v>1145492.994286732</c:v>
                </c:pt>
                <c:pt idx="527">
                  <c:v>1442050.9531041416</c:v>
                </c:pt>
                <c:pt idx="528">
                  <c:v>1121877.1685908155</c:v>
                </c:pt>
                <c:pt idx="529">
                  <c:v>1836068.6206270398</c:v>
                </c:pt>
                <c:pt idx="530">
                  <c:v>1555130.6450324394</c:v>
                </c:pt>
                <c:pt idx="531">
                  <c:v>1463027.7167800439</c:v>
                </c:pt>
                <c:pt idx="532">
                  <c:v>2071883.8775637357</c:v>
                </c:pt>
                <c:pt idx="533">
                  <c:v>1964316.7970018168</c:v>
                </c:pt>
                <c:pt idx="534">
                  <c:v>1099530.5321624549</c:v>
                </c:pt>
                <c:pt idx="535">
                  <c:v>1155577.8063317931</c:v>
                </c:pt>
                <c:pt idx="536">
                  <c:v>877829.75587688794</c:v>
                </c:pt>
                <c:pt idx="537">
                  <c:v>439254.03932579962</c:v>
                </c:pt>
                <c:pt idx="538">
                  <c:v>957998.5382009208</c:v>
                </c:pt>
                <c:pt idx="539">
                  <c:v>1564380.0900240513</c:v>
                </c:pt>
                <c:pt idx="540">
                  <c:v>1355778.305322642</c:v>
                </c:pt>
                <c:pt idx="541">
                  <c:v>685727.65587251529</c:v>
                </c:pt>
                <c:pt idx="542">
                  <c:v>1067264.3692646076</c:v>
                </c:pt>
                <c:pt idx="543">
                  <c:v>1168659.5229406764</c:v>
                </c:pt>
                <c:pt idx="544">
                  <c:v>1542354.6084490719</c:v>
                </c:pt>
                <c:pt idx="545">
                  <c:v>1204729.0171115776</c:v>
                </c:pt>
                <c:pt idx="546">
                  <c:v>1765267.2708353328</c:v>
                </c:pt>
                <c:pt idx="547">
                  <c:v>394423.19873402757</c:v>
                </c:pt>
                <c:pt idx="548">
                  <c:v>1231224.6249548201</c:v>
                </c:pt>
                <c:pt idx="549">
                  <c:v>1396358.5506265776</c:v>
                </c:pt>
                <c:pt idx="550">
                  <c:v>970089.4406387785</c:v>
                </c:pt>
                <c:pt idx="551">
                  <c:v>994861.27054214198</c:v>
                </c:pt>
                <c:pt idx="552">
                  <c:v>2091815.4779687559</c:v>
                </c:pt>
                <c:pt idx="553">
                  <c:v>1288219.9330248628</c:v>
                </c:pt>
                <c:pt idx="554">
                  <c:v>1963087.9881617907</c:v>
                </c:pt>
                <c:pt idx="555">
                  <c:v>1644257.6579394445</c:v>
                </c:pt>
                <c:pt idx="556">
                  <c:v>828709.94551933347</c:v>
                </c:pt>
                <c:pt idx="557">
                  <c:v>880862.22672620905</c:v>
                </c:pt>
                <c:pt idx="558">
                  <c:v>903587.70456900983</c:v>
                </c:pt>
                <c:pt idx="559">
                  <c:v>599863.97723840293</c:v>
                </c:pt>
                <c:pt idx="560">
                  <c:v>1341990.0135722775</c:v>
                </c:pt>
                <c:pt idx="561">
                  <c:v>962320.18971405493</c:v>
                </c:pt>
                <c:pt idx="562">
                  <c:v>835497.85621844488</c:v>
                </c:pt>
                <c:pt idx="563">
                  <c:v>910906.87661476468</c:v>
                </c:pt>
                <c:pt idx="564">
                  <c:v>1322327.3902561071</c:v>
                </c:pt>
                <c:pt idx="565">
                  <c:v>1278294.6582665143</c:v>
                </c:pt>
                <c:pt idx="566">
                  <c:v>1851658.9677764403</c:v>
                </c:pt>
                <c:pt idx="567">
                  <c:v>1642454.2729424923</c:v>
                </c:pt>
                <c:pt idx="568">
                  <c:v>764941.40175725438</c:v>
                </c:pt>
                <c:pt idx="569">
                  <c:v>862982.30065187346</c:v>
                </c:pt>
                <c:pt idx="570">
                  <c:v>1703850.1027340535</c:v>
                </c:pt>
                <c:pt idx="571">
                  <c:v>844623.2719852631</c:v>
                </c:pt>
                <c:pt idx="572">
                  <c:v>2219470.9066352821</c:v>
                </c:pt>
                <c:pt idx="573">
                  <c:v>952786.28915391362</c:v>
                </c:pt>
                <c:pt idx="574">
                  <c:v>1616602.2167490963</c:v>
                </c:pt>
                <c:pt idx="575">
                  <c:v>980314.33412165917</c:v>
                </c:pt>
                <c:pt idx="576">
                  <c:v>1632301.424514309</c:v>
                </c:pt>
                <c:pt idx="577">
                  <c:v>1164450.1869486643</c:v>
                </c:pt>
                <c:pt idx="578">
                  <c:v>439300.55857769732</c:v>
                </c:pt>
                <c:pt idx="579">
                  <c:v>2171777.5900755534</c:v>
                </c:pt>
                <c:pt idx="580">
                  <c:v>1569281.4299196303</c:v>
                </c:pt>
                <c:pt idx="581">
                  <c:v>1397482.3560287689</c:v>
                </c:pt>
                <c:pt idx="582">
                  <c:v>1269270.09824702</c:v>
                </c:pt>
                <c:pt idx="583">
                  <c:v>1062052.6163762093</c:v>
                </c:pt>
                <c:pt idx="584">
                  <c:v>1086468.2636641359</c:v>
                </c:pt>
                <c:pt idx="585">
                  <c:v>946270.67966379179</c:v>
                </c:pt>
                <c:pt idx="586">
                  <c:v>1420387.4730001718</c:v>
                </c:pt>
                <c:pt idx="587">
                  <c:v>613994.10946021148</c:v>
                </c:pt>
                <c:pt idx="588">
                  <c:v>1825317.8431803696</c:v>
                </c:pt>
                <c:pt idx="589">
                  <c:v>1058072.2378110355</c:v>
                </c:pt>
                <c:pt idx="590">
                  <c:v>2031654.9664606766</c:v>
                </c:pt>
                <c:pt idx="591">
                  <c:v>1227799.0867969745</c:v>
                </c:pt>
                <c:pt idx="592">
                  <c:v>1509102.5031922876</c:v>
                </c:pt>
                <c:pt idx="593">
                  <c:v>2059637.2666533277</c:v>
                </c:pt>
                <c:pt idx="594">
                  <c:v>841842.47522905818</c:v>
                </c:pt>
                <c:pt idx="595">
                  <c:v>1334854.6888527249</c:v>
                </c:pt>
                <c:pt idx="596">
                  <c:v>930797.58159413922</c:v>
                </c:pt>
                <c:pt idx="597">
                  <c:v>670460.17070118955</c:v>
                </c:pt>
                <c:pt idx="598">
                  <c:v>956018.04998442414</c:v>
                </c:pt>
                <c:pt idx="599">
                  <c:v>712269.69140659098</c:v>
                </c:pt>
                <c:pt idx="600">
                  <c:v>580072.63981900655</c:v>
                </c:pt>
                <c:pt idx="601">
                  <c:v>484021.86965895968</c:v>
                </c:pt>
                <c:pt idx="602">
                  <c:v>1762815.1707274602</c:v>
                </c:pt>
                <c:pt idx="603">
                  <c:v>1125934.8503681635</c:v>
                </c:pt>
                <c:pt idx="604">
                  <c:v>1794399.1410911377</c:v>
                </c:pt>
                <c:pt idx="605">
                  <c:v>1661662.5773552882</c:v>
                </c:pt>
                <c:pt idx="606">
                  <c:v>909349.6131320768</c:v>
                </c:pt>
                <c:pt idx="607">
                  <c:v>1039709.7962205866</c:v>
                </c:pt>
                <c:pt idx="608">
                  <c:v>594860.17254257062</c:v>
                </c:pt>
                <c:pt idx="609">
                  <c:v>2135590.4073613458</c:v>
                </c:pt>
                <c:pt idx="610">
                  <c:v>1563102.2977506195</c:v>
                </c:pt>
                <c:pt idx="611">
                  <c:v>868193.60220174911</c:v>
                </c:pt>
                <c:pt idx="612">
                  <c:v>2285282.3636092483</c:v>
                </c:pt>
                <c:pt idx="613">
                  <c:v>1688944.9541665756</c:v>
                </c:pt>
                <c:pt idx="614">
                  <c:v>1063018.292775928</c:v>
                </c:pt>
                <c:pt idx="615">
                  <c:v>2691956.8187124417</c:v>
                </c:pt>
                <c:pt idx="616">
                  <c:v>1540404.2215901306</c:v>
                </c:pt>
                <c:pt idx="617">
                  <c:v>1133201.3385291544</c:v>
                </c:pt>
                <c:pt idx="618">
                  <c:v>1557456.9425955233</c:v>
                </c:pt>
                <c:pt idx="619">
                  <c:v>1238717.7091664111</c:v>
                </c:pt>
                <c:pt idx="620">
                  <c:v>1465832.4262666542</c:v>
                </c:pt>
                <c:pt idx="621">
                  <c:v>979848.0973878454</c:v>
                </c:pt>
                <c:pt idx="622">
                  <c:v>681862.14497253578</c:v>
                </c:pt>
                <c:pt idx="623">
                  <c:v>620539.0057845019</c:v>
                </c:pt>
                <c:pt idx="624">
                  <c:v>2096914.0039592262</c:v>
                </c:pt>
                <c:pt idx="625">
                  <c:v>2268298.9082369669</c:v>
                </c:pt>
                <c:pt idx="626">
                  <c:v>922610.06047465827</c:v>
                </c:pt>
                <c:pt idx="627">
                  <c:v>900429.05841983738</c:v>
                </c:pt>
                <c:pt idx="628">
                  <c:v>1288322.2218364526</c:v>
                </c:pt>
                <c:pt idx="629">
                  <c:v>2349771.0484611886</c:v>
                </c:pt>
                <c:pt idx="630">
                  <c:v>1193878.5993181861</c:v>
                </c:pt>
                <c:pt idx="631">
                  <c:v>1533888.5697371573</c:v>
                </c:pt>
                <c:pt idx="632">
                  <c:v>423182.67450198246</c:v>
                </c:pt>
                <c:pt idx="633">
                  <c:v>620440.70103605406</c:v>
                </c:pt>
                <c:pt idx="634">
                  <c:v>901834.26486599015</c:v>
                </c:pt>
                <c:pt idx="635">
                  <c:v>1219999.2326546491</c:v>
                </c:pt>
                <c:pt idx="636">
                  <c:v>361146.18470587704</c:v>
                </c:pt>
                <c:pt idx="637">
                  <c:v>1815204.1437949496</c:v>
                </c:pt>
                <c:pt idx="638">
                  <c:v>1211883.6510571097</c:v>
                </c:pt>
                <c:pt idx="639">
                  <c:v>586670.83063402609</c:v>
                </c:pt>
                <c:pt idx="640">
                  <c:v>1569684.5995518649</c:v>
                </c:pt>
                <c:pt idx="641">
                  <c:v>864835.11091568414</c:v>
                </c:pt>
                <c:pt idx="642">
                  <c:v>967395.02649648127</c:v>
                </c:pt>
                <c:pt idx="643">
                  <c:v>1185612.0091536983</c:v>
                </c:pt>
                <c:pt idx="644">
                  <c:v>1762570.4275407912</c:v>
                </c:pt>
                <c:pt idx="645">
                  <c:v>768375.96667091048</c:v>
                </c:pt>
                <c:pt idx="646">
                  <c:v>1466466.7984047628</c:v>
                </c:pt>
                <c:pt idx="647">
                  <c:v>1535792.3022780968</c:v>
                </c:pt>
                <c:pt idx="648">
                  <c:v>921547.91354225273</c:v>
                </c:pt>
                <c:pt idx="649">
                  <c:v>1429559.2179800223</c:v>
                </c:pt>
                <c:pt idx="650">
                  <c:v>1147346.8456482014</c:v>
                </c:pt>
                <c:pt idx="651">
                  <c:v>759873.92629812751</c:v>
                </c:pt>
                <c:pt idx="652">
                  <c:v>1115624.4450132269</c:v>
                </c:pt>
                <c:pt idx="653">
                  <c:v>1354502.7871985724</c:v>
                </c:pt>
                <c:pt idx="654">
                  <c:v>1009068.5306528399</c:v>
                </c:pt>
                <c:pt idx="655">
                  <c:v>1683823.3299062345</c:v>
                </c:pt>
                <c:pt idx="656">
                  <c:v>1244611.1406607882</c:v>
                </c:pt>
                <c:pt idx="657">
                  <c:v>690903.71237328963</c:v>
                </c:pt>
                <c:pt idx="658">
                  <c:v>313239.37356249354</c:v>
                </c:pt>
                <c:pt idx="659">
                  <c:v>909709.22344135691</c:v>
                </c:pt>
                <c:pt idx="660">
                  <c:v>852149.61251922953</c:v>
                </c:pt>
                <c:pt idx="661">
                  <c:v>1236004.44446164</c:v>
                </c:pt>
                <c:pt idx="662">
                  <c:v>1249249.6488035826</c:v>
                </c:pt>
                <c:pt idx="663">
                  <c:v>1052678.0291455211</c:v>
                </c:pt>
                <c:pt idx="664">
                  <c:v>1248829.1520194483</c:v>
                </c:pt>
                <c:pt idx="665">
                  <c:v>1550171.7342542582</c:v>
                </c:pt>
                <c:pt idx="666">
                  <c:v>1483118.4638525387</c:v>
                </c:pt>
                <c:pt idx="667">
                  <c:v>454990.55701890099</c:v>
                </c:pt>
                <c:pt idx="668">
                  <c:v>2404480.9506356711</c:v>
                </c:pt>
                <c:pt idx="669">
                  <c:v>1257456.8937191025</c:v>
                </c:pt>
                <c:pt idx="670">
                  <c:v>1693266.4669430582</c:v>
                </c:pt>
                <c:pt idx="671">
                  <c:v>553374.98909560777</c:v>
                </c:pt>
                <c:pt idx="672">
                  <c:v>1341578.4126122964</c:v>
                </c:pt>
                <c:pt idx="673">
                  <c:v>1939820.0493004513</c:v>
                </c:pt>
                <c:pt idx="674">
                  <c:v>997317.17368739226</c:v>
                </c:pt>
                <c:pt idx="675">
                  <c:v>386013.43041274924</c:v>
                </c:pt>
                <c:pt idx="676">
                  <c:v>1491778.5356091992</c:v>
                </c:pt>
                <c:pt idx="677">
                  <c:v>1217491.0629908417</c:v>
                </c:pt>
                <c:pt idx="678">
                  <c:v>862823.54246152507</c:v>
                </c:pt>
                <c:pt idx="679">
                  <c:v>1198438.6639130833</c:v>
                </c:pt>
                <c:pt idx="680">
                  <c:v>1111767.3627686321</c:v>
                </c:pt>
                <c:pt idx="681">
                  <c:v>326145.58225004107</c:v>
                </c:pt>
                <c:pt idx="682">
                  <c:v>1414445.9205158318</c:v>
                </c:pt>
                <c:pt idx="683">
                  <c:v>862684.09535348252</c:v>
                </c:pt>
                <c:pt idx="684">
                  <c:v>1611169.8455085133</c:v>
                </c:pt>
                <c:pt idx="685">
                  <c:v>901561.96063483856</c:v>
                </c:pt>
                <c:pt idx="686">
                  <c:v>780389.79421162873</c:v>
                </c:pt>
                <c:pt idx="687">
                  <c:v>345418.49254673725</c:v>
                </c:pt>
                <c:pt idx="688">
                  <c:v>1124412.0174738201</c:v>
                </c:pt>
                <c:pt idx="689">
                  <c:v>835598.91172897047</c:v>
                </c:pt>
                <c:pt idx="690">
                  <c:v>1205865.9605305071</c:v>
                </c:pt>
                <c:pt idx="691">
                  <c:v>1747497.7633261124</c:v>
                </c:pt>
                <c:pt idx="692">
                  <c:v>1034085.8448034329</c:v>
                </c:pt>
                <c:pt idx="693">
                  <c:v>1092981.2202651135</c:v>
                </c:pt>
                <c:pt idx="694">
                  <c:v>1699785.083521523</c:v>
                </c:pt>
                <c:pt idx="695">
                  <c:v>929146.25018851121</c:v>
                </c:pt>
                <c:pt idx="696">
                  <c:v>1929747.4243969335</c:v>
                </c:pt>
                <c:pt idx="697">
                  <c:v>1249646.6109094922</c:v>
                </c:pt>
                <c:pt idx="698">
                  <c:v>2004804.0595391188</c:v>
                </c:pt>
                <c:pt idx="699">
                  <c:v>1565937.53553697</c:v>
                </c:pt>
                <c:pt idx="700">
                  <c:v>1284570.3763432479</c:v>
                </c:pt>
                <c:pt idx="701">
                  <c:v>2272006.9880038002</c:v>
                </c:pt>
                <c:pt idx="702">
                  <c:v>860982.6185183957</c:v>
                </c:pt>
                <c:pt idx="703">
                  <c:v>1107787.8476673258</c:v>
                </c:pt>
                <c:pt idx="704">
                  <c:v>1916802.006361882</c:v>
                </c:pt>
                <c:pt idx="705">
                  <c:v>2590375.9410451008</c:v>
                </c:pt>
                <c:pt idx="706">
                  <c:v>623875.71592693753</c:v>
                </c:pt>
                <c:pt idx="707">
                  <c:v>764781.75191653648</c:v>
                </c:pt>
                <c:pt idx="708">
                  <c:v>583513.45519962767</c:v>
                </c:pt>
                <c:pt idx="709">
                  <c:v>970629.8333191222</c:v>
                </c:pt>
                <c:pt idx="710">
                  <c:v>356168.38484180137</c:v>
                </c:pt>
                <c:pt idx="711">
                  <c:v>1016664.2536073446</c:v>
                </c:pt>
                <c:pt idx="712">
                  <c:v>1662732.447738295</c:v>
                </c:pt>
                <c:pt idx="713">
                  <c:v>1174355.6960995418</c:v>
                </c:pt>
                <c:pt idx="714">
                  <c:v>578197.93399770313</c:v>
                </c:pt>
                <c:pt idx="715">
                  <c:v>1762179.8849035129</c:v>
                </c:pt>
                <c:pt idx="716">
                  <c:v>1063197.1523826483</c:v>
                </c:pt>
                <c:pt idx="717">
                  <c:v>1129707.5740235387</c:v>
                </c:pt>
                <c:pt idx="718">
                  <c:v>898622.21202326159</c:v>
                </c:pt>
                <c:pt idx="719">
                  <c:v>992319.19928349659</c:v>
                </c:pt>
                <c:pt idx="720">
                  <c:v>581947.5332753046</c:v>
                </c:pt>
                <c:pt idx="721">
                  <c:v>1747998.8775600654</c:v>
                </c:pt>
                <c:pt idx="722">
                  <c:v>2026140.2894431031</c:v>
                </c:pt>
                <c:pt idx="723">
                  <c:v>1287753.1913457317</c:v>
                </c:pt>
                <c:pt idx="724">
                  <c:v>903161.39081878576</c:v>
                </c:pt>
                <c:pt idx="725">
                  <c:v>1410249.2811882144</c:v>
                </c:pt>
                <c:pt idx="726">
                  <c:v>689148.85233704385</c:v>
                </c:pt>
                <c:pt idx="727">
                  <c:v>752228.24034004705</c:v>
                </c:pt>
                <c:pt idx="728">
                  <c:v>1295479.8599543187</c:v>
                </c:pt>
                <c:pt idx="729">
                  <c:v>1412951.7674738739</c:v>
                </c:pt>
                <c:pt idx="730">
                  <c:v>1282445.8171044281</c:v>
                </c:pt>
                <c:pt idx="731">
                  <c:v>844219.7545642599</c:v>
                </c:pt>
                <c:pt idx="732">
                  <c:v>1342945.2225913387</c:v>
                </c:pt>
                <c:pt idx="733">
                  <c:v>800398.73478590953</c:v>
                </c:pt>
                <c:pt idx="734">
                  <c:v>693411.5047721701</c:v>
                </c:pt>
                <c:pt idx="735">
                  <c:v>1360052.341584102</c:v>
                </c:pt>
                <c:pt idx="736">
                  <c:v>1312160.9060894588</c:v>
                </c:pt>
                <c:pt idx="737">
                  <c:v>377250.87676263612</c:v>
                </c:pt>
                <c:pt idx="738">
                  <c:v>2176644.6686950363</c:v>
                </c:pt>
                <c:pt idx="739">
                  <c:v>1019675.9393286022</c:v>
                </c:pt>
                <c:pt idx="740">
                  <c:v>811432.18208400754</c:v>
                </c:pt>
                <c:pt idx="741">
                  <c:v>2626823.0192089584</c:v>
                </c:pt>
                <c:pt idx="742">
                  <c:v>861554.58140685258</c:v>
                </c:pt>
                <c:pt idx="743">
                  <c:v>1466894.7793890075</c:v>
                </c:pt>
                <c:pt idx="744">
                  <c:v>1019568.0251985197</c:v>
                </c:pt>
                <c:pt idx="745">
                  <c:v>362720.88645653211</c:v>
                </c:pt>
                <c:pt idx="746">
                  <c:v>1587187.0738686749</c:v>
                </c:pt>
                <c:pt idx="747">
                  <c:v>1263198.1749913632</c:v>
                </c:pt>
                <c:pt idx="748">
                  <c:v>1964075.2320948141</c:v>
                </c:pt>
                <c:pt idx="749">
                  <c:v>1090322.6357351905</c:v>
                </c:pt>
                <c:pt idx="750">
                  <c:v>532745.06421905232</c:v>
                </c:pt>
                <c:pt idx="751">
                  <c:v>1241743.0508957936</c:v>
                </c:pt>
                <c:pt idx="752">
                  <c:v>628717.86707206955</c:v>
                </c:pt>
                <c:pt idx="753">
                  <c:v>1236084.1945924871</c:v>
                </c:pt>
                <c:pt idx="754">
                  <c:v>796136.33219630818</c:v>
                </c:pt>
                <c:pt idx="755">
                  <c:v>732180.49687527667</c:v>
                </c:pt>
                <c:pt idx="756">
                  <c:v>468751.68718215864</c:v>
                </c:pt>
                <c:pt idx="757">
                  <c:v>1425049.367265468</c:v>
                </c:pt>
                <c:pt idx="758">
                  <c:v>1043650.1103741811</c:v>
                </c:pt>
                <c:pt idx="759">
                  <c:v>1035388.4646738563</c:v>
                </c:pt>
                <c:pt idx="760">
                  <c:v>1577389.4038877236</c:v>
                </c:pt>
                <c:pt idx="761">
                  <c:v>3377160.0925043789</c:v>
                </c:pt>
                <c:pt idx="762">
                  <c:v>1612760.6186751688</c:v>
                </c:pt>
                <c:pt idx="763">
                  <c:v>1368033.0515249064</c:v>
                </c:pt>
                <c:pt idx="764">
                  <c:v>1003196.226807802</c:v>
                </c:pt>
                <c:pt idx="765">
                  <c:v>2302274.1998014031</c:v>
                </c:pt>
                <c:pt idx="766">
                  <c:v>1358834.5656588366</c:v>
                </c:pt>
                <c:pt idx="767">
                  <c:v>1773457.6081153718</c:v>
                </c:pt>
                <c:pt idx="768">
                  <c:v>1009800.9950300418</c:v>
                </c:pt>
                <c:pt idx="769">
                  <c:v>1308408.6101128587</c:v>
                </c:pt>
                <c:pt idx="770">
                  <c:v>1453353.0086118185</c:v>
                </c:pt>
                <c:pt idx="771">
                  <c:v>1634585.4261085105</c:v>
                </c:pt>
                <c:pt idx="772">
                  <c:v>945406.29971833958</c:v>
                </c:pt>
                <c:pt idx="773">
                  <c:v>1401531.5949980563</c:v>
                </c:pt>
                <c:pt idx="774">
                  <c:v>1435980.2793943158</c:v>
                </c:pt>
                <c:pt idx="775">
                  <c:v>2084896.7211781649</c:v>
                </c:pt>
                <c:pt idx="776">
                  <c:v>947919.37018490711</c:v>
                </c:pt>
                <c:pt idx="777">
                  <c:v>1066191.7298440579</c:v>
                </c:pt>
                <c:pt idx="778">
                  <c:v>2306190.3429165585</c:v>
                </c:pt>
                <c:pt idx="779">
                  <c:v>1372528.8158075416</c:v>
                </c:pt>
                <c:pt idx="780">
                  <c:v>1574532.2376491791</c:v>
                </c:pt>
                <c:pt idx="781">
                  <c:v>945814.6668797899</c:v>
                </c:pt>
                <c:pt idx="782">
                  <c:v>1062095.2481253955</c:v>
                </c:pt>
                <c:pt idx="783">
                  <c:v>1368010.1669417738</c:v>
                </c:pt>
                <c:pt idx="784">
                  <c:v>950521.29124894086</c:v>
                </c:pt>
                <c:pt idx="785">
                  <c:v>990566.04865799251</c:v>
                </c:pt>
                <c:pt idx="786">
                  <c:v>900276.05089225795</c:v>
                </c:pt>
                <c:pt idx="787">
                  <c:v>1700871.5230463818</c:v>
                </c:pt>
                <c:pt idx="788">
                  <c:v>1619718.7690837895</c:v>
                </c:pt>
                <c:pt idx="789">
                  <c:v>1901454.7416412542</c:v>
                </c:pt>
                <c:pt idx="790">
                  <c:v>1341587.6263272562</c:v>
                </c:pt>
                <c:pt idx="791">
                  <c:v>2220417.4701707601</c:v>
                </c:pt>
                <c:pt idx="792">
                  <c:v>1269654.2112175275</c:v>
                </c:pt>
                <c:pt idx="793">
                  <c:v>1334330.3310658967</c:v>
                </c:pt>
                <c:pt idx="794">
                  <c:v>1459559.9597847878</c:v>
                </c:pt>
                <c:pt idx="795">
                  <c:v>908821.97011576861</c:v>
                </c:pt>
                <c:pt idx="796">
                  <c:v>832219.9369999317</c:v>
                </c:pt>
                <c:pt idx="797">
                  <c:v>1727247.8930723781</c:v>
                </c:pt>
                <c:pt idx="798">
                  <c:v>1130100.3027894273</c:v>
                </c:pt>
                <c:pt idx="799">
                  <c:v>1610570.5358488269</c:v>
                </c:pt>
                <c:pt idx="800">
                  <c:v>1706527.9312263052</c:v>
                </c:pt>
                <c:pt idx="801">
                  <c:v>1098602.6709986639</c:v>
                </c:pt>
                <c:pt idx="802">
                  <c:v>1627495.9464300575</c:v>
                </c:pt>
                <c:pt idx="803">
                  <c:v>610556.16300876171</c:v>
                </c:pt>
                <c:pt idx="804">
                  <c:v>1825676.9394336904</c:v>
                </c:pt>
                <c:pt idx="805">
                  <c:v>250090.26513858166</c:v>
                </c:pt>
                <c:pt idx="806">
                  <c:v>1012064.8665160984</c:v>
                </c:pt>
                <c:pt idx="807">
                  <c:v>1675963.6165152888</c:v>
                </c:pt>
                <c:pt idx="808">
                  <c:v>741884.52242072963</c:v>
                </c:pt>
                <c:pt idx="809">
                  <c:v>828338.25171969424</c:v>
                </c:pt>
                <c:pt idx="810">
                  <c:v>1537308.7895804897</c:v>
                </c:pt>
                <c:pt idx="811">
                  <c:v>1005680.2003627248</c:v>
                </c:pt>
                <c:pt idx="812">
                  <c:v>711136.06608642428</c:v>
                </c:pt>
                <c:pt idx="813">
                  <c:v>556842.69722056435</c:v>
                </c:pt>
                <c:pt idx="814">
                  <c:v>940720.32650580711</c:v>
                </c:pt>
                <c:pt idx="815">
                  <c:v>1357983.3869801871</c:v>
                </c:pt>
                <c:pt idx="816">
                  <c:v>1020778.1109462942</c:v>
                </c:pt>
                <c:pt idx="817">
                  <c:v>1470171.8108701527</c:v>
                </c:pt>
                <c:pt idx="818">
                  <c:v>1083543.0004402385</c:v>
                </c:pt>
                <c:pt idx="819">
                  <c:v>876935.09389502695</c:v>
                </c:pt>
                <c:pt idx="820">
                  <c:v>1422491.589774543</c:v>
                </c:pt>
                <c:pt idx="821">
                  <c:v>1496502.1589916074</c:v>
                </c:pt>
                <c:pt idx="822">
                  <c:v>1263463.3965575828</c:v>
                </c:pt>
                <c:pt idx="823">
                  <c:v>605946.52209924732</c:v>
                </c:pt>
                <c:pt idx="824">
                  <c:v>1303465.1187719256</c:v>
                </c:pt>
                <c:pt idx="825">
                  <c:v>1032726.0642390603</c:v>
                </c:pt>
                <c:pt idx="826">
                  <c:v>959973.95956806885</c:v>
                </c:pt>
                <c:pt idx="827">
                  <c:v>1507533.8068572106</c:v>
                </c:pt>
                <c:pt idx="828">
                  <c:v>919762.07094347547</c:v>
                </c:pt>
                <c:pt idx="829">
                  <c:v>1195557.1038822776</c:v>
                </c:pt>
                <c:pt idx="830">
                  <c:v>1365680.9017111636</c:v>
                </c:pt>
                <c:pt idx="831">
                  <c:v>766672.97643167118</c:v>
                </c:pt>
                <c:pt idx="832">
                  <c:v>803359.02021311852</c:v>
                </c:pt>
                <c:pt idx="833">
                  <c:v>2143685.5825131917</c:v>
                </c:pt>
                <c:pt idx="834">
                  <c:v>1285814.8844313663</c:v>
                </c:pt>
                <c:pt idx="835">
                  <c:v>1298344.6738741098</c:v>
                </c:pt>
                <c:pt idx="836">
                  <c:v>1469841.8200427769</c:v>
                </c:pt>
                <c:pt idx="837">
                  <c:v>1092251.9552765165</c:v>
                </c:pt>
                <c:pt idx="838">
                  <c:v>1394126.2573914463</c:v>
                </c:pt>
                <c:pt idx="839">
                  <c:v>1806770.3983718769</c:v>
                </c:pt>
                <c:pt idx="840">
                  <c:v>1636735.234485348</c:v>
                </c:pt>
                <c:pt idx="841">
                  <c:v>1037554.8843621821</c:v>
                </c:pt>
                <c:pt idx="842">
                  <c:v>2204800.6710929177</c:v>
                </c:pt>
                <c:pt idx="843">
                  <c:v>1316253.8430100926</c:v>
                </c:pt>
                <c:pt idx="844">
                  <c:v>927921.18735214474</c:v>
                </c:pt>
                <c:pt idx="845">
                  <c:v>1367155.8010432248</c:v>
                </c:pt>
                <c:pt idx="846">
                  <c:v>1091847.5615487911</c:v>
                </c:pt>
                <c:pt idx="847">
                  <c:v>590224.94494566694</c:v>
                </c:pt>
                <c:pt idx="848">
                  <c:v>1736560.5087255917</c:v>
                </c:pt>
                <c:pt idx="849">
                  <c:v>1443791.2851962724</c:v>
                </c:pt>
                <c:pt idx="850">
                  <c:v>2406224.500124231</c:v>
                </c:pt>
                <c:pt idx="851">
                  <c:v>848266.63413755631</c:v>
                </c:pt>
                <c:pt idx="852">
                  <c:v>1797611.0144104122</c:v>
                </c:pt>
                <c:pt idx="853">
                  <c:v>1197523.5770452172</c:v>
                </c:pt>
                <c:pt idx="854">
                  <c:v>904242.39951345208</c:v>
                </c:pt>
                <c:pt idx="855">
                  <c:v>1740133.0582656672</c:v>
                </c:pt>
                <c:pt idx="856">
                  <c:v>808449.02117437148</c:v>
                </c:pt>
                <c:pt idx="857">
                  <c:v>1336257.1165572405</c:v>
                </c:pt>
                <c:pt idx="858">
                  <c:v>527370.39235705102</c:v>
                </c:pt>
                <c:pt idx="859">
                  <c:v>497492.59237799747</c:v>
                </c:pt>
                <c:pt idx="860">
                  <c:v>1708846.4475798411</c:v>
                </c:pt>
                <c:pt idx="861">
                  <c:v>1253004.281640558</c:v>
                </c:pt>
                <c:pt idx="862">
                  <c:v>1009482.8359392467</c:v>
                </c:pt>
                <c:pt idx="863">
                  <c:v>1358107.2770986932</c:v>
                </c:pt>
                <c:pt idx="864">
                  <c:v>1151982.4872053708</c:v>
                </c:pt>
                <c:pt idx="865">
                  <c:v>692199.35413074098</c:v>
                </c:pt>
                <c:pt idx="866">
                  <c:v>1465935.7555123672</c:v>
                </c:pt>
                <c:pt idx="867">
                  <c:v>1491747.5368270762</c:v>
                </c:pt>
                <c:pt idx="868">
                  <c:v>948319.25446565368</c:v>
                </c:pt>
                <c:pt idx="869">
                  <c:v>1296137.891879732</c:v>
                </c:pt>
                <c:pt idx="870">
                  <c:v>1592551.5939186395</c:v>
                </c:pt>
                <c:pt idx="871">
                  <c:v>697980.13562318485</c:v>
                </c:pt>
                <c:pt idx="872">
                  <c:v>941014.12247010414</c:v>
                </c:pt>
                <c:pt idx="873">
                  <c:v>2010125.9926002473</c:v>
                </c:pt>
                <c:pt idx="874">
                  <c:v>1523544.9395459907</c:v>
                </c:pt>
                <c:pt idx="875">
                  <c:v>781507.72063804185</c:v>
                </c:pt>
                <c:pt idx="876">
                  <c:v>1692620.2748748171</c:v>
                </c:pt>
                <c:pt idx="877">
                  <c:v>917536.25124896795</c:v>
                </c:pt>
                <c:pt idx="878">
                  <c:v>1626825.1370028325</c:v>
                </c:pt>
                <c:pt idx="879">
                  <c:v>1932928.8377997959</c:v>
                </c:pt>
                <c:pt idx="880">
                  <c:v>1442040.4575349919</c:v>
                </c:pt>
                <c:pt idx="881">
                  <c:v>1349097.7503463442</c:v>
                </c:pt>
                <c:pt idx="882">
                  <c:v>628459.20869889006</c:v>
                </c:pt>
                <c:pt idx="883">
                  <c:v>1416935.0268999059</c:v>
                </c:pt>
                <c:pt idx="884">
                  <c:v>1038074.031725758</c:v>
                </c:pt>
                <c:pt idx="885">
                  <c:v>764457.61215941748</c:v>
                </c:pt>
                <c:pt idx="886">
                  <c:v>741710.09204228781</c:v>
                </c:pt>
                <c:pt idx="887">
                  <c:v>965052.05471004255</c:v>
                </c:pt>
                <c:pt idx="888">
                  <c:v>1106453.3716411206</c:v>
                </c:pt>
                <c:pt idx="889">
                  <c:v>1540871.9231705379</c:v>
                </c:pt>
                <c:pt idx="890">
                  <c:v>1570975.1475205522</c:v>
                </c:pt>
                <c:pt idx="891">
                  <c:v>1521458.8720327367</c:v>
                </c:pt>
                <c:pt idx="892">
                  <c:v>1249250.6025890734</c:v>
                </c:pt>
                <c:pt idx="893">
                  <c:v>1754609.3155946657</c:v>
                </c:pt>
                <c:pt idx="894">
                  <c:v>1188228.4254027675</c:v>
                </c:pt>
                <c:pt idx="895">
                  <c:v>1761591.7716718523</c:v>
                </c:pt>
                <c:pt idx="896">
                  <c:v>1127725.2184999429</c:v>
                </c:pt>
                <c:pt idx="897">
                  <c:v>1147646.7126395889</c:v>
                </c:pt>
                <c:pt idx="898">
                  <c:v>1241261.2442083559</c:v>
                </c:pt>
                <c:pt idx="899">
                  <c:v>1374169.0517979146</c:v>
                </c:pt>
                <c:pt idx="900">
                  <c:v>1890543.2283771471</c:v>
                </c:pt>
                <c:pt idx="901">
                  <c:v>2151679.4210314872</c:v>
                </c:pt>
                <c:pt idx="902">
                  <c:v>1206714.1364750315</c:v>
                </c:pt>
                <c:pt idx="903">
                  <c:v>1028413.109268688</c:v>
                </c:pt>
                <c:pt idx="904">
                  <c:v>2397141.6066939053</c:v>
                </c:pt>
                <c:pt idx="905">
                  <c:v>1085742.4810078673</c:v>
                </c:pt>
                <c:pt idx="906">
                  <c:v>1541727.4866136268</c:v>
                </c:pt>
                <c:pt idx="907">
                  <c:v>914332.08928277087</c:v>
                </c:pt>
                <c:pt idx="908">
                  <c:v>1085785.5884853837</c:v>
                </c:pt>
                <c:pt idx="909">
                  <c:v>433009.48320663412</c:v>
                </c:pt>
                <c:pt idx="910">
                  <c:v>1107690.3758035938</c:v>
                </c:pt>
                <c:pt idx="911">
                  <c:v>1142546.4311354174</c:v>
                </c:pt>
                <c:pt idx="912">
                  <c:v>861109.48369650927</c:v>
                </c:pt>
                <c:pt idx="913">
                  <c:v>849900.92701120267</c:v>
                </c:pt>
                <c:pt idx="914">
                  <c:v>759335.87513526017</c:v>
                </c:pt>
                <c:pt idx="915">
                  <c:v>663713.50490863982</c:v>
                </c:pt>
                <c:pt idx="916">
                  <c:v>694085.36306743359</c:v>
                </c:pt>
                <c:pt idx="917">
                  <c:v>1609209.4870523375</c:v>
                </c:pt>
                <c:pt idx="918">
                  <c:v>1162164.7264074062</c:v>
                </c:pt>
                <c:pt idx="919">
                  <c:v>1724760.107399056</c:v>
                </c:pt>
                <c:pt idx="920">
                  <c:v>1464363.6995486459</c:v>
                </c:pt>
                <c:pt idx="921">
                  <c:v>1122061.2588828288</c:v>
                </c:pt>
                <c:pt idx="922">
                  <c:v>1797882.1669207336</c:v>
                </c:pt>
                <c:pt idx="923">
                  <c:v>1984946.8550959728</c:v>
                </c:pt>
                <c:pt idx="924">
                  <c:v>1126576.2294397149</c:v>
                </c:pt>
                <c:pt idx="925">
                  <c:v>1108468.363265319</c:v>
                </c:pt>
                <c:pt idx="926">
                  <c:v>1481475.0439966163</c:v>
                </c:pt>
                <c:pt idx="927">
                  <c:v>579950.85521881329</c:v>
                </c:pt>
                <c:pt idx="928">
                  <c:v>1186551.3763866234</c:v>
                </c:pt>
                <c:pt idx="929">
                  <c:v>1033919.2006552733</c:v>
                </c:pt>
                <c:pt idx="930">
                  <c:v>473299.3125848326</c:v>
                </c:pt>
                <c:pt idx="931">
                  <c:v>1633882.784142857</c:v>
                </c:pt>
                <c:pt idx="932">
                  <c:v>1132362.2404944852</c:v>
                </c:pt>
                <c:pt idx="933">
                  <c:v>1385514.2662480054</c:v>
                </c:pt>
                <c:pt idx="934">
                  <c:v>608256.72587862203</c:v>
                </c:pt>
                <c:pt idx="935">
                  <c:v>1033221.5283759241</c:v>
                </c:pt>
                <c:pt idx="936">
                  <c:v>507957.90736491489</c:v>
                </c:pt>
                <c:pt idx="937">
                  <c:v>1055938.9075486436</c:v>
                </c:pt>
                <c:pt idx="938">
                  <c:v>604684.22923530883</c:v>
                </c:pt>
                <c:pt idx="939">
                  <c:v>868756.81235956168</c:v>
                </c:pt>
                <c:pt idx="940">
                  <c:v>1432774.0041902501</c:v>
                </c:pt>
                <c:pt idx="941">
                  <c:v>-172263.53955322728</c:v>
                </c:pt>
                <c:pt idx="942">
                  <c:v>1938401.9619847941</c:v>
                </c:pt>
                <c:pt idx="943">
                  <c:v>945082.0734354934</c:v>
                </c:pt>
                <c:pt idx="944">
                  <c:v>998618.10278823669</c:v>
                </c:pt>
                <c:pt idx="945">
                  <c:v>1657096.9841843722</c:v>
                </c:pt>
                <c:pt idx="946">
                  <c:v>2008069.610159161</c:v>
                </c:pt>
                <c:pt idx="947">
                  <c:v>566454.50724133151</c:v>
                </c:pt>
                <c:pt idx="948">
                  <c:v>2224922.7405453878</c:v>
                </c:pt>
                <c:pt idx="949">
                  <c:v>1437100.3234107599</c:v>
                </c:pt>
                <c:pt idx="950">
                  <c:v>1600480.1237305722</c:v>
                </c:pt>
                <c:pt idx="951">
                  <c:v>2514841.0052885013</c:v>
                </c:pt>
                <c:pt idx="952">
                  <c:v>273375.13076446665</c:v>
                </c:pt>
                <c:pt idx="953">
                  <c:v>1463081.0125705949</c:v>
                </c:pt>
                <c:pt idx="954">
                  <c:v>819191.14800940349</c:v>
                </c:pt>
                <c:pt idx="955">
                  <c:v>1975227.8832184554</c:v>
                </c:pt>
                <c:pt idx="956">
                  <c:v>1015943.8300020342</c:v>
                </c:pt>
                <c:pt idx="957">
                  <c:v>1117436.411095748</c:v>
                </c:pt>
                <c:pt idx="958">
                  <c:v>1558861.4689095574</c:v>
                </c:pt>
                <c:pt idx="959">
                  <c:v>467998.45648343547</c:v>
                </c:pt>
                <c:pt idx="960">
                  <c:v>1788330.8311238545</c:v>
                </c:pt>
                <c:pt idx="961">
                  <c:v>2201541.4421712481</c:v>
                </c:pt>
                <c:pt idx="962">
                  <c:v>1433652.5736461463</c:v>
                </c:pt>
                <c:pt idx="963">
                  <c:v>963385.03946387942</c:v>
                </c:pt>
                <c:pt idx="964">
                  <c:v>1517324.5117409755</c:v>
                </c:pt>
                <c:pt idx="965">
                  <c:v>786634.94132088334</c:v>
                </c:pt>
                <c:pt idx="966">
                  <c:v>1031535.2839785825</c:v>
                </c:pt>
                <c:pt idx="967">
                  <c:v>1463615.7017082998</c:v>
                </c:pt>
                <c:pt idx="968">
                  <c:v>1323571.4060322884</c:v>
                </c:pt>
                <c:pt idx="969">
                  <c:v>1332791.8252210522</c:v>
                </c:pt>
                <c:pt idx="970">
                  <c:v>847475.47982106579</c:v>
                </c:pt>
                <c:pt idx="971">
                  <c:v>887548.45107549848</c:v>
                </c:pt>
                <c:pt idx="972">
                  <c:v>848772.71307312592</c:v>
                </c:pt>
                <c:pt idx="973">
                  <c:v>1964241.4488073441</c:v>
                </c:pt>
                <c:pt idx="974">
                  <c:v>1203760.5627818143</c:v>
                </c:pt>
                <c:pt idx="975">
                  <c:v>1457890.5211640892</c:v>
                </c:pt>
                <c:pt idx="976">
                  <c:v>1617338.0710614503</c:v>
                </c:pt>
                <c:pt idx="977">
                  <c:v>357195.87880220159</c:v>
                </c:pt>
                <c:pt idx="978">
                  <c:v>1147164.1123434559</c:v>
                </c:pt>
                <c:pt idx="979">
                  <c:v>276013.28349360573</c:v>
                </c:pt>
                <c:pt idx="980">
                  <c:v>988347.94955839205</c:v>
                </c:pt>
                <c:pt idx="981">
                  <c:v>1360905.6708891687</c:v>
                </c:pt>
                <c:pt idx="982">
                  <c:v>1225790.8522712265</c:v>
                </c:pt>
                <c:pt idx="983">
                  <c:v>1331400.4050013791</c:v>
                </c:pt>
                <c:pt idx="984">
                  <c:v>782782.49908526044</c:v>
                </c:pt>
                <c:pt idx="985">
                  <c:v>393194.20130408683</c:v>
                </c:pt>
                <c:pt idx="986">
                  <c:v>1624171.637351539</c:v>
                </c:pt>
                <c:pt idx="987">
                  <c:v>773881.73517879192</c:v>
                </c:pt>
                <c:pt idx="988">
                  <c:v>1183971.3246639967</c:v>
                </c:pt>
                <c:pt idx="989">
                  <c:v>667289.92651093239</c:v>
                </c:pt>
                <c:pt idx="990">
                  <c:v>1267800.2737767445</c:v>
                </c:pt>
                <c:pt idx="991">
                  <c:v>1575596.7421276025</c:v>
                </c:pt>
                <c:pt idx="992">
                  <c:v>751265.88505679183</c:v>
                </c:pt>
                <c:pt idx="993">
                  <c:v>705457.75872341543</c:v>
                </c:pt>
                <c:pt idx="994">
                  <c:v>1156782.6106830183</c:v>
                </c:pt>
                <c:pt idx="995">
                  <c:v>1394409.1476726679</c:v>
                </c:pt>
                <c:pt idx="996">
                  <c:v>1030993.3072020902</c:v>
                </c:pt>
                <c:pt idx="997">
                  <c:v>951498.73700725881</c:v>
                </c:pt>
                <c:pt idx="998">
                  <c:v>1138617.3167247663</c:v>
                </c:pt>
                <c:pt idx="999">
                  <c:v>2144806.0045233746</c:v>
                </c:pt>
              </c:numCache>
            </c:numRef>
          </c:yVal>
          <c:smooth val="0"/>
          <c:extLst>
            <c:ext xmlns:c16="http://schemas.microsoft.com/office/drawing/2014/chart" uri="{C3380CC4-5D6E-409C-BE32-E72D297353CC}">
              <c16:uniqueId val="{00000000-A620-4BB0-9BBB-7FADFF0BDF1F}"/>
            </c:ext>
          </c:extLst>
        </c:ser>
        <c:ser>
          <c:idx val="0"/>
          <c:order val="1"/>
          <c:tx>
            <c:strRef>
              <c:f>'PSA outputs'!$O$3</c:f>
              <c:strCache>
                <c:ptCount val="1"/>
                <c:pt idx="0">
                  <c:v>Societal perspective</c:v>
                </c:pt>
              </c:strCache>
            </c:strRef>
          </c:tx>
          <c:spPr>
            <a:ln w="28575">
              <a:noFill/>
            </a:ln>
          </c:spPr>
          <c:marker>
            <c:symbol val="diamond"/>
            <c:size val="3"/>
          </c:marker>
          <c:xVal>
            <c:numRef>
              <c:f>'PSA outputs'!$H$9:$H$1008</c:f>
              <c:numCache>
                <c:formatCode>_(* #,##0_);_(* \(#,##0\);_(* "-"??_);_(@_)</c:formatCode>
                <c:ptCount val="1000"/>
                <c:pt idx="0">
                  <c:v>1156.5728919061003</c:v>
                </c:pt>
                <c:pt idx="1">
                  <c:v>1298.9282901681872</c:v>
                </c:pt>
                <c:pt idx="2">
                  <c:v>1206.8141011694825</c:v>
                </c:pt>
                <c:pt idx="3">
                  <c:v>1076.6073389818921</c:v>
                </c:pt>
                <c:pt idx="4">
                  <c:v>1212.0307269469413</c:v>
                </c:pt>
                <c:pt idx="5">
                  <c:v>1226.3816994368171</c:v>
                </c:pt>
                <c:pt idx="6">
                  <c:v>1173.3110936793382</c:v>
                </c:pt>
                <c:pt idx="7">
                  <c:v>1084.3534772163111</c:v>
                </c:pt>
                <c:pt idx="8">
                  <c:v>1191.0507321214245</c:v>
                </c:pt>
                <c:pt idx="9">
                  <c:v>1125.4637932506084</c:v>
                </c:pt>
                <c:pt idx="10">
                  <c:v>1184.7510231812703</c:v>
                </c:pt>
                <c:pt idx="11">
                  <c:v>1057.0878524597938</c:v>
                </c:pt>
                <c:pt idx="12">
                  <c:v>1003.08852272488</c:v>
                </c:pt>
                <c:pt idx="13">
                  <c:v>1308.8321850564826</c:v>
                </c:pt>
                <c:pt idx="14">
                  <c:v>1072.4175304042656</c:v>
                </c:pt>
                <c:pt idx="15">
                  <c:v>1363.90946464218</c:v>
                </c:pt>
                <c:pt idx="16">
                  <c:v>1124.1272478664832</c:v>
                </c:pt>
                <c:pt idx="17">
                  <c:v>1104.7183613861635</c:v>
                </c:pt>
                <c:pt idx="18">
                  <c:v>1379.0588361885748</c:v>
                </c:pt>
                <c:pt idx="19">
                  <c:v>1059.1867989903549</c:v>
                </c:pt>
                <c:pt idx="20">
                  <c:v>1155.3708435586523</c:v>
                </c:pt>
                <c:pt idx="21">
                  <c:v>1152.797623702405</c:v>
                </c:pt>
                <c:pt idx="22">
                  <c:v>1089.8550371464662</c:v>
                </c:pt>
                <c:pt idx="23">
                  <c:v>1214.1264901344548</c:v>
                </c:pt>
                <c:pt idx="24">
                  <c:v>1310.8414801018953</c:v>
                </c:pt>
                <c:pt idx="25">
                  <c:v>1062.6970388316186</c:v>
                </c:pt>
                <c:pt idx="26">
                  <c:v>1149.7023140654273</c:v>
                </c:pt>
                <c:pt idx="27">
                  <c:v>1134.8634373898676</c:v>
                </c:pt>
                <c:pt idx="28">
                  <c:v>1000.857236993259</c:v>
                </c:pt>
                <c:pt idx="29">
                  <c:v>1105.4740916863884</c:v>
                </c:pt>
                <c:pt idx="30">
                  <c:v>1137.2825361662181</c:v>
                </c:pt>
                <c:pt idx="31">
                  <c:v>1076.2399670847008</c:v>
                </c:pt>
                <c:pt idx="32">
                  <c:v>966.3870011621766</c:v>
                </c:pt>
                <c:pt idx="33">
                  <c:v>1208.2244742172479</c:v>
                </c:pt>
                <c:pt idx="34">
                  <c:v>1284.3931501732586</c:v>
                </c:pt>
                <c:pt idx="35">
                  <c:v>1179.8822726443686</c:v>
                </c:pt>
                <c:pt idx="36">
                  <c:v>1111.782406299877</c:v>
                </c:pt>
                <c:pt idx="37">
                  <c:v>1379.9163775265988</c:v>
                </c:pt>
                <c:pt idx="38">
                  <c:v>1046.6962684035971</c:v>
                </c:pt>
                <c:pt idx="39">
                  <c:v>1178.8360651277399</c:v>
                </c:pt>
                <c:pt idx="40">
                  <c:v>1053.0448847890657</c:v>
                </c:pt>
                <c:pt idx="41">
                  <c:v>950.82328174523718</c:v>
                </c:pt>
                <c:pt idx="42">
                  <c:v>1291.1904857251357</c:v>
                </c:pt>
                <c:pt idx="43">
                  <c:v>1364.4667503945966</c:v>
                </c:pt>
                <c:pt idx="44">
                  <c:v>1239.8710781485206</c:v>
                </c:pt>
                <c:pt idx="45">
                  <c:v>1225.6180008160518</c:v>
                </c:pt>
                <c:pt idx="46">
                  <c:v>1153.6836931241633</c:v>
                </c:pt>
                <c:pt idx="47">
                  <c:v>1033.1328296035208</c:v>
                </c:pt>
                <c:pt idx="48">
                  <c:v>1179.7006454859511</c:v>
                </c:pt>
                <c:pt idx="49">
                  <c:v>1393.0800153721793</c:v>
                </c:pt>
                <c:pt idx="50">
                  <c:v>1207.3887741839862</c:v>
                </c:pt>
                <c:pt idx="51">
                  <c:v>1059.2456124160672</c:v>
                </c:pt>
                <c:pt idx="52">
                  <c:v>1136.1993852357482</c:v>
                </c:pt>
                <c:pt idx="53">
                  <c:v>1387.940623845614</c:v>
                </c:pt>
                <c:pt idx="54">
                  <c:v>1119.2251322994925</c:v>
                </c:pt>
                <c:pt idx="55">
                  <c:v>1110.0961363973984</c:v>
                </c:pt>
                <c:pt idx="56">
                  <c:v>995.27465838802163</c:v>
                </c:pt>
                <c:pt idx="57">
                  <c:v>1086.1434445921914</c:v>
                </c:pt>
                <c:pt idx="58">
                  <c:v>1401.1362315809747</c:v>
                </c:pt>
                <c:pt idx="59">
                  <c:v>1311.7451405879256</c:v>
                </c:pt>
                <c:pt idx="60">
                  <c:v>1100.4886046916363</c:v>
                </c:pt>
                <c:pt idx="61">
                  <c:v>1230.0119452833969</c:v>
                </c:pt>
                <c:pt idx="62">
                  <c:v>947.15322003660549</c:v>
                </c:pt>
                <c:pt idx="63">
                  <c:v>1442.7633257617053</c:v>
                </c:pt>
                <c:pt idx="64">
                  <c:v>1353.3106116841591</c:v>
                </c:pt>
                <c:pt idx="65">
                  <c:v>1138.2031079375374</c:v>
                </c:pt>
                <c:pt idx="66">
                  <c:v>1132.9869049384506</c:v>
                </c:pt>
                <c:pt idx="67">
                  <c:v>1265.3446489809867</c:v>
                </c:pt>
                <c:pt idx="68">
                  <c:v>1181.2013965139631</c:v>
                </c:pt>
                <c:pt idx="69">
                  <c:v>1131.2913857045496</c:v>
                </c:pt>
                <c:pt idx="70">
                  <c:v>1277.0127185123929</c:v>
                </c:pt>
                <c:pt idx="71">
                  <c:v>1212.0911128258958</c:v>
                </c:pt>
                <c:pt idx="72">
                  <c:v>1009.8557147082538</c:v>
                </c:pt>
                <c:pt idx="73">
                  <c:v>1032.3593923773005</c:v>
                </c:pt>
                <c:pt idx="74">
                  <c:v>1113.7392212108243</c:v>
                </c:pt>
                <c:pt idx="75">
                  <c:v>1292.4962521006964</c:v>
                </c:pt>
                <c:pt idx="76">
                  <c:v>916.25761026809778</c:v>
                </c:pt>
                <c:pt idx="77">
                  <c:v>1222.4150016255953</c:v>
                </c:pt>
                <c:pt idx="78">
                  <c:v>1119.9464038315782</c:v>
                </c:pt>
                <c:pt idx="79">
                  <c:v>1225.0987353631572</c:v>
                </c:pt>
                <c:pt idx="80">
                  <c:v>1118.3183270530353</c:v>
                </c:pt>
                <c:pt idx="81">
                  <c:v>1234.2609532785355</c:v>
                </c:pt>
                <c:pt idx="82">
                  <c:v>1109.4269073429823</c:v>
                </c:pt>
                <c:pt idx="83">
                  <c:v>1149.414977446897</c:v>
                </c:pt>
                <c:pt idx="84">
                  <c:v>1512.0836002719661</c:v>
                </c:pt>
                <c:pt idx="85">
                  <c:v>1139.9905629323403</c:v>
                </c:pt>
                <c:pt idx="86">
                  <c:v>1270.6427403320413</c:v>
                </c:pt>
                <c:pt idx="87">
                  <c:v>1298.0950328345061</c:v>
                </c:pt>
                <c:pt idx="88">
                  <c:v>1256.5044036122854</c:v>
                </c:pt>
                <c:pt idx="89">
                  <c:v>1031.9373495702894</c:v>
                </c:pt>
                <c:pt idx="90">
                  <c:v>1259.0927519776378</c:v>
                </c:pt>
                <c:pt idx="91">
                  <c:v>1185.3675557465249</c:v>
                </c:pt>
                <c:pt idx="92">
                  <c:v>1095.1405443216936</c:v>
                </c:pt>
                <c:pt idx="93">
                  <c:v>1259.9911728705847</c:v>
                </c:pt>
                <c:pt idx="94">
                  <c:v>1178.6556075717162</c:v>
                </c:pt>
                <c:pt idx="95">
                  <c:v>1129.0996934905561</c:v>
                </c:pt>
                <c:pt idx="96">
                  <c:v>1130.1121293618853</c:v>
                </c:pt>
                <c:pt idx="97">
                  <c:v>1090.7525231214604</c:v>
                </c:pt>
                <c:pt idx="98">
                  <c:v>1319.8416036545532</c:v>
                </c:pt>
                <c:pt idx="99">
                  <c:v>1183.4707810251566</c:v>
                </c:pt>
                <c:pt idx="100">
                  <c:v>1099.2073850300585</c:v>
                </c:pt>
                <c:pt idx="101">
                  <c:v>1101.0267114292947</c:v>
                </c:pt>
                <c:pt idx="102">
                  <c:v>1016.8477558583836</c:v>
                </c:pt>
                <c:pt idx="103">
                  <c:v>1071.6763449000864</c:v>
                </c:pt>
                <c:pt idx="104">
                  <c:v>1168.7843715160489</c:v>
                </c:pt>
                <c:pt idx="105">
                  <c:v>1225.4056154416539</c:v>
                </c:pt>
                <c:pt idx="106">
                  <c:v>1353.5573138702675</c:v>
                </c:pt>
                <c:pt idx="107">
                  <c:v>1206.8604388718595</c:v>
                </c:pt>
                <c:pt idx="108">
                  <c:v>1243.4164268584209</c:v>
                </c:pt>
                <c:pt idx="109">
                  <c:v>1063.2135059223801</c:v>
                </c:pt>
                <c:pt idx="110">
                  <c:v>1268.2964731886386</c:v>
                </c:pt>
                <c:pt idx="111">
                  <c:v>1225.2405676948329</c:v>
                </c:pt>
                <c:pt idx="112">
                  <c:v>1213.541673677646</c:v>
                </c:pt>
                <c:pt idx="113">
                  <c:v>1367.1986953217129</c:v>
                </c:pt>
                <c:pt idx="114">
                  <c:v>1174.3968008131924</c:v>
                </c:pt>
                <c:pt idx="115">
                  <c:v>1421.5051118096671</c:v>
                </c:pt>
                <c:pt idx="116">
                  <c:v>1101.118921516987</c:v>
                </c:pt>
                <c:pt idx="117">
                  <c:v>963.25483562776208</c:v>
                </c:pt>
                <c:pt idx="118">
                  <c:v>1147.9675838190451</c:v>
                </c:pt>
                <c:pt idx="119">
                  <c:v>1055.7937767954645</c:v>
                </c:pt>
                <c:pt idx="120">
                  <c:v>1034.8182049621464</c:v>
                </c:pt>
                <c:pt idx="121">
                  <c:v>1323.5829318701435</c:v>
                </c:pt>
                <c:pt idx="122">
                  <c:v>1275.5938721927523</c:v>
                </c:pt>
                <c:pt idx="123">
                  <c:v>1151.4999690895856</c:v>
                </c:pt>
                <c:pt idx="124">
                  <c:v>1209.62728563173</c:v>
                </c:pt>
                <c:pt idx="125">
                  <c:v>1318.2859988119599</c:v>
                </c:pt>
                <c:pt idx="126">
                  <c:v>1275.519241231952</c:v>
                </c:pt>
                <c:pt idx="127">
                  <c:v>970.0365067025341</c:v>
                </c:pt>
                <c:pt idx="128">
                  <c:v>1180.6377332135453</c:v>
                </c:pt>
                <c:pt idx="129">
                  <c:v>1159.5930182790325</c:v>
                </c:pt>
                <c:pt idx="130">
                  <c:v>1219.9655322894687</c:v>
                </c:pt>
                <c:pt idx="131">
                  <c:v>1331.4847144659725</c:v>
                </c:pt>
                <c:pt idx="132">
                  <c:v>1379.2610443010926</c:v>
                </c:pt>
                <c:pt idx="133">
                  <c:v>1227.898406323875</c:v>
                </c:pt>
                <c:pt idx="134">
                  <c:v>1146.463313315151</c:v>
                </c:pt>
                <c:pt idx="135">
                  <c:v>1216.2170498211271</c:v>
                </c:pt>
                <c:pt idx="136">
                  <c:v>1131.8935573747367</c:v>
                </c:pt>
                <c:pt idx="137">
                  <c:v>1169.2837346905872</c:v>
                </c:pt>
                <c:pt idx="138">
                  <c:v>1344.8271460318065</c:v>
                </c:pt>
                <c:pt idx="139">
                  <c:v>944.28621139981988</c:v>
                </c:pt>
                <c:pt idx="140">
                  <c:v>953.74041976671288</c:v>
                </c:pt>
                <c:pt idx="141">
                  <c:v>1318.3531659892324</c:v>
                </c:pt>
                <c:pt idx="142">
                  <c:v>1242.2285529270594</c:v>
                </c:pt>
                <c:pt idx="143">
                  <c:v>1055.7323305398459</c:v>
                </c:pt>
                <c:pt idx="144">
                  <c:v>1334.7687233663601</c:v>
                </c:pt>
                <c:pt idx="145">
                  <c:v>1112.0546004382704</c:v>
                </c:pt>
                <c:pt idx="146">
                  <c:v>1198.7096798636485</c:v>
                </c:pt>
                <c:pt idx="147">
                  <c:v>1349.1996890139271</c:v>
                </c:pt>
                <c:pt idx="148">
                  <c:v>1239.6212489435784</c:v>
                </c:pt>
                <c:pt idx="149">
                  <c:v>1182.3439959908719</c:v>
                </c:pt>
                <c:pt idx="150">
                  <c:v>1281.4730885892641</c:v>
                </c:pt>
                <c:pt idx="151">
                  <c:v>1208.6004738286138</c:v>
                </c:pt>
                <c:pt idx="152">
                  <c:v>1101.8587431665146</c:v>
                </c:pt>
                <c:pt idx="153">
                  <c:v>1010.3400457780735</c:v>
                </c:pt>
                <c:pt idx="154">
                  <c:v>1219.362094602322</c:v>
                </c:pt>
                <c:pt idx="155">
                  <c:v>1125.7115955460686</c:v>
                </c:pt>
                <c:pt idx="156">
                  <c:v>1074.511266720554</c:v>
                </c:pt>
                <c:pt idx="157">
                  <c:v>1116.4784193405576</c:v>
                </c:pt>
                <c:pt idx="158">
                  <c:v>1193.5495505343351</c:v>
                </c:pt>
                <c:pt idx="159">
                  <c:v>1373.8109778232101</c:v>
                </c:pt>
                <c:pt idx="160">
                  <c:v>1246.0366697386125</c:v>
                </c:pt>
                <c:pt idx="161">
                  <c:v>1074.9411071765717</c:v>
                </c:pt>
                <c:pt idx="162">
                  <c:v>1068.5606479107882</c:v>
                </c:pt>
                <c:pt idx="163">
                  <c:v>1087.1589403852558</c:v>
                </c:pt>
                <c:pt idx="164">
                  <c:v>1035.3958562555272</c:v>
                </c:pt>
                <c:pt idx="165">
                  <c:v>1263.8968020661923</c:v>
                </c:pt>
                <c:pt idx="166">
                  <c:v>1101.9875802498209</c:v>
                </c:pt>
                <c:pt idx="167">
                  <c:v>1272.2113258445243</c:v>
                </c:pt>
                <c:pt idx="168">
                  <c:v>1169.1722359214837</c:v>
                </c:pt>
                <c:pt idx="169">
                  <c:v>1159.0460983267549</c:v>
                </c:pt>
                <c:pt idx="170">
                  <c:v>1121.0724091786979</c:v>
                </c:pt>
                <c:pt idx="171">
                  <c:v>1105.3577985728771</c:v>
                </c:pt>
                <c:pt idx="172">
                  <c:v>1090.8877684145191</c:v>
                </c:pt>
                <c:pt idx="173">
                  <c:v>1179.57612779185</c:v>
                </c:pt>
                <c:pt idx="174">
                  <c:v>1072.3774275606338</c:v>
                </c:pt>
                <c:pt idx="175">
                  <c:v>963.63110497476009</c:v>
                </c:pt>
                <c:pt idx="176">
                  <c:v>1154.7913632344353</c:v>
                </c:pt>
                <c:pt idx="177">
                  <c:v>1059.3108303777044</c:v>
                </c:pt>
                <c:pt idx="178">
                  <c:v>1337.5466882431137</c:v>
                </c:pt>
                <c:pt idx="179">
                  <c:v>1385.8620209760411</c:v>
                </c:pt>
                <c:pt idx="180">
                  <c:v>1316.6791261549442</c:v>
                </c:pt>
                <c:pt idx="181">
                  <c:v>1461.278960767042</c:v>
                </c:pt>
                <c:pt idx="182">
                  <c:v>1064.0682342352593</c:v>
                </c:pt>
                <c:pt idx="183">
                  <c:v>1215.8859379380301</c:v>
                </c:pt>
                <c:pt idx="184">
                  <c:v>1279.7715108107514</c:v>
                </c:pt>
                <c:pt idx="185">
                  <c:v>1246.3323042378906</c:v>
                </c:pt>
                <c:pt idx="186">
                  <c:v>1364.3043714205196</c:v>
                </c:pt>
                <c:pt idx="187">
                  <c:v>1147.1491760377685</c:v>
                </c:pt>
                <c:pt idx="188">
                  <c:v>1071.7386151480314</c:v>
                </c:pt>
                <c:pt idx="189">
                  <c:v>1470.0562737553555</c:v>
                </c:pt>
                <c:pt idx="190">
                  <c:v>1249.2997087974436</c:v>
                </c:pt>
                <c:pt idx="191">
                  <c:v>1168.0040740289478</c:v>
                </c:pt>
                <c:pt idx="192">
                  <c:v>1369.9298998078884</c:v>
                </c:pt>
                <c:pt idx="193">
                  <c:v>1102.0662745712689</c:v>
                </c:pt>
                <c:pt idx="194">
                  <c:v>1252.8953788707004</c:v>
                </c:pt>
                <c:pt idx="195">
                  <c:v>1195.3454007985711</c:v>
                </c:pt>
                <c:pt idx="196">
                  <c:v>1112.8395547218024</c:v>
                </c:pt>
                <c:pt idx="197">
                  <c:v>1110.6605509991496</c:v>
                </c:pt>
                <c:pt idx="198">
                  <c:v>1229.4176560864144</c:v>
                </c:pt>
                <c:pt idx="199">
                  <c:v>1139.7592766535963</c:v>
                </c:pt>
                <c:pt idx="200">
                  <c:v>1072.2782318984609</c:v>
                </c:pt>
                <c:pt idx="201">
                  <c:v>1462.4276566890694</c:v>
                </c:pt>
                <c:pt idx="202">
                  <c:v>1198.089223443938</c:v>
                </c:pt>
                <c:pt idx="203">
                  <c:v>1343.3074618047685</c:v>
                </c:pt>
                <c:pt idx="204">
                  <c:v>1348.1216451079454</c:v>
                </c:pt>
                <c:pt idx="205">
                  <c:v>1192.5659391896334</c:v>
                </c:pt>
                <c:pt idx="206">
                  <c:v>1202.4451427527601</c:v>
                </c:pt>
                <c:pt idx="207">
                  <c:v>1083.8438170657537</c:v>
                </c:pt>
                <c:pt idx="208">
                  <c:v>1300.6652221375189</c:v>
                </c:pt>
                <c:pt idx="209">
                  <c:v>1191.5721298040444</c:v>
                </c:pt>
                <c:pt idx="210">
                  <c:v>1135.7149412598519</c:v>
                </c:pt>
                <c:pt idx="211">
                  <c:v>1215.4449554240782</c:v>
                </c:pt>
                <c:pt idx="212">
                  <c:v>1124.203584411116</c:v>
                </c:pt>
                <c:pt idx="213">
                  <c:v>1183.5573692788457</c:v>
                </c:pt>
                <c:pt idx="214">
                  <c:v>1243.2315625260817</c:v>
                </c:pt>
                <c:pt idx="215">
                  <c:v>1387.8467682361661</c:v>
                </c:pt>
                <c:pt idx="216">
                  <c:v>1231.9502879790161</c:v>
                </c:pt>
                <c:pt idx="217">
                  <c:v>1167.9437145720149</c:v>
                </c:pt>
                <c:pt idx="218">
                  <c:v>1267.8467772207005</c:v>
                </c:pt>
                <c:pt idx="219">
                  <c:v>1164.7379877780841</c:v>
                </c:pt>
                <c:pt idx="220">
                  <c:v>1335.6576611128621</c:v>
                </c:pt>
                <c:pt idx="221">
                  <c:v>1356.6211452556527</c:v>
                </c:pt>
                <c:pt idx="222">
                  <c:v>1203.6285958180597</c:v>
                </c:pt>
                <c:pt idx="223">
                  <c:v>1267.9606117490403</c:v>
                </c:pt>
                <c:pt idx="224">
                  <c:v>1028.6851208774606</c:v>
                </c:pt>
                <c:pt idx="225">
                  <c:v>1423.930196551315</c:v>
                </c:pt>
                <c:pt idx="226">
                  <c:v>1236.7474178780831</c:v>
                </c:pt>
                <c:pt idx="227">
                  <c:v>1095.1107228666951</c:v>
                </c:pt>
                <c:pt idx="228">
                  <c:v>1266.6284422752287</c:v>
                </c:pt>
                <c:pt idx="229">
                  <c:v>1036.4409066254157</c:v>
                </c:pt>
                <c:pt idx="230">
                  <c:v>1194.2206278364101</c:v>
                </c:pt>
                <c:pt idx="231">
                  <c:v>1074.7709800702069</c:v>
                </c:pt>
                <c:pt idx="232">
                  <c:v>1056.9806051656196</c:v>
                </c:pt>
                <c:pt idx="233">
                  <c:v>1198.2684543817086</c:v>
                </c:pt>
                <c:pt idx="234">
                  <c:v>1256.9517071425871</c:v>
                </c:pt>
                <c:pt idx="235">
                  <c:v>1170.3594480568863</c:v>
                </c:pt>
                <c:pt idx="236">
                  <c:v>1401.6129369755654</c:v>
                </c:pt>
                <c:pt idx="237">
                  <c:v>998.49251875370101</c:v>
                </c:pt>
                <c:pt idx="238">
                  <c:v>1135.0688282607589</c:v>
                </c:pt>
                <c:pt idx="239">
                  <c:v>1284.2046211223205</c:v>
                </c:pt>
                <c:pt idx="240">
                  <c:v>1090.5602156964378</c:v>
                </c:pt>
                <c:pt idx="241">
                  <c:v>1166.8483049916249</c:v>
                </c:pt>
                <c:pt idx="242">
                  <c:v>1319.8650547106226</c:v>
                </c:pt>
                <c:pt idx="243">
                  <c:v>1058.2425971357152</c:v>
                </c:pt>
                <c:pt idx="244">
                  <c:v>1395.3616386437352</c:v>
                </c:pt>
                <c:pt idx="245">
                  <c:v>1257.4429318413604</c:v>
                </c:pt>
                <c:pt idx="246">
                  <c:v>1301.753977982291</c:v>
                </c:pt>
                <c:pt idx="247">
                  <c:v>1414.2060821930936</c:v>
                </c:pt>
                <c:pt idx="248">
                  <c:v>1206.8003350788931</c:v>
                </c:pt>
                <c:pt idx="249">
                  <c:v>1212.581587882014</c:v>
                </c:pt>
                <c:pt idx="250">
                  <c:v>1486.4202843968524</c:v>
                </c:pt>
                <c:pt idx="251">
                  <c:v>1085.2615633560126</c:v>
                </c:pt>
                <c:pt idx="252">
                  <c:v>1066.6586656858562</c:v>
                </c:pt>
                <c:pt idx="253">
                  <c:v>1091.5464267939024</c:v>
                </c:pt>
                <c:pt idx="254">
                  <c:v>1101.0473102598771</c:v>
                </c:pt>
                <c:pt idx="255">
                  <c:v>1234.1727950150307</c:v>
                </c:pt>
                <c:pt idx="256">
                  <c:v>1230.2003397896697</c:v>
                </c:pt>
                <c:pt idx="257">
                  <c:v>1238.9596783480738</c:v>
                </c:pt>
                <c:pt idx="258">
                  <c:v>1111.1952579821154</c:v>
                </c:pt>
                <c:pt idx="259">
                  <c:v>945.3060940233845</c:v>
                </c:pt>
                <c:pt idx="260">
                  <c:v>1145.4821787796391</c:v>
                </c:pt>
                <c:pt idx="261">
                  <c:v>1107.2740259649363</c:v>
                </c:pt>
                <c:pt idx="262">
                  <c:v>1066.5718577888983</c:v>
                </c:pt>
                <c:pt idx="263">
                  <c:v>1311.9442602840863</c:v>
                </c:pt>
                <c:pt idx="264">
                  <c:v>1086.4000518452158</c:v>
                </c:pt>
                <c:pt idx="265">
                  <c:v>1129.3675650321165</c:v>
                </c:pt>
                <c:pt idx="266">
                  <c:v>949.46147606949671</c:v>
                </c:pt>
                <c:pt idx="267">
                  <c:v>1295.8524517949336</c:v>
                </c:pt>
                <c:pt idx="268">
                  <c:v>1235.9678047850321</c:v>
                </c:pt>
                <c:pt idx="269">
                  <c:v>1091.5200796775825</c:v>
                </c:pt>
                <c:pt idx="270">
                  <c:v>1297.2664519679529</c:v>
                </c:pt>
                <c:pt idx="271">
                  <c:v>1184.847279164067</c:v>
                </c:pt>
                <c:pt idx="272">
                  <c:v>1071.2332033121274</c:v>
                </c:pt>
                <c:pt idx="273">
                  <c:v>954.13523701980739</c:v>
                </c:pt>
                <c:pt idx="274">
                  <c:v>1469.3230402308182</c:v>
                </c:pt>
                <c:pt idx="275">
                  <c:v>1134.7417129041496</c:v>
                </c:pt>
                <c:pt idx="276">
                  <c:v>1030.0059749484208</c:v>
                </c:pt>
                <c:pt idx="277">
                  <c:v>1552.7045006186017</c:v>
                </c:pt>
                <c:pt idx="278">
                  <c:v>1107.1232171143129</c:v>
                </c:pt>
                <c:pt idx="279">
                  <c:v>1499.6154246090882</c:v>
                </c:pt>
                <c:pt idx="280">
                  <c:v>1174.2516702553403</c:v>
                </c:pt>
                <c:pt idx="281">
                  <c:v>976.61223254507786</c:v>
                </c:pt>
                <c:pt idx="282">
                  <c:v>1291.9525106725778</c:v>
                </c:pt>
                <c:pt idx="283">
                  <c:v>1118.033725776666</c:v>
                </c:pt>
                <c:pt idx="284">
                  <c:v>1073.7481466561439</c:v>
                </c:pt>
                <c:pt idx="285">
                  <c:v>1292.5184750647677</c:v>
                </c:pt>
                <c:pt idx="286">
                  <c:v>1062.4291647517093</c:v>
                </c:pt>
                <c:pt idx="287">
                  <c:v>1091.0962881652231</c:v>
                </c:pt>
                <c:pt idx="288">
                  <c:v>1117.408146229347</c:v>
                </c:pt>
                <c:pt idx="289">
                  <c:v>1145.4582078494277</c:v>
                </c:pt>
                <c:pt idx="290">
                  <c:v>1147.6712550031225</c:v>
                </c:pt>
                <c:pt idx="291">
                  <c:v>1343.6584770808549</c:v>
                </c:pt>
                <c:pt idx="292">
                  <c:v>1056.9653420988325</c:v>
                </c:pt>
                <c:pt idx="293">
                  <c:v>1178.8983264421404</c:v>
                </c:pt>
                <c:pt idx="294">
                  <c:v>1176.3119193504899</c:v>
                </c:pt>
                <c:pt idx="295">
                  <c:v>1055.7620729648916</c:v>
                </c:pt>
                <c:pt idx="296">
                  <c:v>974.52456337743934</c:v>
                </c:pt>
                <c:pt idx="297">
                  <c:v>936.96991114529374</c:v>
                </c:pt>
                <c:pt idx="298">
                  <c:v>1173.817489372399</c:v>
                </c:pt>
                <c:pt idx="299">
                  <c:v>977.62800915254775</c:v>
                </c:pt>
                <c:pt idx="300">
                  <c:v>1238.675561892509</c:v>
                </c:pt>
                <c:pt idx="301">
                  <c:v>1212.9524981661525</c:v>
                </c:pt>
                <c:pt idx="302">
                  <c:v>1222.861702940223</c:v>
                </c:pt>
                <c:pt idx="303">
                  <c:v>1003.4961656667219</c:v>
                </c:pt>
                <c:pt idx="304">
                  <c:v>1238.8005609073953</c:v>
                </c:pt>
                <c:pt idx="305">
                  <c:v>1136.979078139324</c:v>
                </c:pt>
                <c:pt idx="306">
                  <c:v>1310.9624387531512</c:v>
                </c:pt>
                <c:pt idx="307">
                  <c:v>1220.8369865664936</c:v>
                </c:pt>
                <c:pt idx="308">
                  <c:v>1493.6486575870294</c:v>
                </c:pt>
                <c:pt idx="309">
                  <c:v>1393.35696504511</c:v>
                </c:pt>
                <c:pt idx="310">
                  <c:v>1262.3368484560851</c:v>
                </c:pt>
                <c:pt idx="311">
                  <c:v>1186.8034119347358</c:v>
                </c:pt>
                <c:pt idx="312">
                  <c:v>1081.0983895775207</c:v>
                </c:pt>
                <c:pt idx="313">
                  <c:v>1074.7804434531863</c:v>
                </c:pt>
                <c:pt idx="314">
                  <c:v>1466.7705862425719</c:v>
                </c:pt>
                <c:pt idx="315">
                  <c:v>1146.5787202861611</c:v>
                </c:pt>
                <c:pt idx="316">
                  <c:v>1184.1784746013145</c:v>
                </c:pt>
                <c:pt idx="317">
                  <c:v>1056.7352378185897</c:v>
                </c:pt>
                <c:pt idx="318">
                  <c:v>1112.9153175489628</c:v>
                </c:pt>
                <c:pt idx="319">
                  <c:v>1079.1194165225243</c:v>
                </c:pt>
                <c:pt idx="320">
                  <c:v>1247.3680331315991</c:v>
                </c:pt>
                <c:pt idx="321">
                  <c:v>1219.1024775462211</c:v>
                </c:pt>
                <c:pt idx="322">
                  <c:v>1193.1049188922043</c:v>
                </c:pt>
                <c:pt idx="323">
                  <c:v>1119.9895541587175</c:v>
                </c:pt>
                <c:pt idx="324">
                  <c:v>1314.6061045495735</c:v>
                </c:pt>
                <c:pt idx="325">
                  <c:v>1021.9991823072196</c:v>
                </c:pt>
                <c:pt idx="326">
                  <c:v>1165.1379866408824</c:v>
                </c:pt>
                <c:pt idx="327">
                  <c:v>1209.3352977057075</c:v>
                </c:pt>
                <c:pt idx="328">
                  <c:v>1122.1440197239208</c:v>
                </c:pt>
                <c:pt idx="329">
                  <c:v>1229.7660886720914</c:v>
                </c:pt>
                <c:pt idx="330">
                  <c:v>1180.175705605674</c:v>
                </c:pt>
                <c:pt idx="331">
                  <c:v>1237.392027886679</c:v>
                </c:pt>
                <c:pt idx="332">
                  <c:v>940.78658628732956</c:v>
                </c:pt>
                <c:pt idx="333">
                  <c:v>1309.6808082779316</c:v>
                </c:pt>
                <c:pt idx="334">
                  <c:v>1117.8275130258917</c:v>
                </c:pt>
                <c:pt idx="335">
                  <c:v>1103.538607586037</c:v>
                </c:pt>
                <c:pt idx="336">
                  <c:v>1106.0856006632093</c:v>
                </c:pt>
                <c:pt idx="337">
                  <c:v>1270.9767930107409</c:v>
                </c:pt>
                <c:pt idx="338">
                  <c:v>1203.7513812925899</c:v>
                </c:pt>
                <c:pt idx="339">
                  <c:v>1014.7470186061328</c:v>
                </c:pt>
                <c:pt idx="340">
                  <c:v>938.52508277229208</c:v>
                </c:pt>
                <c:pt idx="341">
                  <c:v>1328.8671338472341</c:v>
                </c:pt>
                <c:pt idx="342">
                  <c:v>1275.592285215258</c:v>
                </c:pt>
                <c:pt idx="343">
                  <c:v>1301.1632108413978</c:v>
                </c:pt>
                <c:pt idx="344">
                  <c:v>1091.8460489518257</c:v>
                </c:pt>
                <c:pt idx="345">
                  <c:v>1150.0501946494696</c:v>
                </c:pt>
                <c:pt idx="346">
                  <c:v>1270.6149830980285</c:v>
                </c:pt>
                <c:pt idx="347">
                  <c:v>1102.6942245728278</c:v>
                </c:pt>
                <c:pt idx="348">
                  <c:v>1117.9132922552672</c:v>
                </c:pt>
                <c:pt idx="349">
                  <c:v>1348.0766370892597</c:v>
                </c:pt>
                <c:pt idx="350">
                  <c:v>1042.8711558362047</c:v>
                </c:pt>
                <c:pt idx="351">
                  <c:v>1185.9004076320052</c:v>
                </c:pt>
                <c:pt idx="352">
                  <c:v>1358.9882083307966</c:v>
                </c:pt>
                <c:pt idx="353">
                  <c:v>1094.8332758455363</c:v>
                </c:pt>
                <c:pt idx="354">
                  <c:v>1039.1273067851216</c:v>
                </c:pt>
                <c:pt idx="355">
                  <c:v>1293.8619243193898</c:v>
                </c:pt>
                <c:pt idx="356">
                  <c:v>1241.8105200921345</c:v>
                </c:pt>
                <c:pt idx="357">
                  <c:v>1197.9713093555038</c:v>
                </c:pt>
                <c:pt idx="358">
                  <c:v>1077.0111547079359</c:v>
                </c:pt>
                <c:pt idx="359">
                  <c:v>1262.3875496117325</c:v>
                </c:pt>
                <c:pt idx="360">
                  <c:v>1221.5335898603225</c:v>
                </c:pt>
                <c:pt idx="361">
                  <c:v>1102.7310262953106</c:v>
                </c:pt>
                <c:pt idx="362">
                  <c:v>992.69339434456924</c:v>
                </c:pt>
                <c:pt idx="363">
                  <c:v>1084.1867106061982</c:v>
                </c:pt>
                <c:pt idx="364">
                  <c:v>1183.3138938388365</c:v>
                </c:pt>
                <c:pt idx="365">
                  <c:v>1210.9281469626876</c:v>
                </c:pt>
                <c:pt idx="366">
                  <c:v>1082.666351801352</c:v>
                </c:pt>
                <c:pt idx="367">
                  <c:v>1159.9286759568713</c:v>
                </c:pt>
                <c:pt idx="368">
                  <c:v>1202.255885945553</c:v>
                </c:pt>
                <c:pt idx="369">
                  <c:v>1087.7732353649699</c:v>
                </c:pt>
                <c:pt idx="370">
                  <c:v>1393.1662935752684</c:v>
                </c:pt>
                <c:pt idx="371">
                  <c:v>1570.0013765532422</c:v>
                </c:pt>
                <c:pt idx="372">
                  <c:v>1016.7120576876769</c:v>
                </c:pt>
                <c:pt idx="373">
                  <c:v>1458.0604190973027</c:v>
                </c:pt>
                <c:pt idx="374">
                  <c:v>1044.3029146953122</c:v>
                </c:pt>
                <c:pt idx="375">
                  <c:v>1095.0757663673285</c:v>
                </c:pt>
                <c:pt idx="376">
                  <c:v>1071.3126289094434</c:v>
                </c:pt>
                <c:pt idx="377">
                  <c:v>1092.0005004005143</c:v>
                </c:pt>
                <c:pt idx="378">
                  <c:v>1417.5572866137663</c:v>
                </c:pt>
                <c:pt idx="379">
                  <c:v>1258.9928478654037</c:v>
                </c:pt>
                <c:pt idx="380">
                  <c:v>955.91351921050227</c:v>
                </c:pt>
                <c:pt idx="381">
                  <c:v>1246.7270454615646</c:v>
                </c:pt>
                <c:pt idx="382">
                  <c:v>1256.6310286702792</c:v>
                </c:pt>
                <c:pt idx="383">
                  <c:v>1054.0731776425309</c:v>
                </c:pt>
                <c:pt idx="384">
                  <c:v>1226.6538334108482</c:v>
                </c:pt>
                <c:pt idx="385">
                  <c:v>1175.3571999748092</c:v>
                </c:pt>
                <c:pt idx="386">
                  <c:v>1250.0333587446949</c:v>
                </c:pt>
                <c:pt idx="387">
                  <c:v>1023.0123822769165</c:v>
                </c:pt>
                <c:pt idx="388">
                  <c:v>1126.9966449149288</c:v>
                </c:pt>
                <c:pt idx="389">
                  <c:v>1488.9818258947707</c:v>
                </c:pt>
                <c:pt idx="390">
                  <c:v>1190.5757361394644</c:v>
                </c:pt>
                <c:pt idx="391">
                  <c:v>940.22608224902797</c:v>
                </c:pt>
                <c:pt idx="392">
                  <c:v>1144.135437587749</c:v>
                </c:pt>
                <c:pt idx="393">
                  <c:v>1213.1339194141037</c:v>
                </c:pt>
                <c:pt idx="394">
                  <c:v>1182.9534806824158</c:v>
                </c:pt>
                <c:pt idx="395">
                  <c:v>985.89478722142667</c:v>
                </c:pt>
                <c:pt idx="396">
                  <c:v>1097.7658664746632</c:v>
                </c:pt>
                <c:pt idx="397">
                  <c:v>1201.7062569832196</c:v>
                </c:pt>
                <c:pt idx="398">
                  <c:v>1075.6024274538431</c:v>
                </c:pt>
                <c:pt idx="399">
                  <c:v>1241.2380393618296</c:v>
                </c:pt>
                <c:pt idx="400">
                  <c:v>1011.6734522645565</c:v>
                </c:pt>
                <c:pt idx="401">
                  <c:v>1217.7583500106484</c:v>
                </c:pt>
                <c:pt idx="402">
                  <c:v>1355.3310941488962</c:v>
                </c:pt>
                <c:pt idx="403">
                  <c:v>1255.1318728786937</c:v>
                </c:pt>
                <c:pt idx="404">
                  <c:v>1154.7944416229002</c:v>
                </c:pt>
                <c:pt idx="405">
                  <c:v>1202.3075543019222</c:v>
                </c:pt>
                <c:pt idx="406">
                  <c:v>1075.6071404794347</c:v>
                </c:pt>
                <c:pt idx="407">
                  <c:v>1069.1260921634384</c:v>
                </c:pt>
                <c:pt idx="408">
                  <c:v>1236.1257198813837</c:v>
                </c:pt>
                <c:pt idx="409">
                  <c:v>1027.1857260293909</c:v>
                </c:pt>
                <c:pt idx="410">
                  <c:v>1159.8636754481995</c:v>
                </c:pt>
                <c:pt idx="411">
                  <c:v>1291.7733072493793</c:v>
                </c:pt>
                <c:pt idx="412">
                  <c:v>1104.5173644091919</c:v>
                </c:pt>
                <c:pt idx="413">
                  <c:v>1062.931065340832</c:v>
                </c:pt>
                <c:pt idx="414">
                  <c:v>1171.9219966210512</c:v>
                </c:pt>
                <c:pt idx="415">
                  <c:v>1146.1940661053522</c:v>
                </c:pt>
                <c:pt idx="416">
                  <c:v>1334.839035723744</c:v>
                </c:pt>
                <c:pt idx="417">
                  <c:v>1223.1137637209977</c:v>
                </c:pt>
                <c:pt idx="418">
                  <c:v>1343.9321493257885</c:v>
                </c:pt>
                <c:pt idx="419">
                  <c:v>1177.9798422926833</c:v>
                </c:pt>
                <c:pt idx="420">
                  <c:v>1234.4380895970171</c:v>
                </c:pt>
                <c:pt idx="421">
                  <c:v>891.00775676000922</c:v>
                </c:pt>
                <c:pt idx="422">
                  <c:v>1276.1621851995733</c:v>
                </c:pt>
                <c:pt idx="423">
                  <c:v>1262.3036823450238</c:v>
                </c:pt>
                <c:pt idx="424">
                  <c:v>1092.4778599854762</c:v>
                </c:pt>
                <c:pt idx="425">
                  <c:v>1076.514484571846</c:v>
                </c:pt>
                <c:pt idx="426">
                  <c:v>1212.0697762623677</c:v>
                </c:pt>
                <c:pt idx="427">
                  <c:v>1296.1297481294969</c:v>
                </c:pt>
                <c:pt idx="428">
                  <c:v>1285.1633463025209</c:v>
                </c:pt>
                <c:pt idx="429">
                  <c:v>1179.700141648078</c:v>
                </c:pt>
                <c:pt idx="430">
                  <c:v>1162.7696972068225</c:v>
                </c:pt>
                <c:pt idx="431">
                  <c:v>1194.4434838764064</c:v>
                </c:pt>
                <c:pt idx="432">
                  <c:v>1136.5373159166265</c:v>
                </c:pt>
                <c:pt idx="433">
                  <c:v>1020.1826259806257</c:v>
                </c:pt>
                <c:pt idx="434">
                  <c:v>961.1576647111724</c:v>
                </c:pt>
                <c:pt idx="435">
                  <c:v>1220.5166010599496</c:v>
                </c:pt>
                <c:pt idx="436">
                  <c:v>1453.0385505727027</c:v>
                </c:pt>
                <c:pt idx="437">
                  <c:v>1072.3306105226147</c:v>
                </c:pt>
                <c:pt idx="438">
                  <c:v>1066.2545483117865</c:v>
                </c:pt>
                <c:pt idx="439">
                  <c:v>1093.0487867654447</c:v>
                </c:pt>
                <c:pt idx="440">
                  <c:v>1055.309031391982</c:v>
                </c:pt>
                <c:pt idx="441">
                  <c:v>1270.7807742145233</c:v>
                </c:pt>
                <c:pt idx="442">
                  <c:v>1183.56177521059</c:v>
                </c:pt>
                <c:pt idx="443">
                  <c:v>1035.1929574428068</c:v>
                </c:pt>
                <c:pt idx="444">
                  <c:v>1269.4463072660874</c:v>
                </c:pt>
                <c:pt idx="445">
                  <c:v>1323.9678624055741</c:v>
                </c:pt>
                <c:pt idx="446">
                  <c:v>1132.7092428166361</c:v>
                </c:pt>
                <c:pt idx="447">
                  <c:v>1030.2801668394022</c:v>
                </c:pt>
                <c:pt idx="448">
                  <c:v>1125.2354409790933</c:v>
                </c:pt>
                <c:pt idx="449">
                  <c:v>971.94524218346487</c:v>
                </c:pt>
                <c:pt idx="450">
                  <c:v>1108.5361704107854</c:v>
                </c:pt>
                <c:pt idx="451">
                  <c:v>1353.0640046635017</c:v>
                </c:pt>
                <c:pt idx="452">
                  <c:v>1203.0426129651169</c:v>
                </c:pt>
                <c:pt idx="453">
                  <c:v>1306.1690604666655</c:v>
                </c:pt>
                <c:pt idx="454">
                  <c:v>1261.1503881731696</c:v>
                </c:pt>
                <c:pt idx="455">
                  <c:v>1208.4918900261982</c:v>
                </c:pt>
                <c:pt idx="456">
                  <c:v>1049.4399753791949</c:v>
                </c:pt>
                <c:pt idx="457">
                  <c:v>1073.6353777045733</c:v>
                </c:pt>
                <c:pt idx="458">
                  <c:v>1176.4527465811625</c:v>
                </c:pt>
                <c:pt idx="459">
                  <c:v>1189.7339547730735</c:v>
                </c:pt>
                <c:pt idx="460">
                  <c:v>1113.8410649600628</c:v>
                </c:pt>
                <c:pt idx="461">
                  <c:v>994.79678194154985</c:v>
                </c:pt>
                <c:pt idx="462">
                  <c:v>1276.780183156865</c:v>
                </c:pt>
                <c:pt idx="463">
                  <c:v>1155.6234142889734</c:v>
                </c:pt>
                <c:pt idx="464">
                  <c:v>1204.6318586536217</c:v>
                </c:pt>
                <c:pt idx="465">
                  <c:v>1292.3265829405791</c:v>
                </c:pt>
                <c:pt idx="466">
                  <c:v>954.59772171792429</c:v>
                </c:pt>
                <c:pt idx="467">
                  <c:v>1268.5579056954739</c:v>
                </c:pt>
                <c:pt idx="468">
                  <c:v>1119.9642714095171</c:v>
                </c:pt>
                <c:pt idx="469">
                  <c:v>1132.1911577030769</c:v>
                </c:pt>
                <c:pt idx="470">
                  <c:v>1309.8248130961219</c:v>
                </c:pt>
                <c:pt idx="471">
                  <c:v>1172.1240445056392</c:v>
                </c:pt>
                <c:pt idx="472">
                  <c:v>1299.868596209315</c:v>
                </c:pt>
                <c:pt idx="473">
                  <c:v>1255.3461852355613</c:v>
                </c:pt>
                <c:pt idx="474">
                  <c:v>1102.9658627254539</c:v>
                </c:pt>
                <c:pt idx="475">
                  <c:v>1105.9366562942669</c:v>
                </c:pt>
                <c:pt idx="476">
                  <c:v>952.55581613518734</c:v>
                </c:pt>
                <c:pt idx="477">
                  <c:v>1174.2317093184392</c:v>
                </c:pt>
                <c:pt idx="478">
                  <c:v>1169.6008927733928</c:v>
                </c:pt>
                <c:pt idx="479">
                  <c:v>1336.3836426532944</c:v>
                </c:pt>
                <c:pt idx="480">
                  <c:v>1275.701600419372</c:v>
                </c:pt>
                <c:pt idx="481">
                  <c:v>1334.2528920616096</c:v>
                </c:pt>
                <c:pt idx="482">
                  <c:v>1148.2337011291747</c:v>
                </c:pt>
                <c:pt idx="483">
                  <c:v>1107.5683019731223</c:v>
                </c:pt>
                <c:pt idx="484">
                  <c:v>1135.2404026517615</c:v>
                </c:pt>
                <c:pt idx="485">
                  <c:v>1309.7151621145094</c:v>
                </c:pt>
                <c:pt idx="486">
                  <c:v>1210.3913808581201</c:v>
                </c:pt>
                <c:pt idx="487">
                  <c:v>1231.0172374123795</c:v>
                </c:pt>
                <c:pt idx="488">
                  <c:v>1177.1451061649277</c:v>
                </c:pt>
                <c:pt idx="489">
                  <c:v>961.54735534890642</c:v>
                </c:pt>
                <c:pt idx="490">
                  <c:v>1333.5674063678016</c:v>
                </c:pt>
                <c:pt idx="491">
                  <c:v>1104.2686257357709</c:v>
                </c:pt>
                <c:pt idx="492">
                  <c:v>1208.0394327811155</c:v>
                </c:pt>
                <c:pt idx="493">
                  <c:v>1081.4672883223539</c:v>
                </c:pt>
                <c:pt idx="494">
                  <c:v>1282.0658877248206</c:v>
                </c:pt>
                <c:pt idx="495">
                  <c:v>1098.601163610896</c:v>
                </c:pt>
                <c:pt idx="496">
                  <c:v>1229.9114173621492</c:v>
                </c:pt>
                <c:pt idx="497">
                  <c:v>1274.6502444224825</c:v>
                </c:pt>
                <c:pt idx="498">
                  <c:v>1296.8087742112475</c:v>
                </c:pt>
                <c:pt idx="499">
                  <c:v>1247.2457770704277</c:v>
                </c:pt>
                <c:pt idx="500">
                  <c:v>1079.4073777877129</c:v>
                </c:pt>
                <c:pt idx="501">
                  <c:v>1258.924306916706</c:v>
                </c:pt>
                <c:pt idx="502">
                  <c:v>1181.7040739245131</c:v>
                </c:pt>
                <c:pt idx="503">
                  <c:v>1334.4881801404408</c:v>
                </c:pt>
                <c:pt idx="504">
                  <c:v>1165.3646962061903</c:v>
                </c:pt>
                <c:pt idx="505">
                  <c:v>1194.7284370341949</c:v>
                </c:pt>
                <c:pt idx="506">
                  <c:v>988.19349600598071</c:v>
                </c:pt>
                <c:pt idx="507">
                  <c:v>1134.0833507625211</c:v>
                </c:pt>
                <c:pt idx="508">
                  <c:v>1384.4506010984915</c:v>
                </c:pt>
                <c:pt idx="509">
                  <c:v>1096.9782879191334</c:v>
                </c:pt>
                <c:pt idx="510">
                  <c:v>1141.0153204548042</c:v>
                </c:pt>
                <c:pt idx="511">
                  <c:v>1359.8263493821942</c:v>
                </c:pt>
                <c:pt idx="512">
                  <c:v>1139.6135894499821</c:v>
                </c:pt>
                <c:pt idx="513">
                  <c:v>1249.4800346704287</c:v>
                </c:pt>
                <c:pt idx="514">
                  <c:v>983.46727707579703</c:v>
                </c:pt>
                <c:pt idx="515">
                  <c:v>1199.6665848696939</c:v>
                </c:pt>
                <c:pt idx="516">
                  <c:v>1399.726756079348</c:v>
                </c:pt>
                <c:pt idx="517">
                  <c:v>1380.9917852227009</c:v>
                </c:pt>
                <c:pt idx="518">
                  <c:v>1148.3157737611327</c:v>
                </c:pt>
                <c:pt idx="519">
                  <c:v>1138.0138653221802</c:v>
                </c:pt>
                <c:pt idx="520">
                  <c:v>1158.6665934729535</c:v>
                </c:pt>
                <c:pt idx="521">
                  <c:v>1171.1684110524657</c:v>
                </c:pt>
                <c:pt idx="522">
                  <c:v>1218.4374039811664</c:v>
                </c:pt>
                <c:pt idx="523">
                  <c:v>984.70800681687979</c:v>
                </c:pt>
                <c:pt idx="524">
                  <c:v>1154.9148254645334</c:v>
                </c:pt>
                <c:pt idx="525">
                  <c:v>1234.6041823945561</c:v>
                </c:pt>
                <c:pt idx="526">
                  <c:v>1383.7243117480321</c:v>
                </c:pt>
                <c:pt idx="527">
                  <c:v>1226.1876172894699</c:v>
                </c:pt>
                <c:pt idx="528">
                  <c:v>1139.6464824020295</c:v>
                </c:pt>
                <c:pt idx="529">
                  <c:v>1293.7183463494366</c:v>
                </c:pt>
                <c:pt idx="530">
                  <c:v>1224.9461121700733</c:v>
                </c:pt>
                <c:pt idx="531">
                  <c:v>1113.9728909092373</c:v>
                </c:pt>
                <c:pt idx="532">
                  <c:v>1067.4190987126931</c:v>
                </c:pt>
                <c:pt idx="533">
                  <c:v>1153.557074004224</c:v>
                </c:pt>
                <c:pt idx="534">
                  <c:v>1172.8101483610444</c:v>
                </c:pt>
                <c:pt idx="535">
                  <c:v>923.33844989349745</c:v>
                </c:pt>
                <c:pt idx="536">
                  <c:v>1130.864953972763</c:v>
                </c:pt>
                <c:pt idx="537">
                  <c:v>1295.5726961077598</c:v>
                </c:pt>
                <c:pt idx="538">
                  <c:v>1132.8372190131922</c:v>
                </c:pt>
                <c:pt idx="539">
                  <c:v>1074.4460351405869</c:v>
                </c:pt>
                <c:pt idx="540">
                  <c:v>1264.1884089288433</c:v>
                </c:pt>
                <c:pt idx="541">
                  <c:v>1104.769439489326</c:v>
                </c:pt>
                <c:pt idx="542">
                  <c:v>1237.7930962425817</c:v>
                </c:pt>
                <c:pt idx="543">
                  <c:v>1338.2398234243665</c:v>
                </c:pt>
                <c:pt idx="544">
                  <c:v>1261.7821503993036</c:v>
                </c:pt>
                <c:pt idx="545">
                  <c:v>1012.5866263149874</c:v>
                </c:pt>
                <c:pt idx="546">
                  <c:v>1165.6201232673266</c:v>
                </c:pt>
                <c:pt idx="547">
                  <c:v>1222.9257244361943</c:v>
                </c:pt>
                <c:pt idx="548">
                  <c:v>1040.4857545060804</c:v>
                </c:pt>
                <c:pt idx="549">
                  <c:v>1155.6626166922288</c:v>
                </c:pt>
                <c:pt idx="550">
                  <c:v>1326.593443415346</c:v>
                </c:pt>
                <c:pt idx="551">
                  <c:v>928.7908506274689</c:v>
                </c:pt>
                <c:pt idx="552">
                  <c:v>1096.6027553018721</c:v>
                </c:pt>
                <c:pt idx="553">
                  <c:v>1150.1396014214697</c:v>
                </c:pt>
                <c:pt idx="554">
                  <c:v>1398.4303441417433</c:v>
                </c:pt>
                <c:pt idx="555">
                  <c:v>1333.9626875627146</c:v>
                </c:pt>
                <c:pt idx="556">
                  <c:v>1494.1752174985013</c:v>
                </c:pt>
                <c:pt idx="557">
                  <c:v>1192.5706794102589</c:v>
                </c:pt>
                <c:pt idx="558">
                  <c:v>1197.2586664192131</c:v>
                </c:pt>
                <c:pt idx="559">
                  <c:v>1132.178979020704</c:v>
                </c:pt>
                <c:pt idx="560">
                  <c:v>1027.1056442575282</c:v>
                </c:pt>
                <c:pt idx="561">
                  <c:v>1102.5351191472</c:v>
                </c:pt>
                <c:pt idx="562">
                  <c:v>1175.0714004392648</c:v>
                </c:pt>
                <c:pt idx="563">
                  <c:v>1393.3916296360258</c:v>
                </c:pt>
                <c:pt idx="564">
                  <c:v>1205.8780181722686</c:v>
                </c:pt>
                <c:pt idx="565">
                  <c:v>1486.3405830027259</c:v>
                </c:pt>
                <c:pt idx="566">
                  <c:v>1328.7854285771537</c:v>
                </c:pt>
                <c:pt idx="567">
                  <c:v>1269.2409354551783</c:v>
                </c:pt>
                <c:pt idx="568">
                  <c:v>1280.2325004806917</c:v>
                </c:pt>
                <c:pt idx="569">
                  <c:v>1212.3623871390664</c:v>
                </c:pt>
                <c:pt idx="570">
                  <c:v>1144.2705988012749</c:v>
                </c:pt>
                <c:pt idx="571">
                  <c:v>1096.7825052390763</c:v>
                </c:pt>
                <c:pt idx="572">
                  <c:v>1058.5660482601597</c:v>
                </c:pt>
                <c:pt idx="573">
                  <c:v>1058.8217164769158</c:v>
                </c:pt>
                <c:pt idx="574">
                  <c:v>895.76657418633113</c:v>
                </c:pt>
                <c:pt idx="575">
                  <c:v>1071.8900056818748</c:v>
                </c:pt>
                <c:pt idx="576">
                  <c:v>1048.9514595261135</c:v>
                </c:pt>
                <c:pt idx="577">
                  <c:v>899.41269946292596</c:v>
                </c:pt>
                <c:pt idx="578">
                  <c:v>963.06068921983388</c:v>
                </c:pt>
                <c:pt idx="579">
                  <c:v>961.24937369684631</c:v>
                </c:pt>
                <c:pt idx="580">
                  <c:v>1299.3326155607137</c:v>
                </c:pt>
                <c:pt idx="581">
                  <c:v>1224.6401152795152</c:v>
                </c:pt>
                <c:pt idx="582">
                  <c:v>1220.2505148910059</c:v>
                </c:pt>
                <c:pt idx="583">
                  <c:v>1089.2775583412295</c:v>
                </c:pt>
                <c:pt idx="584">
                  <c:v>1185.5700725856077</c:v>
                </c:pt>
                <c:pt idx="585">
                  <c:v>1123.0344773484176</c:v>
                </c:pt>
                <c:pt idx="586">
                  <c:v>1026.1433685809097</c:v>
                </c:pt>
                <c:pt idx="587">
                  <c:v>1372.8562512676435</c:v>
                </c:pt>
                <c:pt idx="588">
                  <c:v>1079.6477131700885</c:v>
                </c:pt>
                <c:pt idx="589">
                  <c:v>1078.0051013996344</c:v>
                </c:pt>
                <c:pt idx="590">
                  <c:v>1462.2848342063735</c:v>
                </c:pt>
                <c:pt idx="591">
                  <c:v>1066.6464219469999</c:v>
                </c:pt>
                <c:pt idx="592">
                  <c:v>1476.2481883636647</c:v>
                </c:pt>
                <c:pt idx="593">
                  <c:v>1255.5995610800092</c:v>
                </c:pt>
                <c:pt idx="594">
                  <c:v>1286.9661654403972</c:v>
                </c:pt>
                <c:pt idx="595">
                  <c:v>1096.9812531744246</c:v>
                </c:pt>
                <c:pt idx="596">
                  <c:v>1346.5733215549844</c:v>
                </c:pt>
                <c:pt idx="597">
                  <c:v>1110.8152595091378</c:v>
                </c:pt>
                <c:pt idx="598">
                  <c:v>1063.0932380150189</c:v>
                </c:pt>
                <c:pt idx="599">
                  <c:v>1405.8954055951472</c:v>
                </c:pt>
                <c:pt idx="600">
                  <c:v>951.42549872571544</c:v>
                </c:pt>
                <c:pt idx="601">
                  <c:v>1067.2022387174657</c:v>
                </c:pt>
                <c:pt idx="602">
                  <c:v>1069.9050991465047</c:v>
                </c:pt>
                <c:pt idx="603">
                  <c:v>1313.7815371150064</c:v>
                </c:pt>
                <c:pt idx="604">
                  <c:v>1185.2225056923999</c:v>
                </c:pt>
                <c:pt idx="605">
                  <c:v>1114.2229277707374</c:v>
                </c:pt>
                <c:pt idx="606">
                  <c:v>1179.2036375149764</c:v>
                </c:pt>
                <c:pt idx="607">
                  <c:v>1128.9625040554893</c:v>
                </c:pt>
                <c:pt idx="608">
                  <c:v>1136.0175912422128</c:v>
                </c:pt>
                <c:pt idx="609">
                  <c:v>1285.4727316262215</c:v>
                </c:pt>
                <c:pt idx="610">
                  <c:v>1210.8098313992668</c:v>
                </c:pt>
                <c:pt idx="611">
                  <c:v>1061.1031295508801</c:v>
                </c:pt>
                <c:pt idx="612">
                  <c:v>1166.3585800575383</c:v>
                </c:pt>
                <c:pt idx="613">
                  <c:v>1033.2573838407625</c:v>
                </c:pt>
                <c:pt idx="614">
                  <c:v>1178.92713432858</c:v>
                </c:pt>
                <c:pt idx="615">
                  <c:v>1274.1006031719808</c:v>
                </c:pt>
                <c:pt idx="616">
                  <c:v>1030.9158451859548</c:v>
                </c:pt>
                <c:pt idx="617">
                  <c:v>1213.7422582362196</c:v>
                </c:pt>
                <c:pt idx="618">
                  <c:v>1186.5719876951771</c:v>
                </c:pt>
                <c:pt idx="619">
                  <c:v>1436.0128122212118</c:v>
                </c:pt>
                <c:pt idx="620">
                  <c:v>1112.8568729663384</c:v>
                </c:pt>
                <c:pt idx="621">
                  <c:v>1194.346259586564</c:v>
                </c:pt>
                <c:pt idx="622">
                  <c:v>972.89545837813785</c:v>
                </c:pt>
                <c:pt idx="623">
                  <c:v>1043.1965579679527</c:v>
                </c:pt>
                <c:pt idx="624">
                  <c:v>927.68964324158151</c:v>
                </c:pt>
                <c:pt idx="625">
                  <c:v>1211.6086836551112</c:v>
                </c:pt>
                <c:pt idx="626">
                  <c:v>1041.2295621570156</c:v>
                </c:pt>
                <c:pt idx="627">
                  <c:v>1186.1632103124502</c:v>
                </c:pt>
                <c:pt idx="628">
                  <c:v>1215.2617972890584</c:v>
                </c:pt>
                <c:pt idx="629">
                  <c:v>964.63072032859054</c:v>
                </c:pt>
                <c:pt idx="630">
                  <c:v>1129.6411779169066</c:v>
                </c:pt>
                <c:pt idx="631">
                  <c:v>1142.8498294132078</c:v>
                </c:pt>
                <c:pt idx="632">
                  <c:v>1257.4311590695579</c:v>
                </c:pt>
                <c:pt idx="633">
                  <c:v>1161.1019185161203</c:v>
                </c:pt>
                <c:pt idx="634">
                  <c:v>1279.0360344489163</c:v>
                </c:pt>
                <c:pt idx="635">
                  <c:v>1143.8936458094759</c:v>
                </c:pt>
                <c:pt idx="636">
                  <c:v>1189.5688564222146</c:v>
                </c:pt>
                <c:pt idx="637">
                  <c:v>1167.8077702053997</c:v>
                </c:pt>
                <c:pt idx="638">
                  <c:v>1064.3106865336449</c:v>
                </c:pt>
                <c:pt idx="639">
                  <c:v>1260.7871834903635</c:v>
                </c:pt>
                <c:pt idx="640">
                  <c:v>1294.2990103445336</c:v>
                </c:pt>
                <c:pt idx="641">
                  <c:v>1051.5582299635571</c:v>
                </c:pt>
                <c:pt idx="642">
                  <c:v>1314.1661058276077</c:v>
                </c:pt>
                <c:pt idx="643">
                  <c:v>1103.2115037216136</c:v>
                </c:pt>
                <c:pt idx="644">
                  <c:v>1167.0795846324763</c:v>
                </c:pt>
                <c:pt idx="645">
                  <c:v>1174.8200140788322</c:v>
                </c:pt>
                <c:pt idx="646">
                  <c:v>1369.0644947144174</c:v>
                </c:pt>
                <c:pt idx="647">
                  <c:v>1007.789843742481</c:v>
                </c:pt>
                <c:pt idx="648">
                  <c:v>1018.3802713281257</c:v>
                </c:pt>
                <c:pt idx="649">
                  <c:v>1128.4036774041524</c:v>
                </c:pt>
                <c:pt idx="650">
                  <c:v>1234.0251222901279</c:v>
                </c:pt>
                <c:pt idx="651">
                  <c:v>1103.6451576615655</c:v>
                </c:pt>
                <c:pt idx="652">
                  <c:v>1123.4103491669448</c:v>
                </c:pt>
                <c:pt idx="653">
                  <c:v>1383.7602109098516</c:v>
                </c:pt>
                <c:pt idx="654">
                  <c:v>1279.8227390075699</c:v>
                </c:pt>
                <c:pt idx="655">
                  <c:v>1196.1655190369202</c:v>
                </c:pt>
                <c:pt idx="656">
                  <c:v>1135.5125972196402</c:v>
                </c:pt>
                <c:pt idx="657">
                  <c:v>1026.7739449854489</c:v>
                </c:pt>
                <c:pt idx="658">
                  <c:v>1236.8249156122547</c:v>
                </c:pt>
                <c:pt idx="659">
                  <c:v>1123.169742719183</c:v>
                </c:pt>
                <c:pt idx="660">
                  <c:v>1194.1289220088365</c:v>
                </c:pt>
                <c:pt idx="661">
                  <c:v>1152.3387604715826</c:v>
                </c:pt>
                <c:pt idx="662">
                  <c:v>1129.0198301551427</c:v>
                </c:pt>
                <c:pt idx="663">
                  <c:v>1084.0427227286782</c:v>
                </c:pt>
                <c:pt idx="664">
                  <c:v>1228.3329138088957</c:v>
                </c:pt>
                <c:pt idx="665">
                  <c:v>1235.261339778328</c:v>
                </c:pt>
                <c:pt idx="666">
                  <c:v>1275.1061877263637</c:v>
                </c:pt>
                <c:pt idx="667">
                  <c:v>1347.9967786883062</c:v>
                </c:pt>
                <c:pt idx="668">
                  <c:v>1383.5358732081731</c:v>
                </c:pt>
                <c:pt idx="669">
                  <c:v>1187.4159556716186</c:v>
                </c:pt>
                <c:pt idx="670">
                  <c:v>1103.5420793353187</c:v>
                </c:pt>
                <c:pt idx="671">
                  <c:v>1280.4513805309034</c:v>
                </c:pt>
                <c:pt idx="672">
                  <c:v>1280.6713046678051</c:v>
                </c:pt>
                <c:pt idx="673">
                  <c:v>1109.1623802282411</c:v>
                </c:pt>
                <c:pt idx="674">
                  <c:v>1098.443603038213</c:v>
                </c:pt>
                <c:pt idx="675">
                  <c:v>1076.1601763402286</c:v>
                </c:pt>
                <c:pt idx="676">
                  <c:v>1148.0883050394987</c:v>
                </c:pt>
                <c:pt idx="677">
                  <c:v>1148.9965393413295</c:v>
                </c:pt>
                <c:pt idx="678">
                  <c:v>1213.6767396662835</c:v>
                </c:pt>
                <c:pt idx="679">
                  <c:v>1305.5992335368064</c:v>
                </c:pt>
                <c:pt idx="680">
                  <c:v>1198.7802881835232</c:v>
                </c:pt>
                <c:pt idx="681">
                  <c:v>1119.9081580612619</c:v>
                </c:pt>
                <c:pt idx="682">
                  <c:v>1207.4090874715403</c:v>
                </c:pt>
                <c:pt idx="683">
                  <c:v>1262.2107819088124</c:v>
                </c:pt>
                <c:pt idx="684">
                  <c:v>1205.8607270720095</c:v>
                </c:pt>
                <c:pt idx="685">
                  <c:v>1187.2489527040671</c:v>
                </c:pt>
                <c:pt idx="686">
                  <c:v>1073.7278404902318</c:v>
                </c:pt>
                <c:pt idx="687">
                  <c:v>1101.8347949480449</c:v>
                </c:pt>
                <c:pt idx="688">
                  <c:v>1022.9709597589972</c:v>
                </c:pt>
                <c:pt idx="689">
                  <c:v>1222.9235926900583</c:v>
                </c:pt>
                <c:pt idx="690">
                  <c:v>1340.3552462532534</c:v>
                </c:pt>
                <c:pt idx="691">
                  <c:v>1079.7193554679616</c:v>
                </c:pt>
                <c:pt idx="692">
                  <c:v>970.23754346806527</c:v>
                </c:pt>
                <c:pt idx="693">
                  <c:v>1105.5647209905146</c:v>
                </c:pt>
                <c:pt idx="694">
                  <c:v>1209.8795529123017</c:v>
                </c:pt>
                <c:pt idx="695">
                  <c:v>1210.1228688166739</c:v>
                </c:pt>
                <c:pt idx="696">
                  <c:v>1183.0260970851377</c:v>
                </c:pt>
                <c:pt idx="697">
                  <c:v>1226.4798082182606</c:v>
                </c:pt>
                <c:pt idx="698">
                  <c:v>909.34520487462578</c:v>
                </c:pt>
                <c:pt idx="699">
                  <c:v>1091.9612622295244</c:v>
                </c:pt>
                <c:pt idx="700">
                  <c:v>1236.1629484966543</c:v>
                </c:pt>
                <c:pt idx="701">
                  <c:v>1044.2456568351336</c:v>
                </c:pt>
                <c:pt idx="702">
                  <c:v>1109.6022285017316</c:v>
                </c:pt>
                <c:pt idx="703">
                  <c:v>1203.7182183338518</c:v>
                </c:pt>
                <c:pt idx="704">
                  <c:v>1402.4299975807153</c:v>
                </c:pt>
                <c:pt idx="705">
                  <c:v>1157.0923538449497</c:v>
                </c:pt>
                <c:pt idx="706">
                  <c:v>1348.1547881672304</c:v>
                </c:pt>
                <c:pt idx="707">
                  <c:v>1071.0962591988937</c:v>
                </c:pt>
                <c:pt idx="708">
                  <c:v>1174.5605133683785</c:v>
                </c:pt>
                <c:pt idx="709">
                  <c:v>1112.2710442396638</c:v>
                </c:pt>
                <c:pt idx="710">
                  <c:v>1150.5183841523831</c:v>
                </c:pt>
                <c:pt idx="711">
                  <c:v>1163.4872641616603</c:v>
                </c:pt>
                <c:pt idx="712">
                  <c:v>1130.6323800748141</c:v>
                </c:pt>
                <c:pt idx="713">
                  <c:v>1197.1896432506546</c:v>
                </c:pt>
                <c:pt idx="714">
                  <c:v>997.3653156556029</c:v>
                </c:pt>
                <c:pt idx="715">
                  <c:v>1111.0125735504844</c:v>
                </c:pt>
                <c:pt idx="716">
                  <c:v>1265.0603562342949</c:v>
                </c:pt>
                <c:pt idx="717">
                  <c:v>988.09504818452115</c:v>
                </c:pt>
                <c:pt idx="718">
                  <c:v>1137.1864748591179</c:v>
                </c:pt>
                <c:pt idx="719">
                  <c:v>1236.0533711337266</c:v>
                </c:pt>
                <c:pt idx="720">
                  <c:v>991.94139191626164</c:v>
                </c:pt>
                <c:pt idx="721">
                  <c:v>1081.0147118587556</c:v>
                </c:pt>
                <c:pt idx="722">
                  <c:v>1033.0608778767928</c:v>
                </c:pt>
                <c:pt idx="723">
                  <c:v>1013.6447912347649</c:v>
                </c:pt>
                <c:pt idx="724">
                  <c:v>1463.2926071497204</c:v>
                </c:pt>
                <c:pt idx="725">
                  <c:v>1285.2246692246335</c:v>
                </c:pt>
                <c:pt idx="726">
                  <c:v>1147.9542613427257</c:v>
                </c:pt>
                <c:pt idx="727">
                  <c:v>983.28100656626339</c:v>
                </c:pt>
                <c:pt idx="728">
                  <c:v>1183.8136578193371</c:v>
                </c:pt>
                <c:pt idx="729">
                  <c:v>1272.6296414215612</c:v>
                </c:pt>
                <c:pt idx="730">
                  <c:v>1302.4606018460836</c:v>
                </c:pt>
                <c:pt idx="731">
                  <c:v>1378.3385606690135</c:v>
                </c:pt>
                <c:pt idx="732">
                  <c:v>1135.1826154044902</c:v>
                </c:pt>
                <c:pt idx="733">
                  <c:v>1094.6309344108668</c:v>
                </c:pt>
                <c:pt idx="734">
                  <c:v>1243.0215082659779</c:v>
                </c:pt>
                <c:pt idx="735">
                  <c:v>1311.4454127458157</c:v>
                </c:pt>
                <c:pt idx="736">
                  <c:v>1138.8586251259694</c:v>
                </c:pt>
                <c:pt idx="737">
                  <c:v>1415.9157926688786</c:v>
                </c:pt>
                <c:pt idx="738">
                  <c:v>1278.6500256062282</c:v>
                </c:pt>
                <c:pt idx="739">
                  <c:v>1222.9551220277863</c:v>
                </c:pt>
                <c:pt idx="740">
                  <c:v>939.97694142253022</c:v>
                </c:pt>
                <c:pt idx="741">
                  <c:v>1013.324648999027</c:v>
                </c:pt>
                <c:pt idx="742">
                  <c:v>1472.1573150868207</c:v>
                </c:pt>
                <c:pt idx="743">
                  <c:v>1046.2097961180916</c:v>
                </c:pt>
                <c:pt idx="744">
                  <c:v>1253.9787313244015</c:v>
                </c:pt>
                <c:pt idx="745">
                  <c:v>1187.0963299936921</c:v>
                </c:pt>
                <c:pt idx="746">
                  <c:v>1187.5388866215362</c:v>
                </c:pt>
                <c:pt idx="747">
                  <c:v>1330.9034066645618</c:v>
                </c:pt>
                <c:pt idx="748">
                  <c:v>1065.8789795595585</c:v>
                </c:pt>
                <c:pt idx="749">
                  <c:v>1259.7425538419338</c:v>
                </c:pt>
                <c:pt idx="750">
                  <c:v>1166.2150260372509</c:v>
                </c:pt>
                <c:pt idx="751">
                  <c:v>1073.7141431250056</c:v>
                </c:pt>
                <c:pt idx="752">
                  <c:v>1258.0415893250538</c:v>
                </c:pt>
                <c:pt idx="753">
                  <c:v>1367.0827018132259</c:v>
                </c:pt>
                <c:pt idx="754">
                  <c:v>1135.8072086662069</c:v>
                </c:pt>
                <c:pt idx="755">
                  <c:v>1203.1415784797136</c:v>
                </c:pt>
                <c:pt idx="756">
                  <c:v>1165.0392844767994</c:v>
                </c:pt>
                <c:pt idx="757">
                  <c:v>1056.5656925103467</c:v>
                </c:pt>
                <c:pt idx="758">
                  <c:v>1214.8171049715675</c:v>
                </c:pt>
                <c:pt idx="759">
                  <c:v>1335.0170784845614</c:v>
                </c:pt>
                <c:pt idx="760">
                  <c:v>1203.0102463810108</c:v>
                </c:pt>
                <c:pt idx="761">
                  <c:v>1193.5896545214564</c:v>
                </c:pt>
                <c:pt idx="762">
                  <c:v>1209.1578559403279</c:v>
                </c:pt>
                <c:pt idx="763">
                  <c:v>1322.558163488713</c:v>
                </c:pt>
                <c:pt idx="764">
                  <c:v>1277.8660097623797</c:v>
                </c:pt>
                <c:pt idx="765">
                  <c:v>1107.8641999665706</c:v>
                </c:pt>
                <c:pt idx="766">
                  <c:v>1116.5929904983859</c:v>
                </c:pt>
                <c:pt idx="767">
                  <c:v>1237.7511156069959</c:v>
                </c:pt>
                <c:pt idx="768">
                  <c:v>1132.0931024446472</c:v>
                </c:pt>
                <c:pt idx="769">
                  <c:v>1170.8483068134883</c:v>
                </c:pt>
                <c:pt idx="770">
                  <c:v>1256.1695633238924</c:v>
                </c:pt>
                <c:pt idx="771">
                  <c:v>1161.981584225301</c:v>
                </c:pt>
                <c:pt idx="772">
                  <c:v>1063.8357970733341</c:v>
                </c:pt>
                <c:pt idx="773">
                  <c:v>1062.3723925550439</c:v>
                </c:pt>
                <c:pt idx="774">
                  <c:v>1322.932800461931</c:v>
                </c:pt>
                <c:pt idx="775">
                  <c:v>1120.415794756489</c:v>
                </c:pt>
                <c:pt idx="776">
                  <c:v>1098.3736562375998</c:v>
                </c:pt>
                <c:pt idx="777">
                  <c:v>1195.2335641793397</c:v>
                </c:pt>
                <c:pt idx="778">
                  <c:v>1181.5522863078586</c:v>
                </c:pt>
                <c:pt idx="779">
                  <c:v>1052.2043997038272</c:v>
                </c:pt>
                <c:pt idx="780">
                  <c:v>1093.0604501759226</c:v>
                </c:pt>
                <c:pt idx="781">
                  <c:v>1132.1873954497132</c:v>
                </c:pt>
                <c:pt idx="782">
                  <c:v>1321.1241776712195</c:v>
                </c:pt>
                <c:pt idx="783">
                  <c:v>1227.1019389343637</c:v>
                </c:pt>
                <c:pt idx="784">
                  <c:v>870.23238503339962</c:v>
                </c:pt>
                <c:pt idx="785">
                  <c:v>1203.6634832718119</c:v>
                </c:pt>
                <c:pt idx="786">
                  <c:v>1277.4975992930849</c:v>
                </c:pt>
                <c:pt idx="787">
                  <c:v>1333.6707881639159</c:v>
                </c:pt>
                <c:pt idx="788">
                  <c:v>1058.0507882404709</c:v>
                </c:pt>
                <c:pt idx="789">
                  <c:v>1197.9333048522676</c:v>
                </c:pt>
                <c:pt idx="790">
                  <c:v>1260.6362380185747</c:v>
                </c:pt>
                <c:pt idx="791">
                  <c:v>1199.4278117682043</c:v>
                </c:pt>
                <c:pt idx="792">
                  <c:v>1255.4069421542663</c:v>
                </c:pt>
                <c:pt idx="793">
                  <c:v>1429.3152918396227</c:v>
                </c:pt>
                <c:pt idx="794">
                  <c:v>1109.8074365174034</c:v>
                </c:pt>
                <c:pt idx="795">
                  <c:v>1254.5036758344067</c:v>
                </c:pt>
                <c:pt idx="796">
                  <c:v>905.33412618787406</c:v>
                </c:pt>
                <c:pt idx="797">
                  <c:v>1287.6063005535398</c:v>
                </c:pt>
                <c:pt idx="798">
                  <c:v>1208.2303967070111</c:v>
                </c:pt>
                <c:pt idx="799">
                  <c:v>1302.9937740791065</c:v>
                </c:pt>
                <c:pt idx="800">
                  <c:v>1355.9824024670597</c:v>
                </c:pt>
                <c:pt idx="801">
                  <c:v>1235.0666487950366</c:v>
                </c:pt>
                <c:pt idx="802">
                  <c:v>1139.9300262685574</c:v>
                </c:pt>
                <c:pt idx="803">
                  <c:v>1219.2933573062837</c:v>
                </c:pt>
                <c:pt idx="804">
                  <c:v>1064.5480047158344</c:v>
                </c:pt>
                <c:pt idx="805">
                  <c:v>1182.7408348237586</c:v>
                </c:pt>
                <c:pt idx="806">
                  <c:v>1161.6863906408689</c:v>
                </c:pt>
                <c:pt idx="807">
                  <c:v>1025.0550644085306</c:v>
                </c:pt>
                <c:pt idx="808">
                  <c:v>1079.6723243267334</c:v>
                </c:pt>
                <c:pt idx="809">
                  <c:v>1168.6474450292299</c:v>
                </c:pt>
                <c:pt idx="810">
                  <c:v>1174.8631891081823</c:v>
                </c:pt>
                <c:pt idx="811">
                  <c:v>1306.081953456167</c:v>
                </c:pt>
                <c:pt idx="812">
                  <c:v>1135.5721908185296</c:v>
                </c:pt>
                <c:pt idx="813">
                  <c:v>1331.8765584454595</c:v>
                </c:pt>
                <c:pt idx="814">
                  <c:v>1174.1767777412388</c:v>
                </c:pt>
                <c:pt idx="815">
                  <c:v>1318.6604282275293</c:v>
                </c:pt>
                <c:pt idx="816">
                  <c:v>1126.3841989827342</c:v>
                </c:pt>
                <c:pt idx="817">
                  <c:v>1269.4890930930706</c:v>
                </c:pt>
                <c:pt idx="818">
                  <c:v>1229.5931697144188</c:v>
                </c:pt>
                <c:pt idx="819">
                  <c:v>1114.6013265736692</c:v>
                </c:pt>
                <c:pt idx="820">
                  <c:v>1330.7513535451289</c:v>
                </c:pt>
                <c:pt idx="821">
                  <c:v>1231.8108575114456</c:v>
                </c:pt>
                <c:pt idx="822">
                  <c:v>1298.0632422999988</c:v>
                </c:pt>
                <c:pt idx="823">
                  <c:v>1094.7548908728349</c:v>
                </c:pt>
                <c:pt idx="824">
                  <c:v>1255.7999292447203</c:v>
                </c:pt>
                <c:pt idx="825">
                  <c:v>1217.9065999076629</c:v>
                </c:pt>
                <c:pt idx="826">
                  <c:v>1262.7417142879494</c:v>
                </c:pt>
                <c:pt idx="827">
                  <c:v>1184.7921228098639</c:v>
                </c:pt>
                <c:pt idx="828">
                  <c:v>960.21480586892721</c:v>
                </c:pt>
                <c:pt idx="829">
                  <c:v>1202.6259672191518</c:v>
                </c:pt>
                <c:pt idx="830">
                  <c:v>1177.1608651011193</c:v>
                </c:pt>
                <c:pt idx="831">
                  <c:v>1338.812738256529</c:v>
                </c:pt>
                <c:pt idx="832">
                  <c:v>1188.9258287031989</c:v>
                </c:pt>
                <c:pt idx="833">
                  <c:v>1215.1838862395525</c:v>
                </c:pt>
                <c:pt idx="834">
                  <c:v>1088.2287827284454</c:v>
                </c:pt>
                <c:pt idx="835">
                  <c:v>933.6848051924535</c:v>
                </c:pt>
                <c:pt idx="836">
                  <c:v>1472.9668243768465</c:v>
                </c:pt>
                <c:pt idx="837">
                  <c:v>1062.4291804954119</c:v>
                </c:pt>
                <c:pt idx="838">
                  <c:v>1299.422505980503</c:v>
                </c:pt>
                <c:pt idx="839">
                  <c:v>1042.6116555257831</c:v>
                </c:pt>
                <c:pt idx="840">
                  <c:v>1168.7363854816722</c:v>
                </c:pt>
                <c:pt idx="841">
                  <c:v>1180.5842094154141</c:v>
                </c:pt>
                <c:pt idx="842">
                  <c:v>1285.90565388291</c:v>
                </c:pt>
                <c:pt idx="843">
                  <c:v>1225.4007604931976</c:v>
                </c:pt>
                <c:pt idx="844">
                  <c:v>1022.5745970108546</c:v>
                </c:pt>
                <c:pt idx="845">
                  <c:v>1003.6696911505351</c:v>
                </c:pt>
                <c:pt idx="846">
                  <c:v>1388.6790034009318</c:v>
                </c:pt>
                <c:pt idx="847">
                  <c:v>1258.4483233496576</c:v>
                </c:pt>
                <c:pt idx="848">
                  <c:v>1366.024337838433</c:v>
                </c:pt>
                <c:pt idx="849">
                  <c:v>1404.0450321843891</c:v>
                </c:pt>
                <c:pt idx="850">
                  <c:v>1167.6885346673371</c:v>
                </c:pt>
                <c:pt idx="851">
                  <c:v>1214.5558398055218</c:v>
                </c:pt>
                <c:pt idx="852">
                  <c:v>1090.8380832452094</c:v>
                </c:pt>
                <c:pt idx="853">
                  <c:v>1305.5188601057234</c:v>
                </c:pt>
                <c:pt idx="854">
                  <c:v>1102.9986445841641</c:v>
                </c:pt>
                <c:pt idx="855">
                  <c:v>1076.8389375547631</c:v>
                </c:pt>
                <c:pt idx="856">
                  <c:v>1217.2443588649985</c:v>
                </c:pt>
                <c:pt idx="857">
                  <c:v>993.08748926233238</c:v>
                </c:pt>
                <c:pt idx="858">
                  <c:v>954.34162138387182</c:v>
                </c:pt>
                <c:pt idx="859">
                  <c:v>1393.0363304434868</c:v>
                </c:pt>
                <c:pt idx="860">
                  <c:v>1203.9488025943283</c:v>
                </c:pt>
                <c:pt idx="861">
                  <c:v>1250.4483606729846</c:v>
                </c:pt>
                <c:pt idx="862">
                  <c:v>1254.7086628935867</c:v>
                </c:pt>
                <c:pt idx="863">
                  <c:v>1189.7037896726324</c:v>
                </c:pt>
                <c:pt idx="864">
                  <c:v>1171.1449595475933</c:v>
                </c:pt>
                <c:pt idx="865">
                  <c:v>1323.6529731205082</c:v>
                </c:pt>
                <c:pt idx="866">
                  <c:v>1341.4568064583582</c:v>
                </c:pt>
                <c:pt idx="867">
                  <c:v>1233.686660919826</c:v>
                </c:pt>
                <c:pt idx="868">
                  <c:v>1057.9118782421574</c:v>
                </c:pt>
                <c:pt idx="869">
                  <c:v>1016.2865728890465</c:v>
                </c:pt>
                <c:pt idx="870">
                  <c:v>1347.5458663693862</c:v>
                </c:pt>
                <c:pt idx="871">
                  <c:v>1244.513755372187</c:v>
                </c:pt>
                <c:pt idx="872">
                  <c:v>1083.3076729229069</c:v>
                </c:pt>
                <c:pt idx="873">
                  <c:v>1153.3620511281697</c:v>
                </c:pt>
                <c:pt idx="874">
                  <c:v>1217.9819382535643</c:v>
                </c:pt>
                <c:pt idx="875">
                  <c:v>1172.161709572385</c:v>
                </c:pt>
                <c:pt idx="876">
                  <c:v>1233.3265850022508</c:v>
                </c:pt>
                <c:pt idx="877">
                  <c:v>1118.9942820710276</c:v>
                </c:pt>
                <c:pt idx="878">
                  <c:v>1065.7993924096663</c:v>
                </c:pt>
                <c:pt idx="879">
                  <c:v>1020.939672947592</c:v>
                </c:pt>
                <c:pt idx="880">
                  <c:v>1011.4340161133005</c:v>
                </c:pt>
                <c:pt idx="881">
                  <c:v>1335.8033978426174</c:v>
                </c:pt>
                <c:pt idx="882">
                  <c:v>1143.000845601011</c:v>
                </c:pt>
                <c:pt idx="883">
                  <c:v>1095.5572505896489</c:v>
                </c:pt>
                <c:pt idx="884">
                  <c:v>1273.7291709678248</c:v>
                </c:pt>
                <c:pt idx="885">
                  <c:v>1169.1077177107072</c:v>
                </c:pt>
                <c:pt idx="886">
                  <c:v>1094.733941587263</c:v>
                </c:pt>
                <c:pt idx="887">
                  <c:v>1151.5336263181234</c:v>
                </c:pt>
                <c:pt idx="888">
                  <c:v>1243.9641808088054</c:v>
                </c:pt>
                <c:pt idx="889">
                  <c:v>1180.9877899485655</c:v>
                </c:pt>
                <c:pt idx="890">
                  <c:v>1480.1970124153086</c:v>
                </c:pt>
                <c:pt idx="891">
                  <c:v>1134.3141701935674</c:v>
                </c:pt>
                <c:pt idx="892">
                  <c:v>1067.9124465261048</c:v>
                </c:pt>
                <c:pt idx="893">
                  <c:v>1214.9084369331322</c:v>
                </c:pt>
                <c:pt idx="894">
                  <c:v>1201.1940112565062</c:v>
                </c:pt>
                <c:pt idx="895">
                  <c:v>1243.5928502486859</c:v>
                </c:pt>
                <c:pt idx="896">
                  <c:v>1111.8395913145796</c:v>
                </c:pt>
                <c:pt idx="897">
                  <c:v>1204.2419780391574</c:v>
                </c:pt>
                <c:pt idx="898">
                  <c:v>1326.8397941978765</c:v>
                </c:pt>
                <c:pt idx="899">
                  <c:v>1333.9901524119123</c:v>
                </c:pt>
                <c:pt idx="900">
                  <c:v>1187.7361689497993</c:v>
                </c:pt>
                <c:pt idx="901">
                  <c:v>1045.7636857230682</c:v>
                </c:pt>
                <c:pt idx="902">
                  <c:v>1236.3695473212283</c:v>
                </c:pt>
                <c:pt idx="903">
                  <c:v>1022.8408040410286</c:v>
                </c:pt>
                <c:pt idx="904">
                  <c:v>1406.5023550719779</c:v>
                </c:pt>
                <c:pt idx="905">
                  <c:v>1243.5438356052837</c:v>
                </c:pt>
                <c:pt idx="906">
                  <c:v>970.07676394667942</c:v>
                </c:pt>
                <c:pt idx="907">
                  <c:v>1383.1234422725756</c:v>
                </c:pt>
                <c:pt idx="908">
                  <c:v>1323.1749035526955</c:v>
                </c:pt>
                <c:pt idx="909">
                  <c:v>1051.6578294118153</c:v>
                </c:pt>
                <c:pt idx="910">
                  <c:v>1008.7863914695699</c:v>
                </c:pt>
                <c:pt idx="911">
                  <c:v>1205.3862888861258</c:v>
                </c:pt>
                <c:pt idx="912">
                  <c:v>1226.4349154983356</c:v>
                </c:pt>
                <c:pt idx="913">
                  <c:v>1165.0224429784939</c:v>
                </c:pt>
                <c:pt idx="914">
                  <c:v>1250.6554647591038</c:v>
                </c:pt>
                <c:pt idx="915">
                  <c:v>870.39952453762817</c:v>
                </c:pt>
                <c:pt idx="916">
                  <c:v>1146.2679286680068</c:v>
                </c:pt>
                <c:pt idx="917">
                  <c:v>1188.9237922648244</c:v>
                </c:pt>
                <c:pt idx="918">
                  <c:v>1209.3220271047903</c:v>
                </c:pt>
                <c:pt idx="919">
                  <c:v>1256.1042329020929</c:v>
                </c:pt>
                <c:pt idx="920">
                  <c:v>1134.5996215845444</c:v>
                </c:pt>
                <c:pt idx="921">
                  <c:v>1098.1213519838202</c:v>
                </c:pt>
                <c:pt idx="922">
                  <c:v>1224.6275282934221</c:v>
                </c:pt>
                <c:pt idx="923">
                  <c:v>1483.2186328559619</c:v>
                </c:pt>
                <c:pt idx="924">
                  <c:v>962.98404124854278</c:v>
                </c:pt>
                <c:pt idx="925">
                  <c:v>1327.3470710288457</c:v>
                </c:pt>
                <c:pt idx="926">
                  <c:v>1151.7072417694289</c:v>
                </c:pt>
                <c:pt idx="927">
                  <c:v>1283.2337629520407</c:v>
                </c:pt>
                <c:pt idx="928">
                  <c:v>1084.1281900841423</c:v>
                </c:pt>
                <c:pt idx="929">
                  <c:v>1177.2758540643626</c:v>
                </c:pt>
                <c:pt idx="930">
                  <c:v>1180.1457117866958</c:v>
                </c:pt>
                <c:pt idx="931">
                  <c:v>1330.792892486068</c:v>
                </c:pt>
                <c:pt idx="932">
                  <c:v>1221.4522200851206</c:v>
                </c:pt>
                <c:pt idx="933">
                  <c:v>1035.3322406730585</c:v>
                </c:pt>
                <c:pt idx="934">
                  <c:v>1257.4212470271596</c:v>
                </c:pt>
                <c:pt idx="935">
                  <c:v>1108.9873219715228</c:v>
                </c:pt>
                <c:pt idx="936">
                  <c:v>1300.0258592952887</c:v>
                </c:pt>
                <c:pt idx="937">
                  <c:v>1321.3891611155123</c:v>
                </c:pt>
                <c:pt idx="938">
                  <c:v>1060.5123321039209</c:v>
                </c:pt>
                <c:pt idx="939">
                  <c:v>1383.8819823868325</c:v>
                </c:pt>
                <c:pt idx="940">
                  <c:v>1231.4497275825634</c:v>
                </c:pt>
                <c:pt idx="941">
                  <c:v>1029.1630847461056</c:v>
                </c:pt>
                <c:pt idx="942">
                  <c:v>1160.4110469846055</c:v>
                </c:pt>
                <c:pt idx="943">
                  <c:v>1301.3452102018491</c:v>
                </c:pt>
                <c:pt idx="944">
                  <c:v>1425.510528235136</c:v>
                </c:pt>
                <c:pt idx="945">
                  <c:v>1182.7953596977677</c:v>
                </c:pt>
                <c:pt idx="946">
                  <c:v>998.80646952940151</c:v>
                </c:pt>
                <c:pt idx="947">
                  <c:v>964.25186371883319</c:v>
                </c:pt>
                <c:pt idx="948">
                  <c:v>1140.4561448481982</c:v>
                </c:pt>
                <c:pt idx="949">
                  <c:v>1086.2538375365111</c:v>
                </c:pt>
                <c:pt idx="950">
                  <c:v>1235.2405724508208</c:v>
                </c:pt>
                <c:pt idx="951">
                  <c:v>1083.3919496929811</c:v>
                </c:pt>
                <c:pt idx="952">
                  <c:v>1227.1603549065476</c:v>
                </c:pt>
                <c:pt idx="953">
                  <c:v>1115.9964669522305</c:v>
                </c:pt>
                <c:pt idx="954">
                  <c:v>1156.3027983541106</c:v>
                </c:pt>
                <c:pt idx="955">
                  <c:v>1274.7976540551535</c:v>
                </c:pt>
                <c:pt idx="956">
                  <c:v>1266.4233992577429</c:v>
                </c:pt>
                <c:pt idx="957">
                  <c:v>984.76383665065805</c:v>
                </c:pt>
                <c:pt idx="958">
                  <c:v>1035.0055895261903</c:v>
                </c:pt>
                <c:pt idx="959">
                  <c:v>1248.5568319003796</c:v>
                </c:pt>
                <c:pt idx="960">
                  <c:v>1089.9856541690824</c:v>
                </c:pt>
                <c:pt idx="961">
                  <c:v>1021.315528931169</c:v>
                </c:pt>
                <c:pt idx="962">
                  <c:v>1198.5962362313439</c:v>
                </c:pt>
                <c:pt idx="963">
                  <c:v>1133.2872240389261</c:v>
                </c:pt>
                <c:pt idx="964">
                  <c:v>1176.1855240915465</c:v>
                </c:pt>
                <c:pt idx="965">
                  <c:v>1243.1141472197341</c:v>
                </c:pt>
                <c:pt idx="966">
                  <c:v>1195.9869596720964</c:v>
                </c:pt>
                <c:pt idx="967">
                  <c:v>1062.1233663878666</c:v>
                </c:pt>
                <c:pt idx="968">
                  <c:v>1539.9294092982018</c:v>
                </c:pt>
                <c:pt idx="969">
                  <c:v>1084.9568982935962</c:v>
                </c:pt>
                <c:pt idx="970">
                  <c:v>1325.0047331603637</c:v>
                </c:pt>
                <c:pt idx="971">
                  <c:v>1386.1812464884861</c:v>
                </c:pt>
                <c:pt idx="972">
                  <c:v>1316.4575823113701</c:v>
                </c:pt>
                <c:pt idx="973">
                  <c:v>1380.2195755469656</c:v>
                </c:pt>
                <c:pt idx="974">
                  <c:v>1405.6510508711362</c:v>
                </c:pt>
                <c:pt idx="975">
                  <c:v>1175.3052583609169</c:v>
                </c:pt>
                <c:pt idx="976">
                  <c:v>1085.6888730305363</c:v>
                </c:pt>
                <c:pt idx="977">
                  <c:v>1158.2975578018231</c:v>
                </c:pt>
                <c:pt idx="978">
                  <c:v>1146.9487110906994</c:v>
                </c:pt>
                <c:pt idx="979">
                  <c:v>1576.06346259977</c:v>
                </c:pt>
                <c:pt idx="980">
                  <c:v>1220.0190804144877</c:v>
                </c:pt>
                <c:pt idx="981">
                  <c:v>1141.1117048253655</c:v>
                </c:pt>
                <c:pt idx="982">
                  <c:v>1184.3580866460907</c:v>
                </c:pt>
                <c:pt idx="983">
                  <c:v>903.21473633182177</c:v>
                </c:pt>
                <c:pt idx="984">
                  <c:v>1202.3016834720911</c:v>
                </c:pt>
                <c:pt idx="985">
                  <c:v>1732.0382347991981</c:v>
                </c:pt>
                <c:pt idx="986">
                  <c:v>1327.738562850951</c:v>
                </c:pt>
                <c:pt idx="987">
                  <c:v>1199.8818738667469</c:v>
                </c:pt>
                <c:pt idx="988">
                  <c:v>1283.1817763199215</c:v>
                </c:pt>
                <c:pt idx="989">
                  <c:v>1176.4140717774353</c:v>
                </c:pt>
                <c:pt idx="990">
                  <c:v>1340.7631739876524</c:v>
                </c:pt>
                <c:pt idx="991">
                  <c:v>1308.8787953451101</c:v>
                </c:pt>
                <c:pt idx="992">
                  <c:v>990.67862449527456</c:v>
                </c:pt>
                <c:pt idx="993">
                  <c:v>1297.6331054990733</c:v>
                </c:pt>
                <c:pt idx="994">
                  <c:v>1054.2395707072574</c:v>
                </c:pt>
                <c:pt idx="995">
                  <c:v>912.52851967342576</c:v>
                </c:pt>
                <c:pt idx="996">
                  <c:v>1247.2488461401299</c:v>
                </c:pt>
                <c:pt idx="997">
                  <c:v>1046.0017592550867</c:v>
                </c:pt>
                <c:pt idx="998">
                  <c:v>1281.1767866137961</c:v>
                </c:pt>
                <c:pt idx="999">
                  <c:v>1294.3568441154348</c:v>
                </c:pt>
              </c:numCache>
            </c:numRef>
          </c:xVal>
          <c:yVal>
            <c:numRef>
              <c:f>'PSA outputs'!$O$9:$O$1008</c:f>
              <c:numCache>
                <c:formatCode>_(* #,##0_);_(* \(#,##0\);_(* "-"??_);_(@_)</c:formatCode>
                <c:ptCount val="1000"/>
                <c:pt idx="0">
                  <c:v>-3436984.4518509838</c:v>
                </c:pt>
                <c:pt idx="1">
                  <c:v>-3746294.8151926226</c:v>
                </c:pt>
                <c:pt idx="2">
                  <c:v>-3673826.7367724478</c:v>
                </c:pt>
                <c:pt idx="3">
                  <c:v>-2514244.3294371869</c:v>
                </c:pt>
                <c:pt idx="4">
                  <c:v>-3088803.1150197871</c:v>
                </c:pt>
                <c:pt idx="5">
                  <c:v>-3680678.824355504</c:v>
                </c:pt>
                <c:pt idx="6">
                  <c:v>-4438940.3905050782</c:v>
                </c:pt>
                <c:pt idx="7">
                  <c:v>-1612224.2064383586</c:v>
                </c:pt>
                <c:pt idx="8">
                  <c:v>-3332801.8178269896</c:v>
                </c:pt>
                <c:pt idx="9">
                  <c:v>-4046147.6119307918</c:v>
                </c:pt>
                <c:pt idx="10">
                  <c:v>-4266058.2921191314</c:v>
                </c:pt>
                <c:pt idx="11">
                  <c:v>-2958910.9498929232</c:v>
                </c:pt>
                <c:pt idx="12">
                  <c:v>-2013041.7350517225</c:v>
                </c:pt>
                <c:pt idx="13">
                  <c:v>-3925518.4198141452</c:v>
                </c:pt>
                <c:pt idx="14">
                  <c:v>-2933420.2726431787</c:v>
                </c:pt>
                <c:pt idx="15">
                  <c:v>-3465181.211190348</c:v>
                </c:pt>
                <c:pt idx="16">
                  <c:v>-3890347.3153193207</c:v>
                </c:pt>
                <c:pt idx="17">
                  <c:v>-3797126.6304322165</c:v>
                </c:pt>
                <c:pt idx="18">
                  <c:v>-5649531.617666007</c:v>
                </c:pt>
                <c:pt idx="19">
                  <c:v>-3174939.7795703979</c:v>
                </c:pt>
                <c:pt idx="20">
                  <c:v>-3655983.5202352987</c:v>
                </c:pt>
                <c:pt idx="21">
                  <c:v>-3956394.9248203319</c:v>
                </c:pt>
                <c:pt idx="22">
                  <c:v>-3432046.0798876095</c:v>
                </c:pt>
                <c:pt idx="23">
                  <c:v>-3589360.0877222661</c:v>
                </c:pt>
                <c:pt idx="24">
                  <c:v>-3636390.2873187205</c:v>
                </c:pt>
                <c:pt idx="25">
                  <c:v>-3261026.9807782858</c:v>
                </c:pt>
                <c:pt idx="26">
                  <c:v>-3634334.190517108</c:v>
                </c:pt>
                <c:pt idx="27">
                  <c:v>-4153006.8958019065</c:v>
                </c:pt>
                <c:pt idx="28">
                  <c:v>-3421026.9300510315</c:v>
                </c:pt>
                <c:pt idx="29">
                  <c:v>-3310376.0234623593</c:v>
                </c:pt>
                <c:pt idx="30">
                  <c:v>-2827770.0666738609</c:v>
                </c:pt>
                <c:pt idx="31">
                  <c:v>-3535814.7066627326</c:v>
                </c:pt>
                <c:pt idx="32">
                  <c:v>-2614313.3809847543</c:v>
                </c:pt>
                <c:pt idx="33">
                  <c:v>-3605984.3418236994</c:v>
                </c:pt>
                <c:pt idx="34">
                  <c:v>-4124151.9915971141</c:v>
                </c:pt>
                <c:pt idx="35">
                  <c:v>-4256295.1240184363</c:v>
                </c:pt>
                <c:pt idx="36">
                  <c:v>-3838198.2729106783</c:v>
                </c:pt>
                <c:pt idx="37">
                  <c:v>-3080639.9075931562</c:v>
                </c:pt>
                <c:pt idx="38">
                  <c:v>-2987531.026142518</c:v>
                </c:pt>
                <c:pt idx="39">
                  <c:v>-3197534.0122456485</c:v>
                </c:pt>
                <c:pt idx="40">
                  <c:v>-2295425.7354210834</c:v>
                </c:pt>
                <c:pt idx="41">
                  <c:v>-2246293.2522665067</c:v>
                </c:pt>
                <c:pt idx="42">
                  <c:v>-4289134.2380770557</c:v>
                </c:pt>
                <c:pt idx="43">
                  <c:v>-4962006.9839284532</c:v>
                </c:pt>
                <c:pt idx="44">
                  <c:v>-3833980.9706644053</c:v>
                </c:pt>
                <c:pt idx="45">
                  <c:v>-4050829.5168126277</c:v>
                </c:pt>
                <c:pt idx="46">
                  <c:v>-4106125.4627810232</c:v>
                </c:pt>
                <c:pt idx="47">
                  <c:v>-3122470.5793588166</c:v>
                </c:pt>
                <c:pt idx="48">
                  <c:v>-4055291.0988880997</c:v>
                </c:pt>
                <c:pt idx="49">
                  <c:v>-4357651.033285886</c:v>
                </c:pt>
                <c:pt idx="50">
                  <c:v>-3641249.3995467066</c:v>
                </c:pt>
                <c:pt idx="51">
                  <c:v>-3388888.0158802113</c:v>
                </c:pt>
                <c:pt idx="52">
                  <c:v>-3027078.1757818218</c:v>
                </c:pt>
                <c:pt idx="53">
                  <c:v>-4233539.8811279191</c:v>
                </c:pt>
                <c:pt idx="54">
                  <c:v>-3310483.564130404</c:v>
                </c:pt>
                <c:pt idx="55">
                  <c:v>-3410368.7129531447</c:v>
                </c:pt>
                <c:pt idx="56">
                  <c:v>-3522921.0597962835</c:v>
                </c:pt>
                <c:pt idx="57">
                  <c:v>-3454214.3544428707</c:v>
                </c:pt>
                <c:pt idx="58">
                  <c:v>-3437425.6069604545</c:v>
                </c:pt>
                <c:pt idx="59">
                  <c:v>-4115691.7464531418</c:v>
                </c:pt>
                <c:pt idx="60">
                  <c:v>-3318315.2979097338</c:v>
                </c:pt>
                <c:pt idx="61">
                  <c:v>-2532795.1081525967</c:v>
                </c:pt>
                <c:pt idx="62">
                  <c:v>-3630798.5164404716</c:v>
                </c:pt>
                <c:pt idx="63">
                  <c:v>-3820018.6911909594</c:v>
                </c:pt>
                <c:pt idx="64">
                  <c:v>-5350934.9966826318</c:v>
                </c:pt>
                <c:pt idx="65">
                  <c:v>-3039317.8692586212</c:v>
                </c:pt>
                <c:pt idx="66">
                  <c:v>-3428724.3717259993</c:v>
                </c:pt>
                <c:pt idx="67">
                  <c:v>-3282601.4096733183</c:v>
                </c:pt>
                <c:pt idx="68">
                  <c:v>-4891697.2593158837</c:v>
                </c:pt>
                <c:pt idx="69">
                  <c:v>-4340596.5746347262</c:v>
                </c:pt>
                <c:pt idx="70">
                  <c:v>-3584306.0513936067</c:v>
                </c:pt>
                <c:pt idx="71">
                  <c:v>-3672766.7337806872</c:v>
                </c:pt>
                <c:pt idx="72">
                  <c:v>-3604127.0889766593</c:v>
                </c:pt>
                <c:pt idx="73">
                  <c:v>-3138971.0357430568</c:v>
                </c:pt>
                <c:pt idx="74">
                  <c:v>-4268649.6879445128</c:v>
                </c:pt>
                <c:pt idx="75">
                  <c:v>-4048260.3539546793</c:v>
                </c:pt>
                <c:pt idx="76">
                  <c:v>-2069421.6561138963</c:v>
                </c:pt>
                <c:pt idx="77">
                  <c:v>-2855447.8164111599</c:v>
                </c:pt>
                <c:pt idx="78">
                  <c:v>-2509159.6892845752</c:v>
                </c:pt>
                <c:pt idx="79">
                  <c:v>-2740556.9988968107</c:v>
                </c:pt>
                <c:pt idx="80">
                  <c:v>-2044487.5933580259</c:v>
                </c:pt>
                <c:pt idx="81">
                  <c:v>-2936564.9079638468</c:v>
                </c:pt>
                <c:pt idx="82">
                  <c:v>-2741831.7039543889</c:v>
                </c:pt>
                <c:pt idx="83">
                  <c:v>-2878126.2904854598</c:v>
                </c:pt>
                <c:pt idx="84">
                  <c:v>-4972134.3383978754</c:v>
                </c:pt>
                <c:pt idx="85">
                  <c:v>-4219715.927146974</c:v>
                </c:pt>
                <c:pt idx="86">
                  <c:v>-3925995.4892348177</c:v>
                </c:pt>
                <c:pt idx="87">
                  <c:v>-4176219.4924408835</c:v>
                </c:pt>
                <c:pt idx="88">
                  <c:v>-3071349.0618413575</c:v>
                </c:pt>
                <c:pt idx="89">
                  <c:v>-2376803.3601253373</c:v>
                </c:pt>
                <c:pt idx="90">
                  <c:v>-3515348.3778199889</c:v>
                </c:pt>
                <c:pt idx="91">
                  <c:v>-3341074.1414918462</c:v>
                </c:pt>
                <c:pt idx="92">
                  <c:v>-3499951.8548505674</c:v>
                </c:pt>
                <c:pt idx="93">
                  <c:v>-3027189.0114272046</c:v>
                </c:pt>
                <c:pt idx="94">
                  <c:v>-3105801.7321292991</c:v>
                </c:pt>
                <c:pt idx="95">
                  <c:v>-2048652.6319823922</c:v>
                </c:pt>
                <c:pt idx="96">
                  <c:v>-3351563.1304944083</c:v>
                </c:pt>
                <c:pt idx="97">
                  <c:v>-2968416.9633866847</c:v>
                </c:pt>
                <c:pt idx="98">
                  <c:v>-4738631.3179589743</c:v>
                </c:pt>
                <c:pt idx="99">
                  <c:v>-4110636.6755788247</c:v>
                </c:pt>
                <c:pt idx="100">
                  <c:v>-3112909.8234252953</c:v>
                </c:pt>
                <c:pt idx="101">
                  <c:v>-2342534.9198550205</c:v>
                </c:pt>
                <c:pt idx="102">
                  <c:v>-2618740.8847779743</c:v>
                </c:pt>
                <c:pt idx="103">
                  <c:v>-2942911.8347545066</c:v>
                </c:pt>
                <c:pt idx="104">
                  <c:v>-3449013.5729038254</c:v>
                </c:pt>
                <c:pt idx="105">
                  <c:v>-3785978.9965971028</c:v>
                </c:pt>
                <c:pt idx="106">
                  <c:v>-3213913.9391016113</c:v>
                </c:pt>
                <c:pt idx="107">
                  <c:v>-3418083.2620167253</c:v>
                </c:pt>
                <c:pt idx="108">
                  <c:v>-2743388.8602643688</c:v>
                </c:pt>
                <c:pt idx="109">
                  <c:v>-3289528.5316778524</c:v>
                </c:pt>
                <c:pt idx="110">
                  <c:v>-2766791.0604362004</c:v>
                </c:pt>
                <c:pt idx="111">
                  <c:v>-3496125.8776819156</c:v>
                </c:pt>
                <c:pt idx="112">
                  <c:v>-4155146.3107548337</c:v>
                </c:pt>
                <c:pt idx="113">
                  <c:v>-3792422.0672310968</c:v>
                </c:pt>
                <c:pt idx="114">
                  <c:v>-4287555.6439930527</c:v>
                </c:pt>
                <c:pt idx="115">
                  <c:v>-4814782.014272185</c:v>
                </c:pt>
                <c:pt idx="116">
                  <c:v>-3108766.3392643156</c:v>
                </c:pt>
                <c:pt idx="117">
                  <c:v>-3426015.5501427711</c:v>
                </c:pt>
                <c:pt idx="118">
                  <c:v>-3316599.7118847254</c:v>
                </c:pt>
                <c:pt idx="119">
                  <c:v>-2976356.1103225383</c:v>
                </c:pt>
                <c:pt idx="120">
                  <c:v>-2538110.0684553687</c:v>
                </c:pt>
                <c:pt idx="121">
                  <c:v>-3631461.170462674</c:v>
                </c:pt>
                <c:pt idx="122">
                  <c:v>-3959371.6075268798</c:v>
                </c:pt>
                <c:pt idx="123">
                  <c:v>-3214232.4991350295</c:v>
                </c:pt>
                <c:pt idx="124">
                  <c:v>-4242123.4535303405</c:v>
                </c:pt>
                <c:pt idx="125">
                  <c:v>-4099919.9209394897</c:v>
                </c:pt>
                <c:pt idx="126">
                  <c:v>-3186868.9206807627</c:v>
                </c:pt>
                <c:pt idx="127">
                  <c:v>-2368476.1846467494</c:v>
                </c:pt>
                <c:pt idx="128">
                  <c:v>-4089069.0870953375</c:v>
                </c:pt>
                <c:pt idx="129">
                  <c:v>-2956892.1561133666</c:v>
                </c:pt>
                <c:pt idx="130">
                  <c:v>-3642033.1822891328</c:v>
                </c:pt>
                <c:pt idx="131">
                  <c:v>-4645236.2366449442</c:v>
                </c:pt>
                <c:pt idx="132">
                  <c:v>-4030536.865447978</c:v>
                </c:pt>
                <c:pt idx="133">
                  <c:v>-3423796.2268048972</c:v>
                </c:pt>
                <c:pt idx="134">
                  <c:v>-2851479.8006405756</c:v>
                </c:pt>
                <c:pt idx="135">
                  <c:v>-4358832.827464981</c:v>
                </c:pt>
                <c:pt idx="136">
                  <c:v>-2380459.8315859977</c:v>
                </c:pt>
                <c:pt idx="137">
                  <c:v>-3373650.1140683973</c:v>
                </c:pt>
                <c:pt idx="138">
                  <c:v>-4054291.0511199352</c:v>
                </c:pt>
                <c:pt idx="139">
                  <c:v>-2806676.9650418116</c:v>
                </c:pt>
                <c:pt idx="140">
                  <c:v>-1827495.3204689221</c:v>
                </c:pt>
                <c:pt idx="141">
                  <c:v>-4433332.7171665356</c:v>
                </c:pt>
                <c:pt idx="142">
                  <c:v>-4712325.79241776</c:v>
                </c:pt>
                <c:pt idx="143">
                  <c:v>-3050650.1540725757</c:v>
                </c:pt>
                <c:pt idx="144">
                  <c:v>-4268516.9587948024</c:v>
                </c:pt>
                <c:pt idx="145">
                  <c:v>-2864762.8502395935</c:v>
                </c:pt>
                <c:pt idx="146">
                  <c:v>-3647604.1206086432</c:v>
                </c:pt>
                <c:pt idx="147">
                  <c:v>-4484074.2551484443</c:v>
                </c:pt>
                <c:pt idx="148">
                  <c:v>-4025678.9396096761</c:v>
                </c:pt>
                <c:pt idx="149">
                  <c:v>-2822946.9954965496</c:v>
                </c:pt>
                <c:pt idx="150">
                  <c:v>-3505901.9724067179</c:v>
                </c:pt>
                <c:pt idx="151">
                  <c:v>-3052111.8841558252</c:v>
                </c:pt>
                <c:pt idx="152">
                  <c:v>-2986925.2697762954</c:v>
                </c:pt>
                <c:pt idx="153">
                  <c:v>-3648625.7995263692</c:v>
                </c:pt>
                <c:pt idx="154">
                  <c:v>-2718696.3395428695</c:v>
                </c:pt>
                <c:pt idx="155">
                  <c:v>-3800395.5533512868</c:v>
                </c:pt>
                <c:pt idx="156">
                  <c:v>-2340503.7556881853</c:v>
                </c:pt>
                <c:pt idx="157">
                  <c:v>-2990325.8931340259</c:v>
                </c:pt>
                <c:pt idx="158">
                  <c:v>-3721826.5419277018</c:v>
                </c:pt>
                <c:pt idx="159">
                  <c:v>-4682348.3522749953</c:v>
                </c:pt>
                <c:pt idx="160">
                  <c:v>-3662545.2518422003</c:v>
                </c:pt>
                <c:pt idx="161">
                  <c:v>-3117492.0252986313</c:v>
                </c:pt>
                <c:pt idx="162">
                  <c:v>-2276800.7212188863</c:v>
                </c:pt>
                <c:pt idx="163">
                  <c:v>-2770802.4582091277</c:v>
                </c:pt>
                <c:pt idx="164">
                  <c:v>-2386640.001245812</c:v>
                </c:pt>
                <c:pt idx="165">
                  <c:v>-3399685.3611596869</c:v>
                </c:pt>
                <c:pt idx="166">
                  <c:v>-3098231.0974121308</c:v>
                </c:pt>
                <c:pt idx="167">
                  <c:v>-3664046.1714862627</c:v>
                </c:pt>
                <c:pt idx="168">
                  <c:v>-3474169.9006251702</c:v>
                </c:pt>
                <c:pt idx="169">
                  <c:v>-2972654.6588808759</c:v>
                </c:pt>
                <c:pt idx="170">
                  <c:v>-3006783.8222538694</c:v>
                </c:pt>
                <c:pt idx="171">
                  <c:v>-3784565.8753320668</c:v>
                </c:pt>
                <c:pt idx="172">
                  <c:v>-3591974.8395641986</c:v>
                </c:pt>
                <c:pt idx="173">
                  <c:v>-4104635.6139902272</c:v>
                </c:pt>
                <c:pt idx="174">
                  <c:v>-4020342.8169127456</c:v>
                </c:pt>
                <c:pt idx="175">
                  <c:v>-3254512.2507204679</c:v>
                </c:pt>
                <c:pt idx="176">
                  <c:v>-2839613.1951095243</c:v>
                </c:pt>
                <c:pt idx="177">
                  <c:v>-2781265.1773831747</c:v>
                </c:pt>
                <c:pt idx="178">
                  <c:v>-4442801.3445234187</c:v>
                </c:pt>
                <c:pt idx="179">
                  <c:v>-5471801.3686374333</c:v>
                </c:pt>
                <c:pt idx="180">
                  <c:v>-3629800.696647529</c:v>
                </c:pt>
                <c:pt idx="181">
                  <c:v>-4175822.7445537378</c:v>
                </c:pt>
                <c:pt idx="182">
                  <c:v>-3293341.9987119567</c:v>
                </c:pt>
                <c:pt idx="183">
                  <c:v>-3169263.3888671165</c:v>
                </c:pt>
                <c:pt idx="184">
                  <c:v>-3876602.8885821286</c:v>
                </c:pt>
                <c:pt idx="185">
                  <c:v>-3316705.1534770965</c:v>
                </c:pt>
                <c:pt idx="186">
                  <c:v>-4090415.0581502798</c:v>
                </c:pt>
                <c:pt idx="187">
                  <c:v>-3590847.1649580253</c:v>
                </c:pt>
                <c:pt idx="188">
                  <c:v>-3479160.0950150695</c:v>
                </c:pt>
                <c:pt idx="189">
                  <c:v>-5343064.6026548203</c:v>
                </c:pt>
                <c:pt idx="190">
                  <c:v>-3881702.9766278826</c:v>
                </c:pt>
                <c:pt idx="191">
                  <c:v>-2971600.6117981453</c:v>
                </c:pt>
                <c:pt idx="192">
                  <c:v>-3974403.4136956278</c:v>
                </c:pt>
                <c:pt idx="193">
                  <c:v>-2594538.22103148</c:v>
                </c:pt>
                <c:pt idx="194">
                  <c:v>-2912987.0277282018</c:v>
                </c:pt>
                <c:pt idx="195">
                  <c:v>-2395383.5997399348</c:v>
                </c:pt>
                <c:pt idx="196">
                  <c:v>-2189251.3811566848</c:v>
                </c:pt>
                <c:pt idx="197">
                  <c:v>-3069483.4456147533</c:v>
                </c:pt>
                <c:pt idx="198">
                  <c:v>-3366250.2499913503</c:v>
                </c:pt>
                <c:pt idx="199">
                  <c:v>-1431096.9334206893</c:v>
                </c:pt>
                <c:pt idx="200">
                  <c:v>-2660051.564883003</c:v>
                </c:pt>
                <c:pt idx="201">
                  <c:v>-4207967.5898295129</c:v>
                </c:pt>
                <c:pt idx="202">
                  <c:v>-3245115.9159544576</c:v>
                </c:pt>
                <c:pt idx="203">
                  <c:v>-3951620.2139069396</c:v>
                </c:pt>
                <c:pt idx="204">
                  <c:v>-3640307.8238906944</c:v>
                </c:pt>
                <c:pt idx="205">
                  <c:v>-3893253.6139438865</c:v>
                </c:pt>
                <c:pt idx="206">
                  <c:v>-3570138.7718835785</c:v>
                </c:pt>
                <c:pt idx="207">
                  <c:v>-3480124.2290031742</c:v>
                </c:pt>
                <c:pt idx="208">
                  <c:v>-3964989.4163173153</c:v>
                </c:pt>
                <c:pt idx="209">
                  <c:v>-4536415.4975741953</c:v>
                </c:pt>
                <c:pt idx="210">
                  <c:v>-3805571.6337518874</c:v>
                </c:pt>
                <c:pt idx="211">
                  <c:v>-3887288.0507794549</c:v>
                </c:pt>
                <c:pt idx="212">
                  <c:v>-4116909.4446981666</c:v>
                </c:pt>
                <c:pt idx="213">
                  <c:v>-3331072.4532730863</c:v>
                </c:pt>
                <c:pt idx="214">
                  <c:v>-3542763.7403780608</c:v>
                </c:pt>
                <c:pt idx="215">
                  <c:v>-4372226.0252200132</c:v>
                </c:pt>
                <c:pt idx="216">
                  <c:v>-2985745.0422921977</c:v>
                </c:pt>
                <c:pt idx="217">
                  <c:v>-4268802.6489725709</c:v>
                </c:pt>
                <c:pt idx="218">
                  <c:v>-3225231.3159948643</c:v>
                </c:pt>
                <c:pt idx="219">
                  <c:v>-4033177.5131278476</c:v>
                </c:pt>
                <c:pt idx="220">
                  <c:v>-3895991.9817384221</c:v>
                </c:pt>
                <c:pt idx="221">
                  <c:v>-3404151.0079072574</c:v>
                </c:pt>
                <c:pt idx="222">
                  <c:v>-4352925.5247992296</c:v>
                </c:pt>
                <c:pt idx="223">
                  <c:v>-4239772.7724720836</c:v>
                </c:pt>
                <c:pt idx="224">
                  <c:v>-3547124.8115496491</c:v>
                </c:pt>
                <c:pt idx="225">
                  <c:v>-3648018.9457758376</c:v>
                </c:pt>
                <c:pt idx="226">
                  <c:v>-3676461.6961221378</c:v>
                </c:pt>
                <c:pt idx="227">
                  <c:v>-2521503.588577494</c:v>
                </c:pt>
                <c:pt idx="228">
                  <c:v>-3305189.4389193882</c:v>
                </c:pt>
                <c:pt idx="229">
                  <c:v>-3211995.1901806616</c:v>
                </c:pt>
                <c:pt idx="230">
                  <c:v>-2699195.9396933038</c:v>
                </c:pt>
                <c:pt idx="231">
                  <c:v>-2938351.0051429295</c:v>
                </c:pt>
                <c:pt idx="232">
                  <c:v>-3256916.9877507025</c:v>
                </c:pt>
                <c:pt idx="233">
                  <c:v>-2945659.1839439305</c:v>
                </c:pt>
                <c:pt idx="234">
                  <c:v>-3130902.4977157442</c:v>
                </c:pt>
                <c:pt idx="235">
                  <c:v>-2912000.7882254347</c:v>
                </c:pt>
                <c:pt idx="236">
                  <c:v>-4132831.7742405706</c:v>
                </c:pt>
                <c:pt idx="237">
                  <c:v>-2077145.1707293189</c:v>
                </c:pt>
                <c:pt idx="238">
                  <c:v>-3876829.5925271637</c:v>
                </c:pt>
                <c:pt idx="239">
                  <c:v>-5176824.3810809236</c:v>
                </c:pt>
                <c:pt idx="240">
                  <c:v>-2466209.0236553117</c:v>
                </c:pt>
                <c:pt idx="241">
                  <c:v>-3852574.2308850498</c:v>
                </c:pt>
                <c:pt idx="242">
                  <c:v>-3541378.8688002527</c:v>
                </c:pt>
                <c:pt idx="243">
                  <c:v>-2256455.7331313659</c:v>
                </c:pt>
                <c:pt idx="244">
                  <c:v>-3824011.4713688376</c:v>
                </c:pt>
                <c:pt idx="245">
                  <c:v>-4230736.2303287536</c:v>
                </c:pt>
                <c:pt idx="246">
                  <c:v>-4121823.458979561</c:v>
                </c:pt>
                <c:pt idx="247">
                  <c:v>-4812021.2984837564</c:v>
                </c:pt>
                <c:pt idx="248">
                  <c:v>-4450938.8633147702</c:v>
                </c:pt>
                <c:pt idx="249">
                  <c:v>-4216450.5031518666</c:v>
                </c:pt>
                <c:pt idx="250">
                  <c:v>-4766361.1339406865</c:v>
                </c:pt>
                <c:pt idx="251">
                  <c:v>-3159466.3819268225</c:v>
                </c:pt>
                <c:pt idx="252">
                  <c:v>-2896950.4653060115</c:v>
                </c:pt>
                <c:pt idx="253">
                  <c:v>-3166521.1512946272</c:v>
                </c:pt>
                <c:pt idx="254">
                  <c:v>-3122544.861160126</c:v>
                </c:pt>
                <c:pt idx="255">
                  <c:v>-4095637.9229547549</c:v>
                </c:pt>
                <c:pt idx="256">
                  <c:v>-4553678.5921312189</c:v>
                </c:pt>
                <c:pt idx="257">
                  <c:v>-3284464.4052222646</c:v>
                </c:pt>
                <c:pt idx="258">
                  <c:v>-2307068.1485345</c:v>
                </c:pt>
                <c:pt idx="259">
                  <c:v>-1796934.3779652165</c:v>
                </c:pt>
                <c:pt idx="260">
                  <c:v>-2523381.0989124519</c:v>
                </c:pt>
                <c:pt idx="261">
                  <c:v>-2668762.1386454306</c:v>
                </c:pt>
                <c:pt idx="262">
                  <c:v>-3267863.2975169644</c:v>
                </c:pt>
                <c:pt idx="263">
                  <c:v>-4598816.5510206139</c:v>
                </c:pt>
                <c:pt idx="264">
                  <c:v>-2326647.0601332528</c:v>
                </c:pt>
                <c:pt idx="265">
                  <c:v>-3654380.3137168521</c:v>
                </c:pt>
                <c:pt idx="266">
                  <c:v>-2172992.0349078644</c:v>
                </c:pt>
                <c:pt idx="267">
                  <c:v>-3182116.6159714037</c:v>
                </c:pt>
                <c:pt idx="268">
                  <c:v>-3304701.6454749978</c:v>
                </c:pt>
                <c:pt idx="269">
                  <c:v>-3234870.961852299</c:v>
                </c:pt>
                <c:pt idx="270">
                  <c:v>-1922193.1455048702</c:v>
                </c:pt>
                <c:pt idx="271">
                  <c:v>-3401111.9184113662</c:v>
                </c:pt>
                <c:pt idx="272">
                  <c:v>-2255176.9158515474</c:v>
                </c:pt>
                <c:pt idx="273">
                  <c:v>-3048219.8001511311</c:v>
                </c:pt>
                <c:pt idx="274">
                  <c:v>-3740821.7374642282</c:v>
                </c:pt>
                <c:pt idx="275">
                  <c:v>-4042608.8144942396</c:v>
                </c:pt>
                <c:pt idx="276">
                  <c:v>-2075014.4222755309</c:v>
                </c:pt>
                <c:pt idx="277">
                  <c:v>-3662111.694962889</c:v>
                </c:pt>
                <c:pt idx="278">
                  <c:v>-2458408.8218869343</c:v>
                </c:pt>
                <c:pt idx="279">
                  <c:v>-4744368.676220024</c:v>
                </c:pt>
                <c:pt idx="280">
                  <c:v>-1883126.2574346692</c:v>
                </c:pt>
                <c:pt idx="281">
                  <c:v>-2263054.3152088001</c:v>
                </c:pt>
                <c:pt idx="282">
                  <c:v>-3229307.6980132447</c:v>
                </c:pt>
                <c:pt idx="283">
                  <c:v>-2390894.3179827076</c:v>
                </c:pt>
                <c:pt idx="284">
                  <c:v>-2591557.8666809732</c:v>
                </c:pt>
                <c:pt idx="285">
                  <c:v>-4726901.3276257673</c:v>
                </c:pt>
                <c:pt idx="286">
                  <c:v>-1842561.0875383576</c:v>
                </c:pt>
                <c:pt idx="287">
                  <c:v>-3677061.3817824526</c:v>
                </c:pt>
                <c:pt idx="288">
                  <c:v>-3806328.4567677523</c:v>
                </c:pt>
                <c:pt idx="289">
                  <c:v>-3737169.2254062775</c:v>
                </c:pt>
                <c:pt idx="290">
                  <c:v>-2800139.152624758</c:v>
                </c:pt>
                <c:pt idx="291">
                  <c:v>-3796367.127146956</c:v>
                </c:pt>
                <c:pt idx="292">
                  <c:v>-2945003.8848088961</c:v>
                </c:pt>
                <c:pt idx="293">
                  <c:v>-3862887.8403507839</c:v>
                </c:pt>
                <c:pt idx="294">
                  <c:v>-2372463.2990654232</c:v>
                </c:pt>
                <c:pt idx="295">
                  <c:v>-3097735.3167279148</c:v>
                </c:pt>
                <c:pt idx="296">
                  <c:v>-2634838.1903980896</c:v>
                </c:pt>
                <c:pt idx="297">
                  <c:v>-3081325.6740003247</c:v>
                </c:pt>
                <c:pt idx="298">
                  <c:v>-3286197.509108983</c:v>
                </c:pt>
                <c:pt idx="299">
                  <c:v>-2862435.9268768625</c:v>
                </c:pt>
                <c:pt idx="300">
                  <c:v>-2897192.1487875534</c:v>
                </c:pt>
                <c:pt idx="301">
                  <c:v>-2442684.3764592721</c:v>
                </c:pt>
                <c:pt idx="302">
                  <c:v>-3534427.2416874403</c:v>
                </c:pt>
                <c:pt idx="303">
                  <c:v>-2859008.9713420738</c:v>
                </c:pt>
                <c:pt idx="304">
                  <c:v>-4587926.4178210832</c:v>
                </c:pt>
                <c:pt idx="305">
                  <c:v>-2440972.8559041223</c:v>
                </c:pt>
                <c:pt idx="306">
                  <c:v>-4264141.4350815127</c:v>
                </c:pt>
                <c:pt idx="307">
                  <c:v>-4098991.8068445246</c:v>
                </c:pt>
                <c:pt idx="308">
                  <c:v>-4510710.9115854576</c:v>
                </c:pt>
                <c:pt idx="309">
                  <c:v>-4884582.7020324459</c:v>
                </c:pt>
                <c:pt idx="310">
                  <c:v>-3144239.3671876835</c:v>
                </c:pt>
                <c:pt idx="311">
                  <c:v>-3797205.3475886337</c:v>
                </c:pt>
                <c:pt idx="312">
                  <c:v>-2536410.0508756451</c:v>
                </c:pt>
                <c:pt idx="313">
                  <c:v>-3305461.2042653156</c:v>
                </c:pt>
                <c:pt idx="314">
                  <c:v>-3839312.423808252</c:v>
                </c:pt>
                <c:pt idx="315">
                  <c:v>-2816408.7381145428</c:v>
                </c:pt>
                <c:pt idx="316">
                  <c:v>-4527132.1617590198</c:v>
                </c:pt>
                <c:pt idx="317">
                  <c:v>-3568778.5301442095</c:v>
                </c:pt>
                <c:pt idx="318">
                  <c:v>-3351467.8635020661</c:v>
                </c:pt>
                <c:pt idx="319">
                  <c:v>-1498792.4935310066</c:v>
                </c:pt>
                <c:pt idx="320">
                  <c:v>-3911230.9446496153</c:v>
                </c:pt>
                <c:pt idx="321">
                  <c:v>-1678312.4606832222</c:v>
                </c:pt>
                <c:pt idx="322">
                  <c:v>-1662970.9389781663</c:v>
                </c:pt>
                <c:pt idx="323">
                  <c:v>-3167628.5107510397</c:v>
                </c:pt>
                <c:pt idx="324">
                  <c:v>-3829376.7144357539</c:v>
                </c:pt>
                <c:pt idx="325">
                  <c:v>-3354460.2903424171</c:v>
                </c:pt>
                <c:pt idx="326">
                  <c:v>-3301636.5374246924</c:v>
                </c:pt>
                <c:pt idx="327">
                  <c:v>-2239169.6063428516</c:v>
                </c:pt>
                <c:pt idx="328">
                  <c:v>-2973431.9880662821</c:v>
                </c:pt>
                <c:pt idx="329">
                  <c:v>-3235246.6473470153</c:v>
                </c:pt>
                <c:pt idx="330">
                  <c:v>-2940011.7861341322</c:v>
                </c:pt>
                <c:pt idx="331">
                  <c:v>-4055990.2765398002</c:v>
                </c:pt>
                <c:pt idx="332">
                  <c:v>-2896499.8548717955</c:v>
                </c:pt>
                <c:pt idx="333">
                  <c:v>-3535846.8533144314</c:v>
                </c:pt>
                <c:pt idx="334">
                  <c:v>-3525972.1787681514</c:v>
                </c:pt>
                <c:pt idx="335">
                  <c:v>-2042391.9325389459</c:v>
                </c:pt>
                <c:pt idx="336">
                  <c:v>-2076894.3506881753</c:v>
                </c:pt>
                <c:pt idx="337">
                  <c:v>-3507606.3791379868</c:v>
                </c:pt>
                <c:pt idx="338">
                  <c:v>-4186713.395139785</c:v>
                </c:pt>
                <c:pt idx="339">
                  <c:v>-3604797.8264568672</c:v>
                </c:pt>
                <c:pt idx="340">
                  <c:v>-1919302.803060618</c:v>
                </c:pt>
                <c:pt idx="341">
                  <c:v>-4485812.9018189711</c:v>
                </c:pt>
                <c:pt idx="342">
                  <c:v>-2937159.6332747396</c:v>
                </c:pt>
                <c:pt idx="343">
                  <c:v>-4278751.2742897822</c:v>
                </c:pt>
                <c:pt idx="344">
                  <c:v>-2849408.1307102288</c:v>
                </c:pt>
                <c:pt idx="345">
                  <c:v>-4281107.1872513955</c:v>
                </c:pt>
                <c:pt idx="346">
                  <c:v>-4374317.1302397382</c:v>
                </c:pt>
                <c:pt idx="347">
                  <c:v>-2318845.4739468493</c:v>
                </c:pt>
                <c:pt idx="348">
                  <c:v>-3459947.6488416158</c:v>
                </c:pt>
                <c:pt idx="349">
                  <c:v>-3760127.5137412283</c:v>
                </c:pt>
                <c:pt idx="350">
                  <c:v>-3087181.6507245372</c:v>
                </c:pt>
                <c:pt idx="351">
                  <c:v>-1945385.9785652554</c:v>
                </c:pt>
                <c:pt idx="352">
                  <c:v>-4527849.7803935837</c:v>
                </c:pt>
                <c:pt idx="353">
                  <c:v>-3243818.5558628906</c:v>
                </c:pt>
                <c:pt idx="354">
                  <c:v>-2534498.1812671921</c:v>
                </c:pt>
                <c:pt idx="355">
                  <c:v>-4553350.0455847578</c:v>
                </c:pt>
                <c:pt idx="356">
                  <c:v>-3442766.9272952527</c:v>
                </c:pt>
                <c:pt idx="357">
                  <c:v>-3335569.2653490612</c:v>
                </c:pt>
                <c:pt idx="358">
                  <c:v>-2562027.8442312237</c:v>
                </c:pt>
                <c:pt idx="359">
                  <c:v>-3076458.7304744315</c:v>
                </c:pt>
                <c:pt idx="360">
                  <c:v>-3396260.9319899785</c:v>
                </c:pt>
                <c:pt idx="361">
                  <c:v>-4251212.9615985584</c:v>
                </c:pt>
                <c:pt idx="362">
                  <c:v>-2984889.3572736238</c:v>
                </c:pt>
                <c:pt idx="363">
                  <c:v>-3473555.807527022</c:v>
                </c:pt>
                <c:pt idx="364">
                  <c:v>-3516576.2904842813</c:v>
                </c:pt>
                <c:pt idx="365">
                  <c:v>-4028577.7690241565</c:v>
                </c:pt>
                <c:pt idx="366">
                  <c:v>-1338333.9871057686</c:v>
                </c:pt>
                <c:pt idx="367">
                  <c:v>-3671115.2709827963</c:v>
                </c:pt>
                <c:pt idx="368">
                  <c:v>-2413975.0189964748</c:v>
                </c:pt>
                <c:pt idx="369">
                  <c:v>-4290256.0333871236</c:v>
                </c:pt>
                <c:pt idx="370">
                  <c:v>-4270614.7270050449</c:v>
                </c:pt>
                <c:pt idx="371">
                  <c:v>-3529548.7579575279</c:v>
                </c:pt>
                <c:pt idx="372">
                  <c:v>-3267500.2918383428</c:v>
                </c:pt>
                <c:pt idx="373">
                  <c:v>-3492608.9602273484</c:v>
                </c:pt>
                <c:pt idx="374">
                  <c:v>-2386448.140296292</c:v>
                </c:pt>
                <c:pt idx="375">
                  <c:v>-2994293.3160784133</c:v>
                </c:pt>
                <c:pt idx="376">
                  <c:v>-3254587.6857952988</c:v>
                </c:pt>
                <c:pt idx="377">
                  <c:v>-1602403.5631390996</c:v>
                </c:pt>
                <c:pt idx="378">
                  <c:v>-4971812.0609620847</c:v>
                </c:pt>
                <c:pt idx="379">
                  <c:v>-3525254.0780273448</c:v>
                </c:pt>
                <c:pt idx="380">
                  <c:v>-2783596.7644226002</c:v>
                </c:pt>
                <c:pt idx="381">
                  <c:v>-4006341.4386232682</c:v>
                </c:pt>
                <c:pt idx="382">
                  <c:v>-4923145.2136704763</c:v>
                </c:pt>
                <c:pt idx="383">
                  <c:v>-2110796.7035357798</c:v>
                </c:pt>
                <c:pt idx="384">
                  <c:v>-3180261.109729175</c:v>
                </c:pt>
                <c:pt idx="385">
                  <c:v>-3711308.450088311</c:v>
                </c:pt>
                <c:pt idx="386">
                  <c:v>-3245949.7895608186</c:v>
                </c:pt>
                <c:pt idx="387">
                  <c:v>-2797208.0371024446</c:v>
                </c:pt>
                <c:pt idx="388">
                  <c:v>-4215660.5369018754</c:v>
                </c:pt>
                <c:pt idx="389">
                  <c:v>-3574940.0160442931</c:v>
                </c:pt>
                <c:pt idx="390">
                  <c:v>-2652352.0798461461</c:v>
                </c:pt>
                <c:pt idx="391">
                  <c:v>-2265095.9127029506</c:v>
                </c:pt>
                <c:pt idx="392">
                  <c:v>-3730739.6965428283</c:v>
                </c:pt>
                <c:pt idx="393">
                  <c:v>-3539162.8951081089</c:v>
                </c:pt>
                <c:pt idx="394">
                  <c:v>-3446305.1730328579</c:v>
                </c:pt>
                <c:pt idx="395">
                  <c:v>-3103001.7137494544</c:v>
                </c:pt>
                <c:pt idx="396">
                  <c:v>-3361696.8776740222</c:v>
                </c:pt>
                <c:pt idx="397">
                  <c:v>-2653385.9079387705</c:v>
                </c:pt>
                <c:pt idx="398">
                  <c:v>-3215455.7478844505</c:v>
                </c:pt>
                <c:pt idx="399">
                  <c:v>-3717263.0493258638</c:v>
                </c:pt>
                <c:pt idx="400">
                  <c:v>-2793788.370900814</c:v>
                </c:pt>
                <c:pt idx="401">
                  <c:v>-3114259.0416644723</c:v>
                </c:pt>
                <c:pt idx="402">
                  <c:v>-4650627.0810941374</c:v>
                </c:pt>
                <c:pt idx="403">
                  <c:v>-3396351.7414982091</c:v>
                </c:pt>
                <c:pt idx="404">
                  <c:v>-3023737.7166541442</c:v>
                </c:pt>
                <c:pt idx="405">
                  <c:v>-3937581.7613700642</c:v>
                </c:pt>
                <c:pt idx="406">
                  <c:v>-3817031.9436406777</c:v>
                </c:pt>
                <c:pt idx="407">
                  <c:v>-2998203.3833687715</c:v>
                </c:pt>
                <c:pt idx="408">
                  <c:v>-3359336.3078129753</c:v>
                </c:pt>
                <c:pt idx="409">
                  <c:v>-1948164.3859126142</c:v>
                </c:pt>
                <c:pt idx="410">
                  <c:v>-4051582.0946674505</c:v>
                </c:pt>
                <c:pt idx="411">
                  <c:v>-3650575.8281327984</c:v>
                </c:pt>
                <c:pt idx="412">
                  <c:v>-3531484.2696903003</c:v>
                </c:pt>
                <c:pt idx="413">
                  <c:v>-1936381.4674154136</c:v>
                </c:pt>
                <c:pt idx="414">
                  <c:v>-3965808.4505339162</c:v>
                </c:pt>
                <c:pt idx="415">
                  <c:v>-3474059.4315270088</c:v>
                </c:pt>
                <c:pt idx="416">
                  <c:v>-3552031.591834317</c:v>
                </c:pt>
                <c:pt idx="417">
                  <c:v>-4504377.1674638325</c:v>
                </c:pt>
                <c:pt idx="418">
                  <c:v>-3243272.5188631597</c:v>
                </c:pt>
                <c:pt idx="419">
                  <c:v>-3425706.5328125604</c:v>
                </c:pt>
                <c:pt idx="420">
                  <c:v>-3560145.8976848093</c:v>
                </c:pt>
                <c:pt idx="421">
                  <c:v>-2852327.9592731805</c:v>
                </c:pt>
                <c:pt idx="422">
                  <c:v>-3917516.1621626052</c:v>
                </c:pt>
                <c:pt idx="423">
                  <c:v>-3086212.6250672932</c:v>
                </c:pt>
                <c:pt idx="424">
                  <c:v>-1172660.8125258139</c:v>
                </c:pt>
                <c:pt idx="425">
                  <c:v>-4579070.6981174871</c:v>
                </c:pt>
                <c:pt idx="426">
                  <c:v>-4282055.5638090111</c:v>
                </c:pt>
                <c:pt idx="427">
                  <c:v>-2786256.069826392</c:v>
                </c:pt>
                <c:pt idx="428">
                  <c:v>-2599712.7552101729</c:v>
                </c:pt>
                <c:pt idx="429">
                  <c:v>-3773178.2049294738</c:v>
                </c:pt>
                <c:pt idx="430">
                  <c:v>-3468380.7927541896</c:v>
                </c:pt>
                <c:pt idx="431">
                  <c:v>-2733554.5375538156</c:v>
                </c:pt>
                <c:pt idx="432">
                  <c:v>-3042190.9866134394</c:v>
                </c:pt>
                <c:pt idx="433">
                  <c:v>-2835427.2944419216</c:v>
                </c:pt>
                <c:pt idx="434">
                  <c:v>-3455336.3390519246</c:v>
                </c:pt>
                <c:pt idx="435">
                  <c:v>-4056658.3097877242</c:v>
                </c:pt>
                <c:pt idx="436">
                  <c:v>-4454813.0357853444</c:v>
                </c:pt>
                <c:pt idx="437">
                  <c:v>-2804414.2655385183</c:v>
                </c:pt>
                <c:pt idx="438">
                  <c:v>-2887141.8843108225</c:v>
                </c:pt>
                <c:pt idx="439">
                  <c:v>-2948176.2892618566</c:v>
                </c:pt>
                <c:pt idx="440">
                  <c:v>-3210485.2921064585</c:v>
                </c:pt>
                <c:pt idx="441">
                  <c:v>-4424540.4777835784</c:v>
                </c:pt>
                <c:pt idx="442">
                  <c:v>-3098848.3921268499</c:v>
                </c:pt>
                <c:pt idx="443">
                  <c:v>-1580658.9886945421</c:v>
                </c:pt>
                <c:pt idx="444">
                  <c:v>-3379875.3433497474</c:v>
                </c:pt>
                <c:pt idx="445">
                  <c:v>-4009046.6188719282</c:v>
                </c:pt>
                <c:pt idx="446">
                  <c:v>-2322449.3065204625</c:v>
                </c:pt>
                <c:pt idx="447">
                  <c:v>-3129578.216368855</c:v>
                </c:pt>
                <c:pt idx="448">
                  <c:v>-3190685.1782256193</c:v>
                </c:pt>
                <c:pt idx="449">
                  <c:v>-2361934.7794796368</c:v>
                </c:pt>
                <c:pt idx="450">
                  <c:v>-3039350.4772044653</c:v>
                </c:pt>
                <c:pt idx="451">
                  <c:v>-4493090.7916052882</c:v>
                </c:pt>
                <c:pt idx="452">
                  <c:v>-3664881.2700630869</c:v>
                </c:pt>
                <c:pt idx="453">
                  <c:v>-3975030.7569678677</c:v>
                </c:pt>
                <c:pt idx="454">
                  <c:v>-2633800.188824622</c:v>
                </c:pt>
                <c:pt idx="455">
                  <c:v>-4425429.0768040279</c:v>
                </c:pt>
                <c:pt idx="456">
                  <c:v>-1875391.6206712313</c:v>
                </c:pt>
                <c:pt idx="457">
                  <c:v>-4063456.9974316601</c:v>
                </c:pt>
                <c:pt idx="458">
                  <c:v>-3405654.4286842193</c:v>
                </c:pt>
                <c:pt idx="459">
                  <c:v>-3346471.5492340242</c:v>
                </c:pt>
                <c:pt idx="460">
                  <c:v>-2756220.0001036623</c:v>
                </c:pt>
                <c:pt idx="461">
                  <c:v>-3085183.81259953</c:v>
                </c:pt>
                <c:pt idx="462">
                  <c:v>-2134393.5368229146</c:v>
                </c:pt>
                <c:pt idx="463">
                  <c:v>-4178142.1613142476</c:v>
                </c:pt>
                <c:pt idx="464">
                  <c:v>-3425499.5069167865</c:v>
                </c:pt>
                <c:pt idx="465">
                  <c:v>-4057531.7222496322</c:v>
                </c:pt>
                <c:pt idx="466">
                  <c:v>-2951287.11096083</c:v>
                </c:pt>
                <c:pt idx="467">
                  <c:v>-3790632.623378207</c:v>
                </c:pt>
                <c:pt idx="468">
                  <c:v>-4040964.3720270512</c:v>
                </c:pt>
                <c:pt idx="469">
                  <c:v>-3206507.0120538347</c:v>
                </c:pt>
                <c:pt idx="470">
                  <c:v>-4044136.9262497346</c:v>
                </c:pt>
                <c:pt idx="471">
                  <c:v>-3514154.0106291282</c:v>
                </c:pt>
                <c:pt idx="472">
                  <c:v>-4239136.3052733745</c:v>
                </c:pt>
                <c:pt idx="473">
                  <c:v>-4388379.1256822394</c:v>
                </c:pt>
                <c:pt idx="474">
                  <c:v>-1867848.3432211205</c:v>
                </c:pt>
                <c:pt idx="475">
                  <c:v>-3936583.9563733926</c:v>
                </c:pt>
                <c:pt idx="476">
                  <c:v>-3328036.9651879556</c:v>
                </c:pt>
                <c:pt idx="477">
                  <c:v>-3308416.2742622355</c:v>
                </c:pt>
                <c:pt idx="478">
                  <c:v>-3880049.8453820879</c:v>
                </c:pt>
                <c:pt idx="479">
                  <c:v>-3511110.5351881296</c:v>
                </c:pt>
                <c:pt idx="480">
                  <c:v>-3604605.396994147</c:v>
                </c:pt>
                <c:pt idx="481">
                  <c:v>-5143609.8533506067</c:v>
                </c:pt>
                <c:pt idx="482">
                  <c:v>-2154904.7987054335</c:v>
                </c:pt>
                <c:pt idx="483">
                  <c:v>-2687546.0271829576</c:v>
                </c:pt>
                <c:pt idx="484">
                  <c:v>-4347448.3183390787</c:v>
                </c:pt>
                <c:pt idx="485">
                  <c:v>-4944143.5875438396</c:v>
                </c:pt>
                <c:pt idx="486">
                  <c:v>-4010374.0966859004</c:v>
                </c:pt>
                <c:pt idx="487">
                  <c:v>-3524030.1975889704</c:v>
                </c:pt>
                <c:pt idx="488">
                  <c:v>-2951874.0606447342</c:v>
                </c:pt>
                <c:pt idx="489">
                  <c:v>-2542661.7509981459</c:v>
                </c:pt>
                <c:pt idx="490">
                  <c:v>-5527215.9519846803</c:v>
                </c:pt>
                <c:pt idx="491">
                  <c:v>-2207620.4640365229</c:v>
                </c:pt>
                <c:pt idx="492">
                  <c:v>-2939929.2827249751</c:v>
                </c:pt>
                <c:pt idx="493">
                  <c:v>-2782804.1215759902</c:v>
                </c:pt>
                <c:pt idx="494">
                  <c:v>-4172580.1894489466</c:v>
                </c:pt>
                <c:pt idx="495">
                  <c:v>-3074635.4656960038</c:v>
                </c:pt>
                <c:pt idx="496">
                  <c:v>-3627947.2826142432</c:v>
                </c:pt>
                <c:pt idx="497">
                  <c:v>-3672101.4329469143</c:v>
                </c:pt>
                <c:pt idx="498">
                  <c:v>-3767456.3293482196</c:v>
                </c:pt>
                <c:pt idx="499">
                  <c:v>-3561672.8538681683</c:v>
                </c:pt>
                <c:pt idx="500">
                  <c:v>-3511938.8612345485</c:v>
                </c:pt>
                <c:pt idx="501">
                  <c:v>-4322822.6503174212</c:v>
                </c:pt>
                <c:pt idx="502">
                  <c:v>-3687917.9126864756</c:v>
                </c:pt>
                <c:pt idx="503">
                  <c:v>-4134952.6292675044</c:v>
                </c:pt>
                <c:pt idx="504">
                  <c:v>-3647889.8432136443</c:v>
                </c:pt>
                <c:pt idx="505">
                  <c:v>-2795812.3095334359</c:v>
                </c:pt>
                <c:pt idx="506">
                  <c:v>-3938275.2072039056</c:v>
                </c:pt>
                <c:pt idx="507">
                  <c:v>-3541761.7655834132</c:v>
                </c:pt>
                <c:pt idx="508">
                  <c:v>-4350360.5834557954</c:v>
                </c:pt>
                <c:pt idx="509">
                  <c:v>-2390369.6309124236</c:v>
                </c:pt>
                <c:pt idx="510">
                  <c:v>-4040787.0540363663</c:v>
                </c:pt>
                <c:pt idx="511">
                  <c:v>-4327060.4837327711</c:v>
                </c:pt>
                <c:pt idx="512">
                  <c:v>-3380432.0317805405</c:v>
                </c:pt>
                <c:pt idx="513">
                  <c:v>-3633996.9385123667</c:v>
                </c:pt>
                <c:pt idx="514">
                  <c:v>-3097481.6086494918</c:v>
                </c:pt>
                <c:pt idx="515">
                  <c:v>-4041372.6886594235</c:v>
                </c:pt>
                <c:pt idx="516">
                  <c:v>-4690434.2946178205</c:v>
                </c:pt>
                <c:pt idx="517">
                  <c:v>-4320372.0894086352</c:v>
                </c:pt>
                <c:pt idx="518">
                  <c:v>-1669790.2025043501</c:v>
                </c:pt>
                <c:pt idx="519">
                  <c:v>-3000887.1384352059</c:v>
                </c:pt>
                <c:pt idx="520">
                  <c:v>-2498838.7511496739</c:v>
                </c:pt>
                <c:pt idx="521">
                  <c:v>-3978708.862178864</c:v>
                </c:pt>
                <c:pt idx="522">
                  <c:v>-3979395.810421316</c:v>
                </c:pt>
                <c:pt idx="523">
                  <c:v>-3243634.8194084824</c:v>
                </c:pt>
                <c:pt idx="524">
                  <c:v>-2632666.0528371311</c:v>
                </c:pt>
                <c:pt idx="525">
                  <c:v>-3411088.8509325669</c:v>
                </c:pt>
                <c:pt idx="526">
                  <c:v>-5314167.9017727692</c:v>
                </c:pt>
                <c:pt idx="527">
                  <c:v>-3173881.7796680671</c:v>
                </c:pt>
                <c:pt idx="528">
                  <c:v>-3705518.179822376</c:v>
                </c:pt>
                <c:pt idx="529">
                  <c:v>-2521262.8460018551</c:v>
                </c:pt>
                <c:pt idx="530">
                  <c:v>-2811687.9840579201</c:v>
                </c:pt>
                <c:pt idx="531">
                  <c:v>-3131708.4279422043</c:v>
                </c:pt>
                <c:pt idx="532">
                  <c:v>-1506518.5189724539</c:v>
                </c:pt>
                <c:pt idx="533">
                  <c:v>-3012057.8930759784</c:v>
                </c:pt>
                <c:pt idx="534">
                  <c:v>-4363155.8531484269</c:v>
                </c:pt>
                <c:pt idx="535">
                  <c:v>-2539433.9882850437</c:v>
                </c:pt>
                <c:pt idx="536">
                  <c:v>-3152449.0235862653</c:v>
                </c:pt>
                <c:pt idx="537">
                  <c:v>-4390677.7304866342</c:v>
                </c:pt>
                <c:pt idx="538">
                  <c:v>-3753553.180134262</c:v>
                </c:pt>
                <c:pt idx="539">
                  <c:v>-2506605.4625291587</c:v>
                </c:pt>
                <c:pt idx="540">
                  <c:v>-3447226.6490266477</c:v>
                </c:pt>
                <c:pt idx="541">
                  <c:v>-3443599.3378706197</c:v>
                </c:pt>
                <c:pt idx="542">
                  <c:v>-3063443.5895810532</c:v>
                </c:pt>
                <c:pt idx="543">
                  <c:v>-4792645.8857897548</c:v>
                </c:pt>
                <c:pt idx="544">
                  <c:v>-3590770.145957611</c:v>
                </c:pt>
                <c:pt idx="545">
                  <c:v>-2575730.1668916466</c:v>
                </c:pt>
                <c:pt idx="546">
                  <c:v>-2100685.2142415876</c:v>
                </c:pt>
                <c:pt idx="547">
                  <c:v>-4366019.6966179833</c:v>
                </c:pt>
                <c:pt idx="548">
                  <c:v>-2344770.5039826315</c:v>
                </c:pt>
                <c:pt idx="549">
                  <c:v>-2675758.4304270879</c:v>
                </c:pt>
                <c:pt idx="550">
                  <c:v>-3986343.2383973333</c:v>
                </c:pt>
                <c:pt idx="551">
                  <c:v>-2978740.4334592521</c:v>
                </c:pt>
                <c:pt idx="552">
                  <c:v>-3019629.6999589242</c:v>
                </c:pt>
                <c:pt idx="553">
                  <c:v>-3356745.3134631854</c:v>
                </c:pt>
                <c:pt idx="554">
                  <c:v>-2947874.458359208</c:v>
                </c:pt>
                <c:pt idx="555">
                  <c:v>-4275913.1667252751</c:v>
                </c:pt>
                <c:pt idx="556">
                  <c:v>-5331848.0014377525</c:v>
                </c:pt>
                <c:pt idx="557">
                  <c:v>-3685542.45081553</c:v>
                </c:pt>
                <c:pt idx="558">
                  <c:v>-4462765.9238952538</c:v>
                </c:pt>
                <c:pt idx="559">
                  <c:v>-3662145.5106950263</c:v>
                </c:pt>
                <c:pt idx="560">
                  <c:v>-2681466.9203765956</c:v>
                </c:pt>
                <c:pt idx="561">
                  <c:v>-2840071.8497035578</c:v>
                </c:pt>
                <c:pt idx="562">
                  <c:v>-3733036.883509492</c:v>
                </c:pt>
                <c:pt idx="563">
                  <c:v>-5479150.7395206103</c:v>
                </c:pt>
                <c:pt idx="564">
                  <c:v>-3154185.1098470581</c:v>
                </c:pt>
                <c:pt idx="565">
                  <c:v>-5956157.1694400711</c:v>
                </c:pt>
                <c:pt idx="566">
                  <c:v>-3875535.9666599599</c:v>
                </c:pt>
                <c:pt idx="567">
                  <c:v>-3527252.9692857149</c:v>
                </c:pt>
                <c:pt idx="568">
                  <c:v>-4245474.2325224774</c:v>
                </c:pt>
                <c:pt idx="569">
                  <c:v>-3529637.0977460924</c:v>
                </c:pt>
                <c:pt idx="570">
                  <c:v>-2972783.217832983</c:v>
                </c:pt>
                <c:pt idx="571">
                  <c:v>-4014348.4949353817</c:v>
                </c:pt>
                <c:pt idx="572">
                  <c:v>-1967066.3092396345</c:v>
                </c:pt>
                <c:pt idx="573">
                  <c:v>-3440913.9455492394</c:v>
                </c:pt>
                <c:pt idx="574">
                  <c:v>-2298425.8795881774</c:v>
                </c:pt>
                <c:pt idx="575">
                  <c:v>-3096445.1036086073</c:v>
                </c:pt>
                <c:pt idx="576">
                  <c:v>-3025004.3292810274</c:v>
                </c:pt>
                <c:pt idx="577">
                  <c:v>-2260738.2569852751</c:v>
                </c:pt>
                <c:pt idx="578">
                  <c:v>-3444376.5034757019</c:v>
                </c:pt>
                <c:pt idx="579">
                  <c:v>-1749364.127705026</c:v>
                </c:pt>
                <c:pt idx="580">
                  <c:v>-4638742.1122528911</c:v>
                </c:pt>
                <c:pt idx="581">
                  <c:v>-3015333.067007185</c:v>
                </c:pt>
                <c:pt idx="582">
                  <c:v>-3735731.989564151</c:v>
                </c:pt>
                <c:pt idx="583">
                  <c:v>-3772880.1784147979</c:v>
                </c:pt>
                <c:pt idx="584">
                  <c:v>-3472422.4616877981</c:v>
                </c:pt>
                <c:pt idx="585">
                  <c:v>-3422467.3555824943</c:v>
                </c:pt>
                <c:pt idx="586">
                  <c:v>-2776348.9769748799</c:v>
                </c:pt>
                <c:pt idx="587">
                  <c:v>-5647814.9523956981</c:v>
                </c:pt>
                <c:pt idx="588">
                  <c:v>-1936414.845171351</c:v>
                </c:pt>
                <c:pt idx="589">
                  <c:v>-2746242.9599638171</c:v>
                </c:pt>
                <c:pt idx="590">
                  <c:v>-4113501.1738887471</c:v>
                </c:pt>
                <c:pt idx="591">
                  <c:v>-3290729.0277806129</c:v>
                </c:pt>
                <c:pt idx="592">
                  <c:v>-4217530.1862418158</c:v>
                </c:pt>
                <c:pt idx="593">
                  <c:v>-3236856.5272148824</c:v>
                </c:pt>
                <c:pt idx="594">
                  <c:v>-4071466.1587350783</c:v>
                </c:pt>
                <c:pt idx="595">
                  <c:v>-2753216.8068853561</c:v>
                </c:pt>
                <c:pt idx="596">
                  <c:v>-4606271.7456991915</c:v>
                </c:pt>
                <c:pt idx="597">
                  <c:v>-2674005.6019357555</c:v>
                </c:pt>
                <c:pt idx="598">
                  <c:v>-3543296.7503355485</c:v>
                </c:pt>
                <c:pt idx="599">
                  <c:v>-5109991.9019319545</c:v>
                </c:pt>
                <c:pt idx="600">
                  <c:v>-3352982.8026354606</c:v>
                </c:pt>
                <c:pt idx="601">
                  <c:v>-3305843.1002629525</c:v>
                </c:pt>
                <c:pt idx="602">
                  <c:v>-2338068.1668575625</c:v>
                </c:pt>
                <c:pt idx="603">
                  <c:v>-4961486.8475841274</c:v>
                </c:pt>
                <c:pt idx="604">
                  <c:v>-2630386.4640833926</c:v>
                </c:pt>
                <c:pt idx="605">
                  <c:v>-3072735.4764980199</c:v>
                </c:pt>
                <c:pt idx="606">
                  <c:v>-3358569.6018895078</c:v>
                </c:pt>
                <c:pt idx="607">
                  <c:v>-3758373.7526778318</c:v>
                </c:pt>
                <c:pt idx="608">
                  <c:v>-3409996.9771431591</c:v>
                </c:pt>
                <c:pt idx="609">
                  <c:v>-2708881.7950666198</c:v>
                </c:pt>
                <c:pt idx="610">
                  <c:v>-3226690.9893004308</c:v>
                </c:pt>
                <c:pt idx="611">
                  <c:v>-3110776.8440493643</c:v>
                </c:pt>
                <c:pt idx="612">
                  <c:v>-2239767.2611903953</c:v>
                </c:pt>
                <c:pt idx="613">
                  <c:v>-2323225.8685597838</c:v>
                </c:pt>
                <c:pt idx="614">
                  <c:v>-3050336.1439959086</c:v>
                </c:pt>
                <c:pt idx="615">
                  <c:v>-2566080.2851691903</c:v>
                </c:pt>
                <c:pt idx="616">
                  <c:v>-2387840.8027696405</c:v>
                </c:pt>
                <c:pt idx="617">
                  <c:v>-4794184.8977101082</c:v>
                </c:pt>
                <c:pt idx="618">
                  <c:v>-4682626.4619383644</c:v>
                </c:pt>
                <c:pt idx="619">
                  <c:v>-4004970.381957761</c:v>
                </c:pt>
                <c:pt idx="620">
                  <c:v>-2760333.734445605</c:v>
                </c:pt>
                <c:pt idx="621">
                  <c:v>-3725053.6953836866</c:v>
                </c:pt>
                <c:pt idx="622">
                  <c:v>-3330448.9127086499</c:v>
                </c:pt>
                <c:pt idx="623">
                  <c:v>-2746696.9840002717</c:v>
                </c:pt>
                <c:pt idx="624">
                  <c:v>-1583448.0658285085</c:v>
                </c:pt>
                <c:pt idx="625">
                  <c:v>-2503137.6089648623</c:v>
                </c:pt>
                <c:pt idx="626">
                  <c:v>-3793619.2934780396</c:v>
                </c:pt>
                <c:pt idx="627">
                  <c:v>-3023656.4399251067</c:v>
                </c:pt>
                <c:pt idx="628">
                  <c:v>-4080336.932653727</c:v>
                </c:pt>
                <c:pt idx="629">
                  <c:v>-1821492.4053909639</c:v>
                </c:pt>
                <c:pt idx="630">
                  <c:v>-2849775.8501105094</c:v>
                </c:pt>
                <c:pt idx="631">
                  <c:v>-3494784.5437098457</c:v>
                </c:pt>
                <c:pt idx="632">
                  <c:v>-4269514.472383081</c:v>
                </c:pt>
                <c:pt idx="633">
                  <c:v>-3259860.8149392698</c:v>
                </c:pt>
                <c:pt idx="634">
                  <c:v>-4828023.2168237614</c:v>
                </c:pt>
                <c:pt idx="635">
                  <c:v>-3355895.1126909317</c:v>
                </c:pt>
                <c:pt idx="636">
                  <c:v>-5465009.2261850713</c:v>
                </c:pt>
                <c:pt idx="637">
                  <c:v>-3088810.2786223507</c:v>
                </c:pt>
                <c:pt idx="638">
                  <c:v>-2357545.2683811607</c:v>
                </c:pt>
                <c:pt idx="639">
                  <c:v>-3474165.3539940766</c:v>
                </c:pt>
                <c:pt idx="640">
                  <c:v>-3063722.573355352</c:v>
                </c:pt>
                <c:pt idx="641">
                  <c:v>-2948308.0525607308</c:v>
                </c:pt>
                <c:pt idx="642">
                  <c:v>-5016506.0236826558</c:v>
                </c:pt>
                <c:pt idx="643">
                  <c:v>-2392390.2807666617</c:v>
                </c:pt>
                <c:pt idx="644">
                  <c:v>-2400278.0516538606</c:v>
                </c:pt>
                <c:pt idx="645">
                  <c:v>-3850892.3903247467</c:v>
                </c:pt>
                <c:pt idx="646">
                  <c:v>-3985448.1803761767</c:v>
                </c:pt>
                <c:pt idx="647">
                  <c:v>-2861093.8458972359</c:v>
                </c:pt>
                <c:pt idx="648">
                  <c:v>-3594780.5421062191</c:v>
                </c:pt>
                <c:pt idx="649">
                  <c:v>-2388235.3723739539</c:v>
                </c:pt>
                <c:pt idx="650">
                  <c:v>-3707369.6118461061</c:v>
                </c:pt>
                <c:pt idx="651">
                  <c:v>-3762199.0403789715</c:v>
                </c:pt>
                <c:pt idx="652">
                  <c:v>-2241247.7526291865</c:v>
                </c:pt>
                <c:pt idx="653">
                  <c:v>-4606474.0289655467</c:v>
                </c:pt>
                <c:pt idx="654">
                  <c:v>-4017651.6611577868</c:v>
                </c:pt>
                <c:pt idx="655">
                  <c:v>-2961745.2057873523</c:v>
                </c:pt>
                <c:pt idx="656">
                  <c:v>-2791556.634752098</c:v>
                </c:pt>
                <c:pt idx="657">
                  <c:v>-3593294.6468205526</c:v>
                </c:pt>
                <c:pt idx="658">
                  <c:v>-4505618.836126931</c:v>
                </c:pt>
                <c:pt idx="659">
                  <c:v>-3617509.6819612239</c:v>
                </c:pt>
                <c:pt idx="660">
                  <c:v>-3617338.6334613645</c:v>
                </c:pt>
                <c:pt idx="661">
                  <c:v>-3992655.2962721884</c:v>
                </c:pt>
                <c:pt idx="662">
                  <c:v>-2740821.1512871669</c:v>
                </c:pt>
                <c:pt idx="663">
                  <c:v>-3428198.6370530049</c:v>
                </c:pt>
                <c:pt idx="664">
                  <c:v>-3302490.7596467119</c:v>
                </c:pt>
                <c:pt idx="665">
                  <c:v>-2322446.7487317217</c:v>
                </c:pt>
                <c:pt idx="666">
                  <c:v>-3487481.6698833792</c:v>
                </c:pt>
                <c:pt idx="667">
                  <c:v>-4530240.3255500617</c:v>
                </c:pt>
                <c:pt idx="668">
                  <c:v>-2372195.8089364651</c:v>
                </c:pt>
                <c:pt idx="669">
                  <c:v>-3196164.0284985607</c:v>
                </c:pt>
                <c:pt idx="670">
                  <c:v>-2186615.5390447443</c:v>
                </c:pt>
                <c:pt idx="671">
                  <c:v>-4240974.6461444888</c:v>
                </c:pt>
                <c:pt idx="672">
                  <c:v>-3680700.9225104498</c:v>
                </c:pt>
                <c:pt idx="673">
                  <c:v>-1605435.2700144285</c:v>
                </c:pt>
                <c:pt idx="674">
                  <c:v>-3988027.9795049424</c:v>
                </c:pt>
                <c:pt idx="675">
                  <c:v>-3680160.2760446691</c:v>
                </c:pt>
                <c:pt idx="676">
                  <c:v>-3330843.84767072</c:v>
                </c:pt>
                <c:pt idx="677">
                  <c:v>-3321300.9596260376</c:v>
                </c:pt>
                <c:pt idx="678">
                  <c:v>-4469566.1723344019</c:v>
                </c:pt>
                <c:pt idx="679">
                  <c:v>-4681862.5467520533</c:v>
                </c:pt>
                <c:pt idx="680">
                  <c:v>-3299070.8233377733</c:v>
                </c:pt>
                <c:pt idx="681">
                  <c:v>-4123650.7075327435</c:v>
                </c:pt>
                <c:pt idx="682">
                  <c:v>-3307572.7691064617</c:v>
                </c:pt>
                <c:pt idx="683">
                  <c:v>-3964496.1930773752</c:v>
                </c:pt>
                <c:pt idx="684">
                  <c:v>-3626779.8294737865</c:v>
                </c:pt>
                <c:pt idx="685">
                  <c:v>-4565557.41505358</c:v>
                </c:pt>
                <c:pt idx="686">
                  <c:v>-3656061.6744009471</c:v>
                </c:pt>
                <c:pt idx="687">
                  <c:v>-4245975.8211193392</c:v>
                </c:pt>
                <c:pt idx="688">
                  <c:v>-2593438.0186134703</c:v>
                </c:pt>
                <c:pt idx="689">
                  <c:v>-3786132.3406588007</c:v>
                </c:pt>
                <c:pt idx="690">
                  <c:v>-3843562.0563992881</c:v>
                </c:pt>
                <c:pt idx="691">
                  <c:v>-3033022.4031035914</c:v>
                </c:pt>
                <c:pt idx="692">
                  <c:v>-2606748.976870914</c:v>
                </c:pt>
                <c:pt idx="693">
                  <c:v>-3479142.9342478369</c:v>
                </c:pt>
                <c:pt idx="694">
                  <c:v>-2664731.8788893693</c:v>
                </c:pt>
                <c:pt idx="695">
                  <c:v>-3494864.5175529034</c:v>
                </c:pt>
                <c:pt idx="696">
                  <c:v>-2484966.5715366737</c:v>
                </c:pt>
                <c:pt idx="697">
                  <c:v>-3613162.7009101487</c:v>
                </c:pt>
                <c:pt idx="698">
                  <c:v>-1797313.0428700442</c:v>
                </c:pt>
                <c:pt idx="699">
                  <c:v>-2768834.2445067884</c:v>
                </c:pt>
                <c:pt idx="700">
                  <c:v>-4090607.2249439652</c:v>
                </c:pt>
                <c:pt idx="701">
                  <c:v>-1540266.2099743818</c:v>
                </c:pt>
                <c:pt idx="702">
                  <c:v>-4093536.510037608</c:v>
                </c:pt>
                <c:pt idx="703">
                  <c:v>-3000175.8588642138</c:v>
                </c:pt>
                <c:pt idx="704">
                  <c:v>-2566183.7657176312</c:v>
                </c:pt>
                <c:pt idx="705">
                  <c:v>-1909097.4540403534</c:v>
                </c:pt>
                <c:pt idx="706">
                  <c:v>-5310834.2913100114</c:v>
                </c:pt>
                <c:pt idx="707">
                  <c:v>-3016915.3576140432</c:v>
                </c:pt>
                <c:pt idx="708">
                  <c:v>-3688236.8334031333</c:v>
                </c:pt>
                <c:pt idx="709">
                  <c:v>-3716921.4354446311</c:v>
                </c:pt>
                <c:pt idx="710">
                  <c:v>-3859997.0053681154</c:v>
                </c:pt>
                <c:pt idx="711">
                  <c:v>-3340197.7169803167</c:v>
                </c:pt>
                <c:pt idx="712">
                  <c:v>-2806946.1131334687</c:v>
                </c:pt>
                <c:pt idx="713">
                  <c:v>-3494020.4748899112</c:v>
                </c:pt>
                <c:pt idx="714">
                  <c:v>-2770656.5704770861</c:v>
                </c:pt>
                <c:pt idx="715">
                  <c:v>-2179695.2459670519</c:v>
                </c:pt>
                <c:pt idx="716">
                  <c:v>-4914399.2764795721</c:v>
                </c:pt>
                <c:pt idx="717">
                  <c:v>-2388708.2034996427</c:v>
                </c:pt>
                <c:pt idx="718">
                  <c:v>-3952923.0298421979</c:v>
                </c:pt>
                <c:pt idx="719">
                  <c:v>-3949906.4306567749</c:v>
                </c:pt>
                <c:pt idx="720">
                  <c:v>-3069622.6296574133</c:v>
                </c:pt>
                <c:pt idx="721">
                  <c:v>-2725648.0829533031</c:v>
                </c:pt>
                <c:pt idx="722">
                  <c:v>-1664598.0624058596</c:v>
                </c:pt>
                <c:pt idx="723">
                  <c:v>-3752742.2589543429</c:v>
                </c:pt>
                <c:pt idx="724">
                  <c:v>-5023152.2230508486</c:v>
                </c:pt>
                <c:pt idx="725">
                  <c:v>-4116525.1480906727</c:v>
                </c:pt>
                <c:pt idx="726">
                  <c:v>-4025327.810672448</c:v>
                </c:pt>
                <c:pt idx="727">
                  <c:v>-3380677.8270993084</c:v>
                </c:pt>
                <c:pt idx="728">
                  <c:v>-3440254.705326268</c:v>
                </c:pt>
                <c:pt idx="729">
                  <c:v>-3467984.1817840692</c:v>
                </c:pt>
                <c:pt idx="730">
                  <c:v>-3857136.5647363435</c:v>
                </c:pt>
                <c:pt idx="731">
                  <c:v>-4709278.2391060423</c:v>
                </c:pt>
                <c:pt idx="732">
                  <c:v>-2814439.8099567047</c:v>
                </c:pt>
                <c:pt idx="733">
                  <c:v>-3313029.8997087791</c:v>
                </c:pt>
                <c:pt idx="734">
                  <c:v>-4335224.5838178601</c:v>
                </c:pt>
                <c:pt idx="735">
                  <c:v>-4073421.3401157032</c:v>
                </c:pt>
                <c:pt idx="736">
                  <c:v>-2805326.5407124311</c:v>
                </c:pt>
                <c:pt idx="737">
                  <c:v>-4784590.3803452058</c:v>
                </c:pt>
                <c:pt idx="738">
                  <c:v>-2194181.9573708745</c:v>
                </c:pt>
                <c:pt idx="739">
                  <c:v>-3454569.1472617234</c:v>
                </c:pt>
                <c:pt idx="740">
                  <c:v>-3064137.8891126434</c:v>
                </c:pt>
                <c:pt idx="741">
                  <c:v>-1524993.4952217469</c:v>
                </c:pt>
                <c:pt idx="742">
                  <c:v>-4937554.7754362021</c:v>
                </c:pt>
                <c:pt idx="743">
                  <c:v>-2481147.0413155104</c:v>
                </c:pt>
                <c:pt idx="744">
                  <c:v>-4411176.6407499043</c:v>
                </c:pt>
                <c:pt idx="745">
                  <c:v>-4078805.2282243012</c:v>
                </c:pt>
                <c:pt idx="746">
                  <c:v>-3170611.3475033408</c:v>
                </c:pt>
                <c:pt idx="747">
                  <c:v>-4448779.5378628308</c:v>
                </c:pt>
                <c:pt idx="748">
                  <c:v>-2434003.7640313241</c:v>
                </c:pt>
                <c:pt idx="749">
                  <c:v>-3784259.9816519348</c:v>
                </c:pt>
                <c:pt idx="750">
                  <c:v>-3312205.2554843938</c:v>
                </c:pt>
                <c:pt idx="751">
                  <c:v>-2688046.4677051939</c:v>
                </c:pt>
                <c:pt idx="752">
                  <c:v>-4339153.7861698</c:v>
                </c:pt>
                <c:pt idx="753">
                  <c:v>-3934278.2398360884</c:v>
                </c:pt>
                <c:pt idx="754">
                  <c:v>-3007037.0246571074</c:v>
                </c:pt>
                <c:pt idx="755">
                  <c:v>-3921548.1570393355</c:v>
                </c:pt>
                <c:pt idx="756">
                  <c:v>-4066316.1648129732</c:v>
                </c:pt>
                <c:pt idx="757">
                  <c:v>-2372926.3294400182</c:v>
                </c:pt>
                <c:pt idx="758">
                  <c:v>-3747925.6176136388</c:v>
                </c:pt>
                <c:pt idx="759">
                  <c:v>-4428107.067578244</c:v>
                </c:pt>
                <c:pt idx="760">
                  <c:v>-3242202.259695224</c:v>
                </c:pt>
                <c:pt idx="761">
                  <c:v>-1704508.9769698167</c:v>
                </c:pt>
                <c:pt idx="762">
                  <c:v>-3325979.7885166551</c:v>
                </c:pt>
                <c:pt idx="763">
                  <c:v>-4502031.7682817308</c:v>
                </c:pt>
                <c:pt idx="764">
                  <c:v>-4564367.0794394715</c:v>
                </c:pt>
                <c:pt idx="765">
                  <c:v>-1666150.8773361694</c:v>
                </c:pt>
                <c:pt idx="766">
                  <c:v>-3160528.6539325188</c:v>
                </c:pt>
                <c:pt idx="767">
                  <c:v>-2822954.3449182427</c:v>
                </c:pt>
                <c:pt idx="768">
                  <c:v>-3283921.2374977632</c:v>
                </c:pt>
                <c:pt idx="769">
                  <c:v>-3939842.6557806889</c:v>
                </c:pt>
                <c:pt idx="770">
                  <c:v>-3413847.4780128398</c:v>
                </c:pt>
                <c:pt idx="771">
                  <c:v>-2476623.6809235313</c:v>
                </c:pt>
                <c:pt idx="772">
                  <c:v>-2736084.3741531544</c:v>
                </c:pt>
                <c:pt idx="773">
                  <c:v>-2575431.2171284147</c:v>
                </c:pt>
                <c:pt idx="774">
                  <c:v>-3409712.0293328133</c:v>
                </c:pt>
                <c:pt idx="775">
                  <c:v>-2287590.6926284949</c:v>
                </c:pt>
                <c:pt idx="776">
                  <c:v>-3305496.7034719568</c:v>
                </c:pt>
                <c:pt idx="777">
                  <c:v>-3174433.792487382</c:v>
                </c:pt>
                <c:pt idx="778">
                  <c:v>-2533739.8572701835</c:v>
                </c:pt>
                <c:pt idx="779">
                  <c:v>-2751986.3999657715</c:v>
                </c:pt>
                <c:pt idx="780">
                  <c:v>-2373163.75187098</c:v>
                </c:pt>
                <c:pt idx="781">
                  <c:v>-3612745.1422453271</c:v>
                </c:pt>
                <c:pt idx="782">
                  <c:v>-3983588.0934124943</c:v>
                </c:pt>
                <c:pt idx="783">
                  <c:v>-2926156.3793447958</c:v>
                </c:pt>
                <c:pt idx="784">
                  <c:v>-1878477.4716784852</c:v>
                </c:pt>
                <c:pt idx="785">
                  <c:v>-3611229.4870944</c:v>
                </c:pt>
                <c:pt idx="786">
                  <c:v>-4675316.7197434697</c:v>
                </c:pt>
                <c:pt idx="787">
                  <c:v>-3033315.8340943758</c:v>
                </c:pt>
                <c:pt idx="788">
                  <c:v>-2686644.5701441625</c:v>
                </c:pt>
                <c:pt idx="789">
                  <c:v>-2570297.3073563725</c:v>
                </c:pt>
                <c:pt idx="790">
                  <c:v>-2924998.9041368077</c:v>
                </c:pt>
                <c:pt idx="791">
                  <c:v>-3404732.8323075487</c:v>
                </c:pt>
                <c:pt idx="792">
                  <c:v>-4474116.8333484353</c:v>
                </c:pt>
                <c:pt idx="793">
                  <c:v>-3994377.1068860805</c:v>
                </c:pt>
                <c:pt idx="794">
                  <c:v>-2513593.0742435507</c:v>
                </c:pt>
                <c:pt idx="795">
                  <c:v>-3609046.9707646435</c:v>
                </c:pt>
                <c:pt idx="796">
                  <c:v>-2835645.675364763</c:v>
                </c:pt>
                <c:pt idx="797">
                  <c:v>-3368906.4388109175</c:v>
                </c:pt>
                <c:pt idx="798">
                  <c:v>-3853309.3112720964</c:v>
                </c:pt>
                <c:pt idx="799">
                  <c:v>-4251674.5977360178</c:v>
                </c:pt>
                <c:pt idx="800">
                  <c:v>-4658799.512952677</c:v>
                </c:pt>
                <c:pt idx="801">
                  <c:v>-3744982.0517689027</c:v>
                </c:pt>
                <c:pt idx="802">
                  <c:v>-3130159.5885211281</c:v>
                </c:pt>
                <c:pt idx="803">
                  <c:v>-4464950.6291462015</c:v>
                </c:pt>
                <c:pt idx="804">
                  <c:v>-2296396.2846108628</c:v>
                </c:pt>
                <c:pt idx="805">
                  <c:v>-4546802.4126746831</c:v>
                </c:pt>
                <c:pt idx="806">
                  <c:v>-3896666.3811544394</c:v>
                </c:pt>
                <c:pt idx="807">
                  <c:v>-2228845.0085564796</c:v>
                </c:pt>
                <c:pt idx="808">
                  <c:v>-2811327.9799693157</c:v>
                </c:pt>
                <c:pt idx="809">
                  <c:v>-3228342.1221570997</c:v>
                </c:pt>
                <c:pt idx="810">
                  <c:v>-3340017.5482636881</c:v>
                </c:pt>
                <c:pt idx="811">
                  <c:v>-3016985.8513748841</c:v>
                </c:pt>
                <c:pt idx="812">
                  <c:v>-4238639.1982409004</c:v>
                </c:pt>
                <c:pt idx="813">
                  <c:v>-5460938.288340833</c:v>
                </c:pt>
                <c:pt idx="814">
                  <c:v>-3638502.5996274445</c:v>
                </c:pt>
                <c:pt idx="815">
                  <c:v>-3820957.7926238067</c:v>
                </c:pt>
                <c:pt idx="816">
                  <c:v>-3161571.9833496935</c:v>
                </c:pt>
                <c:pt idx="817">
                  <c:v>-3133895.7213935349</c:v>
                </c:pt>
                <c:pt idx="818">
                  <c:v>-4011566.7331923204</c:v>
                </c:pt>
                <c:pt idx="819">
                  <c:v>-3970996.5477387179</c:v>
                </c:pt>
                <c:pt idx="820">
                  <c:v>-4198552.6087122774</c:v>
                </c:pt>
                <c:pt idx="821">
                  <c:v>-3935434.6068242686</c:v>
                </c:pt>
                <c:pt idx="822">
                  <c:v>-4166360.6776564941</c:v>
                </c:pt>
                <c:pt idx="823">
                  <c:v>-3775900.506804219</c:v>
                </c:pt>
                <c:pt idx="824">
                  <c:v>-3783982.4309754348</c:v>
                </c:pt>
                <c:pt idx="825">
                  <c:v>-3076549.1201763023</c:v>
                </c:pt>
                <c:pt idx="826">
                  <c:v>-4085533.1290581869</c:v>
                </c:pt>
                <c:pt idx="827">
                  <c:v>-2593626.3226119019</c:v>
                </c:pt>
                <c:pt idx="828">
                  <c:v>-3286206.8130743899</c:v>
                </c:pt>
                <c:pt idx="829">
                  <c:v>-4299950.228590833</c:v>
                </c:pt>
                <c:pt idx="830">
                  <c:v>-3378405.2465069364</c:v>
                </c:pt>
                <c:pt idx="831">
                  <c:v>-4803696.7050419888</c:v>
                </c:pt>
                <c:pt idx="832">
                  <c:v>-3940495.3231469356</c:v>
                </c:pt>
                <c:pt idx="833">
                  <c:v>-2945742.9938479359</c:v>
                </c:pt>
                <c:pt idx="834">
                  <c:v>-3563379.2368820948</c:v>
                </c:pt>
                <c:pt idx="835">
                  <c:v>-3057943.0515668406</c:v>
                </c:pt>
                <c:pt idx="836">
                  <c:v>-3982065.4691862599</c:v>
                </c:pt>
                <c:pt idx="837">
                  <c:v>-3334987.4138271315</c:v>
                </c:pt>
                <c:pt idx="838">
                  <c:v>-2919448.043179797</c:v>
                </c:pt>
                <c:pt idx="839">
                  <c:v>-2003489.162321819</c:v>
                </c:pt>
                <c:pt idx="840">
                  <c:v>-2826159.8339496306</c:v>
                </c:pt>
                <c:pt idx="841">
                  <c:v>-3692308.3162134932</c:v>
                </c:pt>
                <c:pt idx="842">
                  <c:v>-2616090.1834493605</c:v>
                </c:pt>
                <c:pt idx="843">
                  <c:v>-3385161.6894858335</c:v>
                </c:pt>
                <c:pt idx="844">
                  <c:v>-3218748.6278561414</c:v>
                </c:pt>
                <c:pt idx="845">
                  <c:v>-2656521.8164389692</c:v>
                </c:pt>
                <c:pt idx="846">
                  <c:v>-4597692.897393384</c:v>
                </c:pt>
                <c:pt idx="847">
                  <c:v>-4080312.6530936738</c:v>
                </c:pt>
                <c:pt idx="848">
                  <c:v>-3751540.0840403838</c:v>
                </c:pt>
                <c:pt idx="849">
                  <c:v>-4483014.8232069742</c:v>
                </c:pt>
                <c:pt idx="850">
                  <c:v>-2146133.3509730808</c:v>
                </c:pt>
                <c:pt idx="851">
                  <c:v>-3129594.0910138329</c:v>
                </c:pt>
                <c:pt idx="852">
                  <c:v>-2182227.9134835089</c:v>
                </c:pt>
                <c:pt idx="853">
                  <c:v>-3317947.9754971317</c:v>
                </c:pt>
                <c:pt idx="854">
                  <c:v>-3695061.098018657</c:v>
                </c:pt>
                <c:pt idx="855">
                  <c:v>-2629011.8472718699</c:v>
                </c:pt>
                <c:pt idx="856">
                  <c:v>-4229220.9440073306</c:v>
                </c:pt>
                <c:pt idx="857">
                  <c:v>-2099766.6363243503</c:v>
                </c:pt>
                <c:pt idx="858">
                  <c:v>-3231211.7618197864</c:v>
                </c:pt>
                <c:pt idx="859">
                  <c:v>-4884506.2227489911</c:v>
                </c:pt>
                <c:pt idx="860">
                  <c:v>-3320898.7728892546</c:v>
                </c:pt>
                <c:pt idx="861">
                  <c:v>-3368688.4792419695</c:v>
                </c:pt>
                <c:pt idx="862">
                  <c:v>-4358234.7247111313</c:v>
                </c:pt>
                <c:pt idx="863">
                  <c:v>-4369917.0213796543</c:v>
                </c:pt>
                <c:pt idx="864">
                  <c:v>-3700395.0401926283</c:v>
                </c:pt>
                <c:pt idx="865">
                  <c:v>-4898462.6134041501</c:v>
                </c:pt>
                <c:pt idx="866">
                  <c:v>-3711999.6790805538</c:v>
                </c:pt>
                <c:pt idx="867">
                  <c:v>-3524994.0751939612</c:v>
                </c:pt>
                <c:pt idx="868">
                  <c:v>-3024119.6865873546</c:v>
                </c:pt>
                <c:pt idx="869">
                  <c:v>-3460825.7274869252</c:v>
                </c:pt>
                <c:pt idx="870">
                  <c:v>-3678346.8513512136</c:v>
                </c:pt>
                <c:pt idx="871">
                  <c:v>-3950566.3784224703</c:v>
                </c:pt>
                <c:pt idx="872">
                  <c:v>-2879658.8391282731</c:v>
                </c:pt>
                <c:pt idx="873">
                  <c:v>-1955510.1519968866</c:v>
                </c:pt>
                <c:pt idx="874">
                  <c:v>-4074582.2093813317</c:v>
                </c:pt>
                <c:pt idx="875">
                  <c:v>-3334160.8862127978</c:v>
                </c:pt>
                <c:pt idx="876">
                  <c:v>-2712088.5387491006</c:v>
                </c:pt>
                <c:pt idx="877">
                  <c:v>-3584570.8644276909</c:v>
                </c:pt>
                <c:pt idx="878">
                  <c:v>-2336100.4045895231</c:v>
                </c:pt>
                <c:pt idx="879">
                  <c:v>-2472904.2601596983</c:v>
                </c:pt>
                <c:pt idx="880">
                  <c:v>-2031583.2745375324</c:v>
                </c:pt>
                <c:pt idx="881">
                  <c:v>-4093217.4621207444</c:v>
                </c:pt>
                <c:pt idx="882">
                  <c:v>-2866652.5858773682</c:v>
                </c:pt>
                <c:pt idx="883">
                  <c:v>-2821871.4100871538</c:v>
                </c:pt>
                <c:pt idx="884">
                  <c:v>-4052851.9672972574</c:v>
                </c:pt>
                <c:pt idx="885">
                  <c:v>-3621854.7291457304</c:v>
                </c:pt>
                <c:pt idx="886">
                  <c:v>-3761781.1911686584</c:v>
                </c:pt>
                <c:pt idx="887">
                  <c:v>-3741508.9017065624</c:v>
                </c:pt>
                <c:pt idx="888">
                  <c:v>-4189842.9070486263</c:v>
                </c:pt>
                <c:pt idx="889">
                  <c:v>-2997197.2515762611</c:v>
                </c:pt>
                <c:pt idx="890">
                  <c:v>-4921076.7879372686</c:v>
                </c:pt>
                <c:pt idx="891">
                  <c:v>-2961636.6118412362</c:v>
                </c:pt>
                <c:pt idx="892">
                  <c:v>-3090951.3785418165</c:v>
                </c:pt>
                <c:pt idx="893">
                  <c:v>-2631727.4970208798</c:v>
                </c:pt>
                <c:pt idx="894">
                  <c:v>-3467850.3604622493</c:v>
                </c:pt>
                <c:pt idx="895">
                  <c:v>-2972885.6891270713</c:v>
                </c:pt>
                <c:pt idx="896">
                  <c:v>-3402018.8565054787</c:v>
                </c:pt>
                <c:pt idx="897">
                  <c:v>-3361928.8058812059</c:v>
                </c:pt>
                <c:pt idx="898">
                  <c:v>-3913370.9701847131</c:v>
                </c:pt>
                <c:pt idx="899">
                  <c:v>-3725605.6145584635</c:v>
                </c:pt>
                <c:pt idx="900">
                  <c:v>-3027395.0692415452</c:v>
                </c:pt>
                <c:pt idx="901">
                  <c:v>-1592218.7123670212</c:v>
                </c:pt>
                <c:pt idx="902">
                  <c:v>-3905664.6293772054</c:v>
                </c:pt>
                <c:pt idx="903">
                  <c:v>-2392962.9753576666</c:v>
                </c:pt>
                <c:pt idx="904">
                  <c:v>-3373694.3099890142</c:v>
                </c:pt>
                <c:pt idx="905">
                  <c:v>-3441160.8135462692</c:v>
                </c:pt>
                <c:pt idx="906">
                  <c:v>-2043720.0493423892</c:v>
                </c:pt>
                <c:pt idx="907">
                  <c:v>-3914665.6551985661</c:v>
                </c:pt>
                <c:pt idx="908">
                  <c:v>-4807173.3763381066</c:v>
                </c:pt>
                <c:pt idx="909">
                  <c:v>-3859972.9724573148</c:v>
                </c:pt>
                <c:pt idx="910">
                  <c:v>-2991443.3342574323</c:v>
                </c:pt>
                <c:pt idx="911">
                  <c:v>-4007755.6578912074</c:v>
                </c:pt>
                <c:pt idx="912">
                  <c:v>-3663042.8158578286</c:v>
                </c:pt>
                <c:pt idx="913">
                  <c:v>-3589234.4108842211</c:v>
                </c:pt>
                <c:pt idx="914">
                  <c:v>-4026728.0782537125</c:v>
                </c:pt>
                <c:pt idx="915">
                  <c:v>-2226395.3718561889</c:v>
                </c:pt>
                <c:pt idx="916">
                  <c:v>-3987164.3564771162</c:v>
                </c:pt>
                <c:pt idx="917">
                  <c:v>-2387569.5110141495</c:v>
                </c:pt>
                <c:pt idx="918">
                  <c:v>-3451013.0207669968</c:v>
                </c:pt>
                <c:pt idx="919">
                  <c:v>-4149024.5264484994</c:v>
                </c:pt>
                <c:pt idx="920">
                  <c:v>-3210932.5443223678</c:v>
                </c:pt>
                <c:pt idx="921">
                  <c:v>-3445027.4587138575</c:v>
                </c:pt>
                <c:pt idx="922">
                  <c:v>-2315187.9893446523</c:v>
                </c:pt>
                <c:pt idx="923">
                  <c:v>-4317014.6337023657</c:v>
                </c:pt>
                <c:pt idx="924">
                  <c:v>-2750658.198716809</c:v>
                </c:pt>
                <c:pt idx="925">
                  <c:v>-3981009.8910818552</c:v>
                </c:pt>
                <c:pt idx="926">
                  <c:v>-3026670.0326642143</c:v>
                </c:pt>
                <c:pt idx="927">
                  <c:v>-3577810.6589363497</c:v>
                </c:pt>
                <c:pt idx="928">
                  <c:v>-2851072.0322674681</c:v>
                </c:pt>
                <c:pt idx="929">
                  <c:v>-3657064.6013349066</c:v>
                </c:pt>
                <c:pt idx="930">
                  <c:v>-4274295.8216309296</c:v>
                </c:pt>
                <c:pt idx="931">
                  <c:v>-3353692.889359381</c:v>
                </c:pt>
                <c:pt idx="932">
                  <c:v>-4150067.6558971973</c:v>
                </c:pt>
                <c:pt idx="933">
                  <c:v>-3170838.6615235466</c:v>
                </c:pt>
                <c:pt idx="934">
                  <c:v>-4717123.8185744099</c:v>
                </c:pt>
                <c:pt idx="935">
                  <c:v>-3322128.9763428653</c:v>
                </c:pt>
                <c:pt idx="936">
                  <c:v>-4689679.0079295607</c:v>
                </c:pt>
                <c:pt idx="937">
                  <c:v>-4338294.1045946321</c:v>
                </c:pt>
                <c:pt idx="938">
                  <c:v>-4035216.7862190469</c:v>
                </c:pt>
                <c:pt idx="939">
                  <c:v>-4701959.332832261</c:v>
                </c:pt>
                <c:pt idx="940">
                  <c:v>-3804561.6944885207</c:v>
                </c:pt>
                <c:pt idx="941">
                  <c:v>-4265445.2352948347</c:v>
                </c:pt>
                <c:pt idx="942">
                  <c:v>-2316103.3512241216</c:v>
                </c:pt>
                <c:pt idx="943">
                  <c:v>-4742734.3875766443</c:v>
                </c:pt>
                <c:pt idx="944">
                  <c:v>-4370761.5474742046</c:v>
                </c:pt>
                <c:pt idx="945">
                  <c:v>-2544153.5497669308</c:v>
                </c:pt>
                <c:pt idx="946">
                  <c:v>-1412252.3785155602</c:v>
                </c:pt>
                <c:pt idx="947">
                  <c:v>-3721609.9434312535</c:v>
                </c:pt>
                <c:pt idx="948">
                  <c:v>-1966555.1925062542</c:v>
                </c:pt>
                <c:pt idx="949">
                  <c:v>-2870514.7780350624</c:v>
                </c:pt>
                <c:pt idx="950">
                  <c:v>-2735628.5351265511</c:v>
                </c:pt>
                <c:pt idx="951">
                  <c:v>-1743496.4944986443</c:v>
                </c:pt>
                <c:pt idx="952">
                  <c:v>-4186291.3333875346</c:v>
                </c:pt>
                <c:pt idx="953">
                  <c:v>-2899588.1304443763</c:v>
                </c:pt>
                <c:pt idx="954">
                  <c:v>-4333260.3774534995</c:v>
                </c:pt>
                <c:pt idx="955">
                  <c:v>-3723526.0686119553</c:v>
                </c:pt>
                <c:pt idx="956">
                  <c:v>-3703083.3424615865</c:v>
                </c:pt>
                <c:pt idx="957">
                  <c:v>-3089219.7926558214</c:v>
                </c:pt>
                <c:pt idx="958">
                  <c:v>-2011891.0662877259</c:v>
                </c:pt>
                <c:pt idx="959">
                  <c:v>-4278983.2653293749</c:v>
                </c:pt>
                <c:pt idx="960">
                  <c:v>-2519891.6028549727</c:v>
                </c:pt>
                <c:pt idx="961">
                  <c:v>-1358348.2437474567</c:v>
                </c:pt>
                <c:pt idx="962">
                  <c:v>-2975403.5737424409</c:v>
                </c:pt>
                <c:pt idx="963">
                  <c:v>-4051252.2414761274</c:v>
                </c:pt>
                <c:pt idx="964">
                  <c:v>-2664405.1243431703</c:v>
                </c:pt>
                <c:pt idx="965">
                  <c:v>-3126308.3461743202</c:v>
                </c:pt>
                <c:pt idx="966">
                  <c:v>-4030516.8132316275</c:v>
                </c:pt>
                <c:pt idx="967">
                  <c:v>-2391806.8213498318</c:v>
                </c:pt>
                <c:pt idx="968">
                  <c:v>-5934795.0159203429</c:v>
                </c:pt>
                <c:pt idx="969">
                  <c:v>-2769738.5343787684</c:v>
                </c:pt>
                <c:pt idx="970">
                  <c:v>-4500756.1226550536</c:v>
                </c:pt>
                <c:pt idx="971">
                  <c:v>-5006299.4555868916</c:v>
                </c:pt>
                <c:pt idx="972">
                  <c:v>-4052570.2579245623</c:v>
                </c:pt>
                <c:pt idx="973">
                  <c:v>-3465532.5690949275</c:v>
                </c:pt>
                <c:pt idx="974">
                  <c:v>-3909753.5646529044</c:v>
                </c:pt>
                <c:pt idx="975">
                  <c:v>-3496778.0871362565</c:v>
                </c:pt>
                <c:pt idx="976">
                  <c:v>-2549082.5183965266</c:v>
                </c:pt>
                <c:pt idx="977">
                  <c:v>-4601996.4539361084</c:v>
                </c:pt>
                <c:pt idx="978">
                  <c:v>-2693213.6462191027</c:v>
                </c:pt>
                <c:pt idx="979">
                  <c:v>-5070159.1542519517</c:v>
                </c:pt>
                <c:pt idx="980">
                  <c:v>-5248486.7334076427</c:v>
                </c:pt>
                <c:pt idx="981">
                  <c:v>-3389287.4397093174</c:v>
                </c:pt>
                <c:pt idx="982">
                  <c:v>-3626944.1708916724</c:v>
                </c:pt>
                <c:pt idx="983">
                  <c:v>-1968141.1382719409</c:v>
                </c:pt>
                <c:pt idx="984">
                  <c:v>-4410839.0739409029</c:v>
                </c:pt>
                <c:pt idx="985">
                  <c:v>-5903417.2460029796</c:v>
                </c:pt>
                <c:pt idx="986">
                  <c:v>-3473983.9936266062</c:v>
                </c:pt>
                <c:pt idx="987">
                  <c:v>-3892191.1552146017</c:v>
                </c:pt>
                <c:pt idx="988">
                  <c:v>-3332783.9467056263</c:v>
                </c:pt>
                <c:pt idx="989">
                  <c:v>-4277634.0577668259</c:v>
                </c:pt>
                <c:pt idx="990">
                  <c:v>-4048991.3018534784</c:v>
                </c:pt>
                <c:pt idx="991">
                  <c:v>-3233213.1301504755</c:v>
                </c:pt>
                <c:pt idx="992">
                  <c:v>-3161939.2170570237</c:v>
                </c:pt>
                <c:pt idx="993">
                  <c:v>-4638132.7957637496</c:v>
                </c:pt>
                <c:pt idx="994">
                  <c:v>-3129536.7417869559</c:v>
                </c:pt>
                <c:pt idx="995">
                  <c:v>-1769532.4515685991</c:v>
                </c:pt>
                <c:pt idx="996">
                  <c:v>-4762876.1735119307</c:v>
                </c:pt>
                <c:pt idx="997">
                  <c:v>-3392855.6399122421</c:v>
                </c:pt>
                <c:pt idx="998">
                  <c:v>-4108901.1646372699</c:v>
                </c:pt>
                <c:pt idx="999">
                  <c:v>-2717740.7779627601</c:v>
                </c:pt>
              </c:numCache>
            </c:numRef>
          </c:yVal>
          <c:smooth val="0"/>
          <c:extLst>
            <c:ext xmlns:c16="http://schemas.microsoft.com/office/drawing/2014/chart" uri="{C3380CC4-5D6E-409C-BE32-E72D297353CC}">
              <c16:uniqueId val="{00000000-3F06-4033-8AF0-B133020A4DDF}"/>
            </c:ext>
          </c:extLst>
        </c:ser>
        <c:ser>
          <c:idx val="2"/>
          <c:order val="2"/>
          <c:tx>
            <c:v>Upper Bound Threshold</c:v>
          </c:tx>
          <c:spPr>
            <a:ln w="15875">
              <a:solidFill>
                <a:schemeClr val="tx1"/>
              </a:solidFill>
              <a:prstDash val="dash"/>
            </a:ln>
          </c:spPr>
          <c:marker>
            <c:symbol val="none"/>
          </c:marker>
          <c:trendline>
            <c:spPr>
              <a:ln w="15875">
                <a:solidFill>
                  <a:schemeClr val="tx1"/>
                </a:solidFill>
                <a:prstDash val="dash"/>
              </a:ln>
            </c:spPr>
            <c:trendlineType val="linear"/>
            <c:dispRSqr val="0"/>
            <c:dispEq val="0"/>
          </c:trendline>
          <c:xVal>
            <c:numRef>
              <c:f>'PSA outputs'!$C$69:$D$69</c:f>
              <c:numCache>
                <c:formatCode>_(* #,##0.00_);_(* \(#,##0.00\);_(* "-"??_);_(@_)</c:formatCode>
                <c:ptCount val="2"/>
                <c:pt idx="0" formatCode="General">
                  <c:v>0</c:v>
                </c:pt>
                <c:pt idx="1">
                  <c:v>100000</c:v>
                </c:pt>
              </c:numCache>
            </c:numRef>
          </c:xVal>
          <c:yVal>
            <c:numRef>
              <c:f>'PSA outputs'!$C$70:$D$70</c:f>
              <c:numCache>
                <c:formatCode>_(* #,##0_);_(* \(#,##0\);_(* "-"??_);_(@_)</c:formatCode>
                <c:ptCount val="2"/>
                <c:pt idx="0" formatCode="General">
                  <c:v>0</c:v>
                </c:pt>
                <c:pt idx="1">
                  <c:v>471400000</c:v>
                </c:pt>
              </c:numCache>
            </c:numRef>
          </c:yVal>
          <c:smooth val="0"/>
          <c:extLst>
            <c:ext xmlns:c16="http://schemas.microsoft.com/office/drawing/2014/chart" uri="{C3380CC4-5D6E-409C-BE32-E72D297353CC}">
              <c16:uniqueId val="{00000000-1362-4FC2-BA1B-13798F9CFF7A}"/>
            </c:ext>
          </c:extLst>
        </c:ser>
        <c:ser>
          <c:idx val="3"/>
          <c:order val="3"/>
          <c:tx>
            <c:v>Lower Bound Threshold</c:v>
          </c:tx>
          <c:spPr>
            <a:ln w="15875">
              <a:solidFill>
                <a:schemeClr val="tx1"/>
              </a:solidFill>
            </a:ln>
          </c:spPr>
          <c:marker>
            <c:symbol val="none"/>
          </c:marker>
          <c:dPt>
            <c:idx val="0"/>
            <c:bubble3D val="0"/>
            <c:extLst>
              <c:ext xmlns:c16="http://schemas.microsoft.com/office/drawing/2014/chart" uri="{C3380CC4-5D6E-409C-BE32-E72D297353CC}">
                <c16:uniqueId val="{00000002-1362-4FC2-BA1B-13798F9CFF7A}"/>
              </c:ext>
            </c:extLst>
          </c:dPt>
          <c:trendline>
            <c:spPr>
              <a:ln w="15875">
                <a:solidFill>
                  <a:schemeClr val="tx1"/>
                </a:solidFill>
              </a:ln>
            </c:spPr>
            <c:trendlineType val="linear"/>
            <c:dispRSqr val="0"/>
            <c:dispEq val="0"/>
          </c:trendline>
          <c:xVal>
            <c:numRef>
              <c:f>'PSA outputs'!$C$66:$D$66</c:f>
              <c:numCache>
                <c:formatCode>General</c:formatCode>
                <c:ptCount val="2"/>
                <c:pt idx="0">
                  <c:v>0</c:v>
                </c:pt>
                <c:pt idx="1">
                  <c:v>100000</c:v>
                </c:pt>
              </c:numCache>
            </c:numRef>
          </c:xVal>
          <c:yVal>
            <c:numRef>
              <c:f>'PSA outputs'!$C$67:$D$67</c:f>
              <c:numCache>
                <c:formatCode>General</c:formatCode>
                <c:ptCount val="2"/>
                <c:pt idx="0">
                  <c:v>0</c:v>
                </c:pt>
                <c:pt idx="1">
                  <c:v>117500000</c:v>
                </c:pt>
              </c:numCache>
            </c:numRef>
          </c:yVal>
          <c:smooth val="0"/>
          <c:extLst>
            <c:ext xmlns:c16="http://schemas.microsoft.com/office/drawing/2014/chart" uri="{C3380CC4-5D6E-409C-BE32-E72D297353CC}">
              <c16:uniqueId val="{00000001-1362-4FC2-BA1B-13798F9CFF7A}"/>
            </c:ext>
          </c:extLst>
        </c:ser>
        <c:dLbls>
          <c:showLegendKey val="0"/>
          <c:showVal val="0"/>
          <c:showCatName val="0"/>
          <c:showSerName val="0"/>
          <c:showPercent val="0"/>
          <c:showBubbleSize val="0"/>
        </c:dLbls>
        <c:axId val="72249728"/>
        <c:axId val="72251648"/>
      </c:scatterChart>
      <c:valAx>
        <c:axId val="72249728"/>
        <c:scaling>
          <c:orientation val="minMax"/>
          <c:max val="1600"/>
          <c:min val="0"/>
        </c:scaling>
        <c:delete val="0"/>
        <c:axPos val="b"/>
        <c:title>
          <c:tx>
            <c:rich>
              <a:bodyPr/>
              <a:lstStyle/>
              <a:p>
                <a:pPr>
                  <a:defRPr sz="1100"/>
                </a:pPr>
                <a:r>
                  <a:rPr lang="en-US" sz="1100"/>
                  <a:t>Incremental QALYs</a:t>
                </a:r>
              </a:p>
            </c:rich>
          </c:tx>
          <c:layout>
            <c:manualLayout>
              <c:xMode val="edge"/>
              <c:yMode val="edge"/>
              <c:x val="0.47349726633008082"/>
              <c:y val="0.93384215462275844"/>
            </c:manualLayout>
          </c:layout>
          <c:overlay val="0"/>
        </c:title>
        <c:numFmt formatCode="#,##0" sourceLinked="0"/>
        <c:majorTickMark val="out"/>
        <c:minorTickMark val="none"/>
        <c:tickLblPos val="low"/>
        <c:txPr>
          <a:bodyPr rot="0" vert="horz"/>
          <a:lstStyle/>
          <a:p>
            <a:pPr>
              <a:defRPr sz="800" b="0" i="0" u="none" strike="noStrike" baseline="0">
                <a:solidFill>
                  <a:srgbClr val="000000"/>
                </a:solidFill>
                <a:latin typeface="Calibri"/>
                <a:ea typeface="Calibri"/>
                <a:cs typeface="Calibri"/>
              </a:defRPr>
            </a:pPr>
            <a:endParaRPr lang="en-US"/>
          </a:p>
        </c:txPr>
        <c:crossAx val="72251648"/>
        <c:crosses val="autoZero"/>
        <c:crossBetween val="midCat"/>
      </c:valAx>
      <c:valAx>
        <c:axId val="72251648"/>
        <c:scaling>
          <c:orientation val="minMax"/>
          <c:max val="5000000"/>
          <c:min val="-7000000"/>
        </c:scaling>
        <c:delete val="0"/>
        <c:axPos val="l"/>
        <c:title>
          <c:tx>
            <c:rich>
              <a:bodyPr rot="-5400000" vert="horz"/>
              <a:lstStyle/>
              <a:p>
                <a:pPr>
                  <a:defRPr sz="1100"/>
                </a:pPr>
                <a:r>
                  <a:rPr lang="en-US" sz="1100"/>
                  <a:t>Incremental Costs ($)</a:t>
                </a:r>
              </a:p>
            </c:rich>
          </c:tx>
          <c:layout>
            <c:manualLayout>
              <c:xMode val="edge"/>
              <c:yMode val="edge"/>
              <c:x val="2.4883459335024977E-2"/>
              <c:y val="0.29964035071155676"/>
            </c:manualLayout>
          </c:layout>
          <c:overlay val="0"/>
        </c:title>
        <c:numFmt formatCode="#,##0" sourceLinked="0"/>
        <c:majorTickMark val="out"/>
        <c:minorTickMark val="none"/>
        <c:tickLblPos val="low"/>
        <c:txPr>
          <a:bodyPr/>
          <a:lstStyle/>
          <a:p>
            <a:pPr>
              <a:defRPr sz="1100"/>
            </a:pPr>
            <a:endParaRPr lang="en-US"/>
          </a:p>
        </c:txPr>
        <c:crossAx val="72249728"/>
        <c:crosses val="autoZero"/>
        <c:crossBetween val="midCat"/>
        <c:majorUnit val="1000000"/>
      </c:valAx>
    </c:plotArea>
    <c:legend>
      <c:legendPos val="r"/>
      <c:legendEntry>
        <c:idx val="4"/>
        <c:delete val="1"/>
      </c:legendEntry>
      <c:legendEntry>
        <c:idx val="5"/>
        <c:delete val="1"/>
      </c:legendEntry>
      <c:layout>
        <c:manualLayout>
          <c:xMode val="edge"/>
          <c:yMode val="edge"/>
          <c:x val="0.23067616405348074"/>
          <c:y val="0.65960686568855154"/>
          <c:w val="0.33204498006508548"/>
          <c:h val="0.16133637971512554"/>
        </c:manualLayout>
      </c:layout>
      <c:overlay val="0"/>
      <c:spPr>
        <a:ln w="6350">
          <a:solidFill>
            <a:schemeClr val="bg1">
              <a:lumMod val="50000"/>
            </a:schemeClr>
          </a:solidFill>
        </a:ln>
      </c:spPr>
      <c:txPr>
        <a:bodyPr/>
        <a:lstStyle/>
        <a:p>
          <a:pPr>
            <a:defRPr sz="1000"/>
          </a:pPr>
          <a:endParaRPr lang="en-US"/>
        </a:p>
      </c:txPr>
    </c:legend>
    <c:plotVisOnly val="1"/>
    <c:dispBlanksAs val="gap"/>
    <c:showDLblsOverMax val="0"/>
  </c:chart>
  <c:spPr>
    <a:ln>
      <a:solidFill>
        <a:schemeClr val="bg1"/>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31279075501783"/>
          <c:y val="1.5380421081020867E-2"/>
          <c:w val="0.82635376222454027"/>
          <c:h val="0.81272629749619174"/>
        </c:manualLayout>
      </c:layout>
      <c:scatterChart>
        <c:scatterStyle val="lineMarker"/>
        <c:varyColors val="0"/>
        <c:ser>
          <c:idx val="0"/>
          <c:order val="0"/>
          <c:tx>
            <c:strRef>
              <c:f>'PSA outputs'!$AE$7</c:f>
              <c:strCache>
                <c:ptCount val="1"/>
                <c:pt idx="0">
                  <c:v>HCP perspective</c:v>
                </c:pt>
              </c:strCache>
            </c:strRef>
          </c:tx>
          <c:spPr>
            <a:ln>
              <a:solidFill>
                <a:schemeClr val="accent2"/>
              </a:solidFill>
            </a:ln>
          </c:spPr>
          <c:marker>
            <c:symbol val="none"/>
          </c:marker>
          <c:xVal>
            <c:numRef>
              <c:f>'PSA outputs'!$AD$9:$AD$117</c:f>
              <c:numCache>
                <c:formatCode>General</c:formatCode>
                <c:ptCount val="109"/>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32500</c:v>
                </c:pt>
                <c:pt idx="74">
                  <c:v>33000</c:v>
                </c:pt>
                <c:pt idx="75">
                  <c:v>33500</c:v>
                </c:pt>
                <c:pt idx="76">
                  <c:v>34000</c:v>
                </c:pt>
                <c:pt idx="77">
                  <c:v>34500</c:v>
                </c:pt>
                <c:pt idx="78">
                  <c:v>35000</c:v>
                </c:pt>
                <c:pt idx="79">
                  <c:v>35500</c:v>
                </c:pt>
                <c:pt idx="80">
                  <c:v>36000</c:v>
                </c:pt>
                <c:pt idx="81">
                  <c:v>36500</c:v>
                </c:pt>
                <c:pt idx="82">
                  <c:v>37000</c:v>
                </c:pt>
                <c:pt idx="83">
                  <c:v>37500</c:v>
                </c:pt>
                <c:pt idx="84">
                  <c:v>38000</c:v>
                </c:pt>
                <c:pt idx="85">
                  <c:v>38500</c:v>
                </c:pt>
                <c:pt idx="86">
                  <c:v>39000</c:v>
                </c:pt>
                <c:pt idx="87">
                  <c:v>39500</c:v>
                </c:pt>
                <c:pt idx="88">
                  <c:v>40000</c:v>
                </c:pt>
                <c:pt idx="89">
                  <c:v>40500</c:v>
                </c:pt>
                <c:pt idx="90">
                  <c:v>41000</c:v>
                </c:pt>
                <c:pt idx="91">
                  <c:v>41500</c:v>
                </c:pt>
                <c:pt idx="92">
                  <c:v>42000</c:v>
                </c:pt>
                <c:pt idx="93">
                  <c:v>42500</c:v>
                </c:pt>
                <c:pt idx="94">
                  <c:v>43000</c:v>
                </c:pt>
                <c:pt idx="95">
                  <c:v>43500</c:v>
                </c:pt>
                <c:pt idx="96">
                  <c:v>44000</c:v>
                </c:pt>
                <c:pt idx="97">
                  <c:v>44500</c:v>
                </c:pt>
                <c:pt idx="98">
                  <c:v>45000</c:v>
                </c:pt>
                <c:pt idx="99">
                  <c:v>45500</c:v>
                </c:pt>
                <c:pt idx="100">
                  <c:v>46000</c:v>
                </c:pt>
                <c:pt idx="101">
                  <c:v>46500</c:v>
                </c:pt>
                <c:pt idx="102">
                  <c:v>47000</c:v>
                </c:pt>
                <c:pt idx="103">
                  <c:v>47500</c:v>
                </c:pt>
                <c:pt idx="104">
                  <c:v>48000</c:v>
                </c:pt>
                <c:pt idx="105">
                  <c:v>48500</c:v>
                </c:pt>
                <c:pt idx="106">
                  <c:v>49000</c:v>
                </c:pt>
                <c:pt idx="107">
                  <c:v>49500</c:v>
                </c:pt>
                <c:pt idx="108">
                  <c:v>50000</c:v>
                </c:pt>
              </c:numCache>
            </c:numRef>
          </c:xVal>
          <c:yVal>
            <c:numRef>
              <c:f>'PSA outputs'!$AF$9:$AF$117</c:f>
              <c:numCache>
                <c:formatCode>General</c:formatCode>
                <c:ptCount val="109"/>
                <c:pt idx="0">
                  <c:v>5.0999999999999997E-2</c:v>
                </c:pt>
                <c:pt idx="1">
                  <c:v>7.6999999999999999E-2</c:v>
                </c:pt>
                <c:pt idx="2">
                  <c:v>0.114</c:v>
                </c:pt>
                <c:pt idx="3">
                  <c:v>0.154</c:v>
                </c:pt>
                <c:pt idx="4">
                  <c:v>0.21299999999999999</c:v>
                </c:pt>
                <c:pt idx="5">
                  <c:v>0.29299999999999998</c:v>
                </c:pt>
                <c:pt idx="6">
                  <c:v>0.36299999999999999</c:v>
                </c:pt>
                <c:pt idx="7">
                  <c:v>0.44600000000000001</c:v>
                </c:pt>
                <c:pt idx="8">
                  <c:v>0.54300000000000004</c:v>
                </c:pt>
                <c:pt idx="9">
                  <c:v>0.626</c:v>
                </c:pt>
                <c:pt idx="10">
                  <c:v>0.70699999999999996</c:v>
                </c:pt>
                <c:pt idx="11">
                  <c:v>0.92900000000000005</c:v>
                </c:pt>
                <c:pt idx="12">
                  <c:v>0.98699999999999999</c:v>
                </c:pt>
                <c:pt idx="13">
                  <c:v>0.998</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numCache>
            </c:numRef>
          </c:yVal>
          <c:smooth val="0"/>
          <c:extLst>
            <c:ext xmlns:c16="http://schemas.microsoft.com/office/drawing/2014/chart" uri="{C3380CC4-5D6E-409C-BE32-E72D297353CC}">
              <c16:uniqueId val="{00000000-3F06-4033-8AF0-B133020A4DDF}"/>
            </c:ext>
          </c:extLst>
        </c:ser>
        <c:ser>
          <c:idx val="1"/>
          <c:order val="1"/>
          <c:tx>
            <c:strRef>
              <c:f>'PSA outputs'!$AG$7</c:f>
              <c:strCache>
                <c:ptCount val="1"/>
                <c:pt idx="0">
                  <c:v>Societal perspective</c:v>
                </c:pt>
              </c:strCache>
            </c:strRef>
          </c:tx>
          <c:spPr>
            <a:ln>
              <a:solidFill>
                <a:schemeClr val="accent1"/>
              </a:solidFill>
            </a:ln>
          </c:spPr>
          <c:marker>
            <c:symbol val="none"/>
          </c:marker>
          <c:xVal>
            <c:numRef>
              <c:f>'PSA outputs'!$AD$9:$AD$117</c:f>
              <c:numCache>
                <c:formatCode>General</c:formatCode>
                <c:ptCount val="109"/>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5500</c:v>
                </c:pt>
                <c:pt idx="20">
                  <c:v>6000</c:v>
                </c:pt>
                <c:pt idx="21">
                  <c:v>6500</c:v>
                </c:pt>
                <c:pt idx="22">
                  <c:v>7000</c:v>
                </c:pt>
                <c:pt idx="23">
                  <c:v>7500</c:v>
                </c:pt>
                <c:pt idx="24">
                  <c:v>8000</c:v>
                </c:pt>
                <c:pt idx="25">
                  <c:v>8500</c:v>
                </c:pt>
                <c:pt idx="26">
                  <c:v>9000</c:v>
                </c:pt>
                <c:pt idx="27">
                  <c:v>9500</c:v>
                </c:pt>
                <c:pt idx="28">
                  <c:v>10000</c:v>
                </c:pt>
                <c:pt idx="29">
                  <c:v>10500</c:v>
                </c:pt>
                <c:pt idx="30">
                  <c:v>11000</c:v>
                </c:pt>
                <c:pt idx="31">
                  <c:v>11500</c:v>
                </c:pt>
                <c:pt idx="32">
                  <c:v>12000</c:v>
                </c:pt>
                <c:pt idx="33">
                  <c:v>12500</c:v>
                </c:pt>
                <c:pt idx="34">
                  <c:v>13000</c:v>
                </c:pt>
                <c:pt idx="35">
                  <c:v>13500</c:v>
                </c:pt>
                <c:pt idx="36">
                  <c:v>14000</c:v>
                </c:pt>
                <c:pt idx="37">
                  <c:v>14500</c:v>
                </c:pt>
                <c:pt idx="38">
                  <c:v>15000</c:v>
                </c:pt>
                <c:pt idx="39">
                  <c:v>15500</c:v>
                </c:pt>
                <c:pt idx="40">
                  <c:v>16000</c:v>
                </c:pt>
                <c:pt idx="41">
                  <c:v>16500</c:v>
                </c:pt>
                <c:pt idx="42">
                  <c:v>17000</c:v>
                </c:pt>
                <c:pt idx="43">
                  <c:v>17500</c:v>
                </c:pt>
                <c:pt idx="44">
                  <c:v>18000</c:v>
                </c:pt>
                <c:pt idx="45">
                  <c:v>18500</c:v>
                </c:pt>
                <c:pt idx="46">
                  <c:v>19000</c:v>
                </c:pt>
                <c:pt idx="47">
                  <c:v>19500</c:v>
                </c:pt>
                <c:pt idx="48">
                  <c:v>20000</c:v>
                </c:pt>
                <c:pt idx="49">
                  <c:v>20500</c:v>
                </c:pt>
                <c:pt idx="50">
                  <c:v>21000</c:v>
                </c:pt>
                <c:pt idx="51">
                  <c:v>21500</c:v>
                </c:pt>
                <c:pt idx="52">
                  <c:v>22000</c:v>
                </c:pt>
                <c:pt idx="53">
                  <c:v>22500</c:v>
                </c:pt>
                <c:pt idx="54">
                  <c:v>23000</c:v>
                </c:pt>
                <c:pt idx="55">
                  <c:v>23500</c:v>
                </c:pt>
                <c:pt idx="56">
                  <c:v>24000</c:v>
                </c:pt>
                <c:pt idx="57">
                  <c:v>24500</c:v>
                </c:pt>
                <c:pt idx="58">
                  <c:v>25000</c:v>
                </c:pt>
                <c:pt idx="59">
                  <c:v>25500</c:v>
                </c:pt>
                <c:pt idx="60">
                  <c:v>26000</c:v>
                </c:pt>
                <c:pt idx="61">
                  <c:v>26500</c:v>
                </c:pt>
                <c:pt idx="62">
                  <c:v>27000</c:v>
                </c:pt>
                <c:pt idx="63">
                  <c:v>27500</c:v>
                </c:pt>
                <c:pt idx="64">
                  <c:v>28000</c:v>
                </c:pt>
                <c:pt idx="65">
                  <c:v>28500</c:v>
                </c:pt>
                <c:pt idx="66">
                  <c:v>29000</c:v>
                </c:pt>
                <c:pt idx="67">
                  <c:v>29500</c:v>
                </c:pt>
                <c:pt idx="68">
                  <c:v>30000</c:v>
                </c:pt>
                <c:pt idx="69">
                  <c:v>30500</c:v>
                </c:pt>
                <c:pt idx="70">
                  <c:v>31000</c:v>
                </c:pt>
                <c:pt idx="71">
                  <c:v>31500</c:v>
                </c:pt>
                <c:pt idx="72">
                  <c:v>32000</c:v>
                </c:pt>
                <c:pt idx="73">
                  <c:v>32500</c:v>
                </c:pt>
                <c:pt idx="74">
                  <c:v>33000</c:v>
                </c:pt>
                <c:pt idx="75">
                  <c:v>33500</c:v>
                </c:pt>
                <c:pt idx="76">
                  <c:v>34000</c:v>
                </c:pt>
                <c:pt idx="77">
                  <c:v>34500</c:v>
                </c:pt>
                <c:pt idx="78">
                  <c:v>35000</c:v>
                </c:pt>
                <c:pt idx="79">
                  <c:v>35500</c:v>
                </c:pt>
                <c:pt idx="80">
                  <c:v>36000</c:v>
                </c:pt>
                <c:pt idx="81">
                  <c:v>36500</c:v>
                </c:pt>
                <c:pt idx="82">
                  <c:v>37000</c:v>
                </c:pt>
                <c:pt idx="83">
                  <c:v>37500</c:v>
                </c:pt>
                <c:pt idx="84">
                  <c:v>38000</c:v>
                </c:pt>
                <c:pt idx="85">
                  <c:v>38500</c:v>
                </c:pt>
                <c:pt idx="86">
                  <c:v>39000</c:v>
                </c:pt>
                <c:pt idx="87">
                  <c:v>39500</c:v>
                </c:pt>
                <c:pt idx="88">
                  <c:v>40000</c:v>
                </c:pt>
                <c:pt idx="89">
                  <c:v>40500</c:v>
                </c:pt>
                <c:pt idx="90">
                  <c:v>41000</c:v>
                </c:pt>
                <c:pt idx="91">
                  <c:v>41500</c:v>
                </c:pt>
                <c:pt idx="92">
                  <c:v>42000</c:v>
                </c:pt>
                <c:pt idx="93">
                  <c:v>42500</c:v>
                </c:pt>
                <c:pt idx="94">
                  <c:v>43000</c:v>
                </c:pt>
                <c:pt idx="95">
                  <c:v>43500</c:v>
                </c:pt>
                <c:pt idx="96">
                  <c:v>44000</c:v>
                </c:pt>
                <c:pt idx="97">
                  <c:v>44500</c:v>
                </c:pt>
                <c:pt idx="98">
                  <c:v>45000</c:v>
                </c:pt>
                <c:pt idx="99">
                  <c:v>45500</c:v>
                </c:pt>
                <c:pt idx="100">
                  <c:v>46000</c:v>
                </c:pt>
                <c:pt idx="101">
                  <c:v>46500</c:v>
                </c:pt>
                <c:pt idx="102">
                  <c:v>47000</c:v>
                </c:pt>
                <c:pt idx="103">
                  <c:v>47500</c:v>
                </c:pt>
                <c:pt idx="104">
                  <c:v>48000</c:v>
                </c:pt>
                <c:pt idx="105">
                  <c:v>48500</c:v>
                </c:pt>
                <c:pt idx="106">
                  <c:v>49000</c:v>
                </c:pt>
                <c:pt idx="107">
                  <c:v>49500</c:v>
                </c:pt>
                <c:pt idx="108">
                  <c:v>50000</c:v>
                </c:pt>
              </c:numCache>
            </c:numRef>
          </c:xVal>
          <c:yVal>
            <c:numRef>
              <c:f>'PSA outputs'!$AH$9:$AH$117</c:f>
              <c:numCache>
                <c:formatCode>General</c:formatCode>
                <c:ptCount val="109"/>
                <c:pt idx="0">
                  <c:v>0.996</c:v>
                </c:pt>
                <c:pt idx="1">
                  <c:v>0.998</c:v>
                </c:pt>
                <c:pt idx="2">
                  <c:v>0.998</c:v>
                </c:pt>
                <c:pt idx="3">
                  <c:v>0.999</c:v>
                </c:pt>
                <c:pt idx="4">
                  <c:v>0.999</c:v>
                </c:pt>
                <c:pt idx="5">
                  <c:v>0.999</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numCache>
            </c:numRef>
          </c:yVal>
          <c:smooth val="0"/>
          <c:extLst>
            <c:ext xmlns:c16="http://schemas.microsoft.com/office/drawing/2014/chart" uri="{C3380CC4-5D6E-409C-BE32-E72D297353CC}">
              <c16:uniqueId val="{00000000-C9A2-47F5-A269-9CA90DB93518}"/>
            </c:ext>
          </c:extLst>
        </c:ser>
        <c:ser>
          <c:idx val="2"/>
          <c:order val="2"/>
          <c:tx>
            <c:v>Upper Bound Threshold</c:v>
          </c:tx>
          <c:spPr>
            <a:ln w="15875">
              <a:solidFill>
                <a:schemeClr val="tx1"/>
              </a:solidFill>
              <a:prstDash val="dash"/>
            </a:ln>
          </c:spPr>
          <c:marker>
            <c:symbol val="none"/>
          </c:marker>
          <c:xVal>
            <c:numRef>
              <c:f>'PSA outputs'!$C$71:$D$71</c:f>
              <c:numCache>
                <c:formatCode>General</c:formatCode>
                <c:ptCount val="2"/>
                <c:pt idx="0">
                  <c:v>4714</c:v>
                </c:pt>
                <c:pt idx="1">
                  <c:v>4714</c:v>
                </c:pt>
              </c:numCache>
            </c:numRef>
          </c:xVal>
          <c:yVal>
            <c:numRef>
              <c:f>'PSA outputs'!$C$69:$D$69</c:f>
              <c:numCache>
                <c:formatCode>_(* #,##0.00_);_(* \(#,##0.00\);_(* "-"??_);_(@_)</c:formatCode>
                <c:ptCount val="2"/>
                <c:pt idx="0" formatCode="General">
                  <c:v>0</c:v>
                </c:pt>
                <c:pt idx="1">
                  <c:v>100000</c:v>
                </c:pt>
              </c:numCache>
            </c:numRef>
          </c:yVal>
          <c:smooth val="0"/>
          <c:extLst>
            <c:ext xmlns:c16="http://schemas.microsoft.com/office/drawing/2014/chart" uri="{C3380CC4-5D6E-409C-BE32-E72D297353CC}">
              <c16:uniqueId val="{00000000-23EF-476D-9EBD-FC04159BAF63}"/>
            </c:ext>
          </c:extLst>
        </c:ser>
        <c:ser>
          <c:idx val="3"/>
          <c:order val="3"/>
          <c:tx>
            <c:v>Lower Bound Threshold</c:v>
          </c:tx>
          <c:spPr>
            <a:ln w="12700">
              <a:solidFill>
                <a:schemeClr val="tx1"/>
              </a:solidFill>
            </a:ln>
          </c:spPr>
          <c:marker>
            <c:symbol val="none"/>
          </c:marker>
          <c:xVal>
            <c:numRef>
              <c:f>'PSA outputs'!$C$68:$D$68</c:f>
              <c:numCache>
                <c:formatCode>General</c:formatCode>
                <c:ptCount val="2"/>
                <c:pt idx="0">
                  <c:v>1175</c:v>
                </c:pt>
                <c:pt idx="1">
                  <c:v>1175</c:v>
                </c:pt>
              </c:numCache>
            </c:numRef>
          </c:xVal>
          <c:yVal>
            <c:numRef>
              <c:f>'PSA outputs'!$C$66:$D$66</c:f>
              <c:numCache>
                <c:formatCode>General</c:formatCode>
                <c:ptCount val="2"/>
                <c:pt idx="0">
                  <c:v>0</c:v>
                </c:pt>
                <c:pt idx="1">
                  <c:v>100000</c:v>
                </c:pt>
              </c:numCache>
            </c:numRef>
          </c:yVal>
          <c:smooth val="0"/>
          <c:extLst>
            <c:ext xmlns:c16="http://schemas.microsoft.com/office/drawing/2014/chart" uri="{C3380CC4-5D6E-409C-BE32-E72D297353CC}">
              <c16:uniqueId val="{00000001-23EF-476D-9EBD-FC04159BAF63}"/>
            </c:ext>
          </c:extLst>
        </c:ser>
        <c:dLbls>
          <c:showLegendKey val="0"/>
          <c:showVal val="0"/>
          <c:showCatName val="0"/>
          <c:showSerName val="0"/>
          <c:showPercent val="0"/>
          <c:showBubbleSize val="0"/>
        </c:dLbls>
        <c:axId val="75361664"/>
        <c:axId val="75363840"/>
      </c:scatterChart>
      <c:valAx>
        <c:axId val="75361664"/>
        <c:scaling>
          <c:orientation val="minMax"/>
          <c:max val="10000"/>
        </c:scaling>
        <c:delete val="0"/>
        <c:axPos val="b"/>
        <c:title>
          <c:tx>
            <c:rich>
              <a:bodyPr/>
              <a:lstStyle/>
              <a:p>
                <a:pPr>
                  <a:defRPr sz="1100"/>
                </a:pPr>
                <a:r>
                  <a:rPr lang="en-US" sz="1100"/>
                  <a:t>Willingness-to-Pay Threshold ($US</a:t>
                </a:r>
                <a:r>
                  <a:rPr lang="en-US" sz="1100" baseline="0"/>
                  <a:t> per QALY Gained)</a:t>
                </a:r>
                <a:endParaRPr lang="en-US" sz="1100"/>
              </a:p>
            </c:rich>
          </c:tx>
          <c:layout>
            <c:manualLayout>
              <c:xMode val="edge"/>
              <c:yMode val="edge"/>
              <c:x val="0.36890992015563334"/>
              <c:y val="0.91918955347080245"/>
            </c:manualLayout>
          </c:layout>
          <c:overlay val="0"/>
        </c:title>
        <c:numFmt formatCode="#,##0" sourceLinked="0"/>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75363840"/>
        <c:crosses val="autoZero"/>
        <c:crossBetween val="midCat"/>
      </c:valAx>
      <c:valAx>
        <c:axId val="75363840"/>
        <c:scaling>
          <c:orientation val="minMax"/>
          <c:max val="1"/>
          <c:min val="0"/>
        </c:scaling>
        <c:delete val="0"/>
        <c:axPos val="l"/>
        <c:title>
          <c:tx>
            <c:rich>
              <a:bodyPr rot="-5400000" vert="horz"/>
              <a:lstStyle/>
              <a:p>
                <a:pPr>
                  <a:defRPr sz="1100"/>
                </a:pPr>
                <a:r>
                  <a:rPr lang="en-US" sz="1100"/>
                  <a:t>Probability</a:t>
                </a:r>
                <a:r>
                  <a:rPr lang="en-US" sz="1100" baseline="0"/>
                  <a:t> Cost-Effective</a:t>
                </a:r>
                <a:endParaRPr lang="en-US" sz="1100"/>
              </a:p>
            </c:rich>
          </c:tx>
          <c:layout>
            <c:manualLayout>
              <c:xMode val="edge"/>
              <c:yMode val="edge"/>
              <c:x val="1.7756638647909915E-2"/>
              <c:y val="0.24672659786736467"/>
            </c:manualLayout>
          </c:layout>
          <c:overlay val="0"/>
        </c:title>
        <c:numFmt formatCode="0%" sourceLinked="0"/>
        <c:majorTickMark val="out"/>
        <c:minorTickMark val="none"/>
        <c:tickLblPos val="low"/>
        <c:crossAx val="75361664"/>
        <c:crosses val="autoZero"/>
        <c:crossBetween val="midCat"/>
        <c:majorUnit val="0.1"/>
      </c:valAx>
    </c:plotArea>
    <c:legend>
      <c:legendPos val="r"/>
      <c:layout>
        <c:manualLayout>
          <c:xMode val="edge"/>
          <c:yMode val="edge"/>
          <c:x val="0.60758962287715967"/>
          <c:y val="0.525851959186314"/>
          <c:w val="0.30943837760250814"/>
          <c:h val="0.21495304912499016"/>
        </c:manualLayout>
      </c:layout>
      <c:overlay val="0"/>
      <c:spPr>
        <a:solidFill>
          <a:schemeClr val="bg1"/>
        </a:solidFill>
        <a:ln>
          <a:solidFill>
            <a:schemeClr val="bg1">
              <a:lumMod val="50000"/>
            </a:schemeClr>
          </a:solidFill>
        </a:ln>
      </c:spPr>
      <c:txPr>
        <a:bodyPr/>
        <a:lstStyle/>
        <a:p>
          <a:pPr>
            <a:defRPr sz="1100"/>
          </a:pPr>
          <a:endParaRPr lang="en-US"/>
        </a:p>
      </c:txPr>
    </c:legend>
    <c:plotVisOnly val="1"/>
    <c:dispBlanksAs val="gap"/>
    <c:showDLblsOverMax val="0"/>
  </c:chart>
  <c:spPr>
    <a:ln>
      <a:solidFill>
        <a:schemeClr val="bg1"/>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Distribution of influenza cases over</a:t>
            </a:r>
            <a:r>
              <a:rPr lang="en-US" sz="1100" baseline="0"/>
              <a:t> the year</a:t>
            </a:r>
            <a:endParaRPr lang="en-US" sz="1100"/>
          </a:p>
        </c:rich>
      </c:tx>
      <c:overlay val="0"/>
    </c:title>
    <c:autoTitleDeleted val="0"/>
    <c:plotArea>
      <c:layout>
        <c:manualLayout>
          <c:layoutTarget val="inner"/>
          <c:xMode val="edge"/>
          <c:yMode val="edge"/>
          <c:x val="8.1947526075969127E-2"/>
          <c:y val="0.12417077151425031"/>
          <c:w val="0.89079101171833075"/>
          <c:h val="0.64886671267052387"/>
        </c:manualLayout>
      </c:layout>
      <c:barChart>
        <c:barDir val="col"/>
        <c:grouping val="clustered"/>
        <c:varyColors val="0"/>
        <c:ser>
          <c:idx val="0"/>
          <c:order val="0"/>
          <c:invertIfNegative val="0"/>
          <c:cat>
            <c:strRef>
              <c:f>Maternal!$B$13:$B$24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Maternal!$D$13:$D$24</c:f>
              <c:numCache>
                <c:formatCode>0%</c:formatCode>
                <c:ptCount val="12"/>
                <c:pt idx="0">
                  <c:v>0.3</c:v>
                </c:pt>
                <c:pt idx="1">
                  <c:v>0.22500000000000001</c:v>
                </c:pt>
                <c:pt idx="2">
                  <c:v>0.1</c:v>
                </c:pt>
                <c:pt idx="3">
                  <c:v>2.5000000000000001E-2</c:v>
                </c:pt>
                <c:pt idx="4">
                  <c:v>0</c:v>
                </c:pt>
                <c:pt idx="5">
                  <c:v>0</c:v>
                </c:pt>
                <c:pt idx="6">
                  <c:v>0</c:v>
                </c:pt>
                <c:pt idx="7">
                  <c:v>0</c:v>
                </c:pt>
                <c:pt idx="8">
                  <c:v>0</c:v>
                </c:pt>
                <c:pt idx="9">
                  <c:v>2.5000000000000001E-2</c:v>
                </c:pt>
                <c:pt idx="10">
                  <c:v>0.1</c:v>
                </c:pt>
                <c:pt idx="11">
                  <c:v>0.22500000000000001</c:v>
                </c:pt>
              </c:numCache>
            </c:numRef>
          </c:val>
          <c:extLst>
            <c:ext xmlns:c16="http://schemas.microsoft.com/office/drawing/2014/chart" uri="{C3380CC4-5D6E-409C-BE32-E72D297353CC}">
              <c16:uniqueId val="{00000000-4B19-43CF-94FF-885510A8F4B0}"/>
            </c:ext>
          </c:extLst>
        </c:ser>
        <c:dLbls>
          <c:showLegendKey val="0"/>
          <c:showVal val="0"/>
          <c:showCatName val="0"/>
          <c:showSerName val="0"/>
          <c:showPercent val="0"/>
          <c:showBubbleSize val="0"/>
        </c:dLbls>
        <c:gapWidth val="150"/>
        <c:axId val="86741376"/>
        <c:axId val="86742912"/>
      </c:barChart>
      <c:catAx>
        <c:axId val="86741376"/>
        <c:scaling>
          <c:orientation val="minMax"/>
        </c:scaling>
        <c:delete val="0"/>
        <c:axPos val="b"/>
        <c:numFmt formatCode="General" sourceLinked="0"/>
        <c:majorTickMark val="out"/>
        <c:minorTickMark val="none"/>
        <c:tickLblPos val="nextTo"/>
        <c:crossAx val="86742912"/>
        <c:crosses val="autoZero"/>
        <c:auto val="1"/>
        <c:lblAlgn val="ctr"/>
        <c:lblOffset val="100"/>
        <c:noMultiLvlLbl val="0"/>
      </c:catAx>
      <c:valAx>
        <c:axId val="86742912"/>
        <c:scaling>
          <c:orientation val="minMax"/>
          <c:max val="1"/>
        </c:scaling>
        <c:delete val="0"/>
        <c:axPos val="l"/>
        <c:numFmt formatCode="0%" sourceLinked="0"/>
        <c:majorTickMark val="out"/>
        <c:minorTickMark val="none"/>
        <c:tickLblPos val="nextTo"/>
        <c:crossAx val="86741376"/>
        <c:crosses val="autoZero"/>
        <c:crossBetween val="between"/>
        <c:majorUnit val="0.2"/>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Distribution of influenza cases over</a:t>
            </a:r>
            <a:r>
              <a:rPr lang="en-US" sz="1100" baseline="0"/>
              <a:t> the year</a:t>
            </a:r>
            <a:endParaRPr lang="en-US" sz="1100"/>
          </a:p>
        </c:rich>
      </c:tx>
      <c:overlay val="0"/>
    </c:title>
    <c:autoTitleDeleted val="0"/>
    <c:plotArea>
      <c:layout>
        <c:manualLayout>
          <c:layoutTarget val="inner"/>
          <c:xMode val="edge"/>
          <c:yMode val="edge"/>
          <c:x val="8.1947526075969127E-2"/>
          <c:y val="0.12417077151425031"/>
          <c:w val="0.89079101171833075"/>
          <c:h val="0.64886671267052387"/>
        </c:manualLayout>
      </c:layout>
      <c:barChart>
        <c:barDir val="col"/>
        <c:grouping val="clustered"/>
        <c:varyColors val="0"/>
        <c:ser>
          <c:idx val="0"/>
          <c:order val="0"/>
          <c:invertIfNegative val="0"/>
          <c:cat>
            <c:strRef>
              <c:f>'Maternal (2)'!$B$13:$B$24</c:f>
              <c:strCache>
                <c:ptCount val="12"/>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strCache>
            </c:strRef>
          </c:cat>
          <c:val>
            <c:numRef>
              <c:f>'Maternal (2)'!$D$13:$D$24</c:f>
              <c:numCache>
                <c:formatCode>0%</c:formatCode>
                <c:ptCount val="12"/>
                <c:pt idx="0">
                  <c:v>0.3</c:v>
                </c:pt>
                <c:pt idx="1">
                  <c:v>0.22500000000000001</c:v>
                </c:pt>
                <c:pt idx="2">
                  <c:v>0.1</c:v>
                </c:pt>
                <c:pt idx="3">
                  <c:v>2.5000000000000001E-2</c:v>
                </c:pt>
                <c:pt idx="4">
                  <c:v>0</c:v>
                </c:pt>
                <c:pt idx="5">
                  <c:v>0</c:v>
                </c:pt>
                <c:pt idx="6">
                  <c:v>0</c:v>
                </c:pt>
                <c:pt idx="7">
                  <c:v>0</c:v>
                </c:pt>
                <c:pt idx="8">
                  <c:v>0</c:v>
                </c:pt>
                <c:pt idx="9">
                  <c:v>2.5000000000000001E-2</c:v>
                </c:pt>
                <c:pt idx="10">
                  <c:v>0.1</c:v>
                </c:pt>
                <c:pt idx="11">
                  <c:v>0.22500000000000001</c:v>
                </c:pt>
              </c:numCache>
            </c:numRef>
          </c:val>
          <c:extLst>
            <c:ext xmlns:c16="http://schemas.microsoft.com/office/drawing/2014/chart" uri="{C3380CC4-5D6E-409C-BE32-E72D297353CC}">
              <c16:uniqueId val="{00000000-5940-4AAC-B5D1-3C0F1B5D3A56}"/>
            </c:ext>
          </c:extLst>
        </c:ser>
        <c:dLbls>
          <c:showLegendKey val="0"/>
          <c:showVal val="0"/>
          <c:showCatName val="0"/>
          <c:showSerName val="0"/>
          <c:showPercent val="0"/>
          <c:showBubbleSize val="0"/>
        </c:dLbls>
        <c:gapWidth val="150"/>
        <c:axId val="86930560"/>
        <c:axId val="86932096"/>
      </c:barChart>
      <c:catAx>
        <c:axId val="86930560"/>
        <c:scaling>
          <c:orientation val="minMax"/>
        </c:scaling>
        <c:delete val="0"/>
        <c:axPos val="b"/>
        <c:numFmt formatCode="General" sourceLinked="0"/>
        <c:majorTickMark val="out"/>
        <c:minorTickMark val="none"/>
        <c:tickLblPos val="nextTo"/>
        <c:crossAx val="86932096"/>
        <c:crosses val="autoZero"/>
        <c:auto val="1"/>
        <c:lblAlgn val="ctr"/>
        <c:lblOffset val="100"/>
        <c:noMultiLvlLbl val="0"/>
      </c:catAx>
      <c:valAx>
        <c:axId val="86932096"/>
        <c:scaling>
          <c:orientation val="minMax"/>
        </c:scaling>
        <c:delete val="0"/>
        <c:axPos val="l"/>
        <c:numFmt formatCode="0%" sourceLinked="0"/>
        <c:majorTickMark val="out"/>
        <c:minorTickMark val="none"/>
        <c:tickLblPos val="nextTo"/>
        <c:crossAx val="86930560"/>
        <c:crosses val="autoZero"/>
        <c:crossBetween val="between"/>
      </c:valAx>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General input'!$T$30" lockText="1" noThreeD="1"/>
</file>

<file path=xl/ctrlProps/ctrlProp2.xml><?xml version="1.0" encoding="utf-8"?>
<formControlPr xmlns="http://schemas.microsoft.com/office/spreadsheetml/2009/9/main" objectType="CheckBox" checked="Checked" fmlaLink="$T$32" lockText="1" noThreeD="1"/>
</file>

<file path=xl/ctrlProps/ctrlProp3.xml><?xml version="1.0" encoding="utf-8"?>
<formControlPr xmlns="http://schemas.microsoft.com/office/spreadsheetml/2009/9/main" objectType="CheckBox" checked="Checked" fmlaLink="'General input'!$T$33" lockText="1" noThreeD="1"/>
</file>

<file path=xl/ctrlProps/ctrlProp4.xml><?xml version="1.0" encoding="utf-8"?>
<formControlPr xmlns="http://schemas.microsoft.com/office/spreadsheetml/2009/9/main" objectType="CheckBox" checked="Checked" fmlaLink="'General input'!$T$34" lockText="1" noThreeD="1"/>
</file>

<file path=xl/ctrlProps/ctrlProp5.xml><?xml version="1.0" encoding="utf-8"?>
<formControlPr xmlns="http://schemas.microsoft.com/office/spreadsheetml/2009/9/main" objectType="CheckBox" checked="Checked" fmlaLink="'General input'!$T$29" lockText="1" noThreeD="1"/>
</file>

<file path=xl/ctrlProps/ctrlProp6.xml><?xml version="1.0" encoding="utf-8"?>
<formControlPr xmlns="http://schemas.microsoft.com/office/spreadsheetml/2009/9/main" objectType="List" dx="16" fmlaLink="$U$20" fmlaRange="$S$20:$S$26" sel="2" val="0"/>
</file>

<file path=xl/ctrlProps/ctrlProp7.xml><?xml version="1.0" encoding="utf-8"?>
<formControlPr xmlns="http://schemas.microsoft.com/office/spreadsheetml/2009/9/main" objectType="CheckBox" checked="Checked" fmlaLink="$T$45" lockText="1" noThreeD="1"/>
</file>

<file path=xl/ctrlProps/ctrlProp8.xml><?xml version="1.0" encoding="utf-8"?>
<formControlPr xmlns="http://schemas.microsoft.com/office/spreadsheetml/2009/9/main" objectType="CheckBox" checked="Checked" fmlaLink="$T$50" lockText="1" noThreeD="1"/>
</file>

<file path=xl/ctrlProps/ctrlProp9.xml><?xml version="1.0" encoding="utf-8"?>
<formControlPr xmlns="http://schemas.microsoft.com/office/spreadsheetml/2009/9/main" objectType="CheckBox" checked="Checked" fmlaLink="$T$51" lockText="1" noThreeD="1"/>
</file>

<file path=xl/ctrlProps/ctrlProp10.xml><?xml version="1.0" encoding="utf-8"?>
<formControlPr xmlns="http://schemas.microsoft.com/office/spreadsheetml/2009/9/main" objectType="CheckBox" checked="Checked" fmlaLink="$T$31" lockText="1" noThreeD="1"/>
</file>

<file path=xl/ctrlProps/ctrlProp11.xml><?xml version="1.0" encoding="utf-8"?>
<formControlPr xmlns="http://schemas.microsoft.com/office/spreadsheetml/2009/9/main" objectType="CheckBox" checked="Checked" fmlaLink="$T$46" lockText="1" noThreeD="1"/>
</file>

<file path=xl/ctrlProps/ctrlProp12.xml><?xml version="1.0" encoding="utf-8"?>
<formControlPr xmlns="http://schemas.microsoft.com/office/spreadsheetml/2009/9/main" objectType="CheckBox" checked="Checked" fmlaLink="$T$35" lockText="1" noThreeD="1"/>
</file>

<file path=xl/ctrlProps/ctrlProp13.xml><?xml version="1.0" encoding="utf-8"?>
<formControlPr xmlns="http://schemas.microsoft.com/office/spreadsheetml/2009/9/main" objectType="CheckBox" checked="Checked" fmlaLink="'General input'!$T$38" lockText="1" noThreeD="1"/>
</file>

<file path=xl/ctrlProps/ctrlProp14.xml><?xml version="1.0" encoding="utf-8"?>
<formControlPr xmlns="http://schemas.microsoft.com/office/spreadsheetml/2009/9/main" objectType="CheckBox" checked="Checked" fmlaLink="$T$40" lockText="1" noThreeD="1"/>
</file>

<file path=xl/ctrlProps/ctrlProp15.xml><?xml version="1.0" encoding="utf-8"?>
<formControlPr xmlns="http://schemas.microsoft.com/office/spreadsheetml/2009/9/main" objectType="CheckBox" checked="Checked" fmlaLink="'General input'!$T$41" lockText="1" noThreeD="1"/>
</file>

<file path=xl/ctrlProps/ctrlProp16.xml><?xml version="1.0" encoding="utf-8"?>
<formControlPr xmlns="http://schemas.microsoft.com/office/spreadsheetml/2009/9/main" objectType="CheckBox" checked="Checked" fmlaLink="'General input'!$T$42" lockText="1" noThreeD="1"/>
</file>

<file path=xl/ctrlProps/ctrlProp17.xml><?xml version="1.0" encoding="utf-8"?>
<formControlPr xmlns="http://schemas.microsoft.com/office/spreadsheetml/2009/9/main" objectType="CheckBox" checked="Checked" fmlaLink="'General input'!$T$37" lockText="1" noThreeD="1"/>
</file>

<file path=xl/ctrlProps/ctrlProp18.xml><?xml version="1.0" encoding="utf-8"?>
<formControlPr xmlns="http://schemas.microsoft.com/office/spreadsheetml/2009/9/main" objectType="CheckBox" checked="Checked" fmlaLink="$T$39" lockText="1" noThreeD="1"/>
</file>

<file path=xl/ctrlProps/ctrlProp19.xml><?xml version="1.0" encoding="utf-8"?>
<formControlPr xmlns="http://schemas.microsoft.com/office/spreadsheetml/2009/9/main" objectType="CheckBox" checked="Checked" fmlaLink="$T$43" lockText="1" noThreeD="1"/>
</file>

<file path=xl/ctrlProps/ctrlProp20.xml><?xml version="1.0" encoding="utf-8"?>
<formControlPr xmlns="http://schemas.microsoft.com/office/spreadsheetml/2009/9/main" objectType="CheckBox" checked="Checked" fmlaLink="$T$47" lockText="1" noThreeD="1"/>
</file>

<file path=xl/ctrlProps/ctrlProp21.xml><?xml version="1.0" encoding="utf-8"?>
<formControlPr xmlns="http://schemas.microsoft.com/office/spreadsheetml/2009/9/main" objectType="CheckBox" checked="Checked" fmlaLink="$T$48" lockText="1" noThreeD="1"/>
</file>

<file path=xl/ctrlProps/ctrlProp22.xml><?xml version="1.0" encoding="utf-8"?>
<formControlPr xmlns="http://schemas.microsoft.com/office/spreadsheetml/2009/9/main" objectType="CheckBox" checked="Checked" fmlaLink="H869" lockText="1" noThreeD="1"/>
</file>

<file path=xl/ctrlProps/ctrlProp23.xml><?xml version="1.0" encoding="utf-8"?>
<formControlPr xmlns="http://schemas.microsoft.com/office/spreadsheetml/2009/9/main" objectType="CheckBox" checked="Checked" fmlaLink="H870" lockText="1" noThreeD="1"/>
</file>

<file path=xl/ctrlProps/ctrlProp24.xml><?xml version="1.0" encoding="utf-8"?>
<formControlPr xmlns="http://schemas.microsoft.com/office/spreadsheetml/2009/9/main" objectType="CheckBox" checked="Checked" fmlaLink="H871" lockText="1" noThreeD="1"/>
</file>

<file path=xl/ctrlProps/ctrlProp25.xml><?xml version="1.0" encoding="utf-8"?>
<formControlPr xmlns="http://schemas.microsoft.com/office/spreadsheetml/2009/9/main" objectType="CheckBox" checked="Checked" fmlaLink="H873" lockText="1" noThreeD="1"/>
</file>

<file path=xl/ctrlProps/ctrlProp26.xml><?xml version="1.0" encoding="utf-8"?>
<formControlPr xmlns="http://schemas.microsoft.com/office/spreadsheetml/2009/9/main" objectType="CheckBox" checked="Checked" fmlaLink="H874" lockText="1" noThreeD="1"/>
</file>

<file path=xl/ctrlProps/ctrlProp27.xml><?xml version="1.0" encoding="utf-8"?>
<formControlPr xmlns="http://schemas.microsoft.com/office/spreadsheetml/2009/9/main" objectType="CheckBox" checked="Checked" fmlaLink="H875" lockText="1" noThreeD="1"/>
</file>

<file path=xl/ctrlProps/ctrlProp28.xml><?xml version="1.0" encoding="utf-8"?>
<formControlPr xmlns="http://schemas.microsoft.com/office/spreadsheetml/2009/9/main" objectType="CheckBox" checked="Checked" fmlaLink="H886" lockText="1" noThreeD="1"/>
</file>

<file path=xl/ctrlProps/ctrlProp29.xml><?xml version="1.0" encoding="utf-8"?>
<formControlPr xmlns="http://schemas.microsoft.com/office/spreadsheetml/2009/9/main" objectType="CheckBox" checked="Checked" fmlaLink="H889" lockText="1" noThreeD="1"/>
</file>

<file path=xl/ctrlProps/ctrlProp30.xml><?xml version="1.0" encoding="utf-8"?>
<formControlPr xmlns="http://schemas.microsoft.com/office/spreadsheetml/2009/9/main" objectType="CheckBox" checked="Checked" fmlaLink="H887" lockText="1" noThreeD="1"/>
</file>

<file path=xl/ctrlProps/ctrlProp31.xml><?xml version="1.0" encoding="utf-8"?>
<formControlPr xmlns="http://schemas.microsoft.com/office/spreadsheetml/2009/9/main" objectType="CheckBox" checked="Checked" fmlaLink="H890" lockText="1" noThreeD="1"/>
</file>

<file path=xl/ctrlProps/ctrlProp32.xml><?xml version="1.0" encoding="utf-8"?>
<formControlPr xmlns="http://schemas.microsoft.com/office/spreadsheetml/2009/9/main" objectType="CheckBox" checked="Checked" fmlaLink="$H$909" lockText="1" noThreeD="1"/>
</file>

<file path=xl/ctrlProps/ctrlProp33.xml><?xml version="1.0" encoding="utf-8"?>
<formControlPr xmlns="http://schemas.microsoft.com/office/spreadsheetml/2009/9/main" objectType="CheckBox" checked="Checked" fmlaLink="$H$905" lockText="1" noThreeD="1"/>
</file>

<file path=xl/ctrlProps/ctrlProp34.xml><?xml version="1.0" encoding="utf-8"?>
<formControlPr xmlns="http://schemas.microsoft.com/office/spreadsheetml/2009/9/main" objectType="CheckBox" checked="Checked" fmlaLink="$H$894" lockText="1" noThreeD="1"/>
</file>

<file path=xl/ctrlProps/ctrlProp35.xml><?xml version="1.0" encoding="utf-8"?>
<formControlPr xmlns="http://schemas.microsoft.com/office/spreadsheetml/2009/9/main" objectType="CheckBox" checked="Checked" fmlaLink="$H$907" lockText="1" noThreeD="1"/>
</file>

<file path=xl/ctrlProps/ctrlProp36.xml><?xml version="1.0" encoding="utf-8"?>
<formControlPr xmlns="http://schemas.microsoft.com/office/spreadsheetml/2009/9/main" objectType="CheckBox" checked="Checked" fmlaLink="$H$911" lockText="1" noThreeD="1"/>
</file>

<file path=xl/ctrlProps/ctrlProp37.xml><?xml version="1.0" encoding="utf-8"?>
<formControlPr xmlns="http://schemas.microsoft.com/office/spreadsheetml/2009/9/main" objectType="CheckBox" checked="Checked" fmlaLink="H915" lockText="1" noThreeD="1"/>
</file>

<file path=xl/ctrlProps/ctrlProp38.xml><?xml version="1.0" encoding="utf-8"?>
<formControlPr xmlns="http://schemas.microsoft.com/office/spreadsheetml/2009/9/main" objectType="CheckBox" checked="Checked" fmlaLink="H916" lockText="1" noThreeD="1"/>
</file>

<file path=xl/ctrlProps/ctrlProp39.xml><?xml version="1.0" encoding="utf-8"?>
<formControlPr xmlns="http://schemas.microsoft.com/office/spreadsheetml/2009/9/main" objectType="CheckBox" checked="Checked" fmlaLink="H923" lockText="1" noThreeD="1"/>
</file>

<file path=xl/ctrlProps/ctrlProp40.xml><?xml version="1.0" encoding="utf-8"?>
<formControlPr xmlns="http://schemas.microsoft.com/office/spreadsheetml/2009/9/main" objectType="CheckBox" fmlaLink="$Q$1"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checked="Checked" fmlaLink="$H$867" lockText="1" noThreeD="1"/>
</file>

<file path=xl/ctrlProps/ctrlProp44.xml><?xml version="1.0" encoding="utf-8"?>
<formControlPr xmlns="http://schemas.microsoft.com/office/spreadsheetml/2009/9/main" objectType="CheckBox" checked="Checked" fmlaLink="$H$892" lockText="1" noThreeD="1"/>
</file>

<file path=xl/ctrlProps/ctrlProp45.xml><?xml version="1.0" encoding="utf-8"?>
<formControlPr xmlns="http://schemas.microsoft.com/office/spreadsheetml/2009/9/main" objectType="CheckBox" checked="Checked" fmlaLink="$H$893" lockText="1" noThreeD="1"/>
</file>

<file path=xl/ctrlProps/ctrlProp46.xml><?xml version="1.0" encoding="utf-8"?>
<formControlPr xmlns="http://schemas.microsoft.com/office/spreadsheetml/2009/9/main" objectType="CheckBox" checked="Checked" fmlaLink="$H$908" lockText="1" noThreeD="1"/>
</file>

<file path=xl/ctrlProps/ctrlProp47.xml><?xml version="1.0" encoding="utf-8"?>
<formControlPr xmlns="http://schemas.microsoft.com/office/spreadsheetml/2009/9/main" objectType="CheckBox" checked="Checked" fmlaLink="$H$912" lockText="1" noThreeD="1"/>
</file>

<file path=xl/ctrlProps/ctrlProp48.xml><?xml version="1.0" encoding="utf-8"?>
<formControlPr xmlns="http://schemas.microsoft.com/office/spreadsheetml/2009/9/main" objectType="CheckBox" checked="Checked" fmlaLink="$H$913" lockText="1" noThreeD="1"/>
</file>

<file path=xl/ctrlProps/ctrlProp49.xml><?xml version="1.0" encoding="utf-8"?>
<formControlPr xmlns="http://schemas.microsoft.com/office/spreadsheetml/2009/9/main" objectType="CheckBox" checked="Checked" fmlaLink="H869" lockText="1" noThreeD="1"/>
</file>

<file path=xl/ctrlProps/ctrlProp50.xml><?xml version="1.0" encoding="utf-8"?>
<formControlPr xmlns="http://schemas.microsoft.com/office/spreadsheetml/2009/9/main" objectType="CheckBox" checked="Checked" fmlaLink="$H$904" lockText="1" noThreeD="1"/>
</file>

<file path=xl/ctrlProps/ctrlProp51.xml><?xml version="1.0" encoding="utf-8"?>
<formControlPr xmlns="http://schemas.microsoft.com/office/spreadsheetml/2009/9/main" objectType="CheckBox" checked="Checked" fmlaLink="$H$910" lockText="1" noThreeD="1"/>
</file>

<file path=xl/ctrlProps/ctrlProp52.xml><?xml version="1.0" encoding="utf-8"?>
<formControlPr xmlns="http://schemas.microsoft.com/office/spreadsheetml/2009/9/main" objectType="CheckBox" checked="Checked" fmlaLink="H878" lockText="1" noThreeD="1"/>
</file>

<file path=xl/ctrlProps/ctrlProp53.xml><?xml version="1.0" encoding="utf-8"?>
<formControlPr xmlns="http://schemas.microsoft.com/office/spreadsheetml/2009/9/main" objectType="CheckBox" checked="Checked" fmlaLink="H879" lockText="1" noThreeD="1"/>
</file>

<file path=xl/ctrlProps/ctrlProp54.xml><?xml version="1.0" encoding="utf-8"?>
<formControlPr xmlns="http://schemas.microsoft.com/office/spreadsheetml/2009/9/main" objectType="CheckBox" checked="Checked" fmlaLink="H877" lockText="1" noThreeD="1"/>
</file>

<file path=xl/ctrlProps/ctrlProp55.xml><?xml version="1.0" encoding="utf-8"?>
<formControlPr xmlns="http://schemas.microsoft.com/office/spreadsheetml/2009/9/main" objectType="CheckBox" checked="Checked" fmlaLink="H881" lockText="1" noThreeD="1"/>
</file>

<file path=xl/ctrlProps/ctrlProp56.xml><?xml version="1.0" encoding="utf-8"?>
<formControlPr xmlns="http://schemas.microsoft.com/office/spreadsheetml/2009/9/main" objectType="CheckBox" checked="Checked" fmlaLink="H882" lockText="1" noThreeD="1"/>
</file>

<file path=xl/ctrlProps/ctrlProp57.xml><?xml version="1.0" encoding="utf-8"?>
<formControlPr xmlns="http://schemas.microsoft.com/office/spreadsheetml/2009/9/main" objectType="CheckBox" checked="Checked" fmlaLink="H896" lockText="1" noThreeD="1"/>
</file>

<file path=xl/ctrlProps/ctrlProp58.xml><?xml version="1.0" encoding="utf-8"?>
<formControlPr xmlns="http://schemas.microsoft.com/office/spreadsheetml/2009/9/main" objectType="CheckBox" checked="Checked" fmlaLink="H897" lockText="1" noThreeD="1"/>
</file>

<file path=xl/ctrlProps/ctrlProp59.xml><?xml version="1.0" encoding="utf-8"?>
<formControlPr xmlns="http://schemas.microsoft.com/office/spreadsheetml/2009/9/main" objectType="CheckBox" checked="Checked" fmlaLink="$H$903" lockText="1" noThreeD="1"/>
</file>

<file path=xl/ctrlProps/ctrlProp60.xml><?xml version="1.0" encoding="utf-8"?>
<formControlPr xmlns="http://schemas.microsoft.com/office/spreadsheetml/2009/9/main" objectType="CheckBox" checked="Checked" fmlaLink="$H$901" lockText="1" noThreeD="1"/>
</file>

<file path=xl/ctrlProps/ctrlProp61.xml><?xml version="1.0" encoding="utf-8"?>
<formControlPr xmlns="http://schemas.microsoft.com/office/spreadsheetml/2009/9/main" objectType="CheckBox" checked="Checked" fmlaLink="$H$902" lockText="1" noThreeD="1"/>
</file>

<file path=xl/ctrlProps/ctrlProp62.xml><?xml version="1.0" encoding="utf-8"?>
<formControlPr xmlns="http://schemas.microsoft.com/office/spreadsheetml/2009/9/main" objectType="CheckBox" checked="Checked" fmlaLink="H918" lockText="1" noThreeD="1"/>
</file>

<file path=xl/ctrlProps/ctrlProp63.xml><?xml version="1.0" encoding="utf-8"?>
<formControlPr xmlns="http://schemas.microsoft.com/office/spreadsheetml/2009/9/main" objectType="CheckBox" checked="Checked" fmlaLink="H919" lockText="1" noThreeD="1"/>
</file>

<file path=xl/ctrlProps/ctrlProp64.xml><?xml version="1.0" encoding="utf-8"?>
<formControlPr xmlns="http://schemas.microsoft.com/office/spreadsheetml/2009/9/main" objectType="CheckBox" checked="Checked" fmlaLink="H920" lockText="1" noThreeD="1"/>
</file>

<file path=xl/ctrlProps/ctrlProp65.xml><?xml version="1.0" encoding="utf-8"?>
<formControlPr xmlns="http://schemas.microsoft.com/office/spreadsheetml/2009/9/main" objectType="CheckBox" checked="Checked" fmlaLink="H883" lockText="1" noThreeD="1"/>
</file>

<file path=xl/ctrlProps/ctrlProp66.xml><?xml version="1.0" encoding="utf-8"?>
<formControlPr xmlns="http://schemas.microsoft.com/office/spreadsheetml/2009/9/main" objectType="CheckBox" checked="Checked" fmlaLink="H884" lockText="1" noThreeD="1"/>
</file>

<file path=xl/ctrlProps/ctrlProp67.xml><?xml version="1.0" encoding="utf-8"?>
<formControlPr xmlns="http://schemas.microsoft.com/office/spreadsheetml/2009/9/main" objectType="CheckBox" checked="Checked" fmlaLink="H898" lockText="1" noThreeD="1"/>
</file>

<file path=xl/ctrlProps/ctrlProp68.xml><?xml version="1.0" encoding="utf-8"?>
<formControlPr xmlns="http://schemas.microsoft.com/office/spreadsheetml/2009/9/main" objectType="CheckBox" checked="Checked" fmlaLink="H899" lockText="1" noThreeD="1"/>
</file>

<file path=xl/ctrlProps/ctrlProp69.xml><?xml version="1.0" encoding="utf-8"?>
<formControlPr xmlns="http://schemas.microsoft.com/office/spreadsheetml/2009/9/main" objectType="CheckBox" checked="Checked" fmlaLink="H921" lockText="1" noThreeD="1"/>
</file>

<file path=xl/ctrlProps/ctrlProp7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hyperlink" Target="#'BoD input'!A3"/></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hyperlink" Target="#'VE input'!A3"/><Relationship Id="rId1" Type="http://schemas.openxmlformats.org/officeDocument/2006/relationships/image" Target="../media/image2.gif"/></Relationships>
</file>

<file path=xl/drawings/_rels/drawing6.xml.rels><?xml version="1.0" encoding="UTF-8" standalone="yes"?>
<Relationships xmlns="http://schemas.openxmlformats.org/package/2006/relationships"><Relationship Id="rId1" Type="http://schemas.openxmlformats.org/officeDocument/2006/relationships/hyperlink" Target="#'QoL input'!A1"/></Relationships>
</file>

<file path=xl/drawings/_rels/drawing7.xml.rels><?xml version="1.0" encoding="UTF-8" standalone="yes"?>
<Relationships xmlns="http://schemas.openxmlformats.org/package/2006/relationships"><Relationship Id="rId1" Type="http://schemas.openxmlformats.org/officeDocument/2006/relationships/hyperlink" Target="#'Cost input'!A3"/></Relationships>
</file>

<file path=xl/drawings/_rels/drawing8.xml.rels><?xml version="1.0" encoding="UTF-8" standalone="yes"?>
<Relationships xmlns="http://schemas.openxmlformats.org/package/2006/relationships"><Relationship Id="rId1" Type="http://schemas.openxmlformats.org/officeDocument/2006/relationships/hyperlink" Target="#'Input summary'!A1"/></Relationships>
</file>

<file path=xl/drawings/_rels/drawing10.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304800</xdr:colOff>
      <xdr:row>1</xdr:row>
      <xdr:rowOff>85725</xdr:rowOff>
    </xdr:from>
    <xdr:to>
      <xdr:col>18</xdr:col>
      <xdr:colOff>57150</xdr:colOff>
      <xdr:row>43</xdr:row>
      <xdr:rowOff>104775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04800" y="276225"/>
          <a:ext cx="10725150" cy="8020050"/>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Manual</a:t>
          </a:r>
        </a:p>
        <a:p>
          <a:endParaRPr lang="en-GB" sz="1100"/>
        </a:p>
        <a:p>
          <a:r>
            <a:rPr lang="en-GB" sz="1100"/>
            <a:t>This</a:t>
          </a:r>
          <a:r>
            <a:rPr lang="en-GB" sz="1100" baseline="0"/>
            <a:t> cost effectiveness tool allows the user to model the cost-effectiveness of influenza vaccination for a specific setting (i.e. country and vaccination of age/risk groups). This tool is an extension of the WHO manual for disease and economic burden.</a:t>
          </a:r>
        </a:p>
        <a:p>
          <a:endParaRPr lang="en-GB" sz="1100" baseline="0"/>
        </a:p>
        <a:p>
          <a:pPr marL="0" marR="0" indent="0" defTabSz="914400" eaLnBrk="1" fontAlgn="auto" latinLnBrk="0" hangingPunct="1">
            <a:lnSpc>
              <a:spcPct val="100000"/>
            </a:lnSpc>
            <a:spcBef>
              <a:spcPts val="0"/>
            </a:spcBef>
            <a:spcAft>
              <a:spcPts val="0"/>
            </a:spcAft>
            <a:buClrTx/>
            <a:buSzTx/>
            <a:buFontTx/>
            <a:buNone/>
            <a:tabLst/>
            <a:defRPr/>
          </a:pPr>
          <a:r>
            <a:rPr lang="en-GB" sz="1200" b="1" baseline="0"/>
            <a:t>"Inputs</a:t>
          </a:r>
          <a:r>
            <a:rPr lang="en-GB" sz="1200" b="1" baseline="0">
              <a:solidFill>
                <a:schemeClr val="dk1"/>
              </a:solidFill>
              <a:effectLst/>
              <a:latin typeface="+mn-lt"/>
              <a:ea typeface="+mn-ea"/>
              <a:cs typeface="+mn-cs"/>
            </a:rPr>
            <a:t>"</a:t>
          </a:r>
          <a:r>
            <a:rPr lang="en-GB" sz="1200" b="1" baseline="0"/>
            <a:t> sheet</a:t>
          </a:r>
        </a:p>
        <a:p>
          <a:pPr marL="0" marR="0" indent="0" defTabSz="914400" eaLnBrk="1" fontAlgn="auto" latinLnBrk="0" hangingPunct="1">
            <a:lnSpc>
              <a:spcPct val="100000"/>
            </a:lnSpc>
            <a:spcBef>
              <a:spcPts val="0"/>
            </a:spcBef>
            <a:spcAft>
              <a:spcPts val="0"/>
            </a:spcAft>
            <a:buClrTx/>
            <a:buSzTx/>
            <a:buFontTx/>
            <a:buNone/>
            <a:tabLst/>
            <a:defRPr/>
          </a:pPr>
          <a:endParaRPr lang="en-GB" sz="1100" b="1" baseline="0"/>
        </a:p>
        <a:p>
          <a:pPr marL="0" marR="0" indent="0" defTabSz="914400" eaLnBrk="1" fontAlgn="auto" latinLnBrk="0" hangingPunct="1">
            <a:lnSpc>
              <a:spcPct val="100000"/>
            </a:lnSpc>
            <a:spcBef>
              <a:spcPts val="0"/>
            </a:spcBef>
            <a:spcAft>
              <a:spcPts val="0"/>
            </a:spcAft>
            <a:buClrTx/>
            <a:buSzTx/>
            <a:buFontTx/>
            <a:buNone/>
            <a:tabLst/>
            <a:defRPr/>
          </a:pPr>
          <a:r>
            <a:rPr lang="en-GB" sz="1100" b="0" baseline="0"/>
            <a:t>All inputs required for the model can be filled in in the ' inputs sheet'. By selecting the country some cells will already be filled in (</a:t>
          </a:r>
          <a:r>
            <a:rPr lang="en-GB" sz="1100" b="1" baseline="0">
              <a:solidFill>
                <a:schemeClr val="accent6"/>
              </a:solidFill>
            </a:rPr>
            <a:t>the orange cells</a:t>
          </a:r>
          <a:r>
            <a:rPr lang="en-GB" sz="1100" b="0" baseline="0"/>
            <a:t>).</a:t>
          </a:r>
        </a:p>
        <a:p>
          <a:endParaRPr lang="en-GB" sz="1100" b="0" baseline="0"/>
        </a:p>
        <a:p>
          <a:r>
            <a:rPr lang="en-GB" sz="1100" b="0" baseline="0"/>
            <a:t>All </a:t>
          </a:r>
          <a:r>
            <a:rPr lang="en-GB" sz="1100" b="1" baseline="0">
              <a:solidFill>
                <a:schemeClr val="tx2">
                  <a:lumMod val="60000"/>
                  <a:lumOff val="40000"/>
                </a:schemeClr>
              </a:solidFill>
            </a:rPr>
            <a:t>light blue cells </a:t>
          </a:r>
          <a:r>
            <a:rPr lang="en-GB" sz="1100" b="0" baseline="0">
              <a:solidFill>
                <a:sysClr val="windowText" lastClr="000000"/>
              </a:solidFill>
            </a:rPr>
            <a:t>can be filled in with data found in the literature review combined with data from the survey.</a:t>
          </a:r>
        </a:p>
        <a:p>
          <a:endParaRPr lang="en-GB" sz="1100" b="0" baseline="0">
            <a:solidFill>
              <a:sysClr val="windowText" lastClr="000000"/>
            </a:solidFill>
          </a:endParaRPr>
        </a:p>
        <a:p>
          <a:r>
            <a:rPr lang="en-GB" sz="1100" b="1" baseline="0">
              <a:solidFill>
                <a:schemeClr val="accent2"/>
              </a:solidFill>
            </a:rPr>
            <a:t>RED cells</a:t>
          </a:r>
          <a:r>
            <a:rPr lang="en-GB" sz="1100" b="0" baseline="0">
              <a:solidFill>
                <a:schemeClr val="accent2"/>
              </a:solidFill>
            </a:rPr>
            <a:t> </a:t>
          </a:r>
          <a:r>
            <a:rPr lang="en-GB" sz="1100" b="0" baseline="0">
              <a:solidFill>
                <a:sysClr val="windowText" lastClr="000000"/>
              </a:solidFill>
            </a:rPr>
            <a:t>are calculations and should not be modified.</a:t>
          </a:r>
          <a:endParaRPr lang="en-GB" sz="1100" b="1" baseline="0">
            <a:solidFill>
              <a:schemeClr val="accent2"/>
            </a:solidFill>
          </a:endParaRPr>
        </a:p>
        <a:p>
          <a:endParaRPr lang="en-GB" sz="1100" b="0" baseline="0">
            <a:solidFill>
              <a:sysClr val="windowText" lastClr="000000"/>
            </a:solidFill>
          </a:endParaRPr>
        </a:p>
        <a:p>
          <a:r>
            <a:rPr lang="en-GB" sz="1100" b="0" baseline="0">
              <a:solidFill>
                <a:sysClr val="windowText" lastClr="000000"/>
              </a:solidFill>
            </a:rPr>
            <a:t>This tool allows seperate and combined analyses for different age groups. The agegroups can be toggled on or of by checking or unchecking the boxes under </a:t>
          </a:r>
          <a:r>
            <a:rPr lang="en-GB" sz="1100" b="1" i="0" u="none" strike="noStrike">
              <a:solidFill>
                <a:schemeClr val="dk1"/>
              </a:solidFill>
              <a:effectLst/>
              <a:latin typeface="+mn-lt"/>
              <a:ea typeface="+mn-ea"/>
              <a:cs typeface="+mn-cs"/>
            </a:rPr>
            <a:t>Scenario CE analysis</a:t>
          </a:r>
          <a:r>
            <a:rPr lang="en-GB"/>
            <a:t> </a:t>
          </a:r>
          <a:endParaRPr lang="en-GB" sz="1100" b="1" i="0" u="none" strike="noStrike">
            <a:solidFill>
              <a:schemeClr val="dk1"/>
            </a:solidFill>
            <a:effectLst/>
            <a:latin typeface="+mn-lt"/>
            <a:ea typeface="+mn-ea"/>
            <a:cs typeface="+mn-cs"/>
          </a:endParaRPr>
        </a:p>
        <a:p>
          <a:endParaRPr lang="en-GB" sz="1100" b="1" i="0" u="none" strike="noStrike" baseline="0">
            <a:solidFill>
              <a:schemeClr val="dk1"/>
            </a:solidFill>
            <a:effectLst/>
            <a:latin typeface="+mn-lt"/>
            <a:ea typeface="+mn-ea"/>
            <a:cs typeface="+mn-cs"/>
          </a:endParaRPr>
        </a:p>
        <a:p>
          <a:r>
            <a:rPr lang="en-GB" sz="1100" b="1" i="0" u="none" strike="noStrike" baseline="0">
              <a:solidFill>
                <a:schemeClr val="dk1"/>
              </a:solidFill>
              <a:effectLst/>
              <a:latin typeface="+mn-lt"/>
              <a:ea typeface="+mn-ea"/>
              <a:cs typeface="+mn-cs"/>
            </a:rPr>
            <a:t>Vaccination of risk groups </a:t>
          </a:r>
          <a:r>
            <a:rPr lang="en-GB" sz="1100" b="0" i="0" u="none" strike="noStrike" baseline="0">
              <a:solidFill>
                <a:schemeClr val="dk1"/>
              </a:solidFill>
              <a:effectLst/>
              <a:latin typeface="+mn-lt"/>
              <a:ea typeface="+mn-ea"/>
              <a:cs typeface="+mn-cs"/>
            </a:rPr>
            <a:t>can be modelled by selecting the corresponding age groups and estimating the proportion of the population at risk. Note: only patients at risk will be vaccinated, so if you are for example intested in estimating the entire agegroup, the population at risk will be 100%.  (you may have to alter the utility for at risk patients accordingly)</a:t>
          </a:r>
        </a:p>
        <a:p>
          <a:endParaRPr lang="en-GB" sz="1100" b="0" i="0" u="none" strike="noStrike" baseline="0">
            <a:solidFill>
              <a:schemeClr val="dk1"/>
            </a:solidFill>
            <a:effectLst/>
            <a:latin typeface="+mn-lt"/>
            <a:ea typeface="+mn-ea"/>
            <a:cs typeface="+mn-cs"/>
          </a:endParaRPr>
        </a:p>
        <a:p>
          <a:r>
            <a:rPr lang="en-GB" sz="1100" b="1" i="0" u="none" strike="noStrike" baseline="0">
              <a:solidFill>
                <a:schemeClr val="dk1"/>
              </a:solidFill>
              <a:effectLst/>
              <a:latin typeface="+mn-lt"/>
              <a:ea typeface="+mn-ea"/>
              <a:cs typeface="+mn-cs"/>
            </a:rPr>
            <a:t>Vaccination coverage</a:t>
          </a:r>
        </a:p>
        <a:p>
          <a:r>
            <a:rPr lang="en-GB" sz="1100" b="0" i="0" u="none" strike="noStrike" baseline="0">
              <a:solidFill>
                <a:schemeClr val="dk1"/>
              </a:solidFill>
              <a:effectLst/>
              <a:latin typeface="+mn-lt"/>
              <a:ea typeface="+mn-ea"/>
              <a:cs typeface="+mn-cs"/>
            </a:rPr>
            <a:t>As influenza vaccination may already be implemented, the current vaccination coverage can be filled in under " current influenza coverage" .  For the scenario analysis, the estimated proportion of patients </a:t>
          </a:r>
          <a:r>
            <a:rPr lang="en-GB" sz="1100" b="1" i="0" u="none" strike="noStrike" baseline="0">
              <a:solidFill>
                <a:schemeClr val="dk1"/>
              </a:solidFill>
              <a:effectLst/>
              <a:latin typeface="+mn-lt"/>
              <a:ea typeface="+mn-ea"/>
              <a:cs typeface="+mn-cs"/>
            </a:rPr>
            <a:t>at risk </a:t>
          </a:r>
          <a:r>
            <a:rPr lang="en-GB" sz="1100" b="0" i="0" u="none" strike="noStrike" baseline="0">
              <a:solidFill>
                <a:schemeClr val="dk1"/>
              </a:solidFill>
              <a:effectLst/>
              <a:latin typeface="+mn-lt"/>
              <a:ea typeface="+mn-ea"/>
              <a:cs typeface="+mn-cs"/>
            </a:rPr>
            <a:t>who receive vaccination in can be inserted under " Expected coverage in population at risk (%) for intervention scenario" </a:t>
          </a:r>
        </a:p>
        <a:p>
          <a:endParaRPr lang="en-GB" sz="1100" b="0" i="0" u="none" strike="noStrike" baseline="0">
            <a:solidFill>
              <a:schemeClr val="dk1"/>
            </a:solidFill>
            <a:effectLst/>
            <a:latin typeface="+mn-lt"/>
            <a:ea typeface="+mn-ea"/>
            <a:cs typeface="+mn-cs"/>
          </a:endParaRPr>
        </a:p>
        <a:p>
          <a:r>
            <a:rPr lang="en-GB" sz="1100" b="1" baseline="0">
              <a:solidFill>
                <a:sysClr val="windowText" lastClr="000000"/>
              </a:solidFill>
            </a:rPr>
            <a:t>Influenza disease parameters</a:t>
          </a:r>
        </a:p>
        <a:p>
          <a:endParaRPr lang="en-GB" sz="1100" b="1" baseline="0">
            <a:solidFill>
              <a:sysClr val="windowText" lastClr="000000"/>
            </a:solidFill>
          </a:endParaRPr>
        </a:p>
        <a:p>
          <a:r>
            <a:rPr lang="en-GB" sz="1100" b="0" baseline="0">
              <a:solidFill>
                <a:sysClr val="windowText" lastClr="000000"/>
              </a:solidFill>
            </a:rPr>
            <a:t>Estimates for the attack rate are used to calculated the total number of clinical influenza cases. Additional estimates on influenza cases requiring outpatient medical attention or hospitalisation as well as the influenza-</a:t>
          </a:r>
          <a:r>
            <a:rPr lang="en-GB" sz="1100" b="0" baseline="0">
              <a:solidFill>
                <a:schemeClr val="dk1"/>
              </a:solidFill>
              <a:effectLst/>
              <a:latin typeface="+mn-lt"/>
              <a:ea typeface="+mn-ea"/>
              <a:cs typeface="+mn-cs"/>
            </a:rPr>
            <a:t>associated </a:t>
          </a:r>
          <a:r>
            <a:rPr lang="en-GB" sz="1100" b="0" baseline="0">
              <a:solidFill>
                <a:sysClr val="windowText" lastClr="000000"/>
              </a:solidFill>
            </a:rPr>
            <a:t>mortality rate can be  inserted in the adjecent collumns.</a:t>
          </a:r>
        </a:p>
        <a:p>
          <a:endParaRPr lang="en-GB" sz="1100" b="0" i="0" u="none" strike="noStrike" baseline="0">
            <a:solidFill>
              <a:sysClr val="windowText" lastClr="000000"/>
            </a:solidFill>
            <a:effectLst/>
            <a:latin typeface="+mn-lt"/>
            <a:ea typeface="+mn-ea"/>
            <a:cs typeface="+mn-cs"/>
          </a:endParaRPr>
        </a:p>
        <a:p>
          <a:r>
            <a:rPr lang="en-GB" sz="1100" b="1" i="0" u="none" strike="noStrike">
              <a:solidFill>
                <a:schemeClr val="dk1"/>
              </a:solidFill>
              <a:effectLst/>
              <a:latin typeface="+mn-lt"/>
              <a:ea typeface="+mn-ea"/>
              <a:cs typeface="+mn-cs"/>
            </a:rPr>
            <a:t>Economics &amp; utilities</a:t>
          </a:r>
        </a:p>
        <a:p>
          <a:r>
            <a:rPr lang="en-GB" sz="1100" b="0" i="0" u="none" strike="noStrike">
              <a:solidFill>
                <a:schemeClr val="dk1"/>
              </a:solidFill>
              <a:effectLst/>
              <a:latin typeface="+mn-lt"/>
              <a:ea typeface="+mn-ea"/>
              <a:cs typeface="+mn-cs"/>
            </a:rPr>
            <a:t>Parameters</a:t>
          </a:r>
          <a:r>
            <a:rPr lang="en-GB" sz="1100" b="0" i="0" u="none" strike="noStrike" baseline="0">
              <a:solidFill>
                <a:schemeClr val="dk1"/>
              </a:solidFill>
              <a:effectLst/>
              <a:latin typeface="+mn-lt"/>
              <a:ea typeface="+mn-ea"/>
              <a:cs typeface="+mn-cs"/>
            </a:rPr>
            <a:t> for costs and estimated utilities can be inserted in the corresponding cells. The discount rate is currently set at 1.5% but can be altered.</a:t>
          </a:r>
          <a:r>
            <a:rPr lang="en-GB"/>
            <a:t> </a:t>
          </a:r>
        </a:p>
        <a:p>
          <a:r>
            <a:rPr lang="en-GB" sz="1100" b="0" baseline="0">
              <a:solidFill>
                <a:sysClr val="windowText" lastClr="000000"/>
              </a:solidFill>
            </a:rPr>
            <a:t>The age specific mortality parameters resemble the (age-specific) probability of death for the general population.  </a:t>
          </a:r>
        </a:p>
        <a:p>
          <a:endParaRPr lang="en-GB" sz="1200" b="0" baseline="0">
            <a:solidFill>
              <a:sysClr val="windowText" lastClr="000000"/>
            </a:solidFill>
          </a:endParaRPr>
        </a:p>
        <a:p>
          <a:r>
            <a:rPr lang="en-GB" sz="1200" b="0" baseline="0">
              <a:solidFill>
                <a:sysClr val="windowText" lastClr="000000"/>
              </a:solidFill>
            </a:rPr>
            <a:t>"</a:t>
          </a:r>
          <a:r>
            <a:rPr lang="en-GB" sz="1200" b="1" baseline="0">
              <a:solidFill>
                <a:sysClr val="windowText" lastClr="000000"/>
              </a:solidFill>
            </a:rPr>
            <a:t>Calculations" sheet</a:t>
          </a:r>
        </a:p>
        <a:p>
          <a:endParaRPr lang="en-GB" sz="1100" b="1" baseline="0">
            <a:solidFill>
              <a:sysClr val="windowText" lastClr="000000"/>
            </a:solidFill>
          </a:endParaRPr>
        </a:p>
        <a:p>
          <a:r>
            <a:rPr lang="en-GB" sz="1100" b="0" baseline="0">
              <a:solidFill>
                <a:sysClr val="windowText" lastClr="000000"/>
              </a:solidFill>
            </a:rPr>
            <a:t>This sheet is for calculating the incremental costs and effects of influenza vaccination given the input parameters provided in the inputs sheet. </a:t>
          </a:r>
        </a:p>
        <a:p>
          <a:endParaRPr lang="en-GB" sz="1100" b="0" baseline="0">
            <a:solidFill>
              <a:sysClr val="windowText" lastClr="000000"/>
            </a:solidFill>
          </a:endParaRPr>
        </a:p>
        <a:p>
          <a:r>
            <a:rPr lang="en-GB" sz="1200" b="0" baseline="0">
              <a:solidFill>
                <a:sysClr val="windowText" lastClr="000000"/>
              </a:solidFill>
            </a:rPr>
            <a:t>" </a:t>
          </a:r>
          <a:r>
            <a:rPr lang="en-GB" sz="1200" b="1" baseline="0">
              <a:solidFill>
                <a:sysClr val="windowText" lastClr="000000"/>
              </a:solidFill>
            </a:rPr>
            <a:t>Lists sheet"</a:t>
          </a:r>
        </a:p>
        <a:p>
          <a:r>
            <a:rPr lang="en-GB" sz="1100" b="0" baseline="0">
              <a:solidFill>
                <a:sysClr val="windowText" lastClr="000000"/>
              </a:solidFill>
            </a:rPr>
            <a:t>This sheet contains information for various countries such as the population estimates.</a:t>
          </a:r>
        </a:p>
        <a:p>
          <a:endParaRPr lang="en-GB" sz="1100" b="0" baseline="0">
            <a:solidFill>
              <a:sysClr val="windowText" lastClr="000000"/>
            </a:solidFill>
          </a:endParaRPr>
        </a:p>
        <a:p>
          <a:r>
            <a:rPr lang="en-GB" sz="1200" b="1" baseline="0">
              <a:solidFill>
                <a:sysClr val="windowText" lastClr="000000"/>
              </a:solidFill>
            </a:rPr>
            <a:t>" Life Expectancy" sheet</a:t>
          </a:r>
        </a:p>
        <a:p>
          <a:r>
            <a:rPr lang="en-GB" sz="1100" b="0" baseline="0">
              <a:solidFill>
                <a:sysClr val="windowText" lastClr="000000"/>
              </a:solidFill>
            </a:rPr>
            <a:t>Here are the lost life years and QALYs calculated </a:t>
          </a:r>
        </a:p>
        <a:p>
          <a:endParaRPr lang="en-GB" sz="1200" b="0" baseline="0">
            <a:solidFill>
              <a:sysClr val="windowText" lastClr="000000"/>
            </a:solidFill>
          </a:endParaRPr>
        </a:p>
        <a:p>
          <a:r>
            <a:rPr lang="en-GB" sz="1200" b="1" baseline="0">
              <a:solidFill>
                <a:sysClr val="windowText" lastClr="000000"/>
              </a:solidFill>
            </a:rPr>
            <a:t>" Summary results"  sheet</a:t>
          </a:r>
        </a:p>
        <a:p>
          <a:r>
            <a:rPr lang="en-GB" sz="1100" b="0" baseline="0">
              <a:solidFill>
                <a:sysClr val="windowText" lastClr="000000"/>
              </a:solidFill>
            </a:rPr>
            <a:t>On this sheet all results from the analysis are displayed.</a:t>
          </a:r>
        </a:p>
        <a:p>
          <a:endParaRPr lang="en-GB" sz="1100" b="0" baseline="0">
            <a:solidFill>
              <a:sysClr val="windowText" lastClr="000000"/>
            </a:solidFill>
          </a:endParaRPr>
        </a:p>
        <a:p>
          <a:endParaRPr lang="en-GB" sz="1100" b="0" baseline="0">
            <a:solidFill>
              <a:sysClr val="windowText" lastClr="000000"/>
            </a:solidFill>
          </a:endParaRPr>
        </a:p>
        <a:p>
          <a:endParaRPr lang="en-GB" sz="1100" b="0" baseline="0">
            <a:solidFill>
              <a:sysClr val="windowText" lastClr="000000"/>
            </a:solidFill>
          </a:endParaRPr>
        </a:p>
        <a:p>
          <a:endParaRPr lang="en-GB" sz="1100" b="0" baseline="0">
            <a:solidFill>
              <a:sysClr val="windowText" lastClr="000000"/>
            </a:solidFill>
          </a:endParaRPr>
        </a:p>
        <a:p>
          <a:endParaRPr lang="en-GB" sz="1100" b="0" baseline="0">
            <a:solidFill>
              <a:sysClr val="windowText" lastClr="000000"/>
            </a:solidFill>
          </a:endParaRPr>
        </a:p>
        <a:p>
          <a:endParaRPr lang="en-GB" sz="1100" b="1" baseline="0">
            <a:solidFill>
              <a:schemeClr val="tx2">
                <a:lumMod val="60000"/>
                <a:lumOff val="40000"/>
              </a:schemeClr>
            </a:solidFill>
          </a:endParaRPr>
        </a:p>
      </xdr:txBody>
    </xdr:sp>
    <xdr:clientData/>
  </xdr:twoCellAnchor>
  <xdr:twoCellAnchor>
    <xdr:from>
      <xdr:col>18</xdr:col>
      <xdr:colOff>438150</xdr:colOff>
      <xdr:row>2</xdr:row>
      <xdr:rowOff>47625</xdr:rowOff>
    </xdr:from>
    <xdr:to>
      <xdr:col>26</xdr:col>
      <xdr:colOff>419100</xdr:colOff>
      <xdr:row>22</xdr:row>
      <xdr:rowOff>104775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1410950" y="428625"/>
          <a:ext cx="4857750" cy="3867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Things to be added after discussion;</a:t>
          </a:r>
        </a:p>
        <a:p>
          <a:endParaRPr lang="en-GB" sz="1100"/>
        </a:p>
        <a:p>
          <a:r>
            <a:rPr lang="en-GB" sz="1100"/>
            <a:t>-Maternal</a:t>
          </a:r>
          <a:r>
            <a:rPr lang="en-GB" sz="1100" baseline="0"/>
            <a:t> vaccination, to what exted should it be incoorporated in the model?</a:t>
          </a:r>
        </a:p>
        <a:p>
          <a:endParaRPr lang="en-GB" sz="1100" baseline="0"/>
        </a:p>
        <a:p>
          <a:r>
            <a:rPr lang="en-GB" sz="1100" baseline="0"/>
            <a:t>-Productivity losses as a result from influenza-associated mortality, which method</a:t>
          </a:r>
        </a:p>
        <a:p>
          <a:endParaRPr lang="en-GB" sz="1100" baseline="0"/>
        </a:p>
        <a:p>
          <a:r>
            <a:rPr lang="en-GB" sz="1100" baseline="0"/>
            <a:t>-General mortality table -&gt; now age specific by year, could argue this is better per 5-year so we can use general WHO estimates</a:t>
          </a:r>
        </a:p>
        <a:p>
          <a:endParaRPr lang="en-GB" sz="1100" baseline="0"/>
        </a:p>
        <a:p>
          <a:r>
            <a:rPr lang="en-GB" sz="1100" baseline="0"/>
            <a:t>-Other display of results, i.e. figures</a:t>
          </a:r>
        </a:p>
        <a:p>
          <a:endParaRPr lang="en-GB" sz="1100" baseline="0"/>
        </a:p>
        <a:p>
          <a:r>
            <a:rPr lang="en-GB" sz="1100" baseline="0"/>
            <a:t>-Parametrization of the model</a:t>
          </a:r>
        </a:p>
        <a:p>
          <a:endParaRPr lang="en-GB" sz="1100" baseline="0"/>
        </a:p>
        <a:p>
          <a:r>
            <a:rPr lang="en-GB" sz="1100" baseline="0"/>
            <a:t>-...</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464820</xdr:colOff>
          <xdr:row>29</xdr:row>
          <xdr:rowOff>7620</xdr:rowOff>
        </xdr:from>
        <xdr:to>
          <xdr:col>1</xdr:col>
          <xdr:colOff>2019300</xdr:colOff>
          <xdr:row>30</xdr:row>
          <xdr:rowOff>30480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480060</xdr:colOff>
          <xdr:row>30</xdr:row>
          <xdr:rowOff>175260</xdr:rowOff>
        </xdr:from>
        <xdr:to>
          <xdr:col>1</xdr:col>
          <xdr:colOff>2042160</xdr:colOff>
          <xdr:row>32</xdr:row>
          <xdr:rowOff>7620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464820</xdr:colOff>
          <xdr:row>32</xdr:row>
          <xdr:rowOff>0</xdr:rowOff>
        </xdr:from>
        <xdr:to>
          <xdr:col>1</xdr:col>
          <xdr:colOff>2019300</xdr:colOff>
          <xdr:row>33</xdr:row>
          <xdr:rowOff>22860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464820</xdr:colOff>
          <xdr:row>33</xdr:row>
          <xdr:rowOff>0</xdr:rowOff>
        </xdr:from>
        <xdr:to>
          <xdr:col>1</xdr:col>
          <xdr:colOff>2026920</xdr:colOff>
          <xdr:row>34</xdr:row>
          <xdr:rowOff>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28</xdr:row>
          <xdr:rowOff>0</xdr:rowOff>
        </xdr:from>
        <xdr:to>
          <xdr:col>1</xdr:col>
          <xdr:colOff>2019300</xdr:colOff>
          <xdr:row>29</xdr:row>
          <xdr:rowOff>30480</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19</xdr:row>
          <xdr:rowOff>76200</xdr:rowOff>
        </xdr:from>
        <xdr:to>
          <xdr:col>2</xdr:col>
          <xdr:colOff>1531620</xdr:colOff>
          <xdr:row>22</xdr:row>
          <xdr:rowOff>152400</xdr:rowOff>
        </xdr:to>
        <xdr:sp macro="" textlink="">
          <xdr:nvSpPr>
            <xdr:cNvPr id="2087" name="List Box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1524000</xdr:colOff>
          <xdr:row>44</xdr:row>
          <xdr:rowOff>7620</xdr:rowOff>
        </xdr:from>
        <xdr:to>
          <xdr:col>1</xdr:col>
          <xdr:colOff>1836420</xdr:colOff>
          <xdr:row>44</xdr:row>
          <xdr:rowOff>175260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49</xdr:row>
          <xdr:rowOff>7620</xdr:rowOff>
        </xdr:from>
        <xdr:to>
          <xdr:col>1</xdr:col>
          <xdr:colOff>1836420</xdr:colOff>
          <xdr:row>50</xdr:row>
          <xdr:rowOff>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1211580</xdr:colOff>
          <xdr:row>49</xdr:row>
          <xdr:rowOff>175260</xdr:rowOff>
        </xdr:from>
        <xdr:to>
          <xdr:col>1</xdr:col>
          <xdr:colOff>1866900</xdr:colOff>
          <xdr:row>50</xdr:row>
          <xdr:rowOff>160020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1381123</xdr:colOff>
      <xdr:row>113</xdr:row>
      <xdr:rowOff>19050</xdr:rowOff>
    </xdr:from>
    <xdr:to>
      <xdr:col>9</xdr:col>
      <xdr:colOff>1257301</xdr:colOff>
      <xdr:row>117</xdr:row>
      <xdr:rowOff>95250</xdr:rowOff>
    </xdr:to>
    <xdr:sp macro="" textlink="">
      <xdr:nvSpPr>
        <xdr:cNvPr id="2" name="Right Arrow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0220323" y="13392150"/>
          <a:ext cx="1876428" cy="838200"/>
        </a:xfrm>
        <a:prstGeom prst="rightArrow">
          <a:avLst>
            <a:gd name="adj1" fmla="val 56818"/>
            <a:gd name="adj2" fmla="val 50000"/>
          </a:avLst>
        </a:prstGeom>
        <a:ln w="19050">
          <a:solidFill>
            <a:schemeClr val="tx2">
              <a:lumMod val="20000"/>
              <a:lumOff val="80000"/>
            </a:schemeClr>
          </a:solidFill>
        </a:ln>
        <a:effectLst>
          <a:outerShdw blurRad="76200" dist="50800" dir="2700000" algn="tl" rotWithShape="0">
            <a:prstClr val="black">
              <a:alpha val="34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Go to step 2:</a:t>
          </a:r>
          <a:br>
            <a:rPr lang="en-US" sz="1100"/>
          </a:br>
          <a:r>
            <a:rPr lang="en-US" sz="1100" b="1" i="1"/>
            <a:t>Burden of Disease</a:t>
          </a:r>
        </a:p>
      </xdr:txBody>
    </xdr:sp>
    <xdr:clientData/>
  </xdr:twoCellAnchor>
  <mc:AlternateContent xmlns:mc="http://schemas.openxmlformats.org/markup-compatibility/2006">
    <mc:Choice xmlns:a14="http://schemas.microsoft.com/office/drawing/2010/main" Requires="a14">
      <xdr:twoCellAnchor editAs="oneCell">
        <xdr:from>
          <xdr:col>1</xdr:col>
          <xdr:colOff>449580</xdr:colOff>
          <xdr:row>29</xdr:row>
          <xdr:rowOff>182880</xdr:rowOff>
        </xdr:from>
        <xdr:to>
          <xdr:col>1</xdr:col>
          <xdr:colOff>2011680</xdr:colOff>
          <xdr:row>31</xdr:row>
          <xdr:rowOff>7620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1516380</xdr:colOff>
          <xdr:row>44</xdr:row>
          <xdr:rowOff>160020</xdr:rowOff>
        </xdr:from>
        <xdr:to>
          <xdr:col>1</xdr:col>
          <xdr:colOff>1836420</xdr:colOff>
          <xdr:row>45</xdr:row>
          <xdr:rowOff>175260</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480060</xdr:colOff>
          <xdr:row>34</xdr:row>
          <xdr:rowOff>0</xdr:rowOff>
        </xdr:from>
        <xdr:to>
          <xdr:col>1</xdr:col>
          <xdr:colOff>2042160</xdr:colOff>
          <xdr:row>35</xdr:row>
          <xdr:rowOff>22860</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9</xdr:col>
      <xdr:colOff>509057</xdr:colOff>
      <xdr:row>0</xdr:row>
      <xdr:rowOff>219226</xdr:rowOff>
    </xdr:from>
    <xdr:ext cx="2038352" cy="594632"/>
    <xdr:sp macro="[0]!show_interface" textlink="">
      <xdr:nvSpPr>
        <xdr:cNvPr id="3" name="Rectangle 2">
          <a:extLst>
            <a:ext uri="{FF2B5EF4-FFF2-40B4-BE49-F238E27FC236}">
              <a16:creationId xmlns:a16="http://schemas.microsoft.com/office/drawing/2014/main" id="{00000000-0008-0000-0100-000003000000}"/>
            </a:ext>
          </a:extLst>
        </xdr:cNvPr>
        <xdr:cNvSpPr/>
      </xdr:nvSpPr>
      <xdr:spPr>
        <a:xfrm>
          <a:off x="10764307" y="219226"/>
          <a:ext cx="2038352" cy="594632"/>
        </a:xfrm>
        <a:prstGeom prst="rect">
          <a:avLst/>
        </a:prstGeom>
        <a:solidFill>
          <a:schemeClr val="accent2">
            <a:lumMod val="75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0">
          <a:noAutofit/>
        </a:bodyPr>
        <a:lstStyle/>
        <a:p>
          <a:pPr algn="l"/>
          <a:r>
            <a:rPr lang="en-US" sz="1400"/>
            <a:t>Go </a:t>
          </a:r>
          <a:r>
            <a:rPr lang="en-US" sz="1400" baseline="0"/>
            <a:t>back</a:t>
          </a:r>
          <a:r>
            <a:rPr lang="en-US" sz="1400"/>
            <a:t> to user interface</a:t>
          </a:r>
        </a:p>
      </xdr:txBody>
    </xdr:sp>
    <xdr:clientData/>
  </xdr:oneCellAnchor>
  <mc:AlternateContent xmlns:mc="http://schemas.openxmlformats.org/markup-compatibility/2006">
    <mc:Choice xmlns:a14="http://schemas.microsoft.com/office/drawing/2010/main" Requires="a14">
      <xdr:twoCellAnchor editAs="oneCell">
        <xdr:from>
          <xdr:col>1</xdr:col>
          <xdr:colOff>464820</xdr:colOff>
          <xdr:row>37</xdr:row>
          <xdr:rowOff>7620</xdr:rowOff>
        </xdr:from>
        <xdr:to>
          <xdr:col>1</xdr:col>
          <xdr:colOff>2019300</xdr:colOff>
          <xdr:row>38</xdr:row>
          <xdr:rowOff>30480</xdr:rowOff>
        </xdr:to>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480060</xdr:colOff>
          <xdr:row>38</xdr:row>
          <xdr:rowOff>175260</xdr:rowOff>
        </xdr:from>
        <xdr:to>
          <xdr:col>1</xdr:col>
          <xdr:colOff>2042160</xdr:colOff>
          <xdr:row>40</xdr:row>
          <xdr:rowOff>7620</xdr:rowOff>
        </xdr:to>
        <xdr:sp macro="" textlink="">
          <xdr:nvSpPr>
            <xdr:cNvPr id="2110" name="Check Box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464820</xdr:colOff>
          <xdr:row>40</xdr:row>
          <xdr:rowOff>0</xdr:rowOff>
        </xdr:from>
        <xdr:to>
          <xdr:col>1</xdr:col>
          <xdr:colOff>2019300</xdr:colOff>
          <xdr:row>41</xdr:row>
          <xdr:rowOff>22860</xdr:rowOff>
        </xdr:to>
        <xdr:sp macro="" textlink="">
          <xdr:nvSpPr>
            <xdr:cNvPr id="2111" name="Check Box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464820</xdr:colOff>
          <xdr:row>41</xdr:row>
          <xdr:rowOff>0</xdr:rowOff>
        </xdr:from>
        <xdr:to>
          <xdr:col>1</xdr:col>
          <xdr:colOff>2026920</xdr:colOff>
          <xdr:row>42</xdr:row>
          <xdr:rowOff>0</xdr:rowOff>
        </xdr:to>
        <xdr:sp macro="" textlink="">
          <xdr:nvSpPr>
            <xdr:cNvPr id="2112" name="Check Box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36</xdr:row>
          <xdr:rowOff>0</xdr:rowOff>
        </xdr:from>
        <xdr:to>
          <xdr:col>1</xdr:col>
          <xdr:colOff>2019300</xdr:colOff>
          <xdr:row>37</xdr:row>
          <xdr:rowOff>30480</xdr:rowOff>
        </xdr:to>
        <xdr:sp macro="" textlink="">
          <xdr:nvSpPr>
            <xdr:cNvPr id="2113" name="Check Box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449580</xdr:colOff>
          <xdr:row>37</xdr:row>
          <xdr:rowOff>182880</xdr:rowOff>
        </xdr:from>
        <xdr:to>
          <xdr:col>1</xdr:col>
          <xdr:colOff>2011680</xdr:colOff>
          <xdr:row>39</xdr:row>
          <xdr:rowOff>7620</xdr:rowOff>
        </xdr:to>
        <xdr:sp macro="" textlink="">
          <xdr:nvSpPr>
            <xdr:cNvPr id="2114" name="Check Box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480060</xdr:colOff>
          <xdr:row>42</xdr:row>
          <xdr:rowOff>0</xdr:rowOff>
        </xdr:from>
        <xdr:to>
          <xdr:col>1</xdr:col>
          <xdr:colOff>2042160</xdr:colOff>
          <xdr:row>43</xdr:row>
          <xdr:rowOff>22860</xdr:rowOff>
        </xdr:to>
        <xdr:sp macro="" textlink="">
          <xdr:nvSpPr>
            <xdr:cNvPr id="2115" name="Check Box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1508760</xdr:colOff>
          <xdr:row>45</xdr:row>
          <xdr:rowOff>160020</xdr:rowOff>
        </xdr:from>
        <xdr:to>
          <xdr:col>1</xdr:col>
          <xdr:colOff>1836420</xdr:colOff>
          <xdr:row>46</xdr:row>
          <xdr:rowOff>175260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1508760</xdr:colOff>
          <xdr:row>46</xdr:row>
          <xdr:rowOff>160020</xdr:rowOff>
        </xdr:from>
        <xdr:to>
          <xdr:col>2</xdr:col>
          <xdr:colOff>883920</xdr:colOff>
          <xdr:row>48</xdr:row>
          <xdr:rowOff>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1558780</xdr:colOff>
      <xdr:row>23</xdr:row>
      <xdr:rowOff>138071</xdr:rowOff>
    </xdr:from>
    <xdr:to>
      <xdr:col>10</xdr:col>
      <xdr:colOff>356696</xdr:colOff>
      <xdr:row>50</xdr:row>
      <xdr:rowOff>22412</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609599</xdr:colOff>
      <xdr:row>1</xdr:row>
      <xdr:rowOff>190499</xdr:rowOff>
    </xdr:from>
    <xdr:to>
      <xdr:col>9</xdr:col>
      <xdr:colOff>390524</xdr:colOff>
      <xdr:row>20</xdr:row>
      <xdr:rowOff>123824</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18</xdr:col>
      <xdr:colOff>26975</xdr:colOff>
      <xdr:row>98</xdr:row>
      <xdr:rowOff>0</xdr:rowOff>
    </xdr:from>
    <xdr:to>
      <xdr:col>22</xdr:col>
      <xdr:colOff>2089</xdr:colOff>
      <xdr:row>109</xdr:row>
      <xdr:rowOff>67235</xdr:rowOff>
    </xdr:to>
    <xdr:pic>
      <xdr:nvPicPr>
        <xdr:cNvPr id="2" name="Picture 1" descr="http://www.who.int/about/regions/en/WHO_Regions.gif">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5491093" y="19173265"/>
          <a:ext cx="3370496" cy="21627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552450</xdr:colOff>
      <xdr:row>185</xdr:row>
      <xdr:rowOff>152400</xdr:rowOff>
    </xdr:from>
    <xdr:to>
      <xdr:col>9</xdr:col>
      <xdr:colOff>3</xdr:colOff>
      <xdr:row>190</xdr:row>
      <xdr:rowOff>38100</xdr:rowOff>
    </xdr:to>
    <xdr:sp macro="" textlink="">
      <xdr:nvSpPr>
        <xdr:cNvPr id="3" name="Right Arrow 2">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a:xfrm>
          <a:off x="10125075" y="13058775"/>
          <a:ext cx="1876428" cy="838200"/>
        </a:xfrm>
        <a:prstGeom prst="rightArrow">
          <a:avLst>
            <a:gd name="adj1" fmla="val 56818"/>
            <a:gd name="adj2" fmla="val 50000"/>
          </a:avLst>
        </a:prstGeom>
        <a:ln w="19050">
          <a:solidFill>
            <a:schemeClr val="tx2">
              <a:lumMod val="20000"/>
              <a:lumOff val="80000"/>
            </a:schemeClr>
          </a:solidFill>
        </a:ln>
        <a:effectLst>
          <a:outerShdw blurRad="76200" dist="50800" dir="2700000" algn="tl" rotWithShape="0">
            <a:prstClr val="black">
              <a:alpha val="34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Go to step 3:</a:t>
          </a:r>
          <a:br>
            <a:rPr lang="en-US" sz="1100"/>
          </a:br>
          <a:r>
            <a:rPr lang="en-US" sz="1100" b="1" i="1"/>
            <a:t>Vaccine Efficacy</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581025</xdr:colOff>
      <xdr:row>696</xdr:row>
      <xdr:rowOff>0</xdr:rowOff>
    </xdr:from>
    <xdr:to>
      <xdr:col>7</xdr:col>
      <xdr:colOff>219078</xdr:colOff>
      <xdr:row>700</xdr:row>
      <xdr:rowOff>76200</xdr:rowOff>
    </xdr:to>
    <xdr:sp macro="" textlink="">
      <xdr:nvSpPr>
        <xdr:cNvPr id="2" name="Right Arrow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448300" y="48796575"/>
          <a:ext cx="1876428" cy="838200"/>
        </a:xfrm>
        <a:prstGeom prst="rightArrow">
          <a:avLst>
            <a:gd name="adj1" fmla="val 56818"/>
            <a:gd name="adj2" fmla="val 50000"/>
          </a:avLst>
        </a:prstGeom>
        <a:ln w="19050">
          <a:solidFill>
            <a:schemeClr val="tx2">
              <a:lumMod val="20000"/>
              <a:lumOff val="80000"/>
            </a:schemeClr>
          </a:solidFill>
        </a:ln>
        <a:effectLst>
          <a:outerShdw blurRad="76200" dist="50800" dir="2700000" algn="tl" rotWithShape="0">
            <a:prstClr val="black">
              <a:alpha val="34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Go to step 5:</a:t>
          </a:r>
          <a:br>
            <a:rPr lang="en-US" sz="1100"/>
          </a:br>
          <a:r>
            <a:rPr lang="en-US" sz="1100" b="1" i="1"/>
            <a:t>Quality of Life</a:t>
          </a:r>
        </a:p>
        <a:p>
          <a:pPr algn="l"/>
          <a:endParaRPr lang="en-US" sz="1100" b="1"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533400</xdr:colOff>
      <xdr:row>291</xdr:row>
      <xdr:rowOff>141514</xdr:rowOff>
    </xdr:from>
    <xdr:to>
      <xdr:col>13</xdr:col>
      <xdr:colOff>257178</xdr:colOff>
      <xdr:row>296</xdr:row>
      <xdr:rowOff>27214</xdr:rowOff>
    </xdr:to>
    <xdr:sp macro="" textlink="">
      <xdr:nvSpPr>
        <xdr:cNvPr id="7" name="Right Arrow 6">
          <a:hlinkClick xmlns:r="http://schemas.openxmlformats.org/officeDocument/2006/relationships" r:id="rId1"/>
          <a:extLst>
            <a:ext uri="{FF2B5EF4-FFF2-40B4-BE49-F238E27FC236}">
              <a16:creationId xmlns:a16="http://schemas.microsoft.com/office/drawing/2014/main" id="{00000000-0008-0000-0800-000007000000}"/>
            </a:ext>
          </a:extLst>
        </xdr:cNvPr>
        <xdr:cNvSpPr/>
      </xdr:nvSpPr>
      <xdr:spPr>
        <a:xfrm>
          <a:off x="11439525" y="56662864"/>
          <a:ext cx="1876428" cy="838200"/>
        </a:xfrm>
        <a:prstGeom prst="rightArrow">
          <a:avLst>
            <a:gd name="adj1" fmla="val 56818"/>
            <a:gd name="adj2" fmla="val 50000"/>
          </a:avLst>
        </a:prstGeom>
        <a:ln w="19050">
          <a:solidFill>
            <a:schemeClr val="tx2">
              <a:lumMod val="20000"/>
              <a:lumOff val="80000"/>
            </a:schemeClr>
          </a:solidFill>
        </a:ln>
        <a:effectLst>
          <a:outerShdw blurRad="76200" dist="50800" dir="2700000" algn="tl" rotWithShape="0">
            <a:prstClr val="black">
              <a:alpha val="34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Go to step 4:</a:t>
          </a:r>
          <a:br>
            <a:rPr lang="en-US" sz="1100"/>
          </a:br>
          <a:r>
            <a:rPr lang="en-US" sz="1100" b="1" i="1"/>
            <a:t>Costs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154781</xdr:colOff>
      <xdr:row>243</xdr:row>
      <xdr:rowOff>188118</xdr:rowOff>
    </xdr:from>
    <xdr:to>
      <xdr:col>17</xdr:col>
      <xdr:colOff>169072</xdr:colOff>
      <xdr:row>248</xdr:row>
      <xdr:rowOff>95250</xdr:rowOff>
    </xdr:to>
    <xdr:sp macro="" textlink="">
      <xdr:nvSpPr>
        <xdr:cNvPr id="2" name="Right Arrow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2025312" y="36930806"/>
          <a:ext cx="1764510" cy="859632"/>
        </a:xfrm>
        <a:prstGeom prst="rightArrow">
          <a:avLst>
            <a:gd name="adj1" fmla="val 56818"/>
            <a:gd name="adj2" fmla="val 50000"/>
          </a:avLst>
        </a:prstGeom>
        <a:ln w="19050">
          <a:solidFill>
            <a:schemeClr val="tx2">
              <a:lumMod val="20000"/>
              <a:lumOff val="80000"/>
            </a:schemeClr>
          </a:solidFill>
        </a:ln>
        <a:effectLst>
          <a:outerShdw blurRad="76200" dist="50800" dir="2700000" algn="tl" rotWithShape="0">
            <a:prstClr val="black">
              <a:alpha val="34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Go to step 6:</a:t>
          </a:r>
          <a:br>
            <a:rPr lang="en-US" sz="1100"/>
          </a:br>
          <a:r>
            <a:rPr lang="en-US" sz="1100" b="1" i="1"/>
            <a:t>Input Summary</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327660</xdr:colOff>
          <xdr:row>17</xdr:row>
          <xdr:rowOff>83820</xdr:rowOff>
        </xdr:from>
        <xdr:to>
          <xdr:col>0</xdr:col>
          <xdr:colOff>632460</xdr:colOff>
          <xdr:row>18</xdr:row>
          <xdr:rowOff>175260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1000-000004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71</xdr:row>
          <xdr:rowOff>30480</xdr:rowOff>
        </xdr:from>
        <xdr:to>
          <xdr:col>0</xdr:col>
          <xdr:colOff>647700</xdr:colOff>
          <xdr:row>72</xdr:row>
          <xdr:rowOff>114300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1000-000005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98</xdr:row>
          <xdr:rowOff>22860</xdr:rowOff>
        </xdr:from>
        <xdr:to>
          <xdr:col>0</xdr:col>
          <xdr:colOff>685800</xdr:colOff>
          <xdr:row>99</xdr:row>
          <xdr:rowOff>106680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1000-000007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128</xdr:row>
          <xdr:rowOff>22860</xdr:rowOff>
        </xdr:from>
        <xdr:to>
          <xdr:col>0</xdr:col>
          <xdr:colOff>579120</xdr:colOff>
          <xdr:row>129</xdr:row>
          <xdr:rowOff>121920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1000-000008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327660</xdr:colOff>
          <xdr:row>157</xdr:row>
          <xdr:rowOff>0</xdr:rowOff>
        </xdr:from>
        <xdr:to>
          <xdr:col>0</xdr:col>
          <xdr:colOff>632460</xdr:colOff>
          <xdr:row>158</xdr:row>
          <xdr:rowOff>106680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1000-000009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236220</xdr:colOff>
          <xdr:row>185</xdr:row>
          <xdr:rowOff>76200</xdr:rowOff>
        </xdr:from>
        <xdr:to>
          <xdr:col>0</xdr:col>
          <xdr:colOff>541020</xdr:colOff>
          <xdr:row>186</xdr:row>
          <xdr:rowOff>175260</xdr:rowOff>
        </xdr:to>
        <xdr:sp macro="" textlink="">
          <xdr:nvSpPr>
            <xdr:cNvPr id="7180" name="Check Box 12" hidden="1">
              <a:extLst>
                <a:ext uri="{63B3BB69-23CF-44E3-9099-C40C66FF867C}">
                  <a14:compatExt spid="_x0000_s7180"/>
                </a:ext>
                <a:ext uri="{FF2B5EF4-FFF2-40B4-BE49-F238E27FC236}">
                  <a16:creationId xmlns:a16="http://schemas.microsoft.com/office/drawing/2014/main" id="{00000000-0008-0000-1000-00000C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273</xdr:row>
          <xdr:rowOff>38100</xdr:rowOff>
        </xdr:from>
        <xdr:to>
          <xdr:col>0</xdr:col>
          <xdr:colOff>647700</xdr:colOff>
          <xdr:row>274</xdr:row>
          <xdr:rowOff>144780</xdr:rowOff>
        </xdr:to>
        <xdr:sp macro="" textlink="">
          <xdr:nvSpPr>
            <xdr:cNvPr id="7182" name="Check Box 14" hidden="1">
              <a:extLst>
                <a:ext uri="{63B3BB69-23CF-44E3-9099-C40C66FF867C}">
                  <a14:compatExt spid="_x0000_s7182"/>
                </a:ext>
                <a:ext uri="{FF2B5EF4-FFF2-40B4-BE49-F238E27FC236}">
                  <a16:creationId xmlns:a16="http://schemas.microsoft.com/office/drawing/2014/main" id="{00000000-0008-0000-1000-00000E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350520</xdr:colOff>
          <xdr:row>273</xdr:row>
          <xdr:rowOff>38100</xdr:rowOff>
        </xdr:from>
        <xdr:to>
          <xdr:col>11</xdr:col>
          <xdr:colOff>655320</xdr:colOff>
          <xdr:row>274</xdr:row>
          <xdr:rowOff>144780</xdr:rowOff>
        </xdr:to>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1000-00000F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297180</xdr:colOff>
          <xdr:row>301</xdr:row>
          <xdr:rowOff>22860</xdr:rowOff>
        </xdr:from>
        <xdr:to>
          <xdr:col>0</xdr:col>
          <xdr:colOff>601980</xdr:colOff>
          <xdr:row>302</xdr:row>
          <xdr:rowOff>121920</xdr:rowOff>
        </xdr:to>
        <xdr:sp macro="" textlink="">
          <xdr:nvSpPr>
            <xdr:cNvPr id="7184" name="Check Box 16" hidden="1">
              <a:extLst>
                <a:ext uri="{63B3BB69-23CF-44E3-9099-C40C66FF867C}">
                  <a14:compatExt spid="_x0000_s7184"/>
                </a:ext>
                <a:ext uri="{FF2B5EF4-FFF2-40B4-BE49-F238E27FC236}">
                  <a16:creationId xmlns:a16="http://schemas.microsoft.com/office/drawing/2014/main" id="{00000000-0008-0000-1000-000010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251460</xdr:colOff>
          <xdr:row>302</xdr:row>
          <xdr:rowOff>22860</xdr:rowOff>
        </xdr:from>
        <xdr:to>
          <xdr:col>11</xdr:col>
          <xdr:colOff>556260</xdr:colOff>
          <xdr:row>303</xdr:row>
          <xdr:rowOff>121920</xdr:rowOff>
        </xdr:to>
        <xdr:sp macro="" textlink="">
          <xdr:nvSpPr>
            <xdr:cNvPr id="7185" name="Check Box 17" hidden="1">
              <a:extLst>
                <a:ext uri="{63B3BB69-23CF-44E3-9099-C40C66FF867C}">
                  <a14:compatExt spid="_x0000_s7185"/>
                </a:ext>
                <a:ext uri="{FF2B5EF4-FFF2-40B4-BE49-F238E27FC236}">
                  <a16:creationId xmlns:a16="http://schemas.microsoft.com/office/drawing/2014/main" id="{00000000-0008-0000-1000-000011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213360</xdr:colOff>
          <xdr:row>585</xdr:row>
          <xdr:rowOff>83820</xdr:rowOff>
        </xdr:from>
        <xdr:to>
          <xdr:col>0</xdr:col>
          <xdr:colOff>518160</xdr:colOff>
          <xdr:row>586</xdr:row>
          <xdr:rowOff>175260</xdr:rowOff>
        </xdr:to>
        <xdr:sp macro="" textlink="">
          <xdr:nvSpPr>
            <xdr:cNvPr id="7191" name="Check Box 23" hidden="1">
              <a:extLst>
                <a:ext uri="{63B3BB69-23CF-44E3-9099-C40C66FF867C}">
                  <a14:compatExt spid="_x0000_s7191"/>
                </a:ext>
                <a:ext uri="{FF2B5EF4-FFF2-40B4-BE49-F238E27FC236}">
                  <a16:creationId xmlns:a16="http://schemas.microsoft.com/office/drawing/2014/main" id="{00000000-0008-0000-1000-000017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526</xdr:row>
          <xdr:rowOff>76200</xdr:rowOff>
        </xdr:from>
        <xdr:to>
          <xdr:col>0</xdr:col>
          <xdr:colOff>464820</xdr:colOff>
          <xdr:row>527</xdr:row>
          <xdr:rowOff>175260</xdr:rowOff>
        </xdr:to>
        <xdr:sp macro="" textlink="">
          <xdr:nvSpPr>
            <xdr:cNvPr id="7194" name="Check Box 26" hidden="1">
              <a:extLst>
                <a:ext uri="{63B3BB69-23CF-44E3-9099-C40C66FF867C}">
                  <a14:compatExt spid="_x0000_s7194"/>
                </a:ext>
                <a:ext uri="{FF2B5EF4-FFF2-40B4-BE49-F238E27FC236}">
                  <a16:creationId xmlns:a16="http://schemas.microsoft.com/office/drawing/2014/main" id="{00000000-0008-0000-1000-00001A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297180</xdr:colOff>
          <xdr:row>358</xdr:row>
          <xdr:rowOff>38100</xdr:rowOff>
        </xdr:from>
        <xdr:to>
          <xdr:col>11</xdr:col>
          <xdr:colOff>601980</xdr:colOff>
          <xdr:row>359</xdr:row>
          <xdr:rowOff>137160</xdr:rowOff>
        </xdr:to>
        <xdr:sp macro="" textlink="">
          <xdr:nvSpPr>
            <xdr:cNvPr id="7195" name="Check Box 27" hidden="1">
              <a:extLst>
                <a:ext uri="{63B3BB69-23CF-44E3-9099-C40C66FF867C}">
                  <a14:compatExt spid="_x0000_s7195"/>
                </a:ext>
                <a:ext uri="{FF2B5EF4-FFF2-40B4-BE49-F238E27FC236}">
                  <a16:creationId xmlns:a16="http://schemas.microsoft.com/office/drawing/2014/main" id="{00000000-0008-0000-1000-00001B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236220</xdr:colOff>
          <xdr:row>557</xdr:row>
          <xdr:rowOff>38100</xdr:rowOff>
        </xdr:from>
        <xdr:to>
          <xdr:col>0</xdr:col>
          <xdr:colOff>556260</xdr:colOff>
          <xdr:row>558</xdr:row>
          <xdr:rowOff>137160</xdr:rowOff>
        </xdr:to>
        <xdr:sp macro="" textlink="">
          <xdr:nvSpPr>
            <xdr:cNvPr id="7196" name="Check Box 28" hidden="1">
              <a:extLst>
                <a:ext uri="{63B3BB69-23CF-44E3-9099-C40C66FF867C}">
                  <a14:compatExt spid="_x0000_s7196"/>
                </a:ext>
                <a:ext uri="{FF2B5EF4-FFF2-40B4-BE49-F238E27FC236}">
                  <a16:creationId xmlns:a16="http://schemas.microsoft.com/office/drawing/2014/main" id="{00000000-0008-0000-1000-00001C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641</xdr:row>
          <xdr:rowOff>45720</xdr:rowOff>
        </xdr:from>
        <xdr:to>
          <xdr:col>0</xdr:col>
          <xdr:colOff>464820</xdr:colOff>
          <xdr:row>642</xdr:row>
          <xdr:rowOff>152400</xdr:rowOff>
        </xdr:to>
        <xdr:sp macro="" textlink="">
          <xdr:nvSpPr>
            <xdr:cNvPr id="7197" name="Check Box 29" hidden="1">
              <a:extLst>
                <a:ext uri="{63B3BB69-23CF-44E3-9099-C40C66FF867C}">
                  <a14:compatExt spid="_x0000_s7197"/>
                </a:ext>
                <a:ext uri="{FF2B5EF4-FFF2-40B4-BE49-F238E27FC236}">
                  <a16:creationId xmlns:a16="http://schemas.microsoft.com/office/drawing/2014/main" id="{00000000-0008-0000-1000-00001D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727</xdr:row>
          <xdr:rowOff>68580</xdr:rowOff>
        </xdr:from>
        <xdr:to>
          <xdr:col>0</xdr:col>
          <xdr:colOff>647700</xdr:colOff>
          <xdr:row>728</xdr:row>
          <xdr:rowOff>175260</xdr:rowOff>
        </xdr:to>
        <xdr:sp macro="" textlink="">
          <xdr:nvSpPr>
            <xdr:cNvPr id="7198" name="Check Box 30" hidden="1">
              <a:extLst>
                <a:ext uri="{63B3BB69-23CF-44E3-9099-C40C66FF867C}">
                  <a14:compatExt spid="_x0000_s7198"/>
                </a:ext>
                <a:ext uri="{FF2B5EF4-FFF2-40B4-BE49-F238E27FC236}">
                  <a16:creationId xmlns:a16="http://schemas.microsoft.com/office/drawing/2014/main" id="{00000000-0008-0000-1000-00001E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213360</xdr:colOff>
          <xdr:row>755</xdr:row>
          <xdr:rowOff>60960</xdr:rowOff>
        </xdr:from>
        <xdr:to>
          <xdr:col>0</xdr:col>
          <xdr:colOff>518160</xdr:colOff>
          <xdr:row>756</xdr:row>
          <xdr:rowOff>175260</xdr:rowOff>
        </xdr:to>
        <xdr:sp macro="" textlink="">
          <xdr:nvSpPr>
            <xdr:cNvPr id="7199" name="Check Box 31" hidden="1">
              <a:extLst>
                <a:ext uri="{63B3BB69-23CF-44E3-9099-C40C66FF867C}">
                  <a14:compatExt spid="_x0000_s7199"/>
                </a:ext>
                <a:ext uri="{FF2B5EF4-FFF2-40B4-BE49-F238E27FC236}">
                  <a16:creationId xmlns:a16="http://schemas.microsoft.com/office/drawing/2014/main" id="{00000000-0008-0000-1000-00001F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312420</xdr:colOff>
          <xdr:row>837</xdr:row>
          <xdr:rowOff>22860</xdr:rowOff>
        </xdr:from>
        <xdr:to>
          <xdr:col>0</xdr:col>
          <xdr:colOff>617220</xdr:colOff>
          <xdr:row>838</xdr:row>
          <xdr:rowOff>121920</xdr:rowOff>
        </xdr:to>
        <xdr:sp macro="" textlink="">
          <xdr:nvSpPr>
            <xdr:cNvPr id="7200" name="Check Box 32" hidden="1">
              <a:extLst>
                <a:ext uri="{63B3BB69-23CF-44E3-9099-C40C66FF867C}">
                  <a14:compatExt spid="_x0000_s7200"/>
                </a:ext>
                <a:ext uri="{FF2B5EF4-FFF2-40B4-BE49-F238E27FC236}">
                  <a16:creationId xmlns:a16="http://schemas.microsoft.com/office/drawing/2014/main" id="{00000000-0008-0000-1000-000020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12</xdr:row>
          <xdr:rowOff>68580</xdr:rowOff>
        </xdr:from>
        <xdr:to>
          <xdr:col>1</xdr:col>
          <xdr:colOff>647700</xdr:colOff>
          <xdr:row>13</xdr:row>
          <xdr:rowOff>152400</xdr:rowOff>
        </xdr:to>
        <xdr:sp macro="" textlink="">
          <xdr:nvSpPr>
            <xdr:cNvPr id="7201" name="Check Box 33" hidden="1">
              <a:extLst>
                <a:ext uri="{63B3BB69-23CF-44E3-9099-C40C66FF867C}">
                  <a14:compatExt spid="_x0000_s7201"/>
                </a:ext>
                <a:ext uri="{FF2B5EF4-FFF2-40B4-BE49-F238E27FC236}">
                  <a16:creationId xmlns:a16="http://schemas.microsoft.com/office/drawing/2014/main" id="{00000000-0008-0000-1000-000021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Select all boxes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251460</xdr:colOff>
          <xdr:row>11</xdr:row>
          <xdr:rowOff>106680</xdr:rowOff>
        </xdr:from>
        <xdr:to>
          <xdr:col>5</xdr:col>
          <xdr:colOff>731520</xdr:colOff>
          <xdr:row>14</xdr:row>
          <xdr:rowOff>99060</xdr:rowOff>
        </xdr:to>
        <xdr:sp macro="" textlink="">
          <xdr:nvSpPr>
            <xdr:cNvPr id="7202" name="Button 34" hidden="1">
              <a:extLst>
                <a:ext uri="{63B3BB69-23CF-44E3-9099-C40C66FF867C}">
                  <a14:compatExt spid="_x0000_s7202"/>
                </a:ext>
                <a:ext uri="{FF2B5EF4-FFF2-40B4-BE49-F238E27FC236}">
                  <a16:creationId xmlns:a16="http://schemas.microsoft.com/office/drawing/2014/main" id="{00000000-0008-0000-1000-00002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 PSA</a:t>
              </a:r>
            </a:p>
          </xdr:txBody>
        </xdr:sp>
        <xdr:clientData fPrintsWithSheet="0"/>
      </xdr:twoCellAnchor>
    </mc:Choice>
    <mc:Fallback/>
  </mc:AlternateContent>
  <xdr:twoCellAnchor>
    <xdr:from>
      <xdr:col>8</xdr:col>
      <xdr:colOff>0</xdr:colOff>
      <xdr:row>1</xdr:row>
      <xdr:rowOff>0</xdr:rowOff>
    </xdr:from>
    <xdr:to>
      <xdr:col>13</xdr:col>
      <xdr:colOff>739588</xdr:colOff>
      <xdr:row>9</xdr:row>
      <xdr:rowOff>54428</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5891893" y="190500"/>
          <a:ext cx="5012231" cy="1660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probabilistic sensitivity analysis (PSA) is a Bayesian approach to address  the impact of parameter uncertainty</a:t>
          </a:r>
          <a:r>
            <a:rPr lang="en-US" sz="1100" baseline="0"/>
            <a:t> on the incremental cost-effectiveness ratio (ICER). </a:t>
          </a:r>
        </a:p>
        <a:p>
          <a:endParaRPr lang="en-US" sz="1100" baseline="0"/>
        </a:p>
        <a:p>
          <a:r>
            <a:rPr lang="en-US" sz="1100" baseline="0"/>
            <a:t>Stepwise approach:</a:t>
          </a:r>
        </a:p>
        <a:p>
          <a:r>
            <a:rPr lang="en-US" sz="1100" baseline="0"/>
            <a:t>1) Select parameters to be included in the analysis</a:t>
          </a:r>
        </a:p>
        <a:p>
          <a:r>
            <a:rPr lang="en-US" sz="1100" baseline="0"/>
            <a:t>2) Select appropriate distribution of the parameter in this worksheet</a:t>
          </a:r>
        </a:p>
        <a:p>
          <a:r>
            <a:rPr lang="en-US" sz="1100" baseline="0"/>
            <a:t>3) To check PSA output, F9 can be pressed to obtain random PSA outputs.</a:t>
          </a:r>
        </a:p>
        <a:p>
          <a:r>
            <a:rPr lang="en-US" sz="1100" baseline="0"/>
            <a:t>4) When ready, press the button 'RUN PSA'.</a:t>
          </a:r>
        </a:p>
        <a:p>
          <a:r>
            <a:rPr lang="en-US" sz="1100" baseline="0"/>
            <a:t>5) PSA results are available in the worksheet 'PSA outputs'.</a:t>
          </a:r>
        </a:p>
        <a:p>
          <a:endParaRPr lang="en-US" sz="1100"/>
        </a:p>
        <a:p>
          <a:endParaRPr lang="en-US" sz="1100"/>
        </a:p>
        <a:p>
          <a:endParaRPr lang="en-US" sz="1100"/>
        </a:p>
        <a:p>
          <a:endParaRPr lang="en-US" sz="1100"/>
        </a:p>
        <a:p>
          <a:endParaRPr lang="en-US" sz="1100"/>
        </a:p>
      </xdr:txBody>
    </xdr:sp>
    <xdr:clientData/>
  </xdr:twoCellAnchor>
  <mc:AlternateContent xmlns:mc="http://schemas.openxmlformats.org/markup-compatibility/2006">
    <mc:Choice xmlns:a14="http://schemas.microsoft.com/office/drawing/2010/main" Requires="a14">
      <xdr:twoCellAnchor>
        <xdr:from>
          <xdr:col>11</xdr:col>
          <xdr:colOff>251460</xdr:colOff>
          <xdr:row>864</xdr:row>
          <xdr:rowOff>106680</xdr:rowOff>
        </xdr:from>
        <xdr:to>
          <xdr:col>12</xdr:col>
          <xdr:colOff>914400</xdr:colOff>
          <xdr:row>867</xdr:row>
          <xdr:rowOff>76200</xdr:rowOff>
        </xdr:to>
        <xdr:sp macro="" textlink="">
          <xdr:nvSpPr>
            <xdr:cNvPr id="7206" name="Button 38" hidden="1">
              <a:extLst>
                <a:ext uri="{63B3BB69-23CF-44E3-9099-C40C66FF867C}">
                  <a14:compatExt spid="_x0000_s7206"/>
                </a:ext>
                <a:ext uri="{FF2B5EF4-FFF2-40B4-BE49-F238E27FC236}">
                  <a16:creationId xmlns:a16="http://schemas.microsoft.com/office/drawing/2014/main" id="{00000000-0008-0000-1000-00002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 PSA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327660</xdr:colOff>
          <xdr:row>865</xdr:row>
          <xdr:rowOff>175260</xdr:rowOff>
        </xdr:from>
        <xdr:to>
          <xdr:col>6</xdr:col>
          <xdr:colOff>632460</xdr:colOff>
          <xdr:row>867</xdr:row>
          <xdr:rowOff>76200</xdr:rowOff>
        </xdr:to>
        <xdr:sp macro="" textlink="">
          <xdr:nvSpPr>
            <xdr:cNvPr id="7207" name="Check Box 39" hidden="1">
              <a:extLst>
                <a:ext uri="{63B3BB69-23CF-44E3-9099-C40C66FF867C}">
                  <a14:compatExt spid="_x0000_s7207"/>
                </a:ext>
                <a:ext uri="{FF2B5EF4-FFF2-40B4-BE49-F238E27FC236}">
                  <a16:creationId xmlns:a16="http://schemas.microsoft.com/office/drawing/2014/main" id="{00000000-0008-0000-1000-000027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251460</xdr:colOff>
          <xdr:row>330</xdr:row>
          <xdr:rowOff>22860</xdr:rowOff>
        </xdr:from>
        <xdr:to>
          <xdr:col>0</xdr:col>
          <xdr:colOff>556260</xdr:colOff>
          <xdr:row>331</xdr:row>
          <xdr:rowOff>121920</xdr:rowOff>
        </xdr:to>
        <xdr:sp macro="" textlink="">
          <xdr:nvSpPr>
            <xdr:cNvPr id="7208" name="Check Box 40" hidden="1">
              <a:extLst>
                <a:ext uri="{63B3BB69-23CF-44E3-9099-C40C66FF867C}">
                  <a14:compatExt spid="_x0000_s7208"/>
                </a:ext>
                <a:ext uri="{FF2B5EF4-FFF2-40B4-BE49-F238E27FC236}">
                  <a16:creationId xmlns:a16="http://schemas.microsoft.com/office/drawing/2014/main" id="{00000000-0008-0000-1000-000028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297180</xdr:colOff>
          <xdr:row>358</xdr:row>
          <xdr:rowOff>38100</xdr:rowOff>
        </xdr:from>
        <xdr:to>
          <xdr:col>0</xdr:col>
          <xdr:colOff>601980</xdr:colOff>
          <xdr:row>359</xdr:row>
          <xdr:rowOff>137160</xdr:rowOff>
        </xdr:to>
        <xdr:sp macro="" textlink="">
          <xdr:nvSpPr>
            <xdr:cNvPr id="7209" name="Check Box 41" hidden="1">
              <a:extLst>
                <a:ext uri="{63B3BB69-23CF-44E3-9099-C40C66FF867C}">
                  <a14:compatExt spid="_x0000_s7209"/>
                </a:ext>
                <a:ext uri="{FF2B5EF4-FFF2-40B4-BE49-F238E27FC236}">
                  <a16:creationId xmlns:a16="http://schemas.microsoft.com/office/drawing/2014/main" id="{00000000-0008-0000-1000-000029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236220</xdr:colOff>
          <xdr:row>558</xdr:row>
          <xdr:rowOff>0</xdr:rowOff>
        </xdr:from>
        <xdr:to>
          <xdr:col>11</xdr:col>
          <xdr:colOff>556260</xdr:colOff>
          <xdr:row>559</xdr:row>
          <xdr:rowOff>99060</xdr:rowOff>
        </xdr:to>
        <xdr:sp macro="" textlink="">
          <xdr:nvSpPr>
            <xdr:cNvPr id="7210" name="Check Box 42" hidden="1">
              <a:extLst>
                <a:ext uri="{63B3BB69-23CF-44E3-9099-C40C66FF867C}">
                  <a14:compatExt spid="_x0000_s7210"/>
                </a:ext>
                <a:ext uri="{FF2B5EF4-FFF2-40B4-BE49-F238E27FC236}">
                  <a16:creationId xmlns:a16="http://schemas.microsoft.com/office/drawing/2014/main" id="{00000000-0008-0000-1000-00002A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669</xdr:row>
          <xdr:rowOff>45720</xdr:rowOff>
        </xdr:from>
        <xdr:to>
          <xdr:col>0</xdr:col>
          <xdr:colOff>464820</xdr:colOff>
          <xdr:row>671</xdr:row>
          <xdr:rowOff>152400</xdr:rowOff>
        </xdr:to>
        <xdr:sp macro="" textlink="">
          <xdr:nvSpPr>
            <xdr:cNvPr id="7211" name="Check Box 43" hidden="1">
              <a:extLst>
                <a:ext uri="{63B3BB69-23CF-44E3-9099-C40C66FF867C}">
                  <a14:compatExt spid="_x0000_s7211"/>
                </a:ext>
                <a:ext uri="{FF2B5EF4-FFF2-40B4-BE49-F238E27FC236}">
                  <a16:creationId xmlns:a16="http://schemas.microsoft.com/office/drawing/2014/main" id="{00000000-0008-0000-1000-00002B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697</xdr:row>
          <xdr:rowOff>45720</xdr:rowOff>
        </xdr:from>
        <xdr:to>
          <xdr:col>0</xdr:col>
          <xdr:colOff>464820</xdr:colOff>
          <xdr:row>698</xdr:row>
          <xdr:rowOff>152400</xdr:rowOff>
        </xdr:to>
        <xdr:sp macro="" textlink="">
          <xdr:nvSpPr>
            <xdr:cNvPr id="7212" name="Check Box 44" hidden="1">
              <a:extLst>
                <a:ext uri="{63B3BB69-23CF-44E3-9099-C40C66FF867C}">
                  <a14:compatExt spid="_x0000_s7212"/>
                </a:ext>
                <a:ext uri="{FF2B5EF4-FFF2-40B4-BE49-F238E27FC236}">
                  <a16:creationId xmlns:a16="http://schemas.microsoft.com/office/drawing/2014/main" id="{00000000-0008-0000-1000-00002C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297180</xdr:colOff>
          <xdr:row>44</xdr:row>
          <xdr:rowOff>22860</xdr:rowOff>
        </xdr:from>
        <xdr:to>
          <xdr:col>0</xdr:col>
          <xdr:colOff>601980</xdr:colOff>
          <xdr:row>45</xdr:row>
          <xdr:rowOff>106680</xdr:rowOff>
        </xdr:to>
        <xdr:sp macro="" textlink="">
          <xdr:nvSpPr>
            <xdr:cNvPr id="7214" name="Check Box 46" hidden="1">
              <a:extLst>
                <a:ext uri="{63B3BB69-23CF-44E3-9099-C40C66FF867C}">
                  <a14:compatExt spid="_x0000_s7214"/>
                </a:ext>
                <a:ext uri="{FF2B5EF4-FFF2-40B4-BE49-F238E27FC236}">
                  <a16:creationId xmlns:a16="http://schemas.microsoft.com/office/drawing/2014/main" id="{00000000-0008-0000-1000-00002E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498</xdr:row>
          <xdr:rowOff>76200</xdr:rowOff>
        </xdr:from>
        <xdr:to>
          <xdr:col>0</xdr:col>
          <xdr:colOff>464820</xdr:colOff>
          <xdr:row>499</xdr:row>
          <xdr:rowOff>175260</xdr:rowOff>
        </xdr:to>
        <xdr:sp macro="" textlink="">
          <xdr:nvSpPr>
            <xdr:cNvPr id="7220" name="Check Box 52" hidden="1">
              <a:extLst>
                <a:ext uri="{63B3BB69-23CF-44E3-9099-C40C66FF867C}">
                  <a14:compatExt spid="_x0000_s7220"/>
                </a:ext>
                <a:ext uri="{FF2B5EF4-FFF2-40B4-BE49-F238E27FC236}">
                  <a16:creationId xmlns:a16="http://schemas.microsoft.com/office/drawing/2014/main" id="{00000000-0008-0000-1000-000034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613</xdr:row>
          <xdr:rowOff>45720</xdr:rowOff>
        </xdr:from>
        <xdr:to>
          <xdr:col>0</xdr:col>
          <xdr:colOff>464820</xdr:colOff>
          <xdr:row>614</xdr:row>
          <xdr:rowOff>152400</xdr:rowOff>
        </xdr:to>
        <xdr:sp macro="" textlink="">
          <xdr:nvSpPr>
            <xdr:cNvPr id="7222" name="Check Box 54" hidden="1">
              <a:extLst>
                <a:ext uri="{63B3BB69-23CF-44E3-9099-C40C66FF867C}">
                  <a14:compatExt spid="_x0000_s7222"/>
                </a:ext>
                <a:ext uri="{FF2B5EF4-FFF2-40B4-BE49-F238E27FC236}">
                  <a16:creationId xmlns:a16="http://schemas.microsoft.com/office/drawing/2014/main" id="{00000000-0008-0000-1000-000036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327660</xdr:colOff>
          <xdr:row>157</xdr:row>
          <xdr:rowOff>0</xdr:rowOff>
        </xdr:from>
        <xdr:to>
          <xdr:col>11</xdr:col>
          <xdr:colOff>632460</xdr:colOff>
          <xdr:row>158</xdr:row>
          <xdr:rowOff>106680</xdr:rowOff>
        </xdr:to>
        <xdr:sp macro="" textlink="">
          <xdr:nvSpPr>
            <xdr:cNvPr id="7224" name="Check Box 56" hidden="1">
              <a:extLst>
                <a:ext uri="{63B3BB69-23CF-44E3-9099-C40C66FF867C}">
                  <a14:compatExt spid="_x0000_s7224"/>
                </a:ext>
                <a:ext uri="{FF2B5EF4-FFF2-40B4-BE49-F238E27FC236}">
                  <a16:creationId xmlns:a16="http://schemas.microsoft.com/office/drawing/2014/main" id="{00000000-0008-0000-1000-000038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327660</xdr:colOff>
          <xdr:row>185</xdr:row>
          <xdr:rowOff>0</xdr:rowOff>
        </xdr:from>
        <xdr:to>
          <xdr:col>11</xdr:col>
          <xdr:colOff>632460</xdr:colOff>
          <xdr:row>186</xdr:row>
          <xdr:rowOff>106680</xdr:rowOff>
        </xdr:to>
        <xdr:sp macro="" textlink="">
          <xdr:nvSpPr>
            <xdr:cNvPr id="7225" name="Check Box 57" hidden="1">
              <a:extLst>
                <a:ext uri="{63B3BB69-23CF-44E3-9099-C40C66FF867C}">
                  <a14:compatExt spid="_x0000_s7225"/>
                </a:ext>
                <a:ext uri="{FF2B5EF4-FFF2-40B4-BE49-F238E27FC236}">
                  <a16:creationId xmlns:a16="http://schemas.microsoft.com/office/drawing/2014/main" id="{00000000-0008-0000-1000-000039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129</xdr:row>
          <xdr:rowOff>60960</xdr:rowOff>
        </xdr:from>
        <xdr:to>
          <xdr:col>11</xdr:col>
          <xdr:colOff>388620</xdr:colOff>
          <xdr:row>130</xdr:row>
          <xdr:rowOff>160020</xdr:rowOff>
        </xdr:to>
        <xdr:sp macro="" textlink="">
          <xdr:nvSpPr>
            <xdr:cNvPr id="7226" name="Check Box 58" hidden="1">
              <a:extLst>
                <a:ext uri="{63B3BB69-23CF-44E3-9099-C40C66FF867C}">
                  <a14:compatExt spid="_x0000_s7226"/>
                </a:ext>
                <a:ext uri="{FF2B5EF4-FFF2-40B4-BE49-F238E27FC236}">
                  <a16:creationId xmlns:a16="http://schemas.microsoft.com/office/drawing/2014/main" id="{00000000-0008-0000-1000-00003A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213</xdr:row>
          <xdr:rowOff>22860</xdr:rowOff>
        </xdr:from>
        <xdr:to>
          <xdr:col>0</xdr:col>
          <xdr:colOff>579120</xdr:colOff>
          <xdr:row>214</xdr:row>
          <xdr:rowOff>121920</xdr:rowOff>
        </xdr:to>
        <xdr:sp macro="" textlink="">
          <xdr:nvSpPr>
            <xdr:cNvPr id="7227" name="Check Box 59" hidden="1">
              <a:extLst>
                <a:ext uri="{63B3BB69-23CF-44E3-9099-C40C66FF867C}">
                  <a14:compatExt spid="_x0000_s7227"/>
                </a:ext>
                <a:ext uri="{FF2B5EF4-FFF2-40B4-BE49-F238E27FC236}">
                  <a16:creationId xmlns:a16="http://schemas.microsoft.com/office/drawing/2014/main" id="{00000000-0008-0000-1000-00003B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312420</xdr:colOff>
          <xdr:row>241</xdr:row>
          <xdr:rowOff>45720</xdr:rowOff>
        </xdr:from>
        <xdr:to>
          <xdr:col>0</xdr:col>
          <xdr:colOff>571500</xdr:colOff>
          <xdr:row>242</xdr:row>
          <xdr:rowOff>160020</xdr:rowOff>
        </xdr:to>
        <xdr:sp macro="" textlink="">
          <xdr:nvSpPr>
            <xdr:cNvPr id="7228" name="Check Box 60" hidden="1">
              <a:extLst>
                <a:ext uri="{63B3BB69-23CF-44E3-9099-C40C66FF867C}">
                  <a14:compatExt spid="_x0000_s7228"/>
                </a:ext>
                <a:ext uri="{FF2B5EF4-FFF2-40B4-BE49-F238E27FC236}">
                  <a16:creationId xmlns:a16="http://schemas.microsoft.com/office/drawing/2014/main" id="{00000000-0008-0000-1000-00003C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385</xdr:row>
          <xdr:rowOff>22860</xdr:rowOff>
        </xdr:from>
        <xdr:to>
          <xdr:col>0</xdr:col>
          <xdr:colOff>579120</xdr:colOff>
          <xdr:row>386</xdr:row>
          <xdr:rowOff>121920</xdr:rowOff>
        </xdr:to>
        <xdr:sp macro="" textlink="">
          <xdr:nvSpPr>
            <xdr:cNvPr id="7229" name="Check Box 61" hidden="1">
              <a:extLst>
                <a:ext uri="{63B3BB69-23CF-44E3-9099-C40C66FF867C}">
                  <a14:compatExt spid="_x0000_s7229"/>
                </a:ext>
                <a:ext uri="{FF2B5EF4-FFF2-40B4-BE49-F238E27FC236}">
                  <a16:creationId xmlns:a16="http://schemas.microsoft.com/office/drawing/2014/main" id="{00000000-0008-0000-1000-00003D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412</xdr:row>
          <xdr:rowOff>83820</xdr:rowOff>
        </xdr:from>
        <xdr:to>
          <xdr:col>0</xdr:col>
          <xdr:colOff>594360</xdr:colOff>
          <xdr:row>414</xdr:row>
          <xdr:rowOff>0</xdr:rowOff>
        </xdr:to>
        <xdr:sp macro="" textlink="">
          <xdr:nvSpPr>
            <xdr:cNvPr id="7230" name="Check Box 62" hidden="1">
              <a:extLst>
                <a:ext uri="{63B3BB69-23CF-44E3-9099-C40C66FF867C}">
                  <a14:compatExt spid="_x0000_s7230"/>
                </a:ext>
                <a:ext uri="{FF2B5EF4-FFF2-40B4-BE49-F238E27FC236}">
                  <a16:creationId xmlns:a16="http://schemas.microsoft.com/office/drawing/2014/main" id="{00000000-0008-0000-1000-00003E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470</xdr:row>
          <xdr:rowOff>76200</xdr:rowOff>
        </xdr:from>
        <xdr:to>
          <xdr:col>0</xdr:col>
          <xdr:colOff>464820</xdr:colOff>
          <xdr:row>471</xdr:row>
          <xdr:rowOff>175260</xdr:rowOff>
        </xdr:to>
        <xdr:sp macro="" textlink="">
          <xdr:nvSpPr>
            <xdr:cNvPr id="7231" name="Check Box 63" hidden="1">
              <a:extLst>
                <a:ext uri="{63B3BB69-23CF-44E3-9099-C40C66FF867C}">
                  <a14:compatExt spid="_x0000_s7231"/>
                </a:ext>
                <a:ext uri="{FF2B5EF4-FFF2-40B4-BE49-F238E27FC236}">
                  <a16:creationId xmlns:a16="http://schemas.microsoft.com/office/drawing/2014/main" id="{00000000-0008-0000-1000-00003F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442</xdr:row>
          <xdr:rowOff>76200</xdr:rowOff>
        </xdr:from>
        <xdr:to>
          <xdr:col>0</xdr:col>
          <xdr:colOff>464820</xdr:colOff>
          <xdr:row>443</xdr:row>
          <xdr:rowOff>175260</xdr:rowOff>
        </xdr:to>
        <xdr:sp macro="" textlink="">
          <xdr:nvSpPr>
            <xdr:cNvPr id="7232" name="Check Box 64" hidden="1">
              <a:extLst>
                <a:ext uri="{63B3BB69-23CF-44E3-9099-C40C66FF867C}">
                  <a14:compatExt spid="_x0000_s7232"/>
                </a:ext>
                <a:ext uri="{FF2B5EF4-FFF2-40B4-BE49-F238E27FC236}">
                  <a16:creationId xmlns:a16="http://schemas.microsoft.com/office/drawing/2014/main" id="{00000000-0008-0000-1000-000040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441</xdr:row>
          <xdr:rowOff>152400</xdr:rowOff>
        </xdr:from>
        <xdr:to>
          <xdr:col>11</xdr:col>
          <xdr:colOff>342900</xdr:colOff>
          <xdr:row>443</xdr:row>
          <xdr:rowOff>60960</xdr:rowOff>
        </xdr:to>
        <xdr:sp macro="" textlink="">
          <xdr:nvSpPr>
            <xdr:cNvPr id="7236" name="Check Box 68" hidden="1">
              <a:extLst>
                <a:ext uri="{63B3BB69-23CF-44E3-9099-C40C66FF867C}">
                  <a14:compatExt spid="_x0000_s7236"/>
                </a:ext>
                <a:ext uri="{FF2B5EF4-FFF2-40B4-BE49-F238E27FC236}">
                  <a16:creationId xmlns:a16="http://schemas.microsoft.com/office/drawing/2014/main" id="{00000000-0008-0000-1000-000044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213360</xdr:colOff>
          <xdr:row>783</xdr:row>
          <xdr:rowOff>60960</xdr:rowOff>
        </xdr:from>
        <xdr:to>
          <xdr:col>0</xdr:col>
          <xdr:colOff>518160</xdr:colOff>
          <xdr:row>784</xdr:row>
          <xdr:rowOff>175260</xdr:rowOff>
        </xdr:to>
        <xdr:sp macro="" textlink="">
          <xdr:nvSpPr>
            <xdr:cNvPr id="7238" name="Check Box 70" hidden="1">
              <a:extLst>
                <a:ext uri="{63B3BB69-23CF-44E3-9099-C40C66FF867C}">
                  <a14:compatExt spid="_x0000_s7238"/>
                </a:ext>
                <a:ext uri="{FF2B5EF4-FFF2-40B4-BE49-F238E27FC236}">
                  <a16:creationId xmlns:a16="http://schemas.microsoft.com/office/drawing/2014/main" id="{00000000-0008-0000-1000-000046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213360</xdr:colOff>
          <xdr:row>810</xdr:row>
          <xdr:rowOff>60960</xdr:rowOff>
        </xdr:from>
        <xdr:to>
          <xdr:col>0</xdr:col>
          <xdr:colOff>518160</xdr:colOff>
          <xdr:row>811</xdr:row>
          <xdr:rowOff>160020</xdr:rowOff>
        </xdr:to>
        <xdr:sp macro="" textlink="">
          <xdr:nvSpPr>
            <xdr:cNvPr id="7239" name="Check Box 71" hidden="1">
              <a:extLst>
                <a:ext uri="{63B3BB69-23CF-44E3-9099-C40C66FF867C}">
                  <a14:compatExt spid="_x0000_s7239"/>
                </a:ext>
                <a:ext uri="{FF2B5EF4-FFF2-40B4-BE49-F238E27FC236}">
                  <a16:creationId xmlns:a16="http://schemas.microsoft.com/office/drawing/2014/main" id="{00000000-0008-0000-1000-000047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731520</xdr:colOff>
          <xdr:row>783</xdr:row>
          <xdr:rowOff>144780</xdr:rowOff>
        </xdr:from>
        <xdr:to>
          <xdr:col>11</xdr:col>
          <xdr:colOff>83820</xdr:colOff>
          <xdr:row>785</xdr:row>
          <xdr:rowOff>68580</xdr:rowOff>
        </xdr:to>
        <xdr:sp macro="" textlink="">
          <xdr:nvSpPr>
            <xdr:cNvPr id="7244" name="Check Box 76" hidden="1">
              <a:extLst>
                <a:ext uri="{63B3BB69-23CF-44E3-9099-C40C66FF867C}">
                  <a14:compatExt spid="_x0000_s7244"/>
                </a:ext>
                <a:ext uri="{FF2B5EF4-FFF2-40B4-BE49-F238E27FC236}">
                  <a16:creationId xmlns:a16="http://schemas.microsoft.com/office/drawing/2014/main" id="{00000000-0008-0000-1000-00004C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861060</xdr:colOff>
          <xdr:row>212</xdr:row>
          <xdr:rowOff>60960</xdr:rowOff>
        </xdr:from>
        <xdr:to>
          <xdr:col>11</xdr:col>
          <xdr:colOff>213360</xdr:colOff>
          <xdr:row>213</xdr:row>
          <xdr:rowOff>160020</xdr:rowOff>
        </xdr:to>
        <xdr:sp macro="" textlink="">
          <xdr:nvSpPr>
            <xdr:cNvPr id="7248" name="Check Box 80" hidden="1">
              <a:extLst>
                <a:ext uri="{63B3BB69-23CF-44E3-9099-C40C66FF867C}">
                  <a14:compatExt spid="_x0000_s7248"/>
                </a:ext>
                <a:ext uri="{FF2B5EF4-FFF2-40B4-BE49-F238E27FC236}">
                  <a16:creationId xmlns:a16="http://schemas.microsoft.com/office/drawing/2014/main" id="{00000000-0008-0000-1000-000050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906780</xdr:colOff>
          <xdr:row>241</xdr:row>
          <xdr:rowOff>182880</xdr:rowOff>
        </xdr:from>
        <xdr:to>
          <xdr:col>11</xdr:col>
          <xdr:colOff>259080</xdr:colOff>
          <xdr:row>243</xdr:row>
          <xdr:rowOff>99060</xdr:rowOff>
        </xdr:to>
        <xdr:sp macro="" textlink="">
          <xdr:nvSpPr>
            <xdr:cNvPr id="7250" name="Check Box 82" hidden="1">
              <a:extLst>
                <a:ext uri="{63B3BB69-23CF-44E3-9099-C40C66FF867C}">
                  <a14:compatExt spid="_x0000_s7250"/>
                </a:ext>
                <a:ext uri="{FF2B5EF4-FFF2-40B4-BE49-F238E27FC236}">
                  <a16:creationId xmlns:a16="http://schemas.microsoft.com/office/drawing/2014/main" id="{00000000-0008-0000-1000-000052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385</xdr:row>
          <xdr:rowOff>121920</xdr:rowOff>
        </xdr:from>
        <xdr:to>
          <xdr:col>11</xdr:col>
          <xdr:colOff>365760</xdr:colOff>
          <xdr:row>387</xdr:row>
          <xdr:rowOff>38100</xdr:rowOff>
        </xdr:to>
        <xdr:sp macro="" textlink="">
          <xdr:nvSpPr>
            <xdr:cNvPr id="7253" name="Check Box 85" hidden="1">
              <a:extLst>
                <a:ext uri="{63B3BB69-23CF-44E3-9099-C40C66FF867C}">
                  <a14:compatExt spid="_x0000_s7253"/>
                </a:ext>
                <a:ext uri="{FF2B5EF4-FFF2-40B4-BE49-F238E27FC236}">
                  <a16:creationId xmlns:a16="http://schemas.microsoft.com/office/drawing/2014/main" id="{00000000-0008-0000-1000-000055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xdr:colOff>
          <xdr:row>412</xdr:row>
          <xdr:rowOff>68580</xdr:rowOff>
        </xdr:from>
        <xdr:to>
          <xdr:col>11</xdr:col>
          <xdr:colOff>312420</xdr:colOff>
          <xdr:row>413</xdr:row>
          <xdr:rowOff>175260</xdr:rowOff>
        </xdr:to>
        <xdr:sp macro="" textlink="">
          <xdr:nvSpPr>
            <xdr:cNvPr id="7254" name="Check Box 86" hidden="1">
              <a:extLst>
                <a:ext uri="{63B3BB69-23CF-44E3-9099-C40C66FF867C}">
                  <a14:compatExt spid="_x0000_s7254"/>
                </a:ext>
                <a:ext uri="{FF2B5EF4-FFF2-40B4-BE49-F238E27FC236}">
                  <a16:creationId xmlns:a16="http://schemas.microsoft.com/office/drawing/2014/main" id="{00000000-0008-0000-1000-000056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792480</xdr:colOff>
          <xdr:row>810</xdr:row>
          <xdr:rowOff>60960</xdr:rowOff>
        </xdr:from>
        <xdr:to>
          <xdr:col>11</xdr:col>
          <xdr:colOff>144780</xdr:colOff>
          <xdr:row>811</xdr:row>
          <xdr:rowOff>160020</xdr:rowOff>
        </xdr:to>
        <xdr:sp macro="" textlink="">
          <xdr:nvSpPr>
            <xdr:cNvPr id="7255" name="Check Box 87" hidden="1">
              <a:extLst>
                <a:ext uri="{63B3BB69-23CF-44E3-9099-C40C66FF867C}">
                  <a14:compatExt spid="_x0000_s7255"/>
                </a:ext>
                <a:ext uri="{FF2B5EF4-FFF2-40B4-BE49-F238E27FC236}">
                  <a16:creationId xmlns:a16="http://schemas.microsoft.com/office/drawing/2014/main" id="{00000000-0008-0000-1000-0000571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absoluteAnchor>
    <xdr:pos x="1141268" y="4064577"/>
    <xdr:ext cx="5126182" cy="3971925"/>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1071995" y="8214879"/>
    <xdr:ext cx="6805740" cy="4111758"/>
    <xdr:graphicFrame macro="">
      <xdr:nvGraphicFramePr>
        <xdr:cNvPr id="5" name="Chart 4">
          <a:extLst>
            <a:ext uri="{FF2B5EF4-FFF2-40B4-BE49-F238E27FC236}">
              <a16:creationId xmlns:a16="http://schemas.microsoft.com/office/drawing/2014/main" id="{00000000-0008-0000-1100-000005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mc:AlternateContent xmlns:mc="http://schemas.openxmlformats.org/markup-compatibility/2006">
    <mc:Choice xmlns:a14="http://schemas.microsoft.com/office/drawing/2010/main" Requires="a14">
      <xdr:twoCellAnchor>
        <xdr:from>
          <xdr:col>5</xdr:col>
          <xdr:colOff>464820</xdr:colOff>
          <xdr:row>1</xdr:row>
          <xdr:rowOff>22860</xdr:rowOff>
        </xdr:from>
        <xdr:to>
          <xdr:col>5</xdr:col>
          <xdr:colOff>2278380</xdr:colOff>
          <xdr:row>16</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100-0000012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0" i="0" u="none" strike="noStrike" baseline="0">
                  <a:solidFill>
                    <a:srgbClr val="000000"/>
                  </a:solidFill>
                  <a:latin typeface="Calibri"/>
                  <a:cs typeface="Calibri"/>
                </a:rPr>
                <a:t>RUN PSA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0</xdr:colOff>
      <xdr:row>11</xdr:row>
      <xdr:rowOff>152399</xdr:rowOff>
    </xdr:from>
    <xdr:to>
      <xdr:col>14</xdr:col>
      <xdr:colOff>133350</xdr:colOff>
      <xdr:row>25</xdr:row>
      <xdr:rowOff>157162</xdr:rowOff>
    </xdr:to>
    <xdr:graphicFrame macro="">
      <xdr:nvGraphicFramePr>
        <xdr:cNvPr id="3" name="Chart 2">
          <a:extLst>
            <a:ext uri="{FF2B5EF4-FFF2-40B4-BE49-F238E27FC236}">
              <a16:creationId xmlns:a16="http://schemas.microsoft.com/office/drawing/2014/main" id="{00000000-0008-0000-1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0</xdr:colOff>
      <xdr:row>11</xdr:row>
      <xdr:rowOff>152399</xdr:rowOff>
    </xdr:from>
    <xdr:to>
      <xdr:col>14</xdr:col>
      <xdr:colOff>133350</xdr:colOff>
      <xdr:row>25</xdr:row>
      <xdr:rowOff>157162</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la-my.sharepoint.com/Users/ciara/OneDrive%20-%20University%20of%20Glasgow/PRICELESS/Seasonal%20Influenza%20Vaccine/CE%20tool%20Nieuw/CE%20tool/Chit%20Static%20model%20excel%20+%20P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gla-my.sharepoint.com/personal/c_kohli-lynch_1_research_gla_ac_uk/Documents/PRICELESS/Seasonal%20Influenza%20Vaccine/WHO%20Seasonal%20Flu/Latest/Flu%20Cost-Effectiveness%20model_%20270820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Vaccine eff &amp; cost"/>
      <sheetName val="Effectiveness calculation"/>
      <sheetName val="Sheet1"/>
      <sheetName val="Instructions"/>
      <sheetName val="Inputs"/>
      <sheetName val="Costs"/>
      <sheetName val="LY QALY calc"/>
      <sheetName val="Ontario Resp"/>
      <sheetName val="Ratio Canada US calc"/>
      <sheetName val="Simulation Canada"/>
      <sheetName val="Distribution"/>
      <sheetName val="Vaccine eff"/>
      <sheetName val="Outcome rates"/>
      <sheetName val="Results"/>
      <sheetName val="DSA-Inputs"/>
      <sheetName val="DSA"/>
      <sheetName val="torTPP"/>
      <sheetName val="torSP"/>
      <sheetName val="Threshold"/>
      <sheetName val="Threshold_Chart"/>
      <sheetName val="TornadoTPP"/>
      <sheetName val="TornadoSP"/>
      <sheetName val="PSA-Inputs"/>
      <sheetName val="PSA-Outputs"/>
      <sheetName val="CEplaneTPP"/>
      <sheetName val="CEplaneSP"/>
      <sheetName val="CEAC"/>
      <sheetName val="CEAC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51">
          <cell r="E51">
            <v>62791.94407389441</v>
          </cell>
        </row>
        <row r="53">
          <cell r="E53">
            <v>94248.102382800556</v>
          </cell>
        </row>
      </sheetData>
      <sheetData sheetId="15"/>
      <sheetData sheetId="16"/>
      <sheetData sheetId="17" refreshError="1"/>
      <sheetData sheetId="18" refreshError="1"/>
      <sheetData sheetId="19"/>
      <sheetData sheetId="20" refreshError="1"/>
      <sheetData sheetId="21" refreshError="1"/>
      <sheetData sheetId="22" refreshError="1"/>
      <sheetData sheetId="23"/>
      <sheetData sheetId="24">
        <row r="6">
          <cell r="B6">
            <v>7178036.2921107253</v>
          </cell>
        </row>
      </sheetData>
      <sheetData sheetId="25" refreshError="1"/>
      <sheetData sheetId="26" refreshError="1"/>
      <sheetData sheetId="27" refreshError="1"/>
      <sheetData sheetId="2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nual"/>
      <sheetName val="General input"/>
      <sheetName val="Results"/>
      <sheetName val="SA Results"/>
      <sheetName val="Tornado Diagram"/>
      <sheetName val="BoD input"/>
      <sheetName val="Cost input"/>
      <sheetName val="VE input"/>
      <sheetName val="QoL input"/>
      <sheetName val="Input summary"/>
      <sheetName val="Input Summ SA"/>
      <sheetName val="Calculations BC"/>
      <sheetName val="Calculations Lower"/>
      <sheetName val="Calculations Upper"/>
      <sheetName val="Calculations SA"/>
      <sheetName val="PSA inputs"/>
      <sheetName val="PSA outputs"/>
      <sheetName val="Lists"/>
      <sheetName val="BoD lists"/>
      <sheetName val="Costs lists"/>
      <sheetName val="Life table (HE)"/>
      <sheetName val="Life table (costs)"/>
      <sheetName val="Maternal"/>
      <sheetName val="Maternal (2)"/>
      <sheetName val="uf"/>
      <sheetName val="Sheet1"/>
    </sheetNames>
    <sheetDataSet>
      <sheetData sheetId="0"/>
      <sheetData sheetId="1">
        <row r="4">
          <cell r="C4" t="str">
            <v>South Africa</v>
          </cell>
        </row>
        <row r="20">
          <cell r="R20">
            <v>1</v>
          </cell>
          <cell r="S20" t="str">
            <v>Combined: note, groups are not mutally exclusive</v>
          </cell>
          <cell r="U20">
            <v>4</v>
          </cell>
        </row>
        <row r="21">
          <cell r="R21">
            <v>2</v>
          </cell>
          <cell r="S21" t="str">
            <v>Children (0.5-5 years)</v>
          </cell>
        </row>
        <row r="22">
          <cell r="R22">
            <v>3</v>
          </cell>
          <cell r="S22" t="str">
            <v>Chronically ill adults</v>
          </cell>
        </row>
        <row r="23">
          <cell r="R23">
            <v>4</v>
          </cell>
          <cell r="S23" t="str">
            <v>Elderly (65+ years)</v>
          </cell>
        </row>
        <row r="24">
          <cell r="R24">
            <v>5</v>
          </cell>
          <cell r="S24" t="str">
            <v>HIV+</v>
          </cell>
        </row>
        <row r="25">
          <cell r="R25">
            <v>6</v>
          </cell>
          <cell r="S25" t="str">
            <v>Pregnant women</v>
          </cell>
        </row>
        <row r="26">
          <cell r="R26">
            <v>7</v>
          </cell>
          <cell r="S26" t="str">
            <v>Health care workers</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omments" Target="../comments1.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31.xml"/><Relationship Id="rId18" Type="http://schemas.openxmlformats.org/officeDocument/2006/relationships/ctrlProp" Target="../ctrlProps/ctrlProp36.xml"/><Relationship Id="rId26" Type="http://schemas.openxmlformats.org/officeDocument/2006/relationships/ctrlProp" Target="../ctrlProps/ctrlProp44.xml"/><Relationship Id="rId39" Type="http://schemas.openxmlformats.org/officeDocument/2006/relationships/ctrlProp" Target="../ctrlProps/ctrlProp57.xml"/><Relationship Id="rId21" Type="http://schemas.openxmlformats.org/officeDocument/2006/relationships/ctrlProp" Target="../ctrlProps/ctrlProp39.xml"/><Relationship Id="rId34" Type="http://schemas.openxmlformats.org/officeDocument/2006/relationships/ctrlProp" Target="../ctrlProps/ctrlProp52.xml"/><Relationship Id="rId42" Type="http://schemas.openxmlformats.org/officeDocument/2006/relationships/ctrlProp" Target="../ctrlProps/ctrlProp60.xml"/><Relationship Id="rId47" Type="http://schemas.openxmlformats.org/officeDocument/2006/relationships/ctrlProp" Target="../ctrlProps/ctrlProp65.xml"/><Relationship Id="rId50" Type="http://schemas.openxmlformats.org/officeDocument/2006/relationships/ctrlProp" Target="../ctrlProps/ctrlProp68.xml"/><Relationship Id="rId7" Type="http://schemas.openxmlformats.org/officeDocument/2006/relationships/ctrlProp" Target="../ctrlProps/ctrlProp25.xml"/><Relationship Id="rId2" Type="http://schemas.openxmlformats.org/officeDocument/2006/relationships/drawing" Target="../drawings/drawing9.xml"/><Relationship Id="rId16" Type="http://schemas.openxmlformats.org/officeDocument/2006/relationships/ctrlProp" Target="../ctrlProps/ctrlProp34.xml"/><Relationship Id="rId29" Type="http://schemas.openxmlformats.org/officeDocument/2006/relationships/ctrlProp" Target="../ctrlProps/ctrlProp47.xml"/><Relationship Id="rId11" Type="http://schemas.openxmlformats.org/officeDocument/2006/relationships/ctrlProp" Target="../ctrlProps/ctrlProp29.xml"/><Relationship Id="rId24" Type="http://schemas.openxmlformats.org/officeDocument/2006/relationships/ctrlProp" Target="../ctrlProps/ctrlProp42.xml"/><Relationship Id="rId32" Type="http://schemas.openxmlformats.org/officeDocument/2006/relationships/ctrlProp" Target="../ctrlProps/ctrlProp50.xml"/><Relationship Id="rId37" Type="http://schemas.openxmlformats.org/officeDocument/2006/relationships/ctrlProp" Target="../ctrlProps/ctrlProp55.xml"/><Relationship Id="rId40" Type="http://schemas.openxmlformats.org/officeDocument/2006/relationships/ctrlProp" Target="../ctrlProps/ctrlProp58.xml"/><Relationship Id="rId45" Type="http://schemas.openxmlformats.org/officeDocument/2006/relationships/ctrlProp" Target="../ctrlProps/ctrlProp63.xml"/><Relationship Id="rId5" Type="http://schemas.openxmlformats.org/officeDocument/2006/relationships/ctrlProp" Target="../ctrlProps/ctrlProp23.xml"/><Relationship Id="rId15" Type="http://schemas.openxmlformats.org/officeDocument/2006/relationships/ctrlProp" Target="../ctrlProps/ctrlProp33.xml"/><Relationship Id="rId23" Type="http://schemas.openxmlformats.org/officeDocument/2006/relationships/ctrlProp" Target="../ctrlProps/ctrlProp41.xml"/><Relationship Id="rId28" Type="http://schemas.openxmlformats.org/officeDocument/2006/relationships/ctrlProp" Target="../ctrlProps/ctrlProp46.xml"/><Relationship Id="rId36" Type="http://schemas.openxmlformats.org/officeDocument/2006/relationships/ctrlProp" Target="../ctrlProps/ctrlProp54.xml"/><Relationship Id="rId49" Type="http://schemas.openxmlformats.org/officeDocument/2006/relationships/ctrlProp" Target="../ctrlProps/ctrlProp67.xml"/><Relationship Id="rId10" Type="http://schemas.openxmlformats.org/officeDocument/2006/relationships/ctrlProp" Target="../ctrlProps/ctrlProp28.xml"/><Relationship Id="rId19" Type="http://schemas.openxmlformats.org/officeDocument/2006/relationships/ctrlProp" Target="../ctrlProps/ctrlProp37.xml"/><Relationship Id="rId31" Type="http://schemas.openxmlformats.org/officeDocument/2006/relationships/ctrlProp" Target="../ctrlProps/ctrlProp49.xml"/><Relationship Id="rId44" Type="http://schemas.openxmlformats.org/officeDocument/2006/relationships/ctrlProp" Target="../ctrlProps/ctrlProp62.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 Id="rId22" Type="http://schemas.openxmlformats.org/officeDocument/2006/relationships/ctrlProp" Target="../ctrlProps/ctrlProp40.xml"/><Relationship Id="rId27" Type="http://schemas.openxmlformats.org/officeDocument/2006/relationships/ctrlProp" Target="../ctrlProps/ctrlProp45.xml"/><Relationship Id="rId30" Type="http://schemas.openxmlformats.org/officeDocument/2006/relationships/ctrlProp" Target="../ctrlProps/ctrlProp48.xml"/><Relationship Id="rId35" Type="http://schemas.openxmlformats.org/officeDocument/2006/relationships/ctrlProp" Target="../ctrlProps/ctrlProp53.xml"/><Relationship Id="rId43" Type="http://schemas.openxmlformats.org/officeDocument/2006/relationships/ctrlProp" Target="../ctrlProps/ctrlProp61.xml"/><Relationship Id="rId48" Type="http://schemas.openxmlformats.org/officeDocument/2006/relationships/ctrlProp" Target="../ctrlProps/ctrlProp66.xml"/><Relationship Id="rId8" Type="http://schemas.openxmlformats.org/officeDocument/2006/relationships/ctrlProp" Target="../ctrlProps/ctrlProp26.xml"/><Relationship Id="rId51"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30.xml"/><Relationship Id="rId17" Type="http://schemas.openxmlformats.org/officeDocument/2006/relationships/ctrlProp" Target="../ctrlProps/ctrlProp35.xml"/><Relationship Id="rId25" Type="http://schemas.openxmlformats.org/officeDocument/2006/relationships/ctrlProp" Target="../ctrlProps/ctrlProp43.xml"/><Relationship Id="rId33" Type="http://schemas.openxmlformats.org/officeDocument/2006/relationships/ctrlProp" Target="../ctrlProps/ctrlProp51.xml"/><Relationship Id="rId38" Type="http://schemas.openxmlformats.org/officeDocument/2006/relationships/ctrlProp" Target="../ctrlProps/ctrlProp56.xml"/><Relationship Id="rId46" Type="http://schemas.openxmlformats.org/officeDocument/2006/relationships/ctrlProp" Target="../ctrlProps/ctrlProp64.xml"/><Relationship Id="rId20" Type="http://schemas.openxmlformats.org/officeDocument/2006/relationships/ctrlProp" Target="../ctrlProps/ctrlProp38.xml"/><Relationship Id="rId41" Type="http://schemas.openxmlformats.org/officeDocument/2006/relationships/ctrlProp" Target="../ctrlProps/ctrlProp59.xml"/><Relationship Id="rId1" Type="http://schemas.openxmlformats.org/officeDocument/2006/relationships/printerSettings" Target="../printerSettings/printerSettings8.bin"/><Relationship Id="rId6"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3.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hyperlink" Target="https://esa.un.org/unpd/wpp/Download/Standard/Population/"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sheetPr>
  <dimension ref="B9:B10"/>
  <sheetViews>
    <sheetView workbookViewId="0">
      <selection activeCell="D48" sqref="D48"/>
    </sheetView>
  </sheetViews>
  <sheetFormatPr defaultRowHeight="14.4" x14ac:dyDescent="0.3"/>
  <sheetData>
    <row r="9" spans="2:2" x14ac:dyDescent="0.3">
      <c r="B9" s="11"/>
    </row>
    <row r="10" spans="2:2" x14ac:dyDescent="0.3">
      <c r="B10" s="1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1:U158"/>
  <sheetViews>
    <sheetView tabSelected="1" zoomScale="85" zoomScaleNormal="85" workbookViewId="0">
      <pane ySplit="2" topLeftCell="A3" activePane="bottomLeft" state="frozen"/>
      <selection activeCell="J454" activeCellId="2" sqref="J441 J449 J454"/>
      <selection pane="bottomLeft"/>
    </sheetView>
  </sheetViews>
  <sheetFormatPr defaultColWidth="9.109375" defaultRowHeight="14.4" zeroHeight="1" x14ac:dyDescent="0.3"/>
  <cols>
    <col min="1" max="1" width="9.109375" style="204" customWidth="1"/>
    <col min="2" max="2" width="32.6640625" customWidth="1"/>
    <col min="3" max="3" width="25.88671875" customWidth="1"/>
    <col min="4" max="4" width="13.44140625" customWidth="1"/>
    <col min="5" max="5" width="14.6640625" customWidth="1"/>
    <col min="6" max="6" width="15.44140625" customWidth="1"/>
    <col min="7" max="7" width="14.6640625" customWidth="1"/>
    <col min="8" max="8" width="19.33203125" customWidth="1"/>
    <col min="9" max="9" width="14.44140625" customWidth="1"/>
    <col min="10" max="10" width="11.5546875" customWidth="1"/>
    <col min="11" max="11" width="21" customWidth="1"/>
    <col min="12" max="12" width="9.109375" style="204" customWidth="1"/>
    <col min="13" max="13" width="19" customWidth="1"/>
    <col min="14" max="14" width="12.88671875" customWidth="1"/>
    <col min="15" max="15" width="21.33203125" customWidth="1"/>
    <col min="16" max="18" width="9.109375" customWidth="1"/>
    <col min="19" max="19" width="31.33203125" customWidth="1"/>
    <col min="20" max="21" width="9.109375" customWidth="1"/>
  </cols>
  <sheetData>
    <row r="1" spans="2:20" ht="35.25" customHeight="1" x14ac:dyDescent="0.5">
      <c r="B1" s="217" t="s">
        <v>1058</v>
      </c>
      <c r="C1" s="204"/>
      <c r="D1" s="204"/>
      <c r="E1" s="204"/>
      <c r="F1" s="204"/>
      <c r="G1" s="204"/>
      <c r="H1" s="204"/>
      <c r="I1" s="204"/>
      <c r="J1" s="204"/>
      <c r="K1" s="204"/>
    </row>
    <row r="2" spans="2:20" ht="32.25" customHeight="1" x14ac:dyDescent="0.4">
      <c r="B2" s="317" t="s">
        <v>1054</v>
      </c>
      <c r="C2" s="229"/>
      <c r="D2" s="229"/>
      <c r="E2" s="229"/>
      <c r="F2" s="229"/>
      <c r="G2" s="229"/>
      <c r="H2" s="244"/>
      <c r="I2" s="243"/>
      <c r="J2" s="209"/>
      <c r="K2" s="209"/>
      <c r="M2" s="77"/>
      <c r="N2" s="77"/>
      <c r="O2" s="77"/>
      <c r="P2" s="77"/>
      <c r="Q2" s="77"/>
      <c r="R2" s="11"/>
      <c r="S2" s="11"/>
    </row>
    <row r="3" spans="2:20" ht="18.600000000000001" thickBot="1" x14ac:dyDescent="0.4">
      <c r="B3" s="208"/>
      <c r="C3" s="208"/>
      <c r="D3" s="419"/>
      <c r="E3" s="419"/>
      <c r="F3" s="419"/>
      <c r="G3" s="208"/>
      <c r="H3" s="209"/>
      <c r="I3" s="209"/>
      <c r="J3" s="209"/>
      <c r="K3" s="209"/>
      <c r="M3" s="77"/>
      <c r="N3" s="77"/>
      <c r="O3" s="77"/>
      <c r="P3" s="77"/>
      <c r="Q3" s="77"/>
      <c r="R3" s="11"/>
      <c r="S3" s="11"/>
    </row>
    <row r="4" spans="2:20" ht="15" thickBot="1" x14ac:dyDescent="0.35">
      <c r="B4" s="326" t="s">
        <v>1060</v>
      </c>
      <c r="C4" s="216" t="s">
        <v>70</v>
      </c>
      <c r="D4" s="420"/>
      <c r="E4" s="763" t="str">
        <f ca="1">CONCATENATE("ICER: $",ROUND(Results!E60,0),"/QALY gained")</f>
        <v>ICER: $1602/QALY gained</v>
      </c>
      <c r="F4" s="764"/>
      <c r="G4" s="421"/>
      <c r="H4" s="204"/>
      <c r="I4" s="210"/>
      <c r="J4" s="210"/>
      <c r="K4" s="210"/>
      <c r="M4" s="11"/>
      <c r="N4" s="11"/>
      <c r="O4" s="11"/>
      <c r="P4" s="11"/>
      <c r="Q4" s="11"/>
      <c r="R4" s="11"/>
      <c r="S4" s="11"/>
      <c r="T4" t="b">
        <v>1</v>
      </c>
    </row>
    <row r="5" spans="2:20" x14ac:dyDescent="0.3">
      <c r="B5" s="327"/>
      <c r="C5" s="204"/>
      <c r="D5" s="420"/>
      <c r="E5" s="421"/>
      <c r="F5" s="421"/>
      <c r="G5" s="211"/>
      <c r="H5" s="204"/>
      <c r="I5" s="210"/>
      <c r="J5" s="210"/>
      <c r="K5" s="210"/>
      <c r="M5" s="11"/>
      <c r="N5" s="11"/>
      <c r="O5" s="11"/>
      <c r="P5" s="11"/>
      <c r="Q5" s="11"/>
      <c r="R5" s="11"/>
      <c r="S5" s="11"/>
    </row>
    <row r="6" spans="2:20" x14ac:dyDescent="0.3">
      <c r="B6" s="318" t="s">
        <v>1055</v>
      </c>
      <c r="C6" s="214" t="s">
        <v>1056</v>
      </c>
      <c r="D6" s="319" t="s">
        <v>592</v>
      </c>
      <c r="E6" s="211"/>
      <c r="F6" s="211"/>
      <c r="G6" s="211"/>
      <c r="H6" s="204"/>
      <c r="I6" s="210"/>
      <c r="J6" s="210"/>
      <c r="K6" s="210"/>
      <c r="M6" s="11"/>
      <c r="N6" s="11"/>
      <c r="O6" s="11"/>
      <c r="P6" s="11"/>
      <c r="Q6" s="11"/>
      <c r="R6" s="11"/>
      <c r="S6" s="11"/>
    </row>
    <row r="7" spans="2:20" x14ac:dyDescent="0.3">
      <c r="B7" s="327" t="s">
        <v>722</v>
      </c>
      <c r="C7" s="223" t="str">
        <f>VLOOKUP($C$4,Lists!A8:B195,2,FALSE)</f>
        <v>AFR</v>
      </c>
      <c r="D7" s="320" t="s">
        <v>948</v>
      </c>
      <c r="E7" s="257" t="str">
        <f>HYPERLINK("http://www.who.int/about/regions/en/")</f>
        <v>http://www.who.int/about/regions/en/</v>
      </c>
      <c r="F7" s="257"/>
      <c r="G7" s="257"/>
      <c r="H7" s="204"/>
      <c r="I7" s="210"/>
      <c r="J7" s="210"/>
      <c r="K7" s="210"/>
      <c r="M7" s="11"/>
      <c r="N7" s="11"/>
      <c r="O7" s="11"/>
      <c r="P7" s="11"/>
      <c r="Q7" s="11"/>
      <c r="R7" s="11"/>
      <c r="S7" s="11"/>
    </row>
    <row r="8" spans="2:20" x14ac:dyDescent="0.3">
      <c r="B8" s="327" t="s">
        <v>676</v>
      </c>
      <c r="C8" s="222">
        <f>ROUND(VLOOKUP('General input'!$C$4,PopList,34,FALSE)*1000,0)</f>
        <v>54490406</v>
      </c>
      <c r="D8" s="320" t="s">
        <v>949</v>
      </c>
      <c r="E8" s="257" t="str">
        <f>HYPERLINK("https://esa.un.org/unpd/wpp/Download/Standard/Population/")</f>
        <v>https://esa.un.org/unpd/wpp/Download/Standard/Population/</v>
      </c>
      <c r="F8" s="257"/>
      <c r="G8" s="257"/>
      <c r="H8" s="204"/>
      <c r="I8" s="210"/>
      <c r="J8" s="210"/>
      <c r="K8" s="210"/>
      <c r="M8" s="11"/>
      <c r="N8" s="11"/>
      <c r="O8" s="11"/>
      <c r="P8" s="11"/>
      <c r="Q8" s="11"/>
      <c r="R8" s="11"/>
      <c r="S8" s="11"/>
    </row>
    <row r="9" spans="2:20" x14ac:dyDescent="0.3">
      <c r="B9" s="327" t="s">
        <v>1109</v>
      </c>
      <c r="C9" s="223" t="str">
        <f>VLOOKUP($C$4,Lists!AM8:AR195,2,FALSE)</f>
        <v>South African rand</v>
      </c>
      <c r="D9" s="320"/>
      <c r="E9" s="251"/>
      <c r="F9" s="251"/>
      <c r="G9" s="251"/>
      <c r="H9" s="204"/>
      <c r="I9" s="210"/>
      <c r="J9" s="210"/>
      <c r="K9" s="210"/>
      <c r="M9" s="11"/>
      <c r="N9" s="11"/>
      <c r="O9" s="11"/>
      <c r="P9" s="11"/>
      <c r="Q9" s="11"/>
      <c r="R9" s="11"/>
      <c r="S9" s="11"/>
    </row>
    <row r="10" spans="2:20" x14ac:dyDescent="0.3">
      <c r="B10" s="327" t="s">
        <v>1110</v>
      </c>
      <c r="C10" s="223" t="str">
        <f>VLOOKUP($C$4,Lists!AM8:AR195,3,FALSE)</f>
        <v>ZAR</v>
      </c>
      <c r="D10" s="320"/>
      <c r="E10" s="251"/>
      <c r="F10" s="251"/>
      <c r="G10" s="251"/>
      <c r="H10" s="204"/>
      <c r="I10" s="210"/>
      <c r="J10" s="210"/>
      <c r="K10" s="210"/>
      <c r="M10" s="11"/>
      <c r="N10" s="11"/>
      <c r="O10" s="11"/>
      <c r="P10" s="11"/>
      <c r="Q10" s="11"/>
      <c r="R10" s="11"/>
      <c r="S10" s="11"/>
    </row>
    <row r="11" spans="2:20" x14ac:dyDescent="0.3">
      <c r="B11" s="327" t="s">
        <v>1111</v>
      </c>
      <c r="C11" s="222">
        <f>VLOOKUP($C$4,Lists!AM8:AR195,5,FALSE)</f>
        <v>72958.512710762283</v>
      </c>
      <c r="D11" s="320" t="s">
        <v>922</v>
      </c>
      <c r="E11" s="257" t="str">
        <f>HYPERLINK("http://data.worldbank.org/indicator/NY.GDP.PCAP.PP.CD")</f>
        <v>http://data.worldbank.org/indicator/NY.GDP.PCAP.PP.CD</v>
      </c>
      <c r="F11" s="257"/>
      <c r="G11" s="257"/>
      <c r="H11" s="204"/>
      <c r="I11" s="210"/>
      <c r="J11" s="210"/>
      <c r="K11" s="210"/>
      <c r="M11" s="11"/>
      <c r="N11" s="11"/>
      <c r="O11" s="11"/>
      <c r="P11" s="11"/>
      <c r="Q11" s="11"/>
      <c r="R11" s="11"/>
      <c r="S11" s="11"/>
    </row>
    <row r="12" spans="2:20" x14ac:dyDescent="0.3">
      <c r="B12" s="327" t="s">
        <v>923</v>
      </c>
      <c r="C12" s="222" t="str">
        <f>VLOOKUP($C$4,Lists!AM8:AR195,4,FALSE)</f>
        <v>UMIC</v>
      </c>
      <c r="D12" s="320" t="s">
        <v>922</v>
      </c>
      <c r="E12" s="257" t="str">
        <f>HYPERLINK("https://datahelpdesk.worldbank.org/knowledgebase/articles/906519-world-bank-country-and-lending-groups")</f>
        <v>https://datahelpdesk.worldbank.org/knowledgebase/articles/906519-world-bank-country-and-lending-groups</v>
      </c>
      <c r="F12" s="257"/>
      <c r="G12" s="257"/>
      <c r="H12" s="204"/>
      <c r="I12" s="210"/>
      <c r="J12" s="210"/>
      <c r="K12" s="210"/>
      <c r="M12" s="11"/>
      <c r="N12" s="11"/>
      <c r="O12" s="11"/>
      <c r="P12" s="11"/>
      <c r="Q12" s="11"/>
      <c r="R12" s="11"/>
      <c r="S12" s="11"/>
    </row>
    <row r="13" spans="2:20" x14ac:dyDescent="0.3">
      <c r="B13" s="210"/>
      <c r="C13" s="212"/>
      <c r="D13" s="328"/>
      <c r="E13" s="211"/>
      <c r="F13" s="211"/>
      <c r="G13" s="211"/>
      <c r="H13" s="204"/>
      <c r="I13" s="210"/>
      <c r="J13" s="210"/>
      <c r="K13" s="210"/>
      <c r="M13" s="11"/>
      <c r="N13" s="11"/>
      <c r="O13" s="11"/>
      <c r="P13" s="11"/>
      <c r="Q13" s="11"/>
      <c r="R13" s="11"/>
      <c r="S13" s="11"/>
    </row>
    <row r="14" spans="2:20" ht="18" x14ac:dyDescent="0.35">
      <c r="B14" s="326" t="s">
        <v>1108</v>
      </c>
      <c r="C14" s="216">
        <v>2015</v>
      </c>
      <c r="D14" s="329"/>
      <c r="E14" s="204" t="s">
        <v>1064</v>
      </c>
      <c r="F14" s="204"/>
      <c r="G14" s="204"/>
      <c r="H14" s="209"/>
      <c r="I14" s="210"/>
      <c r="J14" s="210"/>
      <c r="K14" s="210"/>
      <c r="M14" s="11"/>
      <c r="N14" s="11"/>
      <c r="O14" s="11"/>
      <c r="P14" s="11"/>
      <c r="Q14" s="11"/>
      <c r="R14" s="11"/>
      <c r="S14" s="11"/>
    </row>
    <row r="15" spans="2:20" x14ac:dyDescent="0.3">
      <c r="B15" s="210"/>
      <c r="C15" s="212"/>
      <c r="D15" s="328"/>
      <c r="E15" s="273" t="s">
        <v>1500</v>
      </c>
      <c r="F15" s="273"/>
      <c r="G15" s="273"/>
      <c r="H15" s="204"/>
      <c r="I15" s="210"/>
      <c r="J15" s="210"/>
      <c r="K15" s="210"/>
      <c r="M15" s="11"/>
      <c r="N15" s="11"/>
      <c r="O15" s="11"/>
      <c r="P15" s="11"/>
      <c r="Q15" s="11"/>
      <c r="R15" s="11"/>
      <c r="S15" s="11"/>
    </row>
    <row r="16" spans="2:20" x14ac:dyDescent="0.3">
      <c r="B16" s="327" t="s">
        <v>1091</v>
      </c>
      <c r="C16" s="224">
        <f>VLOOKUP($C$4,Lists!AM8:AR195,6,FALSE)</f>
        <v>12.7589308811644</v>
      </c>
      <c r="D16" s="320" t="s">
        <v>975</v>
      </c>
      <c r="E16" s="251"/>
      <c r="F16" s="251"/>
      <c r="G16" s="251"/>
      <c r="H16" s="210"/>
      <c r="I16" s="210"/>
      <c r="J16" s="204"/>
      <c r="K16" s="204"/>
      <c r="M16" s="11"/>
      <c r="N16" s="11"/>
      <c r="O16" s="11"/>
      <c r="P16" s="11"/>
      <c r="Q16" s="11"/>
      <c r="R16" s="11"/>
      <c r="S16" s="11"/>
    </row>
    <row r="17" spans="1:21" ht="15" x14ac:dyDescent="0.35">
      <c r="B17" s="327" t="s">
        <v>1502</v>
      </c>
      <c r="C17" s="591">
        <v>11.2</v>
      </c>
      <c r="D17" s="251" t="s">
        <v>1509</v>
      </c>
      <c r="E17" s="204"/>
      <c r="F17" s="204" t="s">
        <v>1503</v>
      </c>
      <c r="G17" s="472">
        <f>(107.8/92)</f>
        <v>1.1717391304347826</v>
      </c>
      <c r="H17" s="204"/>
      <c r="I17" s="210" t="s">
        <v>1504</v>
      </c>
      <c r="J17" s="210"/>
      <c r="K17" s="210"/>
      <c r="M17" s="11"/>
      <c r="N17" s="11"/>
      <c r="O17" s="11"/>
      <c r="P17" s="11"/>
      <c r="Q17" s="11"/>
      <c r="R17" t="s">
        <v>979</v>
      </c>
      <c r="S17" s="11" t="s">
        <v>978</v>
      </c>
      <c r="U17" t="s">
        <v>977</v>
      </c>
    </row>
    <row r="18" spans="1:21" x14ac:dyDescent="0.3">
      <c r="B18" s="327"/>
      <c r="C18" s="327"/>
      <c r="D18" s="251"/>
      <c r="E18" s="204"/>
      <c r="F18" s="204"/>
      <c r="G18" s="472"/>
      <c r="H18" s="204"/>
      <c r="I18" s="210"/>
      <c r="J18" s="210"/>
      <c r="K18" s="210"/>
      <c r="M18" s="11"/>
      <c r="N18" s="11"/>
      <c r="O18" s="11"/>
      <c r="P18" s="11"/>
      <c r="Q18" s="11"/>
      <c r="S18" s="11"/>
    </row>
    <row r="19" spans="1:21" x14ac:dyDescent="0.3">
      <c r="B19" s="236" t="s">
        <v>1380</v>
      </c>
      <c r="C19" s="204"/>
      <c r="E19" s="204"/>
      <c r="F19" s="204"/>
      <c r="G19" s="204"/>
      <c r="H19" s="204"/>
      <c r="I19" s="210"/>
      <c r="J19" s="210"/>
      <c r="K19" s="210"/>
      <c r="M19" s="11"/>
      <c r="N19" s="11"/>
      <c r="O19" s="11"/>
      <c r="P19" s="11"/>
      <c r="Q19" s="11"/>
      <c r="S19" s="11"/>
    </row>
    <row r="20" spans="1:21" ht="18" x14ac:dyDescent="0.35">
      <c r="C20" s="208"/>
      <c r="D20" s="208"/>
      <c r="E20" s="204" t="s">
        <v>1059</v>
      </c>
      <c r="F20" s="204"/>
      <c r="G20" s="204"/>
      <c r="H20" s="213"/>
      <c r="I20" s="210"/>
      <c r="J20" s="210"/>
      <c r="K20" s="210"/>
      <c r="M20" s="11"/>
      <c r="N20" s="11"/>
      <c r="O20" s="11"/>
      <c r="P20" s="11"/>
      <c r="Q20" s="11"/>
      <c r="R20">
        <v>1</v>
      </c>
      <c r="S20" t="s">
        <v>1501</v>
      </c>
      <c r="U20">
        <v>2</v>
      </c>
    </row>
    <row r="21" spans="1:21" ht="18.75" customHeight="1" x14ac:dyDescent="0.4">
      <c r="B21" s="326"/>
      <c r="C21" s="573"/>
      <c r="D21" s="208"/>
      <c r="E21" s="357"/>
      <c r="F21" s="204"/>
      <c r="G21" s="204"/>
      <c r="H21" s="213"/>
      <c r="I21" s="210"/>
      <c r="J21" s="574"/>
      <c r="K21" s="210"/>
      <c r="M21" s="11"/>
      <c r="N21" s="11"/>
      <c r="O21" s="11"/>
      <c r="P21" s="11"/>
      <c r="Q21" s="11"/>
      <c r="R21">
        <v>2</v>
      </c>
      <c r="S21" t="s">
        <v>1475</v>
      </c>
    </row>
    <row r="22" spans="1:21" ht="18" x14ac:dyDescent="0.35">
      <c r="B22" s="208"/>
      <c r="C22" s="208"/>
      <c r="D22" s="208"/>
      <c r="E22" s="204"/>
      <c r="F22" s="204"/>
      <c r="G22" s="204"/>
      <c r="H22" s="213"/>
      <c r="I22" s="210"/>
      <c r="J22" s="574"/>
      <c r="K22" s="210"/>
      <c r="M22" s="11"/>
      <c r="N22" s="11"/>
      <c r="O22" s="11"/>
      <c r="P22" s="11"/>
      <c r="Q22" s="11"/>
      <c r="R22">
        <v>3</v>
      </c>
      <c r="S22" t="s">
        <v>1473</v>
      </c>
    </row>
    <row r="23" spans="1:21" x14ac:dyDescent="0.3">
      <c r="B23" s="204"/>
      <c r="C23" s="204"/>
      <c r="D23" s="204"/>
      <c r="E23" s="204"/>
      <c r="F23" s="204"/>
      <c r="G23" s="204"/>
      <c r="H23" s="204"/>
      <c r="I23" s="204"/>
      <c r="J23" s="574"/>
      <c r="K23" s="210"/>
      <c r="M23" s="11"/>
      <c r="N23" s="11"/>
      <c r="O23" s="11"/>
      <c r="P23" s="11"/>
      <c r="Q23" s="11"/>
      <c r="R23">
        <v>4</v>
      </c>
      <c r="S23" t="s">
        <v>1474</v>
      </c>
    </row>
    <row r="24" spans="1:21" ht="18" x14ac:dyDescent="0.35">
      <c r="B24" s="236" t="s">
        <v>1381</v>
      </c>
      <c r="C24" s="208"/>
      <c r="D24" s="208"/>
      <c r="E24" s="204"/>
      <c r="F24" s="204"/>
      <c r="G24" s="204"/>
      <c r="H24" s="213"/>
      <c r="I24" s="210"/>
      <c r="J24" s="574"/>
      <c r="K24" s="210"/>
      <c r="M24" s="11"/>
      <c r="N24" s="11"/>
      <c r="O24" s="11"/>
      <c r="P24" s="11"/>
      <c r="Q24" s="11"/>
      <c r="R24">
        <v>5</v>
      </c>
      <c r="S24" s="11" t="s">
        <v>1436</v>
      </c>
    </row>
    <row r="25" spans="1:21" ht="14.25" customHeight="1" x14ac:dyDescent="0.35">
      <c r="B25" s="236"/>
      <c r="C25" s="208"/>
      <c r="D25" s="208"/>
      <c r="E25" s="204"/>
      <c r="F25" s="204"/>
      <c r="G25" s="204"/>
      <c r="H25" s="213"/>
      <c r="I25" s="210"/>
      <c r="J25" s="210"/>
      <c r="K25" s="210"/>
      <c r="M25" s="11"/>
      <c r="N25" s="11"/>
      <c r="O25" s="11"/>
      <c r="P25" s="11"/>
      <c r="Q25" s="11"/>
      <c r="R25">
        <v>6</v>
      </c>
      <c r="S25" s="11" t="s">
        <v>227</v>
      </c>
    </row>
    <row r="26" spans="1:21" x14ac:dyDescent="0.3">
      <c r="B26" s="757" t="s">
        <v>1095</v>
      </c>
      <c r="C26" s="758"/>
      <c r="D26" s="758"/>
      <c r="E26" s="759"/>
      <c r="F26" s="387"/>
      <c r="G26" s="760" t="s">
        <v>1096</v>
      </c>
      <c r="H26" s="761"/>
      <c r="I26" s="762"/>
      <c r="J26" s="396"/>
      <c r="K26" s="457" t="s">
        <v>1097</v>
      </c>
      <c r="M26" s="204"/>
      <c r="O26" s="84"/>
      <c r="P26" s="84"/>
      <c r="R26">
        <v>7</v>
      </c>
      <c r="S26" s="11" t="s">
        <v>920</v>
      </c>
    </row>
    <row r="27" spans="1:21" ht="18.75" customHeight="1" x14ac:dyDescent="0.3">
      <c r="B27" s="214" t="s">
        <v>950</v>
      </c>
      <c r="C27" s="237" t="s">
        <v>1112</v>
      </c>
      <c r="D27" s="238" t="s">
        <v>592</v>
      </c>
      <c r="E27" s="238" t="s">
        <v>591</v>
      </c>
      <c r="F27" s="238"/>
      <c r="G27" s="23" t="s">
        <v>1088</v>
      </c>
      <c r="H27" s="238" t="s">
        <v>592</v>
      </c>
      <c r="I27" s="238" t="s">
        <v>591</v>
      </c>
      <c r="J27" s="204"/>
      <c r="K27" s="23" t="s">
        <v>676</v>
      </c>
      <c r="M27" s="11"/>
      <c r="O27" s="11"/>
      <c r="P27" s="11"/>
      <c r="R27" s="11"/>
      <c r="S27" s="11"/>
      <c r="T27" s="11"/>
    </row>
    <row r="28" spans="1:21" x14ac:dyDescent="0.3">
      <c r="A28" s="205"/>
      <c r="B28" s="22" t="s">
        <v>1434</v>
      </c>
      <c r="C28" s="231"/>
      <c r="D28" s="204"/>
      <c r="E28" s="204"/>
      <c r="F28" s="204"/>
      <c r="G28" s="204"/>
      <c r="H28" s="204"/>
      <c r="I28" s="204"/>
      <c r="J28" s="204"/>
      <c r="L28" s="205"/>
      <c r="M28" s="11"/>
      <c r="O28" s="11"/>
      <c r="P28" s="11"/>
      <c r="R28" s="11"/>
      <c r="S28" s="11"/>
      <c r="T28" s="11"/>
    </row>
    <row r="29" spans="1:21" ht="15" customHeight="1" x14ac:dyDescent="0.3">
      <c r="A29" s="206"/>
      <c r="B29" s="403" t="s">
        <v>1082</v>
      </c>
      <c r="C29" s="225">
        <v>578203</v>
      </c>
      <c r="D29" s="320" t="s">
        <v>1510</v>
      </c>
      <c r="E29" s="256"/>
      <c r="F29" s="256"/>
      <c r="G29" s="289"/>
      <c r="H29" s="204"/>
      <c r="I29" s="204"/>
      <c r="J29" s="204"/>
      <c r="K29" s="288">
        <f>IF(OR($U$20=1,$U$20=2),IF(T29=TRUE,IF(ISBLANK(G29),C29,G29),0),0)</f>
        <v>578203</v>
      </c>
      <c r="L29" s="206"/>
      <c r="O29" s="11"/>
      <c r="S29" s="11"/>
      <c r="T29" s="78" t="b">
        <v>1</v>
      </c>
      <c r="U29" s="78">
        <v>27</v>
      </c>
    </row>
    <row r="30" spans="1:21" x14ac:dyDescent="0.3">
      <c r="A30" s="206"/>
      <c r="B30" s="404" t="s">
        <v>1083</v>
      </c>
      <c r="C30" s="225">
        <v>1156405</v>
      </c>
      <c r="D30" s="320" t="s">
        <v>1510</v>
      </c>
      <c r="E30" s="256"/>
      <c r="F30" s="256"/>
      <c r="G30" s="289"/>
      <c r="H30" s="204"/>
      <c r="I30" s="204"/>
      <c r="J30" s="204"/>
      <c r="K30" s="288">
        <f t="shared" ref="K30:K31" si="0">IF(OR($U$20=1,$U$20=2),IF(T30=TRUE,IF(ISBLANK(G30),C30,G30),0),0)</f>
        <v>1156405</v>
      </c>
      <c r="L30" s="206"/>
      <c r="O30" s="11"/>
      <c r="S30" s="11"/>
      <c r="T30" s="78" t="b">
        <v>1</v>
      </c>
      <c r="U30" s="78">
        <f>U29+1</f>
        <v>28</v>
      </c>
    </row>
    <row r="31" spans="1:21" x14ac:dyDescent="0.3">
      <c r="A31" s="206"/>
      <c r="B31" s="404" t="s">
        <v>1084</v>
      </c>
      <c r="C31" s="225">
        <v>3469216</v>
      </c>
      <c r="D31" s="320" t="s">
        <v>1510</v>
      </c>
      <c r="E31" s="256"/>
      <c r="F31" s="256"/>
      <c r="G31" s="289"/>
      <c r="H31" s="204"/>
      <c r="I31" s="204"/>
      <c r="J31" s="204"/>
      <c r="K31" s="288">
        <f t="shared" si="0"/>
        <v>3469216</v>
      </c>
      <c r="L31" s="206"/>
      <c r="O31" s="11"/>
      <c r="S31" s="11"/>
      <c r="T31" s="78" t="b">
        <v>1</v>
      </c>
      <c r="U31" s="78">
        <f t="shared" ref="U31:U35" si="1">U30+1</f>
        <v>29</v>
      </c>
    </row>
    <row r="32" spans="1:21" x14ac:dyDescent="0.3">
      <c r="A32" s="206"/>
      <c r="B32" s="404" t="s">
        <v>1085</v>
      </c>
      <c r="C32" s="225">
        <v>1499215</v>
      </c>
      <c r="D32" s="320" t="s">
        <v>1510</v>
      </c>
      <c r="E32" s="256"/>
      <c r="F32" s="256"/>
      <c r="G32" s="289"/>
      <c r="H32" s="204"/>
      <c r="I32" s="204"/>
      <c r="J32" s="204"/>
      <c r="K32" s="288">
        <f>IF(OR($U$20=1,$U$20=3),IF(T32=TRUE,IF(ISBLANK(G32),C32,G32),0),0)</f>
        <v>0</v>
      </c>
      <c r="L32" s="206"/>
      <c r="O32" s="11"/>
      <c r="S32" s="11"/>
      <c r="T32" s="78" t="b">
        <v>1</v>
      </c>
      <c r="U32" s="78">
        <f t="shared" si="1"/>
        <v>30</v>
      </c>
    </row>
    <row r="33" spans="1:21" x14ac:dyDescent="0.3">
      <c r="A33" s="206"/>
      <c r="B33" s="404" t="s">
        <v>1086</v>
      </c>
      <c r="C33" s="225">
        <v>5247252.5</v>
      </c>
      <c r="D33" s="320" t="s">
        <v>1510</v>
      </c>
      <c r="E33" s="256"/>
      <c r="F33" s="256"/>
      <c r="G33" s="289"/>
      <c r="H33" s="204"/>
      <c r="I33" s="204"/>
      <c r="J33" s="204"/>
      <c r="K33" s="288">
        <f>IF(OR($U$20=1,$U$20=3),IF(T33=TRUE,IF(ISBLANK(G33),C33,G33),0),0)</f>
        <v>0</v>
      </c>
      <c r="L33" s="206"/>
      <c r="O33" s="11"/>
      <c r="S33" s="11"/>
      <c r="T33" s="78" t="b">
        <v>1</v>
      </c>
      <c r="U33" s="78">
        <f t="shared" si="1"/>
        <v>31</v>
      </c>
    </row>
    <row r="34" spans="1:21" x14ac:dyDescent="0.3">
      <c r="A34" s="206"/>
      <c r="B34" s="418" t="s">
        <v>1476</v>
      </c>
      <c r="C34" s="225">
        <v>2248822.5</v>
      </c>
      <c r="D34" s="320" t="s">
        <v>1510</v>
      </c>
      <c r="E34" s="256"/>
      <c r="F34" s="256"/>
      <c r="G34" s="289"/>
      <c r="H34" s="204"/>
      <c r="I34" s="204"/>
      <c r="J34" s="204"/>
      <c r="K34" s="288">
        <f>IF(OR($U$20=1,$U$20=3),IF(T34=TRUE,IF(ISBLANK(G34),C34,G34),0),0)</f>
        <v>0</v>
      </c>
      <c r="L34" s="206"/>
      <c r="O34" s="11"/>
      <c r="S34" s="11"/>
      <c r="T34" s="78" t="b">
        <v>1</v>
      </c>
      <c r="U34" s="78">
        <f t="shared" si="1"/>
        <v>32</v>
      </c>
    </row>
    <row r="35" spans="1:21" x14ac:dyDescent="0.3">
      <c r="A35" s="206"/>
      <c r="B35" s="418" t="s">
        <v>1433</v>
      </c>
      <c r="C35" s="228">
        <v>3014877</v>
      </c>
      <c r="D35" s="320" t="s">
        <v>1510</v>
      </c>
      <c r="E35" s="256"/>
      <c r="F35" s="256"/>
      <c r="G35" s="289"/>
      <c r="H35" s="204"/>
      <c r="I35" s="204"/>
      <c r="J35" s="204"/>
      <c r="K35" s="288">
        <f>IF(OR($U$20=1,$U$20=4),IF(T35=TRUE,IF(ISBLANK(G35),C35,G35),0),0)</f>
        <v>0</v>
      </c>
      <c r="L35" s="206"/>
      <c r="O35" s="11"/>
      <c r="S35" s="11"/>
      <c r="T35" s="78" t="b">
        <v>1</v>
      </c>
      <c r="U35" s="78">
        <f t="shared" si="1"/>
        <v>33</v>
      </c>
    </row>
    <row r="36" spans="1:21" x14ac:dyDescent="0.3">
      <c r="A36" s="205"/>
      <c r="B36" s="22" t="s">
        <v>1444</v>
      </c>
      <c r="C36" s="231"/>
      <c r="D36" s="204"/>
      <c r="E36" s="231"/>
      <c r="F36" s="204"/>
      <c r="G36" s="204"/>
      <c r="H36" s="204"/>
      <c r="I36" s="204"/>
      <c r="J36" s="204"/>
      <c r="L36" s="205"/>
      <c r="M36" s="11"/>
      <c r="O36" s="11"/>
      <c r="P36" s="11"/>
      <c r="R36" s="11"/>
      <c r="S36" s="11"/>
      <c r="T36" s="11"/>
    </row>
    <row r="37" spans="1:21" ht="15" customHeight="1" x14ac:dyDescent="0.3">
      <c r="A37" s="206"/>
      <c r="B37" s="404" t="s">
        <v>1082</v>
      </c>
      <c r="C37" s="225">
        <v>0</v>
      </c>
      <c r="D37" s="320" t="s">
        <v>1510</v>
      </c>
      <c r="E37" s="256"/>
      <c r="F37" s="256"/>
      <c r="G37" s="289"/>
      <c r="H37" s="204"/>
      <c r="I37" s="204"/>
      <c r="J37" s="204"/>
      <c r="K37" s="288">
        <f t="shared" ref="K37:K43" si="2">IF(OR($U$20=1,$U$20=5),IF(T37=TRUE,IF(ISBLANK(G37),C37,G37),0),0)</f>
        <v>0</v>
      </c>
      <c r="L37" s="206"/>
      <c r="O37" s="11"/>
      <c r="S37" s="11"/>
      <c r="T37" s="78" t="b">
        <v>1</v>
      </c>
      <c r="U37" s="78">
        <v>27</v>
      </c>
    </row>
    <row r="38" spans="1:21" x14ac:dyDescent="0.3">
      <c r="A38" s="206"/>
      <c r="B38" s="404" t="s">
        <v>1083</v>
      </c>
      <c r="C38" s="225">
        <v>0</v>
      </c>
      <c r="D38" s="320" t="s">
        <v>1510</v>
      </c>
      <c r="E38" s="256"/>
      <c r="F38" s="256"/>
      <c r="G38" s="289"/>
      <c r="H38" s="204"/>
      <c r="I38" s="204"/>
      <c r="J38" s="204"/>
      <c r="K38" s="288">
        <f t="shared" si="2"/>
        <v>0</v>
      </c>
      <c r="L38" s="206"/>
      <c r="O38" s="11"/>
      <c r="S38" s="11"/>
      <c r="T38" s="78" t="b">
        <v>1</v>
      </c>
      <c r="U38" s="78">
        <f>U37+1</f>
        <v>28</v>
      </c>
    </row>
    <row r="39" spans="1:21" x14ac:dyDescent="0.3">
      <c r="A39" s="206"/>
      <c r="B39" s="404" t="s">
        <v>1084</v>
      </c>
      <c r="C39" s="225">
        <v>0</v>
      </c>
      <c r="D39" s="320" t="s">
        <v>1510</v>
      </c>
      <c r="E39" s="256"/>
      <c r="F39" s="256"/>
      <c r="G39" s="289"/>
      <c r="H39" s="204"/>
      <c r="I39" s="204"/>
      <c r="J39" s="204"/>
      <c r="K39" s="288">
        <f t="shared" si="2"/>
        <v>0</v>
      </c>
      <c r="L39" s="206"/>
      <c r="O39" s="11"/>
      <c r="S39" s="11"/>
      <c r="T39" s="78" t="b">
        <v>1</v>
      </c>
      <c r="U39" s="78">
        <f t="shared" ref="U39:U43" si="3">U38+1</f>
        <v>29</v>
      </c>
    </row>
    <row r="40" spans="1:21" x14ac:dyDescent="0.3">
      <c r="A40" s="206"/>
      <c r="B40" s="404" t="s">
        <v>1085</v>
      </c>
      <c r="C40" s="225">
        <v>1071656</v>
      </c>
      <c r="D40" s="320" t="s">
        <v>1510</v>
      </c>
      <c r="E40" s="256"/>
      <c r="F40" s="256"/>
      <c r="G40" s="289"/>
      <c r="H40" s="204"/>
      <c r="I40" s="204"/>
      <c r="J40" s="204"/>
      <c r="K40" s="288">
        <f t="shared" si="2"/>
        <v>0</v>
      </c>
      <c r="L40" s="206"/>
      <c r="O40" s="11"/>
      <c r="S40" s="11"/>
      <c r="T40" s="78" t="b">
        <v>1</v>
      </c>
      <c r="U40" s="78">
        <f t="shared" si="3"/>
        <v>30</v>
      </c>
    </row>
    <row r="41" spans="1:21" x14ac:dyDescent="0.3">
      <c r="A41" s="206"/>
      <c r="B41" s="404" t="s">
        <v>1086</v>
      </c>
      <c r="C41" s="225">
        <v>3750797</v>
      </c>
      <c r="D41" s="320" t="s">
        <v>1510</v>
      </c>
      <c r="E41" s="256"/>
      <c r="F41" s="256"/>
      <c r="G41" s="289"/>
      <c r="H41" s="204"/>
      <c r="I41" s="204"/>
      <c r="J41" s="204"/>
      <c r="K41" s="288">
        <f t="shared" si="2"/>
        <v>0</v>
      </c>
      <c r="L41" s="206"/>
      <c r="O41" s="11"/>
      <c r="S41" s="11"/>
      <c r="T41" s="78" t="b">
        <v>1</v>
      </c>
      <c r="U41" s="78">
        <f t="shared" si="3"/>
        <v>31</v>
      </c>
    </row>
    <row r="42" spans="1:21" x14ac:dyDescent="0.3">
      <c r="A42" s="206"/>
      <c r="B42" s="404" t="s">
        <v>1087</v>
      </c>
      <c r="C42" s="225">
        <v>1607485</v>
      </c>
      <c r="D42" s="320" t="s">
        <v>1510</v>
      </c>
      <c r="E42" s="256"/>
      <c r="F42" s="256"/>
      <c r="G42" s="289"/>
      <c r="H42" s="204"/>
      <c r="I42" s="204"/>
      <c r="J42" s="204"/>
      <c r="K42" s="288">
        <f t="shared" si="2"/>
        <v>0</v>
      </c>
      <c r="L42" s="206"/>
      <c r="O42" s="11"/>
      <c r="S42" s="11"/>
      <c r="T42" s="78" t="b">
        <v>1</v>
      </c>
      <c r="U42" s="78">
        <f t="shared" si="3"/>
        <v>32</v>
      </c>
    </row>
    <row r="43" spans="1:21" x14ac:dyDescent="0.3">
      <c r="A43" s="206"/>
      <c r="B43" s="404" t="s">
        <v>1433</v>
      </c>
      <c r="C43" s="225">
        <v>0</v>
      </c>
      <c r="D43" s="320" t="s">
        <v>1510</v>
      </c>
      <c r="E43" s="256"/>
      <c r="F43" s="256"/>
      <c r="G43" s="289"/>
      <c r="H43" s="204"/>
      <c r="I43" s="204"/>
      <c r="J43" s="204"/>
      <c r="K43" s="288">
        <f t="shared" si="2"/>
        <v>0</v>
      </c>
      <c r="L43" s="206"/>
      <c r="O43" s="11"/>
      <c r="S43" s="11"/>
      <c r="T43" s="78" t="b">
        <v>1</v>
      </c>
      <c r="U43" s="78">
        <f t="shared" si="3"/>
        <v>33</v>
      </c>
    </row>
    <row r="44" spans="1:21" x14ac:dyDescent="0.3">
      <c r="A44" s="207"/>
      <c r="B44" s="324" t="s">
        <v>227</v>
      </c>
      <c r="C44" s="227"/>
      <c r="D44" s="251"/>
      <c r="E44" s="256"/>
      <c r="F44" s="256"/>
      <c r="G44" s="287"/>
      <c r="H44" s="204"/>
      <c r="I44" s="204"/>
      <c r="J44" s="204"/>
      <c r="K44" s="288"/>
      <c r="L44" s="207"/>
      <c r="O44" s="11"/>
      <c r="S44" s="11"/>
      <c r="T44" s="78"/>
      <c r="U44" s="78"/>
    </row>
    <row r="45" spans="1:21" x14ac:dyDescent="0.3">
      <c r="A45" s="206"/>
      <c r="B45" s="403" t="s">
        <v>1437</v>
      </c>
      <c r="C45" s="225">
        <v>925398</v>
      </c>
      <c r="D45" s="320" t="s">
        <v>1510</v>
      </c>
      <c r="E45" s="251"/>
      <c r="F45" s="251"/>
      <c r="G45" s="289"/>
      <c r="H45" s="204"/>
      <c r="I45" s="204"/>
      <c r="J45" s="204"/>
      <c r="K45" s="288">
        <f>IF(OR($U$20=1,$U$20=6),IF(T45=TRUE,IF(ISBLANK(G45),C45,G45),0),0)</f>
        <v>0</v>
      </c>
      <c r="L45" s="206"/>
      <c r="O45" s="11"/>
      <c r="S45" s="11"/>
      <c r="T45" s="78" t="b">
        <v>1</v>
      </c>
      <c r="U45" s="78">
        <v>36</v>
      </c>
    </row>
    <row r="46" spans="1:21" x14ac:dyDescent="0.3">
      <c r="A46" s="206"/>
      <c r="B46" s="403" t="s">
        <v>1438</v>
      </c>
      <c r="C46" s="225">
        <v>0</v>
      </c>
      <c r="D46" s="320" t="s">
        <v>1510</v>
      </c>
      <c r="E46" s="251"/>
      <c r="F46" s="251"/>
      <c r="G46" s="289"/>
      <c r="H46" s="204"/>
      <c r="I46" s="204"/>
      <c r="J46" s="204"/>
      <c r="K46" s="288">
        <f>IF(OR($U$20=1,$U$20=6),IF(T46=TRUE,IF(ISBLANK(G46),C46,G46),0),0)</f>
        <v>0</v>
      </c>
      <c r="L46" s="206"/>
      <c r="O46" s="11"/>
      <c r="S46" s="11"/>
      <c r="T46" s="78" t="b">
        <v>1</v>
      </c>
      <c r="U46" s="78">
        <v>37</v>
      </c>
    </row>
    <row r="47" spans="1:21" x14ac:dyDescent="0.3">
      <c r="A47" s="206"/>
      <c r="B47" s="403" t="s">
        <v>1441</v>
      </c>
      <c r="C47" s="225">
        <v>925398</v>
      </c>
      <c r="D47" s="320" t="s">
        <v>1510</v>
      </c>
      <c r="E47" s="251"/>
      <c r="F47" s="251"/>
      <c r="G47" s="289"/>
      <c r="H47" s="204"/>
      <c r="I47" s="204"/>
      <c r="J47" s="204"/>
      <c r="K47" s="288">
        <f>IF(OR($U$20=1,$U$20=6),IF(T47=TRUE,IF(ISBLANK(G47),C47,G47),0),0)</f>
        <v>0</v>
      </c>
      <c r="L47" s="206"/>
      <c r="O47" s="11"/>
      <c r="S47" s="11"/>
      <c r="T47" s="78" t="b">
        <v>1</v>
      </c>
      <c r="U47" s="78">
        <v>38</v>
      </c>
    </row>
    <row r="48" spans="1:21" x14ac:dyDescent="0.3">
      <c r="A48" s="206"/>
      <c r="B48" s="403" t="s">
        <v>1451</v>
      </c>
      <c r="C48" s="225">
        <v>0</v>
      </c>
      <c r="D48" s="320" t="s">
        <v>1510</v>
      </c>
      <c r="E48" s="251"/>
      <c r="F48" s="251"/>
      <c r="G48" s="289"/>
      <c r="H48" s="204"/>
      <c r="I48" s="204"/>
      <c r="J48" s="204"/>
      <c r="K48" s="288">
        <f>IF(OR($U$20=1,$U$20=6),IF(T48=TRUE,IF(ISBLANK(G48),C48,G48),0),0)</f>
        <v>0</v>
      </c>
      <c r="L48" s="206"/>
      <c r="O48" s="11"/>
      <c r="S48" s="11"/>
      <c r="T48" s="78" t="b">
        <v>1</v>
      </c>
      <c r="U48" s="78">
        <v>39</v>
      </c>
    </row>
    <row r="49" spans="1:21" x14ac:dyDescent="0.3">
      <c r="A49" s="207"/>
      <c r="B49" s="148" t="s">
        <v>920</v>
      </c>
      <c r="C49" s="227"/>
      <c r="D49" s="210"/>
      <c r="E49" s="204"/>
      <c r="F49" s="204"/>
      <c r="G49" s="287"/>
      <c r="H49" s="204"/>
      <c r="I49" s="204"/>
      <c r="J49" s="204"/>
      <c r="K49" s="288"/>
      <c r="L49" s="207"/>
      <c r="O49" s="11"/>
      <c r="S49" s="11"/>
      <c r="T49" s="78"/>
      <c r="U49" s="78"/>
    </row>
    <row r="50" spans="1:21" x14ac:dyDescent="0.3">
      <c r="A50" s="206"/>
      <c r="B50" s="403" t="s">
        <v>920</v>
      </c>
      <c r="C50" s="225">
        <v>0</v>
      </c>
      <c r="D50" s="320" t="s">
        <v>1510</v>
      </c>
      <c r="E50" s="204" t="s">
        <v>1455</v>
      </c>
      <c r="F50" s="204"/>
      <c r="G50" s="289"/>
      <c r="H50" s="204"/>
      <c r="I50" s="204"/>
      <c r="J50" s="204"/>
      <c r="K50" s="288"/>
      <c r="L50" s="206"/>
      <c r="O50" s="11"/>
      <c r="S50" s="11"/>
      <c r="T50" s="78" t="b">
        <v>1</v>
      </c>
      <c r="U50" s="78">
        <v>40</v>
      </c>
    </row>
    <row r="51" spans="1:21" x14ac:dyDescent="0.3">
      <c r="A51" s="206"/>
      <c r="B51" s="403" t="s">
        <v>980</v>
      </c>
      <c r="C51" s="225">
        <v>0</v>
      </c>
      <c r="D51" s="320" t="s">
        <v>1510</v>
      </c>
      <c r="E51" s="204"/>
      <c r="F51" s="204"/>
      <c r="G51" s="289"/>
      <c r="H51" s="204"/>
      <c r="I51" s="204"/>
      <c r="J51" s="204"/>
      <c r="K51" s="288">
        <f>IF(OR($U$20=1,$U$20=7),IF(T51=TRUE,IF(ISBLANK(G51),C51,G51),0),0)</f>
        <v>0</v>
      </c>
      <c r="L51" s="206"/>
      <c r="O51" s="11"/>
      <c r="S51" s="11"/>
      <c r="T51" s="78" t="b">
        <v>1</v>
      </c>
      <c r="U51" s="78">
        <v>41</v>
      </c>
    </row>
    <row r="52" spans="1:21" x14ac:dyDescent="0.3">
      <c r="B52" s="210"/>
      <c r="C52" s="227"/>
      <c r="D52" s="320"/>
      <c r="E52" s="204"/>
      <c r="F52" s="204"/>
      <c r="G52" s="204"/>
      <c r="H52" s="230"/>
      <c r="I52" s="206"/>
      <c r="J52" s="204"/>
      <c r="K52" s="206"/>
      <c r="O52" s="11"/>
      <c r="R52" s="11"/>
      <c r="S52" s="78"/>
      <c r="T52" s="78"/>
    </row>
    <row r="53" spans="1:21" x14ac:dyDescent="0.3">
      <c r="B53" s="210"/>
      <c r="C53" s="227"/>
      <c r="D53" s="320"/>
      <c r="E53" s="204"/>
      <c r="F53" s="204"/>
      <c r="G53" s="204"/>
      <c r="H53" s="230"/>
      <c r="I53" s="206"/>
      <c r="J53" s="204"/>
      <c r="K53" s="206"/>
      <c r="O53" s="11"/>
      <c r="R53" s="11"/>
      <c r="S53" s="78"/>
      <c r="T53" s="78"/>
    </row>
    <row r="54" spans="1:21" x14ac:dyDescent="0.3">
      <c r="B54" s="236" t="s">
        <v>1089</v>
      </c>
      <c r="C54" s="227"/>
      <c r="D54" s="204"/>
      <c r="E54" s="204"/>
      <c r="F54" s="204"/>
      <c r="G54" s="204"/>
      <c r="H54" s="230"/>
      <c r="I54" s="206"/>
      <c r="J54" s="204"/>
      <c r="K54" s="206"/>
      <c r="O54" s="11"/>
      <c r="R54" s="11"/>
      <c r="S54" s="78"/>
      <c r="T54" s="78"/>
    </row>
    <row r="55" spans="1:21" x14ac:dyDescent="0.3">
      <c r="B55" s="210"/>
      <c r="C55" s="237" t="s">
        <v>1048</v>
      </c>
      <c r="D55" s="238" t="s">
        <v>592</v>
      </c>
      <c r="E55" s="238" t="s">
        <v>591</v>
      </c>
      <c r="F55" s="238"/>
      <c r="G55" s="204"/>
      <c r="H55" s="214" t="s">
        <v>1061</v>
      </c>
      <c r="I55" s="204"/>
      <c r="J55" s="204"/>
      <c r="O55" s="11"/>
      <c r="R55" s="11"/>
      <c r="S55" s="78"/>
      <c r="T55" s="78"/>
    </row>
    <row r="56" spans="1:21" x14ac:dyDescent="0.3">
      <c r="B56" s="22" t="s">
        <v>1434</v>
      </c>
      <c r="C56" s="204"/>
      <c r="D56" s="204"/>
      <c r="E56" s="204"/>
      <c r="F56" s="204"/>
      <c r="G56" s="204"/>
      <c r="H56" s="237" t="s">
        <v>1062</v>
      </c>
      <c r="I56" s="204"/>
      <c r="J56" s="204"/>
      <c r="O56" s="11"/>
      <c r="R56" s="11"/>
      <c r="S56" s="78"/>
      <c r="T56" s="78"/>
    </row>
    <row r="57" spans="1:21" x14ac:dyDescent="0.3">
      <c r="B57" s="206" t="s">
        <v>2</v>
      </c>
      <c r="C57" s="414">
        <v>1</v>
      </c>
      <c r="D57" s="204" t="s">
        <v>1090</v>
      </c>
      <c r="E57" s="204"/>
      <c r="F57" s="204"/>
      <c r="G57" s="204"/>
      <c r="H57" s="241">
        <f>IF($U$20=1,K29,IF($U$20=2,K29*IF(ISBLANK(C57),1,C57),0))</f>
        <v>578203</v>
      </c>
      <c r="I57" s="204"/>
      <c r="J57" s="204"/>
      <c r="O57" s="11"/>
      <c r="R57" s="11"/>
      <c r="S57" s="78"/>
      <c r="T57" s="78"/>
    </row>
    <row r="58" spans="1:21" x14ac:dyDescent="0.3">
      <c r="B58" s="206" t="s">
        <v>3</v>
      </c>
      <c r="C58" s="414">
        <v>1</v>
      </c>
      <c r="D58" s="204"/>
      <c r="E58" s="204"/>
      <c r="F58" s="204"/>
      <c r="G58" s="204"/>
      <c r="H58" s="241">
        <f t="shared" ref="H58" si="4">IF($U$20=1,K30,IF($U$20=2,K30*IF(ISBLANK(C58),1,C58),0))</f>
        <v>1156405</v>
      </c>
      <c r="I58" s="204"/>
      <c r="J58" s="204"/>
      <c r="O58" s="11"/>
      <c r="R58" s="11"/>
      <c r="S58" s="78"/>
      <c r="T58" s="78"/>
    </row>
    <row r="59" spans="1:21" x14ac:dyDescent="0.3">
      <c r="B59" s="206" t="s">
        <v>4</v>
      </c>
      <c r="C59" s="414">
        <v>1</v>
      </c>
      <c r="D59" s="204"/>
      <c r="E59" s="204"/>
      <c r="F59" s="204"/>
      <c r="G59" s="204"/>
      <c r="H59" s="241">
        <f>IF($U$20=1,K31,IF($U$20=2,K31*IF(ISBLANK(C59),1,C59),0))</f>
        <v>3469216</v>
      </c>
      <c r="I59" s="204"/>
      <c r="J59" s="204"/>
      <c r="O59" s="11"/>
      <c r="R59" s="11"/>
      <c r="S59" s="78"/>
      <c r="T59" s="78"/>
    </row>
    <row r="60" spans="1:21" x14ac:dyDescent="0.3">
      <c r="B60" s="206" t="s">
        <v>5</v>
      </c>
      <c r="C60" s="414">
        <v>1</v>
      </c>
      <c r="D60" s="204"/>
      <c r="E60" s="204"/>
      <c r="F60" s="204"/>
      <c r="G60" s="204"/>
      <c r="H60" s="241">
        <f>IF($U$20=1,K32,IF($U$20=3,K32*IF(ISBLANK(C60),1,C60),0))</f>
        <v>0</v>
      </c>
      <c r="I60" s="204"/>
      <c r="J60" s="204"/>
      <c r="O60" s="11"/>
      <c r="R60" s="11"/>
      <c r="S60" s="78"/>
      <c r="T60" s="78"/>
    </row>
    <row r="61" spans="1:21" x14ac:dyDescent="0.3">
      <c r="B61" s="206" t="s">
        <v>6</v>
      </c>
      <c r="C61" s="414">
        <v>1</v>
      </c>
      <c r="E61" s="204"/>
      <c r="F61" s="204"/>
      <c r="G61" s="204"/>
      <c r="H61" s="241">
        <f>IF($U$20=1,K33,IF($U$20=3,K33*IF(ISBLANK(C61),1,C61),0))</f>
        <v>0</v>
      </c>
      <c r="I61" s="204"/>
      <c r="J61" s="204"/>
      <c r="O61" s="11"/>
      <c r="R61" s="11"/>
      <c r="S61" s="78"/>
      <c r="T61" s="78"/>
    </row>
    <row r="62" spans="1:21" x14ac:dyDescent="0.3">
      <c r="B62" s="206" t="s">
        <v>7</v>
      </c>
      <c r="C62" s="414">
        <v>1</v>
      </c>
      <c r="D62" s="204"/>
      <c r="E62" s="204"/>
      <c r="F62" s="204"/>
      <c r="G62" s="204"/>
      <c r="H62" s="241">
        <f>IF($U$20=1,K34,IF($U$20=3,K34*IF(ISBLANK(C62),1,C62),0))</f>
        <v>0</v>
      </c>
      <c r="I62" s="204"/>
      <c r="J62" s="204"/>
      <c r="O62" s="11"/>
      <c r="R62" s="11"/>
      <c r="S62" s="78"/>
      <c r="T62" s="78"/>
    </row>
    <row r="63" spans="1:21" x14ac:dyDescent="0.3">
      <c r="B63" s="206" t="s">
        <v>11</v>
      </c>
      <c r="C63" s="414">
        <v>1</v>
      </c>
      <c r="D63" s="204"/>
      <c r="E63" s="204"/>
      <c r="F63" s="204"/>
      <c r="G63" s="204"/>
      <c r="H63" s="241">
        <f>IF($U$20=1,K35,IF($U$20=4,K35*IF(ISBLANK(C63),1,C63),0))</f>
        <v>0</v>
      </c>
      <c r="I63" s="204"/>
      <c r="J63" s="204"/>
      <c r="O63" s="11"/>
      <c r="R63" s="11"/>
      <c r="S63" s="78"/>
      <c r="T63" s="78"/>
    </row>
    <row r="64" spans="1:21" x14ac:dyDescent="0.3">
      <c r="B64" s="22" t="s">
        <v>1445</v>
      </c>
      <c r="C64" s="204"/>
      <c r="D64" s="204"/>
      <c r="E64" s="204"/>
      <c r="F64" s="204"/>
      <c r="G64" s="204"/>
      <c r="H64" s="237"/>
      <c r="I64" s="204"/>
      <c r="J64" s="204"/>
      <c r="O64" s="11"/>
      <c r="R64" s="11"/>
      <c r="S64" s="78"/>
      <c r="T64" s="78"/>
    </row>
    <row r="65" spans="2:20" x14ac:dyDescent="0.3">
      <c r="B65" s="206" t="s">
        <v>2</v>
      </c>
      <c r="C65" s="414">
        <v>1</v>
      </c>
      <c r="D65" s="204" t="s">
        <v>1090</v>
      </c>
      <c r="E65" s="204"/>
      <c r="F65" s="204"/>
      <c r="G65" s="204"/>
      <c r="H65" s="241">
        <f t="shared" ref="H65:H71" si="5">IF($U$20=1,K37,IF($U$20=5,K37*IF(ISBLANK(C65),1,C65),0))</f>
        <v>0</v>
      </c>
      <c r="I65" s="204"/>
      <c r="J65" s="204"/>
      <c r="O65" s="11"/>
      <c r="R65" s="11"/>
      <c r="S65" s="78"/>
      <c r="T65" s="78"/>
    </row>
    <row r="66" spans="2:20" x14ac:dyDescent="0.3">
      <c r="B66" s="206" t="s">
        <v>3</v>
      </c>
      <c r="C66" s="414">
        <v>1</v>
      </c>
      <c r="D66" s="204"/>
      <c r="E66" s="204"/>
      <c r="F66" s="204"/>
      <c r="G66" s="204"/>
      <c r="H66" s="241">
        <f t="shared" si="5"/>
        <v>0</v>
      </c>
      <c r="I66" s="204"/>
      <c r="J66" s="204"/>
      <c r="O66" s="11"/>
      <c r="R66" s="11"/>
      <c r="S66" s="78"/>
      <c r="T66" s="78"/>
    </row>
    <row r="67" spans="2:20" x14ac:dyDescent="0.3">
      <c r="B67" s="206" t="s">
        <v>4</v>
      </c>
      <c r="C67" s="414">
        <v>1</v>
      </c>
      <c r="D67" s="204"/>
      <c r="E67" s="204"/>
      <c r="F67" s="204"/>
      <c r="G67" s="204"/>
      <c r="H67" s="241">
        <f t="shared" si="5"/>
        <v>0</v>
      </c>
      <c r="I67" s="204"/>
      <c r="J67" s="204"/>
      <c r="O67" s="11"/>
      <c r="R67" s="11"/>
      <c r="S67" s="78"/>
      <c r="T67" s="78"/>
    </row>
    <row r="68" spans="2:20" x14ac:dyDescent="0.3">
      <c r="B68" s="206" t="s">
        <v>5</v>
      </c>
      <c r="C68" s="414">
        <v>1</v>
      </c>
      <c r="D68" s="204"/>
      <c r="E68" s="204"/>
      <c r="F68" s="204"/>
      <c r="G68" s="204"/>
      <c r="H68" s="241">
        <f t="shared" si="5"/>
        <v>0</v>
      </c>
      <c r="I68" s="204"/>
      <c r="J68" s="204"/>
      <c r="O68" s="11"/>
      <c r="R68" s="11"/>
      <c r="S68" s="78"/>
      <c r="T68" s="78"/>
    </row>
    <row r="69" spans="2:20" x14ac:dyDescent="0.3">
      <c r="B69" s="206" t="s">
        <v>6</v>
      </c>
      <c r="C69" s="414">
        <v>1</v>
      </c>
      <c r="E69" s="204"/>
      <c r="F69" s="204"/>
      <c r="G69" s="204"/>
      <c r="H69" s="241">
        <f t="shared" si="5"/>
        <v>0</v>
      </c>
      <c r="I69" s="204"/>
      <c r="J69" s="204"/>
      <c r="O69" s="11"/>
      <c r="R69" s="11"/>
      <c r="S69" s="78"/>
      <c r="T69" s="78"/>
    </row>
    <row r="70" spans="2:20" x14ac:dyDescent="0.3">
      <c r="B70" s="206" t="s">
        <v>7</v>
      </c>
      <c r="C70" s="414">
        <v>1</v>
      </c>
      <c r="D70" s="204"/>
      <c r="E70" s="204"/>
      <c r="F70" s="204"/>
      <c r="G70" s="204"/>
      <c r="H70" s="241">
        <f t="shared" si="5"/>
        <v>0</v>
      </c>
      <c r="I70" s="204"/>
      <c r="J70" s="204"/>
      <c r="O70" s="11"/>
      <c r="R70" s="11"/>
      <c r="S70" s="78"/>
      <c r="T70" s="78"/>
    </row>
    <row r="71" spans="2:20" x14ac:dyDescent="0.3">
      <c r="B71" s="206" t="s">
        <v>11</v>
      </c>
      <c r="C71" s="414">
        <v>1</v>
      </c>
      <c r="D71" s="204"/>
      <c r="E71" s="204"/>
      <c r="F71" s="204"/>
      <c r="G71" s="204"/>
      <c r="H71" s="590">
        <f t="shared" si="5"/>
        <v>0</v>
      </c>
      <c r="I71" s="204"/>
      <c r="J71" s="204"/>
      <c r="O71" s="11"/>
      <c r="R71" s="11"/>
      <c r="S71" s="78"/>
      <c r="T71" s="78"/>
    </row>
    <row r="72" spans="2:20" x14ac:dyDescent="0.3">
      <c r="B72" s="207" t="s">
        <v>227</v>
      </c>
      <c r="C72" s="204"/>
      <c r="D72" s="204"/>
      <c r="E72" s="204"/>
      <c r="F72" s="204"/>
      <c r="G72" s="204"/>
      <c r="H72" s="226"/>
      <c r="I72" s="204"/>
      <c r="J72" s="204"/>
      <c r="O72" s="11"/>
      <c r="R72" s="11"/>
      <c r="S72" s="78"/>
      <c r="T72" s="78"/>
    </row>
    <row r="73" spans="2:20" x14ac:dyDescent="0.3">
      <c r="B73" s="206" t="s">
        <v>1437</v>
      </c>
      <c r="C73" s="414">
        <v>1</v>
      </c>
      <c r="D73" s="204"/>
      <c r="E73" s="204"/>
      <c r="F73" s="204"/>
      <c r="G73" s="204"/>
      <c r="H73" s="241">
        <f>IF($U$20=1,K45,IF($U$20=6,K45*IF(ISBLANK(C73),1,C73),0))</f>
        <v>0</v>
      </c>
      <c r="I73" s="204"/>
      <c r="J73" s="204"/>
      <c r="O73" s="11"/>
      <c r="R73" s="11"/>
      <c r="S73" s="78"/>
      <c r="T73" s="78"/>
    </row>
    <row r="74" spans="2:20" x14ac:dyDescent="0.3">
      <c r="B74" s="206" t="s">
        <v>1438</v>
      </c>
      <c r="C74" s="414">
        <v>1</v>
      </c>
      <c r="D74" s="204"/>
      <c r="E74" s="204"/>
      <c r="F74" s="204"/>
      <c r="G74" s="204"/>
      <c r="H74" s="241">
        <v>0</v>
      </c>
      <c r="I74" s="204"/>
      <c r="J74" s="204"/>
      <c r="O74" s="11"/>
      <c r="R74" s="11"/>
      <c r="S74" s="78"/>
      <c r="T74" s="78"/>
    </row>
    <row r="75" spans="2:20" x14ac:dyDescent="0.3">
      <c r="B75" s="206" t="s">
        <v>1439</v>
      </c>
      <c r="C75" s="414">
        <v>1</v>
      </c>
      <c r="D75" s="204"/>
      <c r="E75" s="204"/>
      <c r="F75" s="204"/>
      <c r="G75" s="204"/>
      <c r="H75" s="241">
        <f>IF($U$20=1,K47,IF($U$20=6,K47*IF(ISBLANK(C75),1,C75),0))</f>
        <v>0</v>
      </c>
      <c r="I75" s="204"/>
      <c r="J75" s="204"/>
      <c r="O75" s="11"/>
      <c r="R75" s="11"/>
      <c r="S75" s="78"/>
      <c r="T75" s="78"/>
    </row>
    <row r="76" spans="2:20" x14ac:dyDescent="0.3">
      <c r="B76" s="206" t="s">
        <v>1440</v>
      </c>
      <c r="C76" s="414">
        <v>1</v>
      </c>
      <c r="D76" s="204"/>
      <c r="E76" s="204"/>
      <c r="F76" s="204"/>
      <c r="G76" s="204"/>
      <c r="H76" s="241">
        <v>0</v>
      </c>
      <c r="I76" s="204"/>
      <c r="J76" s="204"/>
      <c r="O76" s="11"/>
      <c r="R76" s="11"/>
      <c r="S76" s="78"/>
      <c r="T76" s="78"/>
    </row>
    <row r="77" spans="2:20" x14ac:dyDescent="0.3">
      <c r="B77" s="207" t="s">
        <v>920</v>
      </c>
      <c r="C77" s="204"/>
      <c r="D77" s="204"/>
      <c r="E77" s="204"/>
      <c r="F77" s="204"/>
      <c r="G77" s="204"/>
      <c r="H77" s="226"/>
      <c r="I77" s="204"/>
      <c r="J77" s="204"/>
      <c r="O77" s="11"/>
      <c r="R77" s="11"/>
      <c r="S77" s="78"/>
      <c r="T77" s="78"/>
    </row>
    <row r="78" spans="2:20" x14ac:dyDescent="0.3">
      <c r="B78" s="206" t="s">
        <v>920</v>
      </c>
      <c r="C78" s="414">
        <v>1</v>
      </c>
      <c r="D78" s="204"/>
      <c r="E78" s="204"/>
      <c r="F78" s="204"/>
      <c r="G78" s="204"/>
      <c r="H78" s="241">
        <f t="shared" ref="H78:H79" si="6">IF($U$20=1,K50,IF($U$20=2,K50*IF(ISBLANK(C78),1,C78),0))</f>
        <v>0</v>
      </c>
      <c r="I78" s="204"/>
      <c r="J78" s="204"/>
      <c r="O78" s="11"/>
      <c r="R78" s="11"/>
      <c r="S78" s="78"/>
      <c r="T78" s="78"/>
    </row>
    <row r="79" spans="2:20" x14ac:dyDescent="0.3">
      <c r="B79" s="206" t="s">
        <v>980</v>
      </c>
      <c r="C79" s="414">
        <v>1</v>
      </c>
      <c r="D79" s="204"/>
      <c r="E79" s="204"/>
      <c r="F79" s="204"/>
      <c r="G79" s="204"/>
      <c r="H79" s="241">
        <f t="shared" si="6"/>
        <v>0</v>
      </c>
      <c r="I79" s="204"/>
      <c r="J79" s="204"/>
      <c r="O79" s="11"/>
      <c r="R79" s="11"/>
      <c r="S79" s="78"/>
      <c r="T79" s="78"/>
    </row>
    <row r="80" spans="2:20" x14ac:dyDescent="0.3">
      <c r="B80" s="210"/>
      <c r="C80" s="227"/>
      <c r="D80" s="204"/>
      <c r="E80" s="204"/>
      <c r="F80" s="204"/>
      <c r="G80" s="204"/>
      <c r="H80" s="230"/>
      <c r="I80" s="206"/>
      <c r="J80" s="204"/>
      <c r="K80" s="206"/>
      <c r="O80" s="11"/>
      <c r="R80" s="11"/>
      <c r="S80" s="78"/>
      <c r="T80" s="78"/>
    </row>
    <row r="81" spans="2:20" x14ac:dyDescent="0.3">
      <c r="B81" s="204"/>
      <c r="C81" s="204"/>
      <c r="D81" s="204"/>
      <c r="E81" s="204"/>
      <c r="F81" s="204"/>
      <c r="G81" s="204"/>
      <c r="H81" s="204"/>
      <c r="I81" s="204"/>
      <c r="J81" s="204"/>
      <c r="K81" s="204"/>
      <c r="R81" s="11"/>
      <c r="S81" s="78"/>
      <c r="T81" s="78"/>
    </row>
    <row r="82" spans="2:20" ht="18" x14ac:dyDescent="0.35">
      <c r="B82" s="236" t="s">
        <v>1393</v>
      </c>
      <c r="C82" s="208"/>
      <c r="D82" s="208"/>
      <c r="E82" s="204"/>
      <c r="F82" s="204"/>
      <c r="G82" s="204"/>
      <c r="H82" s="230"/>
      <c r="I82" s="206"/>
      <c r="J82" s="204"/>
      <c r="R82" s="11"/>
      <c r="S82" s="78"/>
      <c r="T82" s="78"/>
    </row>
    <row r="83" spans="2:20" ht="15.75" customHeight="1" x14ac:dyDescent="0.3">
      <c r="B83" s="236"/>
      <c r="C83" s="204"/>
      <c r="D83" s="231"/>
      <c r="E83" s="204"/>
      <c r="F83" s="204"/>
      <c r="G83" s="204"/>
      <c r="H83" s="232"/>
      <c r="I83" s="206"/>
      <c r="J83" s="204"/>
      <c r="K83" s="204"/>
      <c r="M83" s="11"/>
      <c r="N83" s="11"/>
      <c r="P83" s="11"/>
      <c r="Q83" s="11"/>
      <c r="R83" s="11"/>
      <c r="S83" s="11"/>
    </row>
    <row r="84" spans="2:20" ht="15" customHeight="1" thickBot="1" x14ac:dyDescent="0.4">
      <c r="C84" s="277" t="s">
        <v>552</v>
      </c>
      <c r="D84" s="277"/>
      <c r="E84" s="277"/>
      <c r="F84" s="290"/>
      <c r="G84" s="290"/>
      <c r="H84" s="278" t="s">
        <v>553</v>
      </c>
      <c r="I84" s="204"/>
      <c r="J84" s="204"/>
      <c r="K84" s="204"/>
      <c r="N84" s="11"/>
      <c r="O84" s="11"/>
    </row>
    <row r="85" spans="2:20" x14ac:dyDescent="0.3">
      <c r="B85" s="214" t="s">
        <v>950</v>
      </c>
      <c r="C85" s="237" t="s">
        <v>976</v>
      </c>
      <c r="D85" s="238" t="s">
        <v>592</v>
      </c>
      <c r="E85" s="238" t="s">
        <v>591</v>
      </c>
      <c r="F85" s="238"/>
      <c r="G85" s="238"/>
      <c r="H85" s="237" t="s">
        <v>976</v>
      </c>
      <c r="I85" s="238" t="s">
        <v>592</v>
      </c>
      <c r="J85" s="238" t="s">
        <v>591</v>
      </c>
      <c r="K85" s="204"/>
      <c r="O85" s="11"/>
    </row>
    <row r="86" spans="2:20" x14ac:dyDescent="0.3">
      <c r="B86" s="22" t="s">
        <v>1434</v>
      </c>
      <c r="C86" s="233"/>
      <c r="D86" s="234"/>
      <c r="E86" s="204"/>
      <c r="F86" s="204"/>
      <c r="G86" s="204"/>
      <c r="H86" s="233"/>
      <c r="I86" s="204"/>
      <c r="J86" s="204"/>
      <c r="K86" s="204"/>
      <c r="O86" s="11"/>
    </row>
    <row r="87" spans="2:20" x14ac:dyDescent="0.3">
      <c r="B87" s="206" t="s">
        <v>2</v>
      </c>
      <c r="C87" s="276">
        <v>0</v>
      </c>
      <c r="D87" s="251"/>
      <c r="E87" s="251"/>
      <c r="F87" s="251"/>
      <c r="G87" s="251"/>
      <c r="H87" s="276">
        <v>2.4E-2</v>
      </c>
      <c r="I87" s="251"/>
      <c r="J87" s="251"/>
      <c r="K87" s="204"/>
      <c r="N87" s="143"/>
      <c r="O87" s="142"/>
    </row>
    <row r="88" spans="2:20" x14ac:dyDescent="0.3">
      <c r="B88" s="206" t="s">
        <v>3</v>
      </c>
      <c r="C88" s="276">
        <v>0</v>
      </c>
      <c r="D88" s="251"/>
      <c r="E88" s="251"/>
      <c r="F88" s="251"/>
      <c r="G88" s="251"/>
      <c r="H88" s="276">
        <v>2.4E-2</v>
      </c>
      <c r="I88" s="251"/>
      <c r="J88" s="251"/>
      <c r="K88" s="204"/>
      <c r="N88" s="143"/>
      <c r="O88" s="142"/>
    </row>
    <row r="89" spans="2:20" x14ac:dyDescent="0.3">
      <c r="B89" s="206" t="s">
        <v>4</v>
      </c>
      <c r="C89" s="276">
        <v>0</v>
      </c>
      <c r="D89" s="251"/>
      <c r="E89" s="251"/>
      <c r="F89" s="251"/>
      <c r="G89" s="251"/>
      <c r="H89" s="276">
        <v>2.4E-2</v>
      </c>
      <c r="I89" s="251"/>
      <c r="J89" s="251"/>
      <c r="K89" s="204"/>
      <c r="N89" s="142"/>
      <c r="O89" s="142"/>
    </row>
    <row r="90" spans="2:20" x14ac:dyDescent="0.3">
      <c r="B90" s="206" t="s">
        <v>5</v>
      </c>
      <c r="C90" s="276">
        <v>0</v>
      </c>
      <c r="D90" s="251"/>
      <c r="E90" s="251"/>
      <c r="F90" s="251"/>
      <c r="G90" s="251"/>
      <c r="H90" s="276">
        <v>3.1399999999999997E-2</v>
      </c>
      <c r="I90" s="251"/>
      <c r="J90" s="251"/>
      <c r="K90" s="204"/>
      <c r="N90" s="142"/>
      <c r="O90" s="142"/>
    </row>
    <row r="91" spans="2:20" x14ac:dyDescent="0.3">
      <c r="B91" s="206" t="s">
        <v>6</v>
      </c>
      <c r="C91" s="276">
        <v>0</v>
      </c>
      <c r="H91" s="276">
        <v>3.1399999999999997E-2</v>
      </c>
      <c r="I91" s="251"/>
      <c r="J91" s="251"/>
      <c r="K91" s="204"/>
      <c r="N91" s="142"/>
      <c r="O91" s="142"/>
    </row>
    <row r="92" spans="2:20" x14ac:dyDescent="0.3">
      <c r="B92" s="206" t="s">
        <v>7</v>
      </c>
      <c r="C92" s="276">
        <v>0</v>
      </c>
      <c r="D92" s="251"/>
      <c r="E92" s="251"/>
      <c r="F92" s="251"/>
      <c r="G92" s="251"/>
      <c r="H92" s="276">
        <v>3.1399999999999997E-2</v>
      </c>
      <c r="I92" s="251"/>
      <c r="J92" s="251"/>
      <c r="K92" s="204"/>
      <c r="N92" s="142"/>
      <c r="O92" s="142"/>
    </row>
    <row r="93" spans="2:20" x14ac:dyDescent="0.3">
      <c r="B93" s="206" t="s">
        <v>11</v>
      </c>
      <c r="C93" s="276">
        <v>0</v>
      </c>
      <c r="D93" s="251"/>
      <c r="E93" s="251"/>
      <c r="F93" s="251"/>
      <c r="G93" s="251"/>
      <c r="H93" s="276">
        <v>3.1099999999999999E-2</v>
      </c>
      <c r="I93" s="251"/>
      <c r="J93" s="251"/>
      <c r="K93" s="204"/>
      <c r="N93" s="142"/>
      <c r="O93" s="142"/>
    </row>
    <row r="94" spans="2:20" x14ac:dyDescent="0.3">
      <c r="B94" s="22" t="s">
        <v>1445</v>
      </c>
      <c r="C94" s="234"/>
      <c r="D94" s="234"/>
      <c r="E94" s="204"/>
      <c r="F94" s="204"/>
      <c r="G94" s="204"/>
      <c r="H94" s="233"/>
      <c r="I94" s="204"/>
      <c r="J94" s="204"/>
      <c r="K94" s="204"/>
      <c r="O94" s="11"/>
    </row>
    <row r="95" spans="2:20" x14ac:dyDescent="0.3">
      <c r="B95" s="206" t="s">
        <v>2</v>
      </c>
      <c r="C95" s="276">
        <v>0</v>
      </c>
      <c r="D95" s="251"/>
      <c r="E95" s="251"/>
      <c r="F95" s="251"/>
      <c r="G95" s="251"/>
      <c r="H95" s="276">
        <v>0</v>
      </c>
      <c r="I95" s="251"/>
      <c r="J95" s="251"/>
      <c r="K95" s="204"/>
      <c r="N95" s="143"/>
      <c r="O95" s="142"/>
    </row>
    <row r="96" spans="2:20" x14ac:dyDescent="0.3">
      <c r="B96" s="206" t="s">
        <v>3</v>
      </c>
      <c r="C96" s="276">
        <v>0</v>
      </c>
      <c r="D96" s="251"/>
      <c r="E96" s="251"/>
      <c r="F96" s="251"/>
      <c r="G96" s="251"/>
      <c r="H96" s="276">
        <v>0</v>
      </c>
      <c r="I96" s="251"/>
      <c r="J96" s="251"/>
      <c r="K96" s="204"/>
      <c r="N96" s="143"/>
      <c r="O96" s="142"/>
    </row>
    <row r="97" spans="2:15" x14ac:dyDescent="0.3">
      <c r="B97" s="206" t="s">
        <v>4</v>
      </c>
      <c r="C97" s="276">
        <v>0</v>
      </c>
      <c r="D97" s="251"/>
      <c r="E97" s="251"/>
      <c r="F97" s="251"/>
      <c r="G97" s="251"/>
      <c r="H97" s="276">
        <v>0</v>
      </c>
      <c r="I97" s="251"/>
      <c r="J97" s="251"/>
      <c r="K97" s="204"/>
      <c r="N97" s="142"/>
      <c r="O97" s="142"/>
    </row>
    <row r="98" spans="2:15" x14ac:dyDescent="0.3">
      <c r="B98" s="206" t="s">
        <v>5</v>
      </c>
      <c r="C98" s="276">
        <v>0</v>
      </c>
      <c r="D98" s="251"/>
      <c r="E98" s="251"/>
      <c r="F98" s="251"/>
      <c r="G98" s="251"/>
      <c r="H98" s="276">
        <v>5.5100000000000003E-2</v>
      </c>
      <c r="I98" s="251"/>
      <c r="J98" s="251"/>
      <c r="K98" s="204"/>
      <c r="N98" s="142"/>
      <c r="O98" s="142"/>
    </row>
    <row r="99" spans="2:15" x14ac:dyDescent="0.3">
      <c r="B99" s="206" t="s">
        <v>6</v>
      </c>
      <c r="C99" s="276">
        <v>0</v>
      </c>
      <c r="E99" s="251"/>
      <c r="F99" s="251"/>
      <c r="H99" s="276">
        <v>5.5100000000000003E-2</v>
      </c>
      <c r="I99" s="251"/>
      <c r="J99" s="251"/>
      <c r="K99" s="204"/>
      <c r="N99" s="142"/>
      <c r="O99" s="142"/>
    </row>
    <row r="100" spans="2:15" x14ac:dyDescent="0.3">
      <c r="B100" s="206" t="s">
        <v>7</v>
      </c>
      <c r="C100" s="276">
        <v>0</v>
      </c>
      <c r="D100" s="251"/>
      <c r="E100" s="251"/>
      <c r="F100" s="251"/>
      <c r="G100" s="251"/>
      <c r="H100" s="276">
        <v>5.5100000000000003E-2</v>
      </c>
      <c r="I100" s="251"/>
      <c r="J100" s="251"/>
      <c r="K100" s="204"/>
      <c r="N100" s="142"/>
      <c r="O100" s="142"/>
    </row>
    <row r="101" spans="2:15" x14ac:dyDescent="0.3">
      <c r="B101" s="206" t="s">
        <v>11</v>
      </c>
      <c r="C101" s="276">
        <v>0</v>
      </c>
      <c r="D101" s="251"/>
      <c r="E101" s="251"/>
      <c r="F101" s="251"/>
      <c r="G101" s="251"/>
      <c r="H101" s="276">
        <v>0</v>
      </c>
      <c r="I101" s="251"/>
      <c r="J101" s="251"/>
      <c r="K101" s="204"/>
      <c r="N101" s="142"/>
      <c r="O101" s="142"/>
    </row>
    <row r="102" spans="2:15" x14ac:dyDescent="0.3">
      <c r="B102" s="207" t="s">
        <v>227</v>
      </c>
      <c r="C102" s="251"/>
      <c r="D102" s="251"/>
      <c r="E102" s="251"/>
      <c r="F102" s="251"/>
      <c r="G102" s="251"/>
      <c r="H102" s="250"/>
      <c r="I102" s="251"/>
      <c r="J102" s="251"/>
      <c r="K102" s="204"/>
      <c r="N102" s="142"/>
      <c r="O102" s="142"/>
    </row>
    <row r="103" spans="2:15" x14ac:dyDescent="0.3">
      <c r="B103" s="206" t="s">
        <v>1437</v>
      </c>
      <c r="C103" s="276">
        <v>0</v>
      </c>
      <c r="D103" s="251"/>
      <c r="E103" s="251"/>
      <c r="F103" s="251"/>
      <c r="G103" s="251"/>
      <c r="H103" s="276">
        <v>0.17130000000000001</v>
      </c>
      <c r="I103" s="251"/>
      <c r="J103" s="251"/>
      <c r="K103" s="204"/>
      <c r="N103" s="142"/>
      <c r="O103" s="142"/>
    </row>
    <row r="104" spans="2:15" x14ac:dyDescent="0.3">
      <c r="B104" s="206" t="s">
        <v>1438</v>
      </c>
      <c r="C104" s="276">
        <v>0</v>
      </c>
      <c r="D104" s="251"/>
      <c r="E104" s="251" t="s">
        <v>1036</v>
      </c>
      <c r="F104" s="251"/>
      <c r="G104" s="251"/>
      <c r="H104" s="251"/>
      <c r="I104" s="251"/>
      <c r="J104" s="320" t="s">
        <v>1036</v>
      </c>
      <c r="K104" s="204"/>
      <c r="N104" s="142"/>
      <c r="O104" s="142"/>
    </row>
    <row r="105" spans="2:15" x14ac:dyDescent="0.3">
      <c r="B105" s="206" t="s">
        <v>1439</v>
      </c>
      <c r="C105" s="276">
        <v>0</v>
      </c>
      <c r="D105" s="251"/>
      <c r="E105" s="251"/>
      <c r="F105" s="251"/>
      <c r="G105" s="251"/>
      <c r="H105" s="276">
        <v>0.17130000000000001</v>
      </c>
      <c r="I105" s="251"/>
      <c r="J105" s="251"/>
      <c r="K105" s="204"/>
      <c r="N105" s="144"/>
      <c r="O105" s="142"/>
    </row>
    <row r="106" spans="2:15" x14ac:dyDescent="0.3">
      <c r="B106" s="206" t="s">
        <v>1440</v>
      </c>
      <c r="C106" s="276">
        <v>0</v>
      </c>
      <c r="E106" s="251" t="s">
        <v>1036</v>
      </c>
      <c r="F106" s="251"/>
      <c r="G106" s="251"/>
      <c r="H106" s="320"/>
      <c r="I106" s="320"/>
      <c r="J106" s="251" t="s">
        <v>1036</v>
      </c>
      <c r="K106" s="204"/>
      <c r="N106" s="144"/>
      <c r="O106" s="142"/>
    </row>
    <row r="107" spans="2:15" x14ac:dyDescent="0.3">
      <c r="B107" s="207" t="s">
        <v>920</v>
      </c>
      <c r="C107" s="251"/>
      <c r="D107" s="251"/>
      <c r="E107" s="251"/>
      <c r="F107" s="251"/>
      <c r="G107" s="251"/>
      <c r="H107" s="250"/>
      <c r="I107" s="251"/>
      <c r="J107" s="251"/>
      <c r="K107" s="204"/>
      <c r="N107" s="144"/>
      <c r="O107" s="142"/>
    </row>
    <row r="108" spans="2:15" x14ac:dyDescent="0.3">
      <c r="B108" s="206" t="s">
        <v>920</v>
      </c>
      <c r="C108" s="276">
        <v>0</v>
      </c>
      <c r="D108" s="251"/>
      <c r="E108" s="251"/>
      <c r="F108" s="251"/>
      <c r="G108" s="251"/>
      <c r="H108" s="276">
        <v>0</v>
      </c>
      <c r="I108" s="251"/>
      <c r="J108" s="251"/>
      <c r="K108" s="204"/>
      <c r="N108" s="142"/>
      <c r="O108" s="142"/>
    </row>
    <row r="109" spans="2:15" x14ac:dyDescent="0.3">
      <c r="B109" s="206" t="s">
        <v>980</v>
      </c>
      <c r="C109" s="276">
        <v>0</v>
      </c>
      <c r="D109" s="251"/>
      <c r="E109" s="251"/>
      <c r="F109" s="251"/>
      <c r="G109" s="251"/>
      <c r="H109" s="276">
        <v>0</v>
      </c>
      <c r="I109" s="251"/>
      <c r="J109" s="251"/>
      <c r="K109" s="204"/>
      <c r="N109" s="142"/>
      <c r="O109" s="142"/>
    </row>
    <row r="110" spans="2:15" x14ac:dyDescent="0.3">
      <c r="B110" s="204"/>
      <c r="C110" s="204"/>
      <c r="D110" s="204"/>
      <c r="E110" s="204"/>
      <c r="F110" s="204"/>
      <c r="G110" s="204"/>
      <c r="H110" s="204"/>
      <c r="I110" s="204"/>
      <c r="J110" s="204"/>
      <c r="K110" s="204"/>
      <c r="O110" s="11"/>
    </row>
    <row r="111" spans="2:15" x14ac:dyDescent="0.3">
      <c r="B111" s="236" t="s">
        <v>1063</v>
      </c>
      <c r="C111" s="204"/>
      <c r="D111" s="204"/>
      <c r="E111" s="204"/>
      <c r="F111" s="204"/>
      <c r="G111" s="204"/>
      <c r="H111" s="204"/>
      <c r="I111" s="204"/>
      <c r="J111" s="204"/>
      <c r="K111" s="204"/>
    </row>
    <row r="112" spans="2:15" x14ac:dyDescent="0.3">
      <c r="B112" s="240" t="s">
        <v>906</v>
      </c>
      <c r="C112" s="240" t="s">
        <v>918</v>
      </c>
      <c r="D112" s="238" t="s">
        <v>592</v>
      </c>
      <c r="E112" s="204"/>
      <c r="F112" s="204"/>
      <c r="G112" s="401" t="s">
        <v>1095</v>
      </c>
      <c r="H112" s="204"/>
      <c r="I112" s="204"/>
      <c r="J112" s="204"/>
      <c r="K112" s="204"/>
    </row>
    <row r="113" spans="2:16" x14ac:dyDescent="0.3">
      <c r="B113" s="239" t="s">
        <v>919</v>
      </c>
      <c r="C113" s="242">
        <v>0.05</v>
      </c>
      <c r="D113" s="204" t="s">
        <v>1092</v>
      </c>
      <c r="E113" s="204"/>
      <c r="F113" s="204"/>
      <c r="G113" s="402">
        <v>0</v>
      </c>
      <c r="H113" s="204"/>
      <c r="I113" s="204"/>
      <c r="J113" s="204"/>
      <c r="K113" s="204"/>
    </row>
    <row r="114" spans="2:16" x14ac:dyDescent="0.3">
      <c r="B114" s="239" t="s">
        <v>563</v>
      </c>
      <c r="C114" s="242">
        <v>0.05</v>
      </c>
      <c r="D114" s="204" t="s">
        <v>1092</v>
      </c>
      <c r="E114" s="204"/>
      <c r="F114" s="204"/>
      <c r="G114" s="402">
        <v>0.03</v>
      </c>
      <c r="H114" s="204"/>
      <c r="I114" s="204"/>
      <c r="J114" s="204"/>
      <c r="K114" s="204"/>
    </row>
    <row r="115" spans="2:16" x14ac:dyDescent="0.3">
      <c r="B115" s="218"/>
      <c r="C115" s="219"/>
      <c r="D115" s="204"/>
      <c r="E115" s="204"/>
      <c r="F115" s="204"/>
      <c r="G115" s="204"/>
      <c r="H115" s="204"/>
      <c r="I115" s="204"/>
      <c r="J115" s="204"/>
      <c r="K115" s="204"/>
      <c r="M115" s="204"/>
      <c r="N115" s="204"/>
      <c r="O115" s="204"/>
      <c r="P115" s="204"/>
    </row>
    <row r="116" spans="2:16" x14ac:dyDescent="0.3">
      <c r="B116" s="220"/>
      <c r="C116" s="204"/>
      <c r="D116" s="204"/>
      <c r="E116" s="204"/>
      <c r="F116" s="204"/>
      <c r="G116" s="204"/>
      <c r="H116" s="204"/>
      <c r="I116" s="204"/>
      <c r="J116" s="204"/>
      <c r="K116" s="204"/>
      <c r="M116" s="204"/>
      <c r="N116" s="204"/>
      <c r="O116" s="204"/>
      <c r="P116" s="204"/>
    </row>
    <row r="117" spans="2:16" x14ac:dyDescent="0.3">
      <c r="B117" s="221"/>
      <c r="C117" s="204"/>
      <c r="D117" s="204"/>
      <c r="E117" s="204"/>
      <c r="F117" s="204"/>
      <c r="G117" s="204"/>
      <c r="H117" s="204"/>
      <c r="I117" s="204"/>
      <c r="J117" s="204"/>
      <c r="K117" s="204"/>
      <c r="M117" s="204"/>
      <c r="N117" s="204"/>
      <c r="O117" s="204"/>
      <c r="P117" s="204"/>
    </row>
    <row r="118" spans="2:16" x14ac:dyDescent="0.3">
      <c r="B118" s="221"/>
      <c r="C118" s="204"/>
      <c r="D118" s="204"/>
      <c r="E118" s="204"/>
      <c r="F118" s="204"/>
      <c r="G118" s="204"/>
      <c r="H118" s="204"/>
      <c r="I118" s="204"/>
      <c r="J118" s="204"/>
      <c r="K118" s="204"/>
      <c r="M118" s="204"/>
      <c r="N118" s="204"/>
      <c r="O118" s="204"/>
      <c r="P118" s="204"/>
    </row>
    <row r="119" spans="2:16" hidden="1" x14ac:dyDescent="0.3">
      <c r="B119" s="221"/>
      <c r="C119" s="204"/>
      <c r="D119" s="204"/>
      <c r="E119" s="204"/>
      <c r="F119" s="204"/>
      <c r="G119" s="204"/>
      <c r="H119" s="204"/>
      <c r="I119" s="204"/>
      <c r="J119" s="204"/>
      <c r="K119" s="204"/>
      <c r="M119" s="204"/>
      <c r="N119" s="204"/>
      <c r="O119" s="204"/>
      <c r="P119" s="204"/>
    </row>
    <row r="120" spans="2:16" hidden="1" x14ac:dyDescent="0.3">
      <c r="B120" s="204"/>
      <c r="C120" s="204"/>
      <c r="D120" s="204"/>
      <c r="E120" s="204"/>
      <c r="F120" s="204"/>
      <c r="G120" s="204"/>
      <c r="H120" s="204"/>
      <c r="I120" s="204"/>
      <c r="J120" s="204"/>
      <c r="K120" s="204"/>
      <c r="M120" s="204"/>
      <c r="N120" s="204"/>
      <c r="O120" s="204"/>
      <c r="P120" s="204"/>
    </row>
    <row r="121" spans="2:16" hidden="1" x14ac:dyDescent="0.3">
      <c r="B121" s="220"/>
      <c r="C121" s="204"/>
      <c r="D121" s="204"/>
      <c r="E121" s="204"/>
      <c r="F121" s="204"/>
      <c r="G121" s="204"/>
      <c r="H121" s="204"/>
      <c r="I121" s="204"/>
      <c r="J121" s="204"/>
      <c r="K121" s="204"/>
    </row>
    <row r="122" spans="2:16" hidden="1" x14ac:dyDescent="0.3">
      <c r="B122" s="204"/>
      <c r="C122" s="204"/>
      <c r="D122" s="204"/>
      <c r="E122" s="204"/>
      <c r="F122" s="204"/>
      <c r="G122" s="204"/>
      <c r="H122" s="204"/>
      <c r="I122" s="204"/>
      <c r="J122" s="204"/>
      <c r="K122" s="204"/>
    </row>
    <row r="139" x14ac:dyDescent="0.3"/>
    <row r="140" x14ac:dyDescent="0.3"/>
    <row r="141" x14ac:dyDescent="0.3"/>
    <row r="142" x14ac:dyDescent="0.3"/>
    <row r="143" x14ac:dyDescent="0.3"/>
    <row r="144" x14ac:dyDescent="0.3"/>
    <row r="145" x14ac:dyDescent="0.3"/>
    <row r="146" x14ac:dyDescent="0.3"/>
    <row r="147" x14ac:dyDescent="0.3"/>
    <row r="148" x14ac:dyDescent="0.3"/>
    <row r="149" x14ac:dyDescent="0.3"/>
    <row r="150" x14ac:dyDescent="0.3"/>
    <row r="151" x14ac:dyDescent="0.3"/>
    <row r="152" x14ac:dyDescent="0.3"/>
    <row r="153" x14ac:dyDescent="0.3"/>
    <row r="154" x14ac:dyDescent="0.3"/>
    <row r="155" x14ac:dyDescent="0.3"/>
    <row r="156" x14ac:dyDescent="0.3"/>
    <row r="157" x14ac:dyDescent="0.3"/>
    <row r="158" x14ac:dyDescent="0.3"/>
  </sheetData>
  <mergeCells count="3">
    <mergeCell ref="B26:E26"/>
    <mergeCell ref="G26:I26"/>
    <mergeCell ref="E4:F4"/>
  </mergeCells>
  <conditionalFormatting sqref="B50:B51 B48 B45:B46 B29:B35">
    <cfRule type="expression" dxfId="8" priority="21">
      <formula>$U$20=1</formula>
    </cfRule>
  </conditionalFormatting>
  <conditionalFormatting sqref="B37:B43">
    <cfRule type="expression" dxfId="7" priority="4">
      <formula>$U$20=5</formula>
    </cfRule>
    <cfRule type="expression" dxfId="6" priority="16">
      <formula>$U$20=1</formula>
    </cfRule>
  </conditionalFormatting>
  <conditionalFormatting sqref="B29:B31">
    <cfRule type="expression" dxfId="5" priority="7">
      <formula>$U$20=2</formula>
    </cfRule>
  </conditionalFormatting>
  <conditionalFormatting sqref="B32:B34">
    <cfRule type="expression" dxfId="4" priority="6">
      <formula>$U$20=3</formula>
    </cfRule>
  </conditionalFormatting>
  <conditionalFormatting sqref="B35">
    <cfRule type="expression" dxfId="3" priority="5">
      <formula>$U$20=4</formula>
    </cfRule>
  </conditionalFormatting>
  <conditionalFormatting sqref="B45:B48">
    <cfRule type="expression" dxfId="2" priority="3">
      <formula>$U$20=6</formula>
    </cfRule>
  </conditionalFormatting>
  <conditionalFormatting sqref="B50:B51">
    <cfRule type="expression" dxfId="1" priority="2">
      <formula>$U$20=7</formula>
    </cfRule>
  </conditionalFormatting>
  <conditionalFormatting sqref="B47">
    <cfRule type="expression" dxfId="0" priority="1">
      <formula>$U$20=1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6" r:id="rId4" name="Check Box 18">
              <controlPr defaultSize="0" autoFill="0" autoLine="0" autoPict="0">
                <anchor moveWithCells="1">
                  <from>
                    <xdr:col>1</xdr:col>
                    <xdr:colOff>464820</xdr:colOff>
                    <xdr:row>29</xdr:row>
                    <xdr:rowOff>7620</xdr:rowOff>
                  </from>
                  <to>
                    <xdr:col>1</xdr:col>
                    <xdr:colOff>2019300</xdr:colOff>
                    <xdr:row>30</xdr:row>
                    <xdr:rowOff>30480</xdr:rowOff>
                  </to>
                </anchor>
              </controlPr>
            </control>
          </mc:Choice>
        </mc:AlternateContent>
        <mc:AlternateContent xmlns:mc="http://schemas.openxmlformats.org/markup-compatibility/2006">
          <mc:Choice Requires="x14">
            <control shapeId="2068" r:id="rId5" name="Check Box 20">
              <controlPr defaultSize="0" autoFill="0" autoLine="0" autoPict="0">
                <anchor moveWithCells="1">
                  <from>
                    <xdr:col>1</xdr:col>
                    <xdr:colOff>480060</xdr:colOff>
                    <xdr:row>30</xdr:row>
                    <xdr:rowOff>175260</xdr:rowOff>
                  </from>
                  <to>
                    <xdr:col>1</xdr:col>
                    <xdr:colOff>2042160</xdr:colOff>
                    <xdr:row>32</xdr:row>
                    <xdr:rowOff>7620</xdr:rowOff>
                  </to>
                </anchor>
              </controlPr>
            </control>
          </mc:Choice>
        </mc:AlternateContent>
        <mc:AlternateContent xmlns:mc="http://schemas.openxmlformats.org/markup-compatibility/2006">
          <mc:Choice Requires="x14">
            <control shapeId="2069" r:id="rId6" name="Check Box 21">
              <controlPr defaultSize="0" autoFill="0" autoLine="0" autoPict="0">
                <anchor moveWithCells="1">
                  <from>
                    <xdr:col>1</xdr:col>
                    <xdr:colOff>464820</xdr:colOff>
                    <xdr:row>32</xdr:row>
                    <xdr:rowOff>0</xdr:rowOff>
                  </from>
                  <to>
                    <xdr:col>1</xdr:col>
                    <xdr:colOff>2019300</xdr:colOff>
                    <xdr:row>33</xdr:row>
                    <xdr:rowOff>22860</xdr:rowOff>
                  </to>
                </anchor>
              </controlPr>
            </control>
          </mc:Choice>
        </mc:AlternateContent>
        <mc:AlternateContent xmlns:mc="http://schemas.openxmlformats.org/markup-compatibility/2006">
          <mc:Choice Requires="x14">
            <control shapeId="2070" r:id="rId7" name="Check Box 22">
              <controlPr defaultSize="0" autoFill="0" autoLine="0" autoPict="0">
                <anchor moveWithCells="1">
                  <from>
                    <xdr:col>1</xdr:col>
                    <xdr:colOff>464820</xdr:colOff>
                    <xdr:row>33</xdr:row>
                    <xdr:rowOff>0</xdr:rowOff>
                  </from>
                  <to>
                    <xdr:col>1</xdr:col>
                    <xdr:colOff>2026920</xdr:colOff>
                    <xdr:row>34</xdr:row>
                    <xdr:rowOff>0</xdr:rowOff>
                  </to>
                </anchor>
              </controlPr>
            </control>
          </mc:Choice>
        </mc:AlternateContent>
        <mc:AlternateContent xmlns:mc="http://schemas.openxmlformats.org/markup-compatibility/2006">
          <mc:Choice Requires="x14">
            <control shapeId="2080" r:id="rId8" name="Check Box 32">
              <controlPr defaultSize="0" autoFill="0" autoLine="0" autoPict="0" altText="">
                <anchor moveWithCells="1">
                  <from>
                    <xdr:col>1</xdr:col>
                    <xdr:colOff>457200</xdr:colOff>
                    <xdr:row>28</xdr:row>
                    <xdr:rowOff>0</xdr:rowOff>
                  </from>
                  <to>
                    <xdr:col>1</xdr:col>
                    <xdr:colOff>2019300</xdr:colOff>
                    <xdr:row>29</xdr:row>
                    <xdr:rowOff>30480</xdr:rowOff>
                  </to>
                </anchor>
              </controlPr>
            </control>
          </mc:Choice>
        </mc:AlternateContent>
        <mc:AlternateContent xmlns:mc="http://schemas.openxmlformats.org/markup-compatibility/2006">
          <mc:Choice Requires="x14">
            <control shapeId="2087" r:id="rId9" name="List Box 39">
              <controlPr defaultSize="0" autoLine="0" autoPict="0">
                <anchor moveWithCells="1">
                  <from>
                    <xdr:col>1</xdr:col>
                    <xdr:colOff>60960</xdr:colOff>
                    <xdr:row>19</xdr:row>
                    <xdr:rowOff>76200</xdr:rowOff>
                  </from>
                  <to>
                    <xdr:col>2</xdr:col>
                    <xdr:colOff>1531620</xdr:colOff>
                    <xdr:row>22</xdr:row>
                    <xdr:rowOff>152400</xdr:rowOff>
                  </to>
                </anchor>
              </controlPr>
            </control>
          </mc:Choice>
        </mc:AlternateContent>
        <mc:AlternateContent xmlns:mc="http://schemas.openxmlformats.org/markup-compatibility/2006">
          <mc:Choice Requires="x14">
            <control shapeId="2088" r:id="rId10" name="Check Box 40">
              <controlPr defaultSize="0" autoFill="0" autoLine="0" autoPict="0">
                <anchor moveWithCells="1">
                  <from>
                    <xdr:col>1</xdr:col>
                    <xdr:colOff>1524000</xdr:colOff>
                    <xdr:row>44</xdr:row>
                    <xdr:rowOff>7620</xdr:rowOff>
                  </from>
                  <to>
                    <xdr:col>1</xdr:col>
                    <xdr:colOff>1836420</xdr:colOff>
                    <xdr:row>44</xdr:row>
                    <xdr:rowOff>175260</xdr:rowOff>
                  </to>
                </anchor>
              </controlPr>
            </control>
          </mc:Choice>
        </mc:AlternateContent>
        <mc:AlternateContent xmlns:mc="http://schemas.openxmlformats.org/markup-compatibility/2006">
          <mc:Choice Requires="x14">
            <control shapeId="2090" r:id="rId11" name="Check Box 42">
              <controlPr defaultSize="0" autoFill="0" autoLine="0" autoPict="0">
                <anchor moveWithCells="1">
                  <from>
                    <xdr:col>1</xdr:col>
                    <xdr:colOff>1219200</xdr:colOff>
                    <xdr:row>49</xdr:row>
                    <xdr:rowOff>7620</xdr:rowOff>
                  </from>
                  <to>
                    <xdr:col>1</xdr:col>
                    <xdr:colOff>1836420</xdr:colOff>
                    <xdr:row>50</xdr:row>
                    <xdr:rowOff>0</xdr:rowOff>
                  </to>
                </anchor>
              </controlPr>
            </control>
          </mc:Choice>
        </mc:AlternateContent>
        <mc:AlternateContent xmlns:mc="http://schemas.openxmlformats.org/markup-compatibility/2006">
          <mc:Choice Requires="x14">
            <control shapeId="2091" r:id="rId12" name="Check Box 43">
              <controlPr defaultSize="0" autoFill="0" autoLine="0" autoPict="0">
                <anchor moveWithCells="1">
                  <from>
                    <xdr:col>1</xdr:col>
                    <xdr:colOff>1211580</xdr:colOff>
                    <xdr:row>49</xdr:row>
                    <xdr:rowOff>175260</xdr:rowOff>
                  </from>
                  <to>
                    <xdr:col>1</xdr:col>
                    <xdr:colOff>1866900</xdr:colOff>
                    <xdr:row>50</xdr:row>
                    <xdr:rowOff>160020</xdr:rowOff>
                  </to>
                </anchor>
              </controlPr>
            </control>
          </mc:Choice>
        </mc:AlternateContent>
        <mc:AlternateContent xmlns:mc="http://schemas.openxmlformats.org/markup-compatibility/2006">
          <mc:Choice Requires="x14">
            <control shapeId="2096" r:id="rId13" name="Check Box 48">
              <controlPr defaultSize="0" autoFill="0" autoLine="0" autoPict="0">
                <anchor moveWithCells="1">
                  <from>
                    <xdr:col>1</xdr:col>
                    <xdr:colOff>449580</xdr:colOff>
                    <xdr:row>29</xdr:row>
                    <xdr:rowOff>182880</xdr:rowOff>
                  </from>
                  <to>
                    <xdr:col>1</xdr:col>
                    <xdr:colOff>2011680</xdr:colOff>
                    <xdr:row>31</xdr:row>
                    <xdr:rowOff>7620</xdr:rowOff>
                  </to>
                </anchor>
              </controlPr>
            </control>
          </mc:Choice>
        </mc:AlternateContent>
        <mc:AlternateContent xmlns:mc="http://schemas.openxmlformats.org/markup-compatibility/2006">
          <mc:Choice Requires="x14">
            <control shapeId="2098" r:id="rId14" name="Check Box 50">
              <controlPr defaultSize="0" autoFill="0" autoLine="0" autoPict="0">
                <anchor moveWithCells="1">
                  <from>
                    <xdr:col>1</xdr:col>
                    <xdr:colOff>1516380</xdr:colOff>
                    <xdr:row>44</xdr:row>
                    <xdr:rowOff>160020</xdr:rowOff>
                  </from>
                  <to>
                    <xdr:col>1</xdr:col>
                    <xdr:colOff>1836420</xdr:colOff>
                    <xdr:row>45</xdr:row>
                    <xdr:rowOff>175260</xdr:rowOff>
                  </to>
                </anchor>
              </controlPr>
            </control>
          </mc:Choice>
        </mc:AlternateContent>
        <mc:AlternateContent xmlns:mc="http://schemas.openxmlformats.org/markup-compatibility/2006">
          <mc:Choice Requires="x14">
            <control shapeId="2106" r:id="rId15" name="Check Box 58">
              <controlPr defaultSize="0" autoFill="0" autoLine="0" autoPict="0">
                <anchor moveWithCells="1">
                  <from>
                    <xdr:col>1</xdr:col>
                    <xdr:colOff>480060</xdr:colOff>
                    <xdr:row>34</xdr:row>
                    <xdr:rowOff>0</xdr:rowOff>
                  </from>
                  <to>
                    <xdr:col>1</xdr:col>
                    <xdr:colOff>2042160</xdr:colOff>
                    <xdr:row>35</xdr:row>
                    <xdr:rowOff>22860</xdr:rowOff>
                  </to>
                </anchor>
              </controlPr>
            </control>
          </mc:Choice>
        </mc:AlternateContent>
        <mc:AlternateContent xmlns:mc="http://schemas.openxmlformats.org/markup-compatibility/2006">
          <mc:Choice Requires="x14">
            <control shapeId="2109" r:id="rId16" name="Check Box 61">
              <controlPr defaultSize="0" autoFill="0" autoLine="0" autoPict="0">
                <anchor moveWithCells="1">
                  <from>
                    <xdr:col>1</xdr:col>
                    <xdr:colOff>464820</xdr:colOff>
                    <xdr:row>37</xdr:row>
                    <xdr:rowOff>7620</xdr:rowOff>
                  </from>
                  <to>
                    <xdr:col>1</xdr:col>
                    <xdr:colOff>2019300</xdr:colOff>
                    <xdr:row>38</xdr:row>
                    <xdr:rowOff>30480</xdr:rowOff>
                  </to>
                </anchor>
              </controlPr>
            </control>
          </mc:Choice>
        </mc:AlternateContent>
        <mc:AlternateContent xmlns:mc="http://schemas.openxmlformats.org/markup-compatibility/2006">
          <mc:Choice Requires="x14">
            <control shapeId="2110" r:id="rId17" name="Check Box 62">
              <controlPr defaultSize="0" autoFill="0" autoLine="0" autoPict="0">
                <anchor moveWithCells="1">
                  <from>
                    <xdr:col>1</xdr:col>
                    <xdr:colOff>480060</xdr:colOff>
                    <xdr:row>38</xdr:row>
                    <xdr:rowOff>175260</xdr:rowOff>
                  </from>
                  <to>
                    <xdr:col>1</xdr:col>
                    <xdr:colOff>2042160</xdr:colOff>
                    <xdr:row>40</xdr:row>
                    <xdr:rowOff>7620</xdr:rowOff>
                  </to>
                </anchor>
              </controlPr>
            </control>
          </mc:Choice>
        </mc:AlternateContent>
        <mc:AlternateContent xmlns:mc="http://schemas.openxmlformats.org/markup-compatibility/2006">
          <mc:Choice Requires="x14">
            <control shapeId="2111" r:id="rId18" name="Check Box 63">
              <controlPr defaultSize="0" autoFill="0" autoLine="0" autoPict="0">
                <anchor moveWithCells="1">
                  <from>
                    <xdr:col>1</xdr:col>
                    <xdr:colOff>464820</xdr:colOff>
                    <xdr:row>40</xdr:row>
                    <xdr:rowOff>0</xdr:rowOff>
                  </from>
                  <to>
                    <xdr:col>1</xdr:col>
                    <xdr:colOff>2019300</xdr:colOff>
                    <xdr:row>41</xdr:row>
                    <xdr:rowOff>22860</xdr:rowOff>
                  </to>
                </anchor>
              </controlPr>
            </control>
          </mc:Choice>
        </mc:AlternateContent>
        <mc:AlternateContent xmlns:mc="http://schemas.openxmlformats.org/markup-compatibility/2006">
          <mc:Choice Requires="x14">
            <control shapeId="2112" r:id="rId19" name="Check Box 64">
              <controlPr defaultSize="0" autoFill="0" autoLine="0" autoPict="0">
                <anchor moveWithCells="1">
                  <from>
                    <xdr:col>1</xdr:col>
                    <xdr:colOff>464820</xdr:colOff>
                    <xdr:row>41</xdr:row>
                    <xdr:rowOff>0</xdr:rowOff>
                  </from>
                  <to>
                    <xdr:col>1</xdr:col>
                    <xdr:colOff>2026920</xdr:colOff>
                    <xdr:row>42</xdr:row>
                    <xdr:rowOff>0</xdr:rowOff>
                  </to>
                </anchor>
              </controlPr>
            </control>
          </mc:Choice>
        </mc:AlternateContent>
        <mc:AlternateContent xmlns:mc="http://schemas.openxmlformats.org/markup-compatibility/2006">
          <mc:Choice Requires="x14">
            <control shapeId="2113" r:id="rId20" name="Check Box 65">
              <controlPr defaultSize="0" autoFill="0" autoLine="0" autoPict="0" altText="">
                <anchor moveWithCells="1">
                  <from>
                    <xdr:col>1</xdr:col>
                    <xdr:colOff>457200</xdr:colOff>
                    <xdr:row>36</xdr:row>
                    <xdr:rowOff>0</xdr:rowOff>
                  </from>
                  <to>
                    <xdr:col>1</xdr:col>
                    <xdr:colOff>2019300</xdr:colOff>
                    <xdr:row>37</xdr:row>
                    <xdr:rowOff>30480</xdr:rowOff>
                  </to>
                </anchor>
              </controlPr>
            </control>
          </mc:Choice>
        </mc:AlternateContent>
        <mc:AlternateContent xmlns:mc="http://schemas.openxmlformats.org/markup-compatibility/2006">
          <mc:Choice Requires="x14">
            <control shapeId="2114" r:id="rId21" name="Check Box 66">
              <controlPr defaultSize="0" autoFill="0" autoLine="0" autoPict="0">
                <anchor moveWithCells="1">
                  <from>
                    <xdr:col>1</xdr:col>
                    <xdr:colOff>449580</xdr:colOff>
                    <xdr:row>37</xdr:row>
                    <xdr:rowOff>182880</xdr:rowOff>
                  </from>
                  <to>
                    <xdr:col>1</xdr:col>
                    <xdr:colOff>2011680</xdr:colOff>
                    <xdr:row>39</xdr:row>
                    <xdr:rowOff>7620</xdr:rowOff>
                  </to>
                </anchor>
              </controlPr>
            </control>
          </mc:Choice>
        </mc:AlternateContent>
        <mc:AlternateContent xmlns:mc="http://schemas.openxmlformats.org/markup-compatibility/2006">
          <mc:Choice Requires="x14">
            <control shapeId="2115" r:id="rId22" name="Check Box 67">
              <controlPr defaultSize="0" autoFill="0" autoLine="0" autoPict="0">
                <anchor moveWithCells="1">
                  <from>
                    <xdr:col>1</xdr:col>
                    <xdr:colOff>480060</xdr:colOff>
                    <xdr:row>42</xdr:row>
                    <xdr:rowOff>0</xdr:rowOff>
                  </from>
                  <to>
                    <xdr:col>1</xdr:col>
                    <xdr:colOff>2042160</xdr:colOff>
                    <xdr:row>43</xdr:row>
                    <xdr:rowOff>22860</xdr:rowOff>
                  </to>
                </anchor>
              </controlPr>
            </control>
          </mc:Choice>
        </mc:AlternateContent>
        <mc:AlternateContent xmlns:mc="http://schemas.openxmlformats.org/markup-compatibility/2006">
          <mc:Choice Requires="x14">
            <control shapeId="2124" r:id="rId23" name="Check Box 76">
              <controlPr defaultSize="0" autoFill="0" autoLine="0" autoPict="0">
                <anchor moveWithCells="1">
                  <from>
                    <xdr:col>1</xdr:col>
                    <xdr:colOff>1508760</xdr:colOff>
                    <xdr:row>45</xdr:row>
                    <xdr:rowOff>160020</xdr:rowOff>
                  </from>
                  <to>
                    <xdr:col>1</xdr:col>
                    <xdr:colOff>1836420</xdr:colOff>
                    <xdr:row>46</xdr:row>
                    <xdr:rowOff>175260</xdr:rowOff>
                  </to>
                </anchor>
              </controlPr>
            </control>
          </mc:Choice>
        </mc:AlternateContent>
        <mc:AlternateContent xmlns:mc="http://schemas.openxmlformats.org/markup-compatibility/2006">
          <mc:Choice Requires="x14">
            <control shapeId="2127" r:id="rId24" name="Check Box 79">
              <controlPr defaultSize="0" autoFill="0" autoLine="0" autoPict="0">
                <anchor moveWithCells="1">
                  <from>
                    <xdr:col>1</xdr:col>
                    <xdr:colOff>1508760</xdr:colOff>
                    <xdr:row>46</xdr:row>
                    <xdr:rowOff>160020</xdr:rowOff>
                  </from>
                  <to>
                    <xdr:col>2</xdr:col>
                    <xdr:colOff>883920</xdr:colOff>
                    <xdr:row>48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0000000}">
          <x14:formula1>
            <xm:f>Lists!$A$8:$A$195</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00B050"/>
  </sheetPr>
  <dimension ref="A1:X87"/>
  <sheetViews>
    <sheetView zoomScale="55" zoomScaleNormal="55" workbookViewId="0">
      <selection activeCell="E60" sqref="E60"/>
    </sheetView>
  </sheetViews>
  <sheetFormatPr defaultColWidth="0" defaultRowHeight="14.4" x14ac:dyDescent="0.3"/>
  <cols>
    <col min="1" max="1" width="6.5546875" customWidth="1"/>
    <col min="2" max="2" width="35" customWidth="1"/>
    <col min="3" max="3" width="26.6640625" customWidth="1"/>
    <col min="4" max="5" width="22.33203125" customWidth="1"/>
    <col min="6" max="6" width="5.33203125" customWidth="1"/>
    <col min="7" max="7" width="14.5546875" customWidth="1"/>
    <col min="8" max="8" width="30.44140625" customWidth="1"/>
    <col min="9" max="9" width="24" customWidth="1"/>
    <col min="10" max="10" width="22" customWidth="1"/>
    <col min="11" max="11" width="18.6640625" customWidth="1"/>
    <col min="12" max="12" width="6.33203125" customWidth="1"/>
    <col min="13" max="13" width="9.109375" customWidth="1"/>
    <col min="14" max="14" width="27.88671875" customWidth="1"/>
    <col min="15" max="15" width="20.44140625" customWidth="1"/>
    <col min="16" max="16" width="21" customWidth="1"/>
    <col min="17" max="17" width="19.33203125" customWidth="1"/>
    <col min="18" max="19" width="9.109375" customWidth="1"/>
    <col min="20" max="20" width="27.88671875" bestFit="1" customWidth="1"/>
    <col min="21" max="21" width="20.44140625" customWidth="1"/>
    <col min="22" max="22" width="21" bestFit="1" customWidth="1"/>
    <col min="23" max="23" width="19.33203125" bestFit="1" customWidth="1"/>
    <col min="24" max="24" width="9.109375" customWidth="1"/>
    <col min="25" max="16384" width="9.109375" hidden="1"/>
  </cols>
  <sheetData>
    <row r="1" spans="1:24" ht="34.200000000000003" customHeight="1" x14ac:dyDescent="0.5">
      <c r="A1" s="204"/>
      <c r="B1" s="217" t="s">
        <v>1058</v>
      </c>
      <c r="C1" s="204"/>
      <c r="D1" s="204"/>
      <c r="E1" s="204"/>
      <c r="F1" s="204"/>
    </row>
    <row r="2" spans="1:24" ht="30.45" customHeight="1" x14ac:dyDescent="0.4">
      <c r="A2" s="204"/>
      <c r="B2" s="317" t="s">
        <v>561</v>
      </c>
      <c r="C2" s="317"/>
      <c r="D2" s="317"/>
      <c r="E2" s="317"/>
      <c r="F2" s="204"/>
    </row>
    <row r="3" spans="1:24" x14ac:dyDescent="0.3">
      <c r="A3" s="204"/>
      <c r="C3" s="204"/>
      <c r="D3" s="204"/>
      <c r="E3" s="204"/>
      <c r="F3" s="204"/>
    </row>
    <row r="4" spans="1:24" x14ac:dyDescent="0.3">
      <c r="A4" s="204"/>
      <c r="B4" s="318" t="s">
        <v>586</v>
      </c>
      <c r="C4" s="766" t="str">
        <f>'General input'!$C$4</f>
        <v>South Africa</v>
      </c>
      <c r="D4" s="767"/>
      <c r="E4" s="204"/>
      <c r="F4" s="204"/>
    </row>
    <row r="5" spans="1:24" x14ac:dyDescent="0.3">
      <c r="A5" s="204"/>
      <c r="B5" s="318" t="s">
        <v>987</v>
      </c>
      <c r="C5" s="768" t="str">
        <f>VLOOKUP('General input'!$U$20,'General input'!$R$20:S26,2)</f>
        <v>Children (0.5-5 years)</v>
      </c>
      <c r="D5" s="769"/>
      <c r="E5" s="204"/>
      <c r="F5" s="204"/>
    </row>
    <row r="6" spans="1:24" x14ac:dyDescent="0.3">
      <c r="A6" s="204"/>
      <c r="B6" s="204"/>
      <c r="C6" s="204"/>
      <c r="D6" s="204"/>
      <c r="E6" s="204"/>
      <c r="F6" s="204"/>
    </row>
    <row r="7" spans="1:24" ht="21" x14ac:dyDescent="0.4">
      <c r="A7" s="204"/>
      <c r="B7" s="357" t="s">
        <v>567</v>
      </c>
      <c r="C7" s="204"/>
      <c r="D7" s="204"/>
      <c r="E7" s="204"/>
      <c r="F7" s="204"/>
      <c r="G7" s="358"/>
      <c r="H7" s="357" t="s">
        <v>985</v>
      </c>
      <c r="I7" s="204"/>
      <c r="J7" s="204"/>
      <c r="K7" s="204"/>
      <c r="L7" s="204"/>
      <c r="N7" s="357" t="s">
        <v>986</v>
      </c>
      <c r="O7" s="204"/>
      <c r="P7" s="204"/>
      <c r="Q7" s="204"/>
      <c r="R7" s="204"/>
      <c r="T7" s="357" t="s">
        <v>1466</v>
      </c>
      <c r="U7" s="204"/>
      <c r="V7" s="204"/>
      <c r="W7" s="204"/>
      <c r="X7" s="204"/>
    </row>
    <row r="8" spans="1:24" ht="18.600000000000001" thickBot="1" x14ac:dyDescent="0.4">
      <c r="A8" s="204"/>
      <c r="B8" s="765" t="s">
        <v>983</v>
      </c>
      <c r="C8" s="765"/>
      <c r="D8" s="765"/>
      <c r="E8" s="765"/>
      <c r="F8" s="204"/>
      <c r="H8" s="765" t="s">
        <v>983</v>
      </c>
      <c r="I8" s="765"/>
      <c r="J8" s="765"/>
      <c r="K8" s="765"/>
      <c r="L8" s="204"/>
      <c r="N8" s="765" t="s">
        <v>983</v>
      </c>
      <c r="O8" s="765"/>
      <c r="P8" s="765"/>
      <c r="Q8" s="765"/>
      <c r="R8" s="204"/>
      <c r="T8" s="765" t="s">
        <v>983</v>
      </c>
      <c r="U8" s="765"/>
      <c r="V8" s="765"/>
      <c r="W8" s="765"/>
      <c r="X8" s="204"/>
    </row>
    <row r="9" spans="1:24" ht="18" x14ac:dyDescent="0.35">
      <c r="A9" s="204"/>
      <c r="B9" s="204"/>
      <c r="C9" s="214" t="s">
        <v>565</v>
      </c>
      <c r="D9" s="214" t="s">
        <v>566</v>
      </c>
      <c r="E9" s="214" t="s">
        <v>560</v>
      </c>
      <c r="F9" s="208"/>
      <c r="G9" s="77"/>
      <c r="H9" s="204"/>
      <c r="I9" s="214" t="s">
        <v>565</v>
      </c>
      <c r="J9" s="214" t="s">
        <v>566</v>
      </c>
      <c r="K9" s="214" t="s">
        <v>560</v>
      </c>
      <c r="L9" s="208"/>
      <c r="M9" s="77"/>
      <c r="N9" s="204"/>
      <c r="O9" s="214" t="s">
        <v>565</v>
      </c>
      <c r="P9" s="214" t="s">
        <v>566</v>
      </c>
      <c r="Q9" s="214" t="s">
        <v>560</v>
      </c>
      <c r="R9" s="208"/>
      <c r="T9" s="204"/>
      <c r="U9" s="214" t="s">
        <v>565</v>
      </c>
      <c r="V9" s="214" t="s">
        <v>566</v>
      </c>
      <c r="W9" s="214" t="s">
        <v>560</v>
      </c>
      <c r="X9" s="208"/>
    </row>
    <row r="10" spans="1:24" x14ac:dyDescent="0.3">
      <c r="A10" s="204"/>
      <c r="B10" s="318" t="s">
        <v>1390</v>
      </c>
      <c r="C10" s="222">
        <f>'Calculations BC'!C32</f>
        <v>5203824</v>
      </c>
      <c r="D10" s="222">
        <f>'Calculations BC'!C61</f>
        <v>5203824</v>
      </c>
      <c r="E10" s="222">
        <f>D10-C10</f>
        <v>0</v>
      </c>
      <c r="F10" s="204"/>
      <c r="H10" s="318" t="s">
        <v>1390</v>
      </c>
      <c r="I10" s="222">
        <f>'Calculations Lower'!C32</f>
        <v>5203824</v>
      </c>
      <c r="J10" s="222">
        <f>'Calculations Lower'!C61</f>
        <v>5203824</v>
      </c>
      <c r="K10" s="222">
        <f t="shared" ref="K10:K15" si="0">J10-I10</f>
        <v>0</v>
      </c>
      <c r="L10" s="204"/>
      <c r="M10" s="29"/>
      <c r="N10" s="318" t="s">
        <v>1390</v>
      </c>
      <c r="O10" s="222">
        <f>'Calculations Upper'!C32</f>
        <v>5203824</v>
      </c>
      <c r="P10" s="222">
        <f>'Calculations Upper'!C61</f>
        <v>5203824</v>
      </c>
      <c r="Q10" s="222">
        <f t="shared" ref="Q10:Q15" si="1">P10-O10</f>
        <v>0</v>
      </c>
      <c r="R10" s="204"/>
      <c r="T10" s="318" t="s">
        <v>1390</v>
      </c>
      <c r="U10" s="222">
        <f>'Calculations SA'!C32</f>
        <v>5203824</v>
      </c>
      <c r="V10" s="222">
        <f>'Calculations SA'!C61</f>
        <v>5203824</v>
      </c>
      <c r="W10" s="222">
        <f t="shared" ref="W10:W15" si="2">V10-U10</f>
        <v>0</v>
      </c>
      <c r="X10" s="204"/>
    </row>
    <row r="11" spans="1:24" x14ac:dyDescent="0.3">
      <c r="A11" s="204"/>
      <c r="B11" s="318" t="s">
        <v>878</v>
      </c>
      <c r="C11" s="222">
        <f>'Calculations BC'!D32</f>
        <v>0</v>
      </c>
      <c r="D11" s="222">
        <f>'Calculations BC'!D61</f>
        <v>124891.77600000001</v>
      </c>
      <c r="E11" s="222">
        <f t="shared" ref="E11:E15" si="3">D11-C11</f>
        <v>124891.77600000001</v>
      </c>
      <c r="F11" s="204"/>
      <c r="H11" s="318" t="s">
        <v>878</v>
      </c>
      <c r="I11" s="222">
        <f>'Calculations Lower'!D32</f>
        <v>0</v>
      </c>
      <c r="J11" s="222">
        <f>'Calculations Lower'!D61</f>
        <v>124891.77600000001</v>
      </c>
      <c r="K11" s="222">
        <f t="shared" si="0"/>
        <v>124891.77600000001</v>
      </c>
      <c r="L11" s="204"/>
      <c r="M11" s="29"/>
      <c r="N11" s="318" t="s">
        <v>878</v>
      </c>
      <c r="O11" s="222">
        <f>'Calculations Upper'!D32</f>
        <v>0</v>
      </c>
      <c r="P11" s="222">
        <f>'Calculations Upper'!D61</f>
        <v>124891.77600000001</v>
      </c>
      <c r="Q11" s="222">
        <f t="shared" si="1"/>
        <v>124891.77600000001</v>
      </c>
      <c r="R11" s="204"/>
      <c r="T11" s="318" t="s">
        <v>878</v>
      </c>
      <c r="U11" s="222">
        <f>'Calculations SA'!D32</f>
        <v>0</v>
      </c>
      <c r="V11" s="222">
        <f>'Calculations SA'!D61</f>
        <v>124891.77600000001</v>
      </c>
      <c r="W11" s="222">
        <f t="shared" si="2"/>
        <v>124891.77600000001</v>
      </c>
      <c r="X11" s="204"/>
    </row>
    <row r="12" spans="1:24" x14ac:dyDescent="0.3">
      <c r="A12" s="204"/>
      <c r="B12" s="318" t="s">
        <v>224</v>
      </c>
      <c r="C12" s="222">
        <f ca="1">'Calculations BC'!E32</f>
        <v>1017702.7225527524</v>
      </c>
      <c r="D12" s="222">
        <f ca="1">'Calculations BC'!E61</f>
        <v>1008502.6899408755</v>
      </c>
      <c r="E12" s="222">
        <f t="shared" ca="1" si="3"/>
        <v>-9200.0326118768426</v>
      </c>
      <c r="F12" s="204"/>
      <c r="H12" s="318" t="s">
        <v>224</v>
      </c>
      <c r="I12" s="222">
        <f>'Calculations Lower'!E32</f>
        <v>1264112.9260799999</v>
      </c>
      <c r="J12" s="222">
        <f>'Calculations Lower'!E61</f>
        <v>1243280.3450582018</v>
      </c>
      <c r="K12" s="222">
        <f t="shared" si="0"/>
        <v>-20832.581021798076</v>
      </c>
      <c r="L12" s="204"/>
      <c r="M12" s="29"/>
      <c r="N12" s="318" t="s">
        <v>224</v>
      </c>
      <c r="O12" s="222">
        <f>'Calculations Upper'!E32</f>
        <v>711050.51136000012</v>
      </c>
      <c r="P12" s="222">
        <f>'Calculations Upper'!E61</f>
        <v>711050.51136000012</v>
      </c>
      <c r="Q12" s="222">
        <f t="shared" si="1"/>
        <v>0</v>
      </c>
      <c r="R12" s="204"/>
      <c r="T12" s="318" t="s">
        <v>224</v>
      </c>
      <c r="U12" s="222">
        <f>'Calculations SA'!E32</f>
        <v>987581.71872</v>
      </c>
      <c r="V12" s="222">
        <f>'Calculations SA'!E61</f>
        <v>978653.97998277133</v>
      </c>
      <c r="W12" s="222">
        <f t="shared" si="2"/>
        <v>-8927.7387372286757</v>
      </c>
      <c r="X12" s="204"/>
    </row>
    <row r="13" spans="1:24" x14ac:dyDescent="0.3">
      <c r="A13" s="204"/>
      <c r="B13" s="318" t="s">
        <v>1377</v>
      </c>
      <c r="C13" s="222">
        <f ca="1">'Calculations BC'!F32</f>
        <v>247699.79448185588</v>
      </c>
      <c r="D13" s="222">
        <f ca="1">'Calculations BC'!F61</f>
        <v>245460.58833973989</v>
      </c>
      <c r="E13" s="222">
        <f t="shared" ca="1" si="3"/>
        <v>-2239.2061421159888</v>
      </c>
      <c r="F13" s="204"/>
      <c r="H13" s="318" t="s">
        <v>1377</v>
      </c>
      <c r="I13" s="222">
        <f>'Calculations Lower'!F32</f>
        <v>351622.38768000004</v>
      </c>
      <c r="J13" s="222">
        <f>'Calculations Lower'!F61</f>
        <v>345827.65073103365</v>
      </c>
      <c r="K13" s="222">
        <f t="shared" si="0"/>
        <v>-5794.7369489663979</v>
      </c>
      <c r="L13" s="204"/>
      <c r="M13" s="29"/>
      <c r="N13" s="318" t="s">
        <v>1377</v>
      </c>
      <c r="O13" s="222">
        <f>'Calculations Upper'!F32</f>
        <v>197797.35024000003</v>
      </c>
      <c r="P13" s="222">
        <f>'Calculations Upper'!F61</f>
        <v>197797.35024000003</v>
      </c>
      <c r="Q13" s="222">
        <f t="shared" si="1"/>
        <v>0</v>
      </c>
      <c r="R13" s="204"/>
      <c r="T13" s="318" t="s">
        <v>1377</v>
      </c>
      <c r="U13" s="222">
        <f>'Calculations SA'!F32</f>
        <v>274709.86895999999</v>
      </c>
      <c r="V13" s="222">
        <f>'Calculations SA'!F61</f>
        <v>272226.49174460158</v>
      </c>
      <c r="W13" s="222">
        <f t="shared" si="2"/>
        <v>-2483.3772153984173</v>
      </c>
      <c r="X13" s="204"/>
    </row>
    <row r="14" spans="1:24" x14ac:dyDescent="0.3">
      <c r="A14" s="204"/>
      <c r="B14" s="318" t="s">
        <v>1028</v>
      </c>
      <c r="C14" s="222">
        <f ca="1">'Calculations BC'!G32</f>
        <v>8949.2847547762722</v>
      </c>
      <c r="D14" s="222">
        <f ca="1">'Calculations BC'!G61</f>
        <v>8868.3832205930958</v>
      </c>
      <c r="E14" s="222">
        <f t="shared" ca="1" si="3"/>
        <v>-80.901534183176409</v>
      </c>
      <c r="F14" s="204"/>
      <c r="H14" s="318" t="s">
        <v>1028</v>
      </c>
      <c r="I14" s="222">
        <f>'Calculations Lower'!G32</f>
        <v>15559.43376</v>
      </c>
      <c r="J14" s="222">
        <f>'Calculations Lower'!G61</f>
        <v>15303.014291635202</v>
      </c>
      <c r="K14" s="222">
        <f t="shared" si="0"/>
        <v>-256.41946836479838</v>
      </c>
      <c r="L14" s="204"/>
      <c r="M14" s="29"/>
      <c r="N14" s="318" t="s">
        <v>1028</v>
      </c>
      <c r="O14" s="222">
        <f>'Calculations Upper'!G32</f>
        <v>8742.4243200000019</v>
      </c>
      <c r="P14" s="222">
        <f>'Calculations Upper'!G61</f>
        <v>8742.4243200000019</v>
      </c>
      <c r="Q14" s="222">
        <f t="shared" si="1"/>
        <v>0</v>
      </c>
      <c r="R14" s="204"/>
      <c r="T14" s="318" t="s">
        <v>1028</v>
      </c>
      <c r="U14" s="222">
        <f>'Calculations SA'!G32</f>
        <v>12176.94816</v>
      </c>
      <c r="V14" s="222">
        <f>'Calculations SA'!G61</f>
        <v>12066.8685486336</v>
      </c>
      <c r="W14" s="222">
        <f t="shared" si="2"/>
        <v>-110.07961136640006</v>
      </c>
      <c r="X14" s="204"/>
    </row>
    <row r="15" spans="1:24" x14ac:dyDescent="0.3">
      <c r="A15" s="204"/>
      <c r="B15" s="318" t="s">
        <v>225</v>
      </c>
      <c r="C15" s="222">
        <f ca="1">'Calculations BC'!H32</f>
        <v>1061.0833603244728</v>
      </c>
      <c r="D15" s="222">
        <f ca="1">'Calculations BC'!H61</f>
        <v>1051.4911667471397</v>
      </c>
      <c r="E15" s="222">
        <f t="shared" ca="1" si="3"/>
        <v>-9.5921935773330915</v>
      </c>
      <c r="F15" s="204"/>
      <c r="H15" s="318" t="s">
        <v>225</v>
      </c>
      <c r="I15" s="222">
        <f>'Calculations Lower'!H32</f>
        <v>1092.8030400000002</v>
      </c>
      <c r="J15" s="222">
        <f>'Calculations Lower'!H61</f>
        <v>1074.7936459008001</v>
      </c>
      <c r="K15" s="222">
        <f t="shared" si="0"/>
        <v>-18.009394099200108</v>
      </c>
      <c r="L15" s="204"/>
      <c r="M15" s="29"/>
      <c r="N15" s="318" t="s">
        <v>225</v>
      </c>
      <c r="O15" s="222">
        <f>'Calculations Upper'!H32</f>
        <v>624.45888000000002</v>
      </c>
      <c r="P15" s="222">
        <f>'Calculations Upper'!H61</f>
        <v>624.45888000000002</v>
      </c>
      <c r="Q15" s="222">
        <f t="shared" si="1"/>
        <v>0</v>
      </c>
      <c r="R15" s="204"/>
      <c r="T15" s="318" t="s">
        <v>225</v>
      </c>
      <c r="U15" s="222">
        <f>'Calculations SA'!H32</f>
        <v>884.65008000000012</v>
      </c>
      <c r="V15" s="222">
        <f>'Calculations SA'!H61</f>
        <v>876.65284327680001</v>
      </c>
      <c r="W15" s="222">
        <f t="shared" si="2"/>
        <v>-7.9972367232001034</v>
      </c>
      <c r="X15" s="204"/>
    </row>
    <row r="16" spans="1:24" x14ac:dyDescent="0.3">
      <c r="A16" s="204"/>
      <c r="B16" s="204"/>
      <c r="C16" s="204"/>
      <c r="D16" s="204"/>
      <c r="E16" s="204"/>
      <c r="F16" s="204"/>
      <c r="H16" s="204"/>
      <c r="I16" s="204"/>
      <c r="J16" s="204"/>
      <c r="K16" s="204"/>
      <c r="L16" s="204"/>
      <c r="N16" s="204"/>
      <c r="O16" s="204"/>
      <c r="P16" s="204"/>
      <c r="Q16" s="204"/>
      <c r="R16" s="204"/>
      <c r="T16" s="204"/>
      <c r="U16" s="204"/>
      <c r="V16" s="204"/>
      <c r="W16" s="204"/>
      <c r="X16" s="204"/>
    </row>
    <row r="17" spans="1:24" ht="18.600000000000001" thickBot="1" x14ac:dyDescent="0.4">
      <c r="A17" s="204"/>
      <c r="B17" s="765" t="s">
        <v>1037</v>
      </c>
      <c r="C17" s="765"/>
      <c r="D17" s="765"/>
      <c r="E17" s="765"/>
      <c r="F17" s="204"/>
      <c r="H17" s="293" t="s">
        <v>1037</v>
      </c>
      <c r="I17" s="293"/>
      <c r="J17" s="293"/>
      <c r="K17" s="293"/>
      <c r="L17" s="208"/>
      <c r="N17" s="765" t="s">
        <v>1037</v>
      </c>
      <c r="O17" s="765"/>
      <c r="P17" s="765"/>
      <c r="Q17" s="765"/>
      <c r="R17" s="204"/>
      <c r="T17" s="765" t="s">
        <v>1037</v>
      </c>
      <c r="U17" s="765"/>
      <c r="V17" s="765"/>
      <c r="W17" s="765"/>
      <c r="X17" s="204"/>
    </row>
    <row r="18" spans="1:24" ht="18" x14ac:dyDescent="0.35">
      <c r="A18" s="204"/>
      <c r="B18" s="208"/>
      <c r="C18" s="214"/>
      <c r="D18" s="214"/>
      <c r="E18" s="214"/>
      <c r="F18" s="208"/>
      <c r="G18" s="77"/>
      <c r="H18" s="208"/>
      <c r="I18" s="214"/>
      <c r="J18" s="214"/>
      <c r="K18" s="214"/>
      <c r="L18" s="208"/>
      <c r="M18" s="77"/>
      <c r="N18" s="208"/>
      <c r="O18" s="214"/>
      <c r="P18" s="214"/>
      <c r="Q18" s="214"/>
      <c r="R18" s="208"/>
      <c r="T18" s="208"/>
      <c r="U18" s="214"/>
      <c r="V18" s="214"/>
      <c r="W18" s="214"/>
      <c r="X18" s="208"/>
    </row>
    <row r="19" spans="1:24" ht="18" x14ac:dyDescent="0.35">
      <c r="A19" s="204"/>
      <c r="B19" s="359" t="s">
        <v>1046</v>
      </c>
      <c r="C19" s="214" t="s">
        <v>565</v>
      </c>
      <c r="D19" s="214" t="s">
        <v>566</v>
      </c>
      <c r="E19" s="214" t="s">
        <v>560</v>
      </c>
      <c r="F19" s="208"/>
      <c r="G19" s="77"/>
      <c r="H19" s="359" t="s">
        <v>1046</v>
      </c>
      <c r="I19" s="214" t="s">
        <v>565</v>
      </c>
      <c r="J19" s="214" t="s">
        <v>566</v>
      </c>
      <c r="K19" s="214" t="s">
        <v>560</v>
      </c>
      <c r="M19" s="77"/>
      <c r="N19" s="359" t="s">
        <v>1046</v>
      </c>
      <c r="O19" s="214" t="s">
        <v>565</v>
      </c>
      <c r="P19" s="214" t="s">
        <v>566</v>
      </c>
      <c r="Q19" s="214" t="s">
        <v>560</v>
      </c>
      <c r="R19" s="208"/>
      <c r="T19" s="359" t="s">
        <v>1046</v>
      </c>
      <c r="U19" s="214" t="s">
        <v>565</v>
      </c>
      <c r="V19" s="214" t="s">
        <v>566</v>
      </c>
      <c r="W19" s="214" t="s">
        <v>560</v>
      </c>
      <c r="X19" s="208"/>
    </row>
    <row r="20" spans="1:24" x14ac:dyDescent="0.3">
      <c r="A20" s="204"/>
      <c r="B20" s="318" t="s">
        <v>981</v>
      </c>
      <c r="C20" s="222">
        <f ca="1">'Calculations BC'!J32</f>
        <v>0</v>
      </c>
      <c r="D20" s="222">
        <f>'Calculations BC'!J61</f>
        <v>0</v>
      </c>
      <c r="E20" s="222">
        <f ca="1">D20-C20</f>
        <v>0</v>
      </c>
      <c r="F20" s="204" t="str">
        <f>'General input'!$C$10</f>
        <v>ZAR</v>
      </c>
      <c r="H20" s="318" t="s">
        <v>981</v>
      </c>
      <c r="I20" s="222">
        <f>'Calculations Lower'!J32</f>
        <v>0</v>
      </c>
      <c r="J20" s="222">
        <f>'Calculations Lower'!J61</f>
        <v>1784703.4790400001</v>
      </c>
      <c r="K20" s="222">
        <f>J20-I20</f>
        <v>1784703.4790400001</v>
      </c>
      <c r="L20" s="204" t="str">
        <f>'General input'!$C$10</f>
        <v>ZAR</v>
      </c>
      <c r="M20" s="29"/>
      <c r="N20" s="318" t="s">
        <v>981</v>
      </c>
      <c r="O20" s="222">
        <f ca="1">'Calculations Upper'!J32</f>
        <v>0</v>
      </c>
      <c r="P20" s="222">
        <f>'Calculations Upper'!J61</f>
        <v>7075075.7869878095</v>
      </c>
      <c r="Q20" s="222">
        <f ca="1">P20-O20</f>
        <v>7075075.7869878095</v>
      </c>
      <c r="R20" s="204" t="str">
        <f>'General input'!$C$10</f>
        <v>ZAR</v>
      </c>
      <c r="T20" s="318" t="s">
        <v>981</v>
      </c>
      <c r="U20" s="222">
        <f>'Calculations SA'!J32</f>
        <v>0</v>
      </c>
      <c r="V20" s="222">
        <f>'Calculations SA'!J61</f>
        <v>5023147.2307200003</v>
      </c>
      <c r="W20" s="222">
        <f>V20-U20</f>
        <v>5023147.2307200003</v>
      </c>
      <c r="X20" s="204" t="str">
        <f>'General input'!$C$10</f>
        <v>ZAR</v>
      </c>
    </row>
    <row r="21" spans="1:24" x14ac:dyDescent="0.3">
      <c r="A21" s="204"/>
      <c r="B21" s="318" t="s">
        <v>982</v>
      </c>
      <c r="C21" s="222">
        <f ca="1">'Calculations BC'!K32</f>
        <v>0</v>
      </c>
      <c r="D21" s="222">
        <f ca="1">'Calculations BC'!K61</f>
        <v>5704498.8102690866</v>
      </c>
      <c r="E21" s="222">
        <f t="shared" ref="E21:E42" ca="1" si="4">D21-C21</f>
        <v>5704498.8102690866</v>
      </c>
      <c r="F21" s="204" t="str">
        <f>'General input'!$C$10</f>
        <v>ZAR</v>
      </c>
      <c r="H21" s="318" t="s">
        <v>982</v>
      </c>
      <c r="I21" s="222">
        <f>'Calculations Lower'!K32</f>
        <v>0</v>
      </c>
      <c r="J21" s="222">
        <f>'Calculations Lower'!K61</f>
        <v>4216346.35776</v>
      </c>
      <c r="K21" s="222">
        <f>J21-I21</f>
        <v>4216346.35776</v>
      </c>
      <c r="L21" s="204" t="str">
        <f>'General input'!$C$10</f>
        <v>ZAR</v>
      </c>
      <c r="M21" s="29"/>
      <c r="N21" s="318" t="s">
        <v>982</v>
      </c>
      <c r="O21" s="222">
        <f ca="1">'Calculations Upper'!K32</f>
        <v>0</v>
      </c>
      <c r="P21" s="222">
        <f>'Calculations Upper'!K61</f>
        <v>12649039.073279999</v>
      </c>
      <c r="Q21" s="222">
        <f ca="1">P21-O21</f>
        <v>12649039.073279999</v>
      </c>
      <c r="R21" s="204" t="str">
        <f>'General input'!$C$10</f>
        <v>ZAR</v>
      </c>
      <c r="T21" s="318" t="s">
        <v>982</v>
      </c>
      <c r="U21" s="222">
        <f>'Calculations SA'!K32</f>
        <v>0</v>
      </c>
      <c r="V21" s="222">
        <f>'Calculations SA'!K61</f>
        <v>8432692.7155200001</v>
      </c>
      <c r="W21" s="222">
        <f>V21-U21</f>
        <v>8432692.7155200001</v>
      </c>
      <c r="X21" s="204" t="str">
        <f>'General input'!$C$10</f>
        <v>ZAR</v>
      </c>
    </row>
    <row r="22" spans="1:24" x14ac:dyDescent="0.3">
      <c r="A22" s="204"/>
      <c r="B22" s="318" t="s">
        <v>1025</v>
      </c>
      <c r="C22" s="222">
        <f ca="1">'Calculations BC'!L32</f>
        <v>69126058.957454696</v>
      </c>
      <c r="D22" s="222">
        <f ca="1">'Calculations BC'!L61</f>
        <v>68501159.384479299</v>
      </c>
      <c r="E22" s="222">
        <f t="shared" ca="1" si="4"/>
        <v>-624899.57297539711</v>
      </c>
      <c r="F22" s="204" t="str">
        <f>'General input'!$C$10</f>
        <v>ZAR</v>
      </c>
      <c r="H22" s="318" t="s">
        <v>1025</v>
      </c>
      <c r="I22" s="222">
        <f>'Calculations Lower'!L32</f>
        <v>154874450.28279036</v>
      </c>
      <c r="J22" s="222">
        <f>'Calculations Lower'!L61</f>
        <v>152322119.34213001</v>
      </c>
      <c r="K22" s="222">
        <f>J22-I22</f>
        <v>-2552330.9406603575</v>
      </c>
      <c r="L22" s="204" t="str">
        <f>'General input'!$C$10</f>
        <v>ZAR</v>
      </c>
      <c r="M22" s="29"/>
      <c r="N22" s="318" t="s">
        <v>1025</v>
      </c>
      <c r="O22" s="222">
        <f>'Calculations Upper'!L32</f>
        <v>41949808.026226439</v>
      </c>
      <c r="P22" s="222">
        <f>'Calculations Upper'!L61</f>
        <v>41949808.026226439</v>
      </c>
      <c r="Q22" s="222">
        <f>P22-O22</f>
        <v>0</v>
      </c>
      <c r="R22" s="204" t="str">
        <f>'General input'!$C$10</f>
        <v>ZAR</v>
      </c>
      <c r="T22" s="318" t="s">
        <v>1025</v>
      </c>
      <c r="U22" s="222">
        <f>'Calculations SA'!L32</f>
        <v>89613703.548808888</v>
      </c>
      <c r="V22" s="222">
        <f>'Calculations SA'!L61</f>
        <v>88803595.668727651</v>
      </c>
      <c r="W22" s="222">
        <f>V22-U22</f>
        <v>-810107.88008123636</v>
      </c>
      <c r="X22" s="204" t="str">
        <f>'General input'!$C$10</f>
        <v>ZAR</v>
      </c>
    </row>
    <row r="23" spans="1:24" x14ac:dyDescent="0.3">
      <c r="A23" s="204"/>
      <c r="B23" s="318" t="s">
        <v>1493</v>
      </c>
      <c r="C23" s="222">
        <f ca="1">'Calculations BC'!M32</f>
        <v>0</v>
      </c>
      <c r="D23" s="222">
        <f ca="1">'Calculations BC'!M61</f>
        <v>4.4656337410327858</v>
      </c>
      <c r="E23" s="222">
        <f t="shared" ca="1" si="4"/>
        <v>4.4656337410327858</v>
      </c>
      <c r="F23" s="204" t="str">
        <f>'General input'!$C$10</f>
        <v>ZAR</v>
      </c>
      <c r="H23" s="318" t="s">
        <v>1493</v>
      </c>
      <c r="I23" s="222">
        <f ca="1">'Calculations Lower'!M32</f>
        <v>0</v>
      </c>
      <c r="J23" s="222">
        <f ca="1">'Calculations Lower'!M61</f>
        <v>3.3386606202283216</v>
      </c>
      <c r="K23" s="222">
        <f ca="1">J23-I23</f>
        <v>3.3386606202283216</v>
      </c>
      <c r="L23" s="204" t="str">
        <f>'General input'!$C$10</f>
        <v>ZAR</v>
      </c>
      <c r="M23" s="29"/>
      <c r="N23" s="318" t="s">
        <v>1493</v>
      </c>
      <c r="O23" s="222">
        <f ca="1">'Calculations Upper'!M32</f>
        <v>0</v>
      </c>
      <c r="P23" s="222">
        <f ca="1">'Calculations Upper'!M61</f>
        <v>6.9437265181210499</v>
      </c>
      <c r="Q23" s="222">
        <f ca="1">P23-O23</f>
        <v>6.9437265181210499</v>
      </c>
      <c r="R23" s="204" t="str">
        <f>'General input'!$C$10</f>
        <v>ZAR</v>
      </c>
      <c r="T23" s="318" t="s">
        <v>1493</v>
      </c>
      <c r="U23" s="222">
        <f>'Calculations SA'!M32</f>
        <v>0</v>
      </c>
      <c r="V23" s="222">
        <f>'Calculations SA'!M61</f>
        <v>490392.67814714351</v>
      </c>
      <c r="W23" s="222">
        <f>V23-U23</f>
        <v>490392.67814714351</v>
      </c>
      <c r="X23" s="204" t="str">
        <f>'General input'!$C$10</f>
        <v>ZAR</v>
      </c>
    </row>
    <row r="24" spans="1:24" x14ac:dyDescent="0.3">
      <c r="A24" s="204"/>
      <c r="B24" s="318" t="s">
        <v>905</v>
      </c>
      <c r="C24" s="222">
        <f ca="1">'Calculations BC'!N32</f>
        <v>46838444.064383686</v>
      </c>
      <c r="D24" s="222">
        <f ca="1">'Calculations BC'!N61</f>
        <v>46415024.530041657</v>
      </c>
      <c r="E24" s="222">
        <f t="shared" ca="1" si="4"/>
        <v>-423419.5343420282</v>
      </c>
      <c r="F24" s="204" t="str">
        <f>'General input'!$C$10</f>
        <v>ZAR</v>
      </c>
      <c r="H24" s="318" t="s">
        <v>905</v>
      </c>
      <c r="I24" s="222">
        <f>'Calculations Lower'!N32</f>
        <v>209958178.62875575</v>
      </c>
      <c r="J24" s="222">
        <f>'Calculations Lower'!N61</f>
        <v>206498067.84495384</v>
      </c>
      <c r="K24" s="222">
        <f>J24-I24</f>
        <v>-3460110.7838019133</v>
      </c>
      <c r="L24" s="204" t="str">
        <f>'General input'!$C$10</f>
        <v>ZAR</v>
      </c>
      <c r="M24" s="29"/>
      <c r="N24" s="318" t="s">
        <v>905</v>
      </c>
      <c r="O24" s="222">
        <f>'Calculations Upper'!N32</f>
        <v>34080168.125247307</v>
      </c>
      <c r="P24" s="222">
        <f>'Calculations Upper'!N61</f>
        <v>34080168.125247307</v>
      </c>
      <c r="Q24" s="222">
        <f>P24-O24</f>
        <v>0</v>
      </c>
      <c r="R24" s="204" t="str">
        <f>'General input'!$C$10</f>
        <v>ZAR</v>
      </c>
      <c r="T24" s="318" t="s">
        <v>905</v>
      </c>
      <c r="U24" s="222">
        <f>'Calculations SA'!N32</f>
        <v>97374232.364048615</v>
      </c>
      <c r="V24" s="222">
        <f>'Calculations SA'!N61</f>
        <v>96493969.30347763</v>
      </c>
      <c r="W24" s="222">
        <f>V24-U24</f>
        <v>-880263.06057098508</v>
      </c>
      <c r="X24" s="204" t="str">
        <f>'General input'!$C$10</f>
        <v>ZAR</v>
      </c>
    </row>
    <row r="25" spans="1:24" x14ac:dyDescent="0.3">
      <c r="A25" s="204"/>
      <c r="B25" s="359" t="s">
        <v>1047</v>
      </c>
      <c r="C25" s="231"/>
      <c r="D25" s="231"/>
      <c r="E25" s="231"/>
      <c r="F25" s="204"/>
      <c r="H25" s="359" t="s">
        <v>1047</v>
      </c>
      <c r="I25" s="231"/>
      <c r="J25" s="231"/>
      <c r="K25" s="231"/>
      <c r="L25" s="204"/>
      <c r="M25" s="29"/>
      <c r="N25" s="359" t="s">
        <v>1047</v>
      </c>
      <c r="O25" s="231"/>
      <c r="P25" s="231"/>
      <c r="Q25" s="231"/>
      <c r="R25" s="204"/>
      <c r="T25" s="359" t="s">
        <v>1047</v>
      </c>
      <c r="U25" s="231"/>
      <c r="V25" s="231"/>
      <c r="W25" s="231"/>
      <c r="X25" s="204"/>
    </row>
    <row r="26" spans="1:24" x14ac:dyDescent="0.3">
      <c r="A26" s="204"/>
      <c r="B26" s="318" t="s">
        <v>1391</v>
      </c>
      <c r="C26" s="222">
        <f ca="1">'Calculations BC'!P32</f>
        <v>60391542.369241059</v>
      </c>
      <c r="D26" s="222">
        <f ca="1">'Calculations BC'!P61</f>
        <v>59845602.82622312</v>
      </c>
      <c r="E26" s="222">
        <f t="shared" ca="1" si="4"/>
        <v>-545939.54301793873</v>
      </c>
      <c r="F26" s="204" t="str">
        <f>'General input'!$C$10</f>
        <v>ZAR</v>
      </c>
      <c r="H26" s="318" t="s">
        <v>1391</v>
      </c>
      <c r="I26" s="222">
        <f>'Calculations Lower'!P32</f>
        <v>99537351.028170556</v>
      </c>
      <c r="J26" s="222">
        <f>'Calculations Lower'!P61</f>
        <v>97896975.483226314</v>
      </c>
      <c r="K26" s="222">
        <f>J26-I26</f>
        <v>-1640375.5449442416</v>
      </c>
      <c r="L26" s="204" t="str">
        <f>'General input'!$C$10</f>
        <v>ZAR</v>
      </c>
      <c r="M26" s="29"/>
      <c r="N26" s="318" t="s">
        <v>1391</v>
      </c>
      <c r="O26" s="222">
        <f>'Calculations Upper'!P32</f>
        <v>37325823.71285259</v>
      </c>
      <c r="P26" s="222">
        <f>'Calculations Upper'!P61</f>
        <v>37325823.712852597</v>
      </c>
      <c r="Q26" s="222">
        <f>P26-O26</f>
        <v>0</v>
      </c>
      <c r="R26" s="204" t="str">
        <f>'General input'!$C$10</f>
        <v>ZAR</v>
      </c>
      <c r="T26" s="318" t="s">
        <v>1391</v>
      </c>
      <c r="U26" s="222">
        <f ca="1">'Calculations SA'!P32</f>
        <v>58604130.545671478</v>
      </c>
      <c r="V26" s="222">
        <f ca="1">'Calculations SA'!P61</f>
        <v>58074349.205538616</v>
      </c>
      <c r="W26" s="222">
        <f ca="1">V26-U26</f>
        <v>-529781.34013286233</v>
      </c>
      <c r="X26" s="204" t="str">
        <f>'General input'!$C$10</f>
        <v>ZAR</v>
      </c>
    </row>
    <row r="27" spans="1:24" x14ac:dyDescent="0.3">
      <c r="A27" s="204"/>
      <c r="B27" s="318" t="s">
        <v>1025</v>
      </c>
      <c r="C27" s="222">
        <f ca="1">'Calculations BC'!Q32</f>
        <v>11729505.717780877</v>
      </c>
      <c r="D27" s="222">
        <f ca="1">'Calculations BC'!Q61</f>
        <v>11623470.986092135</v>
      </c>
      <c r="E27" s="222">
        <f t="shared" ca="1" si="4"/>
        <v>-106034.73168874159</v>
      </c>
      <c r="F27" s="204" t="str">
        <f>'General input'!$C$10</f>
        <v>ZAR</v>
      </c>
      <c r="H27" s="318" t="s">
        <v>1025</v>
      </c>
      <c r="I27" s="222">
        <f>'Calculations Lower'!Q32</f>
        <v>18458035.043014124</v>
      </c>
      <c r="J27" s="222">
        <f>'Calculations Lower'!Q61</f>
        <v>18153846.62550525</v>
      </c>
      <c r="K27" s="222">
        <f>J27-I27</f>
        <v>-304188.41750887409</v>
      </c>
      <c r="L27" s="204" t="str">
        <f>'General input'!$C$10</f>
        <v>ZAR</v>
      </c>
      <c r="M27" s="29"/>
      <c r="N27" s="318" t="s">
        <v>1025</v>
      </c>
      <c r="O27" s="222">
        <f>'Calculations Upper'!Q32</f>
        <v>5191578.4518644875</v>
      </c>
      <c r="P27" s="222">
        <f>'Calculations Upper'!Q61</f>
        <v>5191578.4518644875</v>
      </c>
      <c r="Q27" s="222">
        <f>P27-O27</f>
        <v>0</v>
      </c>
      <c r="R27" s="204" t="str">
        <f>'General input'!$C$10</f>
        <v>ZAR</v>
      </c>
      <c r="T27" s="318" t="s">
        <v>1025</v>
      </c>
      <c r="U27" s="222">
        <f ca="1">'Calculations SA'!Q32</f>
        <v>13008533.11339014</v>
      </c>
      <c r="V27" s="222">
        <f ca="1">'Calculations SA'!Q61</f>
        <v>12890935.974045094</v>
      </c>
      <c r="W27" s="222">
        <f ca="1">V27-U27</f>
        <v>-117597.13934504613</v>
      </c>
      <c r="X27" s="204" t="str">
        <f>'General input'!$C$10</f>
        <v>ZAR</v>
      </c>
    </row>
    <row r="28" spans="1:24" x14ac:dyDescent="0.3">
      <c r="A28" s="204"/>
      <c r="B28" s="318" t="s">
        <v>1028</v>
      </c>
      <c r="C28" s="222">
        <f ca="1">'Calculations BC'!R32</f>
        <v>1134736.3264710293</v>
      </c>
      <c r="D28" s="222">
        <f ca="1">'Calculations BC'!R61</f>
        <v>1124478.310079731</v>
      </c>
      <c r="E28" s="222">
        <f ca="1">D28-C28</f>
        <v>-10258.016391298268</v>
      </c>
      <c r="F28" s="204" t="str">
        <f>'General input'!$C$10</f>
        <v>ZAR</v>
      </c>
      <c r="H28" s="318" t="s">
        <v>1028</v>
      </c>
      <c r="I28" s="222">
        <f>'Calculations Lower'!R32</f>
        <v>3879683.9233152</v>
      </c>
      <c r="J28" s="222">
        <f>'Calculations Lower'!R61</f>
        <v>3815746.7322589653</v>
      </c>
      <c r="K28" s="222">
        <f>J28-I28</f>
        <v>-63937.191056234762</v>
      </c>
      <c r="L28" s="204" t="str">
        <f>'General input'!$C$10</f>
        <v>ZAR</v>
      </c>
      <c r="M28" s="29"/>
      <c r="N28" s="318" t="s">
        <v>1028</v>
      </c>
      <c r="O28" s="222">
        <f>'Calculations Upper'!R32</f>
        <v>1032579.1395973566</v>
      </c>
      <c r="P28" s="222">
        <f>'Calculations Upper'!R61</f>
        <v>1032579.1395973566</v>
      </c>
      <c r="Q28" s="222">
        <f>P28-O28</f>
        <v>0</v>
      </c>
      <c r="R28" s="204" t="str">
        <f>'General input'!$C$10</f>
        <v>ZAR</v>
      </c>
      <c r="T28" s="318" t="s">
        <v>1028</v>
      </c>
      <c r="U28" s="222">
        <f ca="1">'Calculations SA'!R32</f>
        <v>1543992.1514769134</v>
      </c>
      <c r="V28" s="222">
        <f ca="1">'Calculations SA'!R61</f>
        <v>1530034.4624275621</v>
      </c>
      <c r="W28" s="222">
        <f ca="1">V28-U28</f>
        <v>-13957.689049351262</v>
      </c>
      <c r="X28" s="204" t="str">
        <f>'General input'!$C$10</f>
        <v>ZAR</v>
      </c>
    </row>
    <row r="29" spans="1:24" x14ac:dyDescent="0.3">
      <c r="A29" s="204"/>
      <c r="B29" s="359" t="s">
        <v>10</v>
      </c>
      <c r="C29" s="231"/>
      <c r="D29" s="231"/>
      <c r="E29" s="231"/>
      <c r="F29" s="204"/>
      <c r="H29" s="359" t="s">
        <v>10</v>
      </c>
      <c r="I29" s="231"/>
      <c r="J29" s="231"/>
      <c r="K29" s="231"/>
      <c r="L29" s="204"/>
      <c r="M29" s="29"/>
      <c r="N29" s="359" t="s">
        <v>10</v>
      </c>
      <c r="O29" s="231"/>
      <c r="P29" s="231"/>
      <c r="Q29" s="231"/>
      <c r="R29" s="204"/>
      <c r="T29" s="359" t="s">
        <v>10</v>
      </c>
      <c r="U29" s="231"/>
      <c r="V29" s="231"/>
      <c r="W29" s="231"/>
      <c r="X29" s="204"/>
    </row>
    <row r="30" spans="1:24" x14ac:dyDescent="0.3">
      <c r="A30" s="204"/>
      <c r="B30" s="318" t="s">
        <v>938</v>
      </c>
      <c r="C30" s="222">
        <f ca="1">'Calculations BC'!S32</f>
        <v>0</v>
      </c>
      <c r="D30" s="222">
        <f ca="1">'Calculations BC'!S61</f>
        <v>0</v>
      </c>
      <c r="E30" s="222">
        <f t="shared" ca="1" si="4"/>
        <v>0</v>
      </c>
      <c r="F30" s="204" t="str">
        <f>'General input'!$C$10</f>
        <v>ZAR</v>
      </c>
      <c r="H30" s="318" t="s">
        <v>938</v>
      </c>
      <c r="I30" s="222">
        <f>'Calculations Lower'!S32</f>
        <v>0</v>
      </c>
      <c r="J30" s="222">
        <f>'Calculations Lower'!S61</f>
        <v>0</v>
      </c>
      <c r="K30" s="222">
        <f>J30-I30</f>
        <v>0</v>
      </c>
      <c r="L30" s="204" t="str">
        <f>'General input'!$C$10</f>
        <v>ZAR</v>
      </c>
      <c r="M30" s="29"/>
      <c r="N30" s="318" t="s">
        <v>938</v>
      </c>
      <c r="O30" s="222">
        <f ca="1">'Calculations Upper'!S32</f>
        <v>0</v>
      </c>
      <c r="P30" s="222">
        <f>'Calculations Upper'!S61</f>
        <v>0</v>
      </c>
      <c r="Q30" s="222">
        <f ca="1">P30-O30</f>
        <v>0</v>
      </c>
      <c r="R30" s="204" t="str">
        <f>'General input'!$C$10</f>
        <v>ZAR</v>
      </c>
      <c r="T30" s="318" t="s">
        <v>938</v>
      </c>
      <c r="U30" s="222">
        <f ca="1">'Calculations SA'!S32</f>
        <v>0</v>
      </c>
      <c r="V30" s="222">
        <f ca="1">'Calculations SA'!S61</f>
        <v>0</v>
      </c>
      <c r="W30" s="222">
        <f ca="1">V30-U30</f>
        <v>0</v>
      </c>
      <c r="X30" s="204" t="str">
        <f>'General input'!$C$10</f>
        <v>ZAR</v>
      </c>
    </row>
    <row r="31" spans="1:24" x14ac:dyDescent="0.3">
      <c r="A31" s="204"/>
      <c r="B31" s="318" t="s">
        <v>1391</v>
      </c>
      <c r="C31" s="222">
        <f ca="1">'Calculations BC'!T32</f>
        <v>147090671.55571252</v>
      </c>
      <c r="D31" s="222">
        <f ca="1">'Calculations BC'!T61</f>
        <v>145760971.88484886</v>
      </c>
      <c r="E31" s="222">
        <f t="shared" ca="1" si="4"/>
        <v>-1329699.6708636582</v>
      </c>
      <c r="F31" s="204" t="str">
        <f>'General input'!$C$10</f>
        <v>ZAR</v>
      </c>
      <c r="H31" s="318" t="s">
        <v>1391</v>
      </c>
      <c r="I31" s="222">
        <f>'Calculations Lower'!T32</f>
        <v>294730096.39441311</v>
      </c>
      <c r="J31" s="222">
        <f>'Calculations Lower'!T61</f>
        <v>289872944.40583324</v>
      </c>
      <c r="K31" s="222">
        <f>J31-I31</f>
        <v>-4857151.9885798693</v>
      </c>
      <c r="L31" s="204" t="str">
        <f>'General input'!$C$10</f>
        <v>ZAR</v>
      </c>
      <c r="M31" s="29"/>
      <c r="N31" s="318" t="s">
        <v>1391</v>
      </c>
      <c r="O31" s="222">
        <f>'Calculations Upper'!T32</f>
        <v>35524852.718707465</v>
      </c>
      <c r="P31" s="222">
        <f>'Calculations Upper'!T61</f>
        <v>35524852.718707465</v>
      </c>
      <c r="Q31" s="222">
        <f>P31-O31</f>
        <v>0</v>
      </c>
      <c r="R31" s="204" t="str">
        <f>'General input'!$C$10</f>
        <v>ZAR</v>
      </c>
      <c r="T31" s="318" t="s">
        <v>1391</v>
      </c>
      <c r="U31" s="222">
        <f ca="1">'Calculations SA'!T32</f>
        <v>142737220.80481103</v>
      </c>
      <c r="V31" s="222">
        <f ca="1">'Calculations SA'!T61</f>
        <v>141446876.32873556</v>
      </c>
      <c r="W31" s="222">
        <f ca="1">V31-U31</f>
        <v>-1290344.4760754704</v>
      </c>
      <c r="X31" s="204" t="str">
        <f>'General input'!$C$10</f>
        <v>ZAR</v>
      </c>
    </row>
    <row r="32" spans="1:24" x14ac:dyDescent="0.3">
      <c r="A32" s="204"/>
      <c r="B32" s="318" t="s">
        <v>1025</v>
      </c>
      <c r="C32" s="222">
        <f ca="1">'Calculations BC'!U32</f>
        <v>44670604.800755933</v>
      </c>
      <c r="D32" s="222">
        <f ca="1">'Calculations BC'!U61</f>
        <v>44266782.533357099</v>
      </c>
      <c r="E32" s="222">
        <f t="shared" ca="1" si="4"/>
        <v>-403822.26739883423</v>
      </c>
      <c r="F32" s="204" t="str">
        <f>'General input'!$C$10</f>
        <v>ZAR</v>
      </c>
      <c r="H32" s="318" t="s">
        <v>1025</v>
      </c>
      <c r="I32" s="222">
        <f>'Calculations Lower'!U32</f>
        <v>105404609.11313216</v>
      </c>
      <c r="J32" s="222">
        <f>'Calculations Lower'!U61</f>
        <v>103667541.15494776</v>
      </c>
      <c r="K32" s="222">
        <f>J32-I32</f>
        <v>-1737067.9581844062</v>
      </c>
      <c r="L32" s="204" t="str">
        <f>'General input'!$C$10</f>
        <v>ZAR</v>
      </c>
      <c r="M32" s="29"/>
      <c r="N32" s="318" t="s">
        <v>1025</v>
      </c>
      <c r="O32" s="222">
        <f>'Calculations Upper'!U32</f>
        <v>13176226.110832071</v>
      </c>
      <c r="P32" s="222">
        <f>'Calculations Upper'!U61</f>
        <v>13176226.110832071</v>
      </c>
      <c r="Q32" s="222">
        <f>P32-O32</f>
        <v>0</v>
      </c>
      <c r="R32" s="204" t="str">
        <f>'General input'!$C$10</f>
        <v>ZAR</v>
      </c>
      <c r="T32" s="318" t="s">
        <v>1025</v>
      </c>
      <c r="U32" s="222">
        <f ca="1">'Calculations SA'!U32</f>
        <v>49541647.851784945</v>
      </c>
      <c r="V32" s="222">
        <f ca="1">'Calculations SA'!U61</f>
        <v>49093791.355204813</v>
      </c>
      <c r="W32" s="222">
        <f ca="1">V32-U32</f>
        <v>-447856.49658013135</v>
      </c>
      <c r="X32" s="204" t="str">
        <f>'General input'!$C$10</f>
        <v>ZAR</v>
      </c>
    </row>
    <row r="33" spans="1:24" x14ac:dyDescent="0.3">
      <c r="A33" s="204"/>
      <c r="B33" s="318" t="s">
        <v>1028</v>
      </c>
      <c r="C33" s="222">
        <f ca="1">'Calculations BC'!V32</f>
        <v>992480.86145861703</v>
      </c>
      <c r="D33" s="222">
        <f ca="1">'Calculations BC'!V61</f>
        <v>983508.83447103109</v>
      </c>
      <c r="E33" s="222">
        <f t="shared" ca="1" si="4"/>
        <v>-8972.0269875859376</v>
      </c>
      <c r="F33" s="204" t="str">
        <f>'General input'!$C$10</f>
        <v>ZAR</v>
      </c>
      <c r="H33" s="318" t="s">
        <v>1028</v>
      </c>
      <c r="I33" s="222">
        <f>'Calculations Lower'!V32</f>
        <v>4836944.8829205502</v>
      </c>
      <c r="J33" s="222">
        <f>'Calculations Lower'!V61</f>
        <v>4757232.0312500196</v>
      </c>
      <c r="K33" s="222">
        <f>J33-I33</f>
        <v>-79712.851670530625</v>
      </c>
      <c r="L33" s="204" t="str">
        <f>'General input'!$C$10</f>
        <v>ZAR</v>
      </c>
      <c r="M33" s="29"/>
      <c r="N33" s="318" t="s">
        <v>1028</v>
      </c>
      <c r="O33" s="222">
        <f>'Calculations Upper'!V32</f>
        <v>582374.63473290915</v>
      </c>
      <c r="P33" s="222">
        <f>'Calculations Upper'!V61</f>
        <v>582374.63473290915</v>
      </c>
      <c r="Q33" s="222">
        <f>P33-O33</f>
        <v>0</v>
      </c>
      <c r="R33" s="204" t="str">
        <f>'General input'!$C$10</f>
        <v>ZAR</v>
      </c>
      <c r="T33" s="318" t="s">
        <v>1028</v>
      </c>
      <c r="U33" s="222">
        <f ca="1">'Calculations SA'!V32</f>
        <v>1350430.6021018825</v>
      </c>
      <c r="V33" s="222">
        <f ca="1">'Calculations SA'!V61</f>
        <v>1338222.7094588815</v>
      </c>
      <c r="W33" s="222">
        <f ca="1">V33-U33</f>
        <v>-12207.892643000931</v>
      </c>
      <c r="X33" s="204" t="str">
        <f>'General input'!$C$10</f>
        <v>ZAR</v>
      </c>
    </row>
    <row r="34" spans="1:24" x14ac:dyDescent="0.3">
      <c r="A34" s="204"/>
      <c r="B34" s="318" t="s">
        <v>225</v>
      </c>
      <c r="C34" s="222">
        <f ca="1">'Calculations BC'!W32</f>
        <v>528587585.63554692</v>
      </c>
      <c r="D34" s="222">
        <f ca="1">'Calculations BC'!W61</f>
        <v>523809118.85716218</v>
      </c>
      <c r="E34" s="222">
        <f t="shared" ca="1" si="4"/>
        <v>-4778466.7783847451</v>
      </c>
      <c r="F34" s="204" t="s">
        <v>1594</v>
      </c>
      <c r="H34" s="318" t="s">
        <v>225</v>
      </c>
      <c r="I34" s="222">
        <f>'Calculations Lower'!W32</f>
        <v>608688419.46626139</v>
      </c>
      <c r="J34" s="222">
        <f>'Calculations Lower'!W61</f>
        <v>598657254.46780419</v>
      </c>
      <c r="K34" s="222">
        <f>J34-I34</f>
        <v>-10031164.998457193</v>
      </c>
      <c r="L34" s="204" t="str">
        <f>'General input'!$C$10</f>
        <v>ZAR</v>
      </c>
      <c r="M34" s="29"/>
      <c r="N34" s="318" t="s">
        <v>225</v>
      </c>
      <c r="O34" s="222">
        <f>'Calculations Upper'!W32</f>
        <v>195649849.11415541</v>
      </c>
      <c r="P34" s="222">
        <f>'Calculations Upper'!W61</f>
        <v>195649849.11415544</v>
      </c>
      <c r="Q34" s="222">
        <f>P34-O34</f>
        <v>0</v>
      </c>
      <c r="R34" s="204" t="str">
        <f>'General input'!$C$10</f>
        <v>ZAR</v>
      </c>
      <c r="T34" s="318" t="s">
        <v>225</v>
      </c>
      <c r="U34" s="222">
        <f ca="1">'Calculations SA'!W32</f>
        <v>440695865.56941164</v>
      </c>
      <c r="V34" s="222">
        <f ca="1">'Calculations SA'!W61</f>
        <v>436711945.76080883</v>
      </c>
      <c r="W34" s="222">
        <f ca="1">V34-U34</f>
        <v>-3983919.8086028099</v>
      </c>
      <c r="X34" s="204" t="str">
        <f>'General input'!$C$10</f>
        <v>ZAR</v>
      </c>
    </row>
    <row r="35" spans="1:24" x14ac:dyDescent="0.3">
      <c r="A35" s="204"/>
      <c r="B35" s="204"/>
      <c r="C35" s="231"/>
      <c r="D35" s="204"/>
      <c r="E35" s="204"/>
      <c r="F35" s="204"/>
      <c r="H35" s="204"/>
      <c r="I35" s="231"/>
      <c r="J35" s="204"/>
      <c r="K35" s="204"/>
      <c r="L35" s="204"/>
      <c r="M35" s="29"/>
      <c r="N35" s="204"/>
      <c r="O35" s="231"/>
      <c r="P35" s="204"/>
      <c r="Q35" s="204"/>
      <c r="R35" s="204"/>
      <c r="T35" s="204"/>
      <c r="U35" s="231"/>
      <c r="V35" s="204"/>
      <c r="W35" s="204"/>
      <c r="X35" s="204"/>
    </row>
    <row r="36" spans="1:24" ht="18.600000000000001" thickBot="1" x14ac:dyDescent="0.4">
      <c r="A36" s="204"/>
      <c r="B36" s="765" t="s">
        <v>1038</v>
      </c>
      <c r="C36" s="765"/>
      <c r="D36" s="765"/>
      <c r="E36" s="765"/>
      <c r="F36" s="204"/>
      <c r="H36" s="293" t="s">
        <v>1038</v>
      </c>
      <c r="I36" s="293"/>
      <c r="J36" s="293"/>
      <c r="K36" s="293"/>
      <c r="L36" s="204"/>
      <c r="M36" s="29"/>
      <c r="N36" s="765" t="s">
        <v>1038</v>
      </c>
      <c r="O36" s="765"/>
      <c r="P36" s="765"/>
      <c r="Q36" s="765"/>
      <c r="R36" s="204"/>
      <c r="T36" s="765" t="s">
        <v>1038</v>
      </c>
      <c r="U36" s="765"/>
      <c r="V36" s="765"/>
      <c r="W36" s="765"/>
      <c r="X36" s="204"/>
    </row>
    <row r="37" spans="1:24" ht="18" x14ac:dyDescent="0.35">
      <c r="A37" s="204"/>
      <c r="B37" s="208"/>
      <c r="C37" s="214" t="s">
        <v>565</v>
      </c>
      <c r="D37" s="214" t="s">
        <v>566</v>
      </c>
      <c r="E37" s="214" t="s">
        <v>560</v>
      </c>
      <c r="F37" s="204"/>
      <c r="G37" s="77"/>
      <c r="H37" s="208"/>
      <c r="I37" s="214" t="s">
        <v>565</v>
      </c>
      <c r="J37" s="214" t="s">
        <v>566</v>
      </c>
      <c r="K37" s="214" t="s">
        <v>560</v>
      </c>
      <c r="L37" s="204"/>
      <c r="M37" s="77"/>
      <c r="N37" s="208"/>
      <c r="O37" s="214" t="s">
        <v>565</v>
      </c>
      <c r="P37" s="214" t="s">
        <v>566</v>
      </c>
      <c r="Q37" s="214" t="s">
        <v>560</v>
      </c>
      <c r="R37" s="204"/>
      <c r="T37" s="208"/>
      <c r="U37" s="214" t="s">
        <v>565</v>
      </c>
      <c r="V37" s="214" t="s">
        <v>566</v>
      </c>
      <c r="W37" s="214" t="s">
        <v>560</v>
      </c>
      <c r="X37" s="204"/>
    </row>
    <row r="38" spans="1:24" x14ac:dyDescent="0.3">
      <c r="A38" s="204"/>
      <c r="B38" s="318" t="s">
        <v>1029</v>
      </c>
      <c r="C38" s="222">
        <f ca="1">'Calculations BC'!Y32</f>
        <v>9095.5475122962216</v>
      </c>
      <c r="D38" s="222">
        <f ca="1">'Calculations BC'!Y61</f>
        <v>9013.3237627850649</v>
      </c>
      <c r="E38" s="222">
        <f t="shared" ca="1" si="4"/>
        <v>-82.223749511156711</v>
      </c>
      <c r="F38" s="204"/>
      <c r="H38" s="318" t="s">
        <v>1029</v>
      </c>
      <c r="I38" s="222">
        <f>'Calculations Lower'!Y32</f>
        <v>13957.967246756816</v>
      </c>
      <c r="J38" s="222">
        <f>'Calculations Lower'!Y61</f>
        <v>14142.788884595568</v>
      </c>
      <c r="K38" s="222">
        <f>J38-I38</f>
        <v>184.82163783875149</v>
      </c>
      <c r="L38" s="204"/>
      <c r="M38" s="29"/>
      <c r="N38" s="318" t="s">
        <v>1029</v>
      </c>
      <c r="O38" s="222">
        <f>'Calculations Upper'!Y32</f>
        <v>5162.1412874991092</v>
      </c>
      <c r="P38" s="222">
        <f>'Calculations Upper'!Y61</f>
        <v>5162.1412874991092</v>
      </c>
      <c r="Q38" s="222">
        <f>P38-O38</f>
        <v>0</v>
      </c>
      <c r="R38" s="204"/>
      <c r="T38" s="318" t="s">
        <v>1029</v>
      </c>
      <c r="U38" s="222">
        <f>'Calculations SA'!Y32</f>
        <v>9201.9219792000004</v>
      </c>
      <c r="V38" s="222">
        <f>'Calculations SA'!Y61</f>
        <v>9118.7366045080325</v>
      </c>
      <c r="W38" s="222">
        <f>V38-U38</f>
        <v>-83.185374691967809</v>
      </c>
      <c r="X38" s="204"/>
    </row>
    <row r="39" spans="1:24" x14ac:dyDescent="0.3">
      <c r="A39" s="204"/>
      <c r="B39" s="318" t="s">
        <v>1030</v>
      </c>
      <c r="C39" s="222">
        <f ca="1">'Calculations BC'!AA32</f>
        <v>312.45361243787022</v>
      </c>
      <c r="D39" s="222">
        <f ca="1">'Calculations BC'!AA61</f>
        <v>309.62903178143188</v>
      </c>
      <c r="E39" s="222">
        <f t="shared" ca="1" si="4"/>
        <v>-2.8245806564383429</v>
      </c>
      <c r="F39" s="204"/>
      <c r="H39" s="318" t="s">
        <v>1030</v>
      </c>
      <c r="I39" s="222">
        <f>'Calculations Lower'!AA32</f>
        <v>575.69904912000004</v>
      </c>
      <c r="J39" s="222">
        <f>'Calculations Lower'!AA61</f>
        <v>566.21152879050237</v>
      </c>
      <c r="K39" s="222">
        <f>J39-I39</f>
        <v>-9.48752032949767</v>
      </c>
      <c r="L39" s="204"/>
      <c r="M39" s="29"/>
      <c r="N39" s="318" t="s">
        <v>1030</v>
      </c>
      <c r="O39" s="222">
        <f>'Calculations Upper'!AA32</f>
        <v>218.560608</v>
      </c>
      <c r="P39" s="222">
        <f>'Calculations Upper'!AA61</f>
        <v>218.560608</v>
      </c>
      <c r="Q39" s="222">
        <f>P39-O39</f>
        <v>0</v>
      </c>
      <c r="R39" s="204"/>
      <c r="T39" s="318" t="s">
        <v>1030</v>
      </c>
      <c r="U39" s="222">
        <f>'Calculations SA'!AA32</f>
        <v>377.48539296000001</v>
      </c>
      <c r="V39" s="222">
        <f>'Calculations SA'!AA61</f>
        <v>374.07292500764163</v>
      </c>
      <c r="W39" s="222">
        <f>V39-U39</f>
        <v>-3.4124679523583836</v>
      </c>
      <c r="X39" s="204"/>
    </row>
    <row r="40" spans="1:24" x14ac:dyDescent="0.3">
      <c r="A40" s="204"/>
      <c r="B40" s="318" t="s">
        <v>1031</v>
      </c>
      <c r="C40" s="222">
        <f ca="1">'Calculations BC'!AB32</f>
        <v>15788.475725928685</v>
      </c>
      <c r="D40" s="222">
        <f ca="1">'Calculations BC'!AB61</f>
        <v>15645.779758373979</v>
      </c>
      <c r="E40" s="222">
        <f t="shared" ca="1" si="4"/>
        <v>-142.69596755470593</v>
      </c>
      <c r="F40" s="204"/>
      <c r="H40" s="318" t="s">
        <v>1031</v>
      </c>
      <c r="I40" s="222">
        <f>'Calculations Lower'!AB32</f>
        <v>16260.451266510292</v>
      </c>
      <c r="J40" s="222">
        <f>'Calculations Lower'!AB61</f>
        <v>15992.462627032652</v>
      </c>
      <c r="K40" s="222">
        <f>J40-I40</f>
        <v>-267.98863947764039</v>
      </c>
      <c r="L40" s="204"/>
      <c r="M40" s="29"/>
      <c r="N40" s="318" t="s">
        <v>1031</v>
      </c>
      <c r="O40" s="222">
        <f>'Calculations Upper'!AB32</f>
        <v>9291.6864380058814</v>
      </c>
      <c r="P40" s="222">
        <f>'Calculations Upper'!AB61</f>
        <v>9291.6864380058814</v>
      </c>
      <c r="Q40" s="222">
        <f>P40-O40</f>
        <v>0</v>
      </c>
      <c r="R40" s="204"/>
      <c r="T40" s="318" t="s">
        <v>1031</v>
      </c>
      <c r="U40" s="222">
        <f>'Calculations SA'!AB32</f>
        <v>13163.222453841667</v>
      </c>
      <c r="V40" s="222">
        <f>'Calculations SA'!AB61</f>
        <v>13044.253479458403</v>
      </c>
      <c r="W40" s="222">
        <f>V40-U40</f>
        <v>-118.96897438326414</v>
      </c>
      <c r="X40" s="204"/>
    </row>
    <row r="41" spans="1:24" x14ac:dyDescent="0.3">
      <c r="A41" s="204"/>
      <c r="B41" s="318" t="s">
        <v>1511</v>
      </c>
      <c r="C41" s="222">
        <f ca="1">'Calculations BC'!AC32</f>
        <v>0</v>
      </c>
      <c r="D41" s="222">
        <f ca="1">'Calculations BC'!AC61</f>
        <v>0</v>
      </c>
      <c r="E41" s="222">
        <f t="shared" ca="1" si="4"/>
        <v>0</v>
      </c>
      <c r="F41" s="204"/>
      <c r="H41" s="318" t="s">
        <v>1511</v>
      </c>
      <c r="I41" s="222">
        <f ca="1">'Calculations Lower'!AC32</f>
        <v>0</v>
      </c>
      <c r="J41" s="222">
        <f ca="1">'Calculations Lower'!AC61</f>
        <v>0</v>
      </c>
      <c r="K41" s="222">
        <f ca="1">J41-I41</f>
        <v>0</v>
      </c>
      <c r="L41" s="204"/>
      <c r="M41" s="29"/>
      <c r="N41" s="318" t="s">
        <v>1511</v>
      </c>
      <c r="O41" s="222">
        <f ca="1">'Calculations Upper'!AC32</f>
        <v>0</v>
      </c>
      <c r="P41" s="222">
        <f ca="1">'Calculations Upper'!AC61</f>
        <v>0</v>
      </c>
      <c r="Q41" s="222">
        <f ca="1">P41-O41</f>
        <v>0</v>
      </c>
      <c r="R41" s="204"/>
      <c r="T41" s="318" t="s">
        <v>1511</v>
      </c>
      <c r="U41" s="222">
        <f>'Calculations SA'!AC32</f>
        <v>0</v>
      </c>
      <c r="V41" s="222">
        <f>'Calculations SA'!AC61</f>
        <v>0</v>
      </c>
      <c r="W41" s="222">
        <f>V41-U41</f>
        <v>0</v>
      </c>
      <c r="X41" s="204"/>
    </row>
    <row r="42" spans="1:24" x14ac:dyDescent="0.3">
      <c r="A42" s="204"/>
      <c r="B42" s="318" t="s">
        <v>1032</v>
      </c>
      <c r="C42" s="222">
        <f ca="1">'Calculations BC'!AD32</f>
        <v>20474.343331006574</v>
      </c>
      <c r="D42" s="222">
        <f ca="1">'Calculations BC'!AD61</f>
        <v>20289.253911437965</v>
      </c>
      <c r="E42" s="222">
        <f t="shared" ca="1" si="4"/>
        <v>-185.08941956860872</v>
      </c>
      <c r="F42" s="204"/>
      <c r="H42" s="318" t="s">
        <v>1032</v>
      </c>
      <c r="I42" s="222">
        <f>'Calculations Lower'!AD32</f>
        <v>21086.396668482063</v>
      </c>
      <c r="J42" s="222">
        <f>'Calculations Lower'!AD61</f>
        <v>20738.893549579396</v>
      </c>
      <c r="K42" s="222">
        <f>J42-I42</f>
        <v>-347.50311890266676</v>
      </c>
      <c r="L42" s="204"/>
      <c r="M42" s="29"/>
      <c r="N42" s="318" t="s">
        <v>1032</v>
      </c>
      <c r="O42" s="222">
        <f>'Calculations Upper'!AD32</f>
        <v>12049.36952484689</v>
      </c>
      <c r="P42" s="222">
        <f>'Calculations Upper'!AD61</f>
        <v>12049.36952484689</v>
      </c>
      <c r="Q42" s="222">
        <f>P42-O42</f>
        <v>0</v>
      </c>
      <c r="R42" s="204"/>
      <c r="T42" s="318" t="s">
        <v>1032</v>
      </c>
      <c r="U42" s="222">
        <f>'Calculations SA'!AD32</f>
        <v>17069.940160199763</v>
      </c>
      <c r="V42" s="222">
        <f>'Calculations SA'!AD61</f>
        <v>16915.626770742354</v>
      </c>
      <c r="W42" s="222">
        <f>V42-U42</f>
        <v>-154.31338945740936</v>
      </c>
      <c r="X42" s="204"/>
    </row>
    <row r="43" spans="1:24" x14ac:dyDescent="0.3">
      <c r="A43" s="204"/>
      <c r="B43" s="204"/>
      <c r="C43" s="204"/>
      <c r="D43" s="204"/>
      <c r="E43" s="204"/>
      <c r="F43" s="204"/>
      <c r="H43" s="204"/>
      <c r="I43" s="204"/>
      <c r="J43" s="204"/>
      <c r="K43" s="204"/>
      <c r="L43" s="204"/>
      <c r="N43" s="204"/>
      <c r="O43" s="204"/>
      <c r="P43" s="204"/>
      <c r="Q43" s="204"/>
      <c r="R43" s="204"/>
      <c r="T43" s="204"/>
      <c r="U43" s="204"/>
      <c r="V43" s="204"/>
      <c r="W43" s="204"/>
      <c r="X43" s="204"/>
    </row>
    <row r="44" spans="1:24" ht="18.600000000000001" thickBot="1" x14ac:dyDescent="0.4">
      <c r="A44" s="204"/>
      <c r="B44" s="765" t="s">
        <v>1039</v>
      </c>
      <c r="C44" s="765"/>
      <c r="D44" s="765"/>
      <c r="E44" s="765"/>
      <c r="F44" s="204"/>
      <c r="H44" s="293" t="s">
        <v>1039</v>
      </c>
      <c r="I44" s="293"/>
      <c r="J44" s="293"/>
      <c r="K44" s="293"/>
      <c r="L44" s="204"/>
      <c r="N44" s="765" t="s">
        <v>1039</v>
      </c>
      <c r="O44" s="765"/>
      <c r="P44" s="765"/>
      <c r="Q44" s="765"/>
      <c r="R44" s="204"/>
      <c r="T44" s="765" t="s">
        <v>1039</v>
      </c>
      <c r="U44" s="765"/>
      <c r="V44" s="765"/>
      <c r="W44" s="765"/>
      <c r="X44" s="204"/>
    </row>
    <row r="45" spans="1:24" ht="18" x14ac:dyDescent="0.35">
      <c r="A45" s="204"/>
      <c r="B45" s="208"/>
      <c r="C45" s="214" t="s">
        <v>565</v>
      </c>
      <c r="D45" s="214" t="s">
        <v>566</v>
      </c>
      <c r="E45" s="214" t="s">
        <v>560</v>
      </c>
      <c r="G45" s="77"/>
      <c r="H45" s="208"/>
      <c r="I45" s="214" t="s">
        <v>565</v>
      </c>
      <c r="J45" s="214" t="s">
        <v>566</v>
      </c>
      <c r="K45" s="214" t="s">
        <v>560</v>
      </c>
      <c r="M45" s="77"/>
      <c r="N45" s="208"/>
      <c r="O45" s="214" t="s">
        <v>565</v>
      </c>
      <c r="P45" s="214" t="s">
        <v>566</v>
      </c>
      <c r="Q45" s="214" t="s">
        <v>560</v>
      </c>
      <c r="T45" s="208"/>
      <c r="U45" s="214" t="s">
        <v>565</v>
      </c>
      <c r="V45" s="214" t="s">
        <v>566</v>
      </c>
      <c r="W45" s="214" t="s">
        <v>560</v>
      </c>
    </row>
    <row r="46" spans="1:24" x14ac:dyDescent="0.3">
      <c r="A46" s="204"/>
      <c r="B46" s="318" t="s">
        <v>1040</v>
      </c>
      <c r="C46" s="222">
        <f ca="1">SUM(C20:C24)</f>
        <v>115964503.02183838</v>
      </c>
      <c r="D46" s="222">
        <f ca="1">SUM(D20:D24)</f>
        <v>120620687.19042379</v>
      </c>
      <c r="E46" s="222">
        <f t="shared" ref="E46:E50" ca="1" si="5">D46-C46</f>
        <v>4656184.1685854048</v>
      </c>
      <c r="F46" s="204" t="str">
        <f>'General input'!$C$10</f>
        <v>ZAR</v>
      </c>
      <c r="H46" s="318" t="s">
        <v>1040</v>
      </c>
      <c r="I46" s="222">
        <f ca="1">SUM(I20:I24)</f>
        <v>364832628.91154611</v>
      </c>
      <c r="J46" s="222">
        <f ca="1">SUM(J20:J24)</f>
        <v>364821240.36254448</v>
      </c>
      <c r="K46" s="222">
        <f ca="1">J46-I46</f>
        <v>-11388.549001634121</v>
      </c>
      <c r="L46" s="204" t="str">
        <f>'General input'!$C$10</f>
        <v>ZAR</v>
      </c>
      <c r="M46" s="29"/>
      <c r="N46" s="318" t="s">
        <v>1040</v>
      </c>
      <c r="O46" s="222">
        <f ca="1">SUM(O20:O24)</f>
        <v>76029976.151473746</v>
      </c>
      <c r="P46" s="222">
        <f ca="1">SUM(P20:P24)</f>
        <v>95754097.955468073</v>
      </c>
      <c r="Q46" s="222">
        <f ca="1">P46-O46</f>
        <v>19724121.803994328</v>
      </c>
      <c r="R46" s="204" t="str">
        <f>'General input'!$C$10</f>
        <v>ZAR</v>
      </c>
      <c r="T46" s="318" t="s">
        <v>1040</v>
      </c>
      <c r="U46" s="222">
        <f>SUM(U20:U24)</f>
        <v>186987935.9128575</v>
      </c>
      <c r="V46" s="222">
        <f>SUM(V20:V24)</f>
        <v>199243797.59659243</v>
      </c>
      <c r="W46" s="222">
        <f>V46-U46</f>
        <v>12255861.683734924</v>
      </c>
      <c r="X46" s="204" t="str">
        <f>'General input'!$C$10</f>
        <v>ZAR</v>
      </c>
    </row>
    <row r="47" spans="1:24" x14ac:dyDescent="0.3">
      <c r="A47" s="204"/>
      <c r="B47" s="318" t="s">
        <v>1041</v>
      </c>
      <c r="C47" s="222">
        <f ca="1">SUM(C26:C28)</f>
        <v>73255784.413492963</v>
      </c>
      <c r="D47" s="222">
        <f ca="1">SUM(D26:D28)</f>
        <v>72593552.122394979</v>
      </c>
      <c r="E47" s="222">
        <f t="shared" ca="1" si="5"/>
        <v>-662232.29109798372</v>
      </c>
      <c r="F47" s="204" t="str">
        <f>'General input'!$C$10</f>
        <v>ZAR</v>
      </c>
      <c r="H47" s="318" t="s">
        <v>1041</v>
      </c>
      <c r="I47" s="222">
        <f>SUM(I26:I28)</f>
        <v>121875069.99449988</v>
      </c>
      <c r="J47" s="222">
        <f>SUM(J26:J28)</f>
        <v>119866568.84099053</v>
      </c>
      <c r="K47" s="222">
        <f>J47-I47</f>
        <v>-2008501.1535093486</v>
      </c>
      <c r="L47" s="204" t="str">
        <f>'General input'!$C$10</f>
        <v>ZAR</v>
      </c>
      <c r="M47" s="29"/>
      <c r="N47" s="318" t="s">
        <v>1041</v>
      </c>
      <c r="O47" s="222">
        <f>SUM(O26:O28)</f>
        <v>43549981.304314435</v>
      </c>
      <c r="P47" s="222">
        <f>SUM(P26:P28)</f>
        <v>43549981.304314442</v>
      </c>
      <c r="Q47" s="222">
        <f>P47-O47</f>
        <v>0</v>
      </c>
      <c r="R47" s="204" t="str">
        <f>'General input'!$C$10</f>
        <v>ZAR</v>
      </c>
      <c r="T47" s="318" t="s">
        <v>1041</v>
      </c>
      <c r="U47" s="222">
        <f ca="1">SUM(U26:U28)</f>
        <v>73156655.81053853</v>
      </c>
      <c r="V47" s="222">
        <f ca="1">SUM(V26:V28)</f>
        <v>72495319.64201127</v>
      </c>
      <c r="W47" s="222">
        <f ca="1">V47-U47</f>
        <v>-661336.16852726042</v>
      </c>
      <c r="X47" s="204" t="str">
        <f>'General input'!$C$10</f>
        <v>ZAR</v>
      </c>
    </row>
    <row r="48" spans="1:24" x14ac:dyDescent="0.3">
      <c r="A48" s="204"/>
      <c r="B48" s="318" t="s">
        <v>1080</v>
      </c>
      <c r="C48" s="222">
        <f ca="1">SUM(C30:C34)</f>
        <v>721341342.85347402</v>
      </c>
      <c r="D48" s="222">
        <f ca="1">SUM(D30:D34)</f>
        <v>714820382.1098392</v>
      </c>
      <c r="E48" s="222">
        <f t="shared" ca="1" si="5"/>
        <v>-6520960.74363482</v>
      </c>
      <c r="F48" s="204" t="str">
        <f>'General input'!$C$10</f>
        <v>ZAR</v>
      </c>
      <c r="H48" s="318" t="s">
        <v>1080</v>
      </c>
      <c r="I48" s="222">
        <f>SUM(I30:I34)</f>
        <v>1013660069.8567272</v>
      </c>
      <c r="J48" s="222">
        <f>SUM(J30:J34)</f>
        <v>996954972.0598352</v>
      </c>
      <c r="K48" s="222">
        <f>J48-I48</f>
        <v>-16705097.796892047</v>
      </c>
      <c r="L48" s="204" t="str">
        <f>'General input'!$C$10</f>
        <v>ZAR</v>
      </c>
      <c r="M48" s="29"/>
      <c r="N48" s="318" t="s">
        <v>1080</v>
      </c>
      <c r="O48" s="222">
        <f ca="1">SUM(O30:O34)</f>
        <v>244933302.57842785</v>
      </c>
      <c r="P48" s="222">
        <f>SUM(P30:P34)</f>
        <v>244933302.57842788</v>
      </c>
      <c r="Q48" s="222">
        <f ca="1">P48-O48</f>
        <v>0</v>
      </c>
      <c r="R48" s="204" t="str">
        <f>'General input'!$C$10</f>
        <v>ZAR</v>
      </c>
      <c r="T48" s="318" t="s">
        <v>1080</v>
      </c>
      <c r="U48" s="222">
        <f ca="1">SUM(U30:U34)</f>
        <v>634325164.8281095</v>
      </c>
      <c r="V48" s="222">
        <f ca="1">SUM(V30:V34)</f>
        <v>628590836.15420806</v>
      </c>
      <c r="W48" s="222">
        <f ca="1">V48-U48</f>
        <v>-5734328.6739014387</v>
      </c>
      <c r="X48" s="204" t="str">
        <f>'General input'!$C$10</f>
        <v>ZAR</v>
      </c>
    </row>
    <row r="49" spans="1:24" x14ac:dyDescent="0.3">
      <c r="A49" s="204"/>
      <c r="B49" s="318" t="s">
        <v>1043</v>
      </c>
      <c r="C49" s="222">
        <f ca="1">SUM(C38:C41)</f>
        <v>25196.476850662777</v>
      </c>
      <c r="D49" s="222">
        <f ca="1">SUM(D38:D41)</f>
        <v>24968.732552940477</v>
      </c>
      <c r="E49" s="222">
        <f t="shared" ca="1" si="5"/>
        <v>-227.74429772229996</v>
      </c>
      <c r="F49" s="204"/>
      <c r="H49" s="318" t="s">
        <v>1043</v>
      </c>
      <c r="I49" s="222">
        <f ca="1">SUM(I38:I41)</f>
        <v>30794.11756238711</v>
      </c>
      <c r="J49" s="222">
        <f ca="1">SUM(J38:J41)</f>
        <v>30701.463040418719</v>
      </c>
      <c r="K49" s="222">
        <f ca="1">J49-I49</f>
        <v>-92.654521968390327</v>
      </c>
      <c r="L49" s="204"/>
      <c r="M49" s="29"/>
      <c r="N49" s="318" t="s">
        <v>1043</v>
      </c>
      <c r="O49" s="222">
        <f ca="1">SUM(O38:O41)</f>
        <v>14672.38833350499</v>
      </c>
      <c r="P49" s="222">
        <f t="shared" ref="P49" ca="1" si="6">SUM(P38:P41)</f>
        <v>14672.38833350499</v>
      </c>
      <c r="Q49" s="222">
        <f ca="1">P49-O49</f>
        <v>0</v>
      </c>
      <c r="R49" s="204"/>
      <c r="T49" s="318" t="s">
        <v>1043</v>
      </c>
      <c r="U49" s="222">
        <f>SUM(U38:U41)</f>
        <v>22742.629826001667</v>
      </c>
      <c r="V49" s="222">
        <f>SUM(V38:V41)</f>
        <v>22537.063008974077</v>
      </c>
      <c r="W49" s="222">
        <f>V49-U49</f>
        <v>-205.56681702758942</v>
      </c>
      <c r="X49" s="204"/>
    </row>
    <row r="50" spans="1:24" x14ac:dyDescent="0.3">
      <c r="A50" s="204"/>
      <c r="B50" s="318" t="s">
        <v>1042</v>
      </c>
      <c r="C50" s="222">
        <f ca="1">C42</f>
        <v>20474.343331006574</v>
      </c>
      <c r="D50" s="222">
        <f ca="1">D42</f>
        <v>20289.253911437965</v>
      </c>
      <c r="E50" s="222">
        <f t="shared" ca="1" si="5"/>
        <v>-185.08941956860872</v>
      </c>
      <c r="F50" s="204"/>
      <c r="H50" s="318" t="s">
        <v>1042</v>
      </c>
      <c r="I50" s="222">
        <f>I42</f>
        <v>21086.396668482063</v>
      </c>
      <c r="J50" s="222">
        <f>J42</f>
        <v>20738.893549579396</v>
      </c>
      <c r="K50" s="222">
        <f>J50-I50</f>
        <v>-347.50311890266676</v>
      </c>
      <c r="L50" s="204"/>
      <c r="M50" s="29"/>
      <c r="N50" s="318" t="s">
        <v>1042</v>
      </c>
      <c r="O50" s="222">
        <f>O42</f>
        <v>12049.36952484689</v>
      </c>
      <c r="P50" s="222">
        <f>P42</f>
        <v>12049.36952484689</v>
      </c>
      <c r="Q50" s="222">
        <f>P50-O50</f>
        <v>0</v>
      </c>
      <c r="R50" s="204"/>
      <c r="T50" s="318" t="s">
        <v>1042</v>
      </c>
      <c r="U50" s="222">
        <f>U42</f>
        <v>17069.940160199763</v>
      </c>
      <c r="V50" s="222">
        <f>V42</f>
        <v>16915.626770742354</v>
      </c>
      <c r="W50" s="222">
        <f>V50-U50</f>
        <v>-154.31338945740936</v>
      </c>
      <c r="X50" s="204"/>
    </row>
    <row r="51" spans="1:24" x14ac:dyDescent="0.3">
      <c r="A51" s="204"/>
      <c r="B51" s="204"/>
      <c r="C51" s="204"/>
      <c r="D51" s="204"/>
      <c r="E51" s="204"/>
      <c r="F51" s="204"/>
      <c r="G51" s="23"/>
      <c r="H51" s="204"/>
      <c r="I51" s="204"/>
      <c r="J51" s="204"/>
      <c r="K51" s="204"/>
      <c r="L51" s="204"/>
      <c r="N51" s="204"/>
      <c r="O51" s="204"/>
      <c r="P51" s="204"/>
      <c r="Q51" s="204"/>
      <c r="R51" s="204"/>
      <c r="T51" s="204"/>
      <c r="U51" s="204"/>
      <c r="V51" s="204"/>
      <c r="W51" s="204"/>
      <c r="X51" s="204"/>
    </row>
    <row r="52" spans="1:24" ht="19.5" customHeight="1" thickBot="1" x14ac:dyDescent="0.4">
      <c r="A52" s="204"/>
      <c r="B52" s="765" t="s">
        <v>1079</v>
      </c>
      <c r="C52" s="765"/>
      <c r="D52" s="765"/>
      <c r="E52" s="765"/>
      <c r="F52" s="360"/>
      <c r="H52" s="293" t="s">
        <v>1079</v>
      </c>
      <c r="I52" s="293"/>
      <c r="J52" s="293"/>
      <c r="K52" s="293"/>
      <c r="L52" s="360"/>
      <c r="N52" s="765" t="s">
        <v>1079</v>
      </c>
      <c r="O52" s="765"/>
      <c r="P52" s="765"/>
      <c r="Q52" s="765"/>
      <c r="R52" s="360"/>
      <c r="T52" s="765" t="s">
        <v>1079</v>
      </c>
      <c r="U52" s="765"/>
      <c r="V52" s="765"/>
      <c r="W52" s="765"/>
      <c r="X52" s="360"/>
    </row>
    <row r="53" spans="1:24" ht="19.5" customHeight="1" x14ac:dyDescent="0.35">
      <c r="A53" s="204"/>
      <c r="B53" s="208"/>
      <c r="C53" s="214" t="s">
        <v>565</v>
      </c>
      <c r="D53" s="214" t="s">
        <v>566</v>
      </c>
      <c r="E53" s="214" t="s">
        <v>560</v>
      </c>
      <c r="G53" s="77"/>
      <c r="H53" s="208"/>
      <c r="I53" s="214" t="s">
        <v>565</v>
      </c>
      <c r="J53" s="214" t="s">
        <v>566</v>
      </c>
      <c r="K53" s="214" t="s">
        <v>560</v>
      </c>
      <c r="M53" s="77"/>
      <c r="N53" s="208"/>
      <c r="O53" s="214" t="s">
        <v>565</v>
      </c>
      <c r="P53" s="214" t="s">
        <v>566</v>
      </c>
      <c r="Q53" s="214" t="s">
        <v>560</v>
      </c>
      <c r="T53" s="208"/>
      <c r="U53" s="214" t="s">
        <v>565</v>
      </c>
      <c r="V53" s="214" t="s">
        <v>566</v>
      </c>
      <c r="W53" s="214" t="s">
        <v>560</v>
      </c>
    </row>
    <row r="54" spans="1:24" x14ac:dyDescent="0.3">
      <c r="A54" s="204"/>
      <c r="B54" s="318" t="s">
        <v>901</v>
      </c>
      <c r="C54" s="222">
        <f ca="1">C46</f>
        <v>115964503.02183838</v>
      </c>
      <c r="D54" s="222">
        <f ca="1">D46</f>
        <v>120620687.19042379</v>
      </c>
      <c r="E54" s="222">
        <f t="shared" ref="E54:E55" ca="1" si="7">D54-C54</f>
        <v>4656184.1685854048</v>
      </c>
      <c r="F54" s="204" t="str">
        <f>'General input'!$C$10</f>
        <v>ZAR</v>
      </c>
      <c r="H54" s="318" t="s">
        <v>901</v>
      </c>
      <c r="I54" s="222">
        <f ca="1">I46</f>
        <v>364832628.91154611</v>
      </c>
      <c r="J54" s="222">
        <f ca="1">J46</f>
        <v>364821240.36254448</v>
      </c>
      <c r="K54" s="222">
        <f ca="1">J54-I54</f>
        <v>-11388.549001634121</v>
      </c>
      <c r="L54" s="204" t="str">
        <f>'General input'!$C$10</f>
        <v>ZAR</v>
      </c>
      <c r="M54" s="29"/>
      <c r="N54" s="318" t="s">
        <v>901</v>
      </c>
      <c r="O54" s="222">
        <f ca="1">O46</f>
        <v>76029976.151473746</v>
      </c>
      <c r="P54" s="222">
        <f ca="1">P46</f>
        <v>95754097.955468073</v>
      </c>
      <c r="Q54" s="222">
        <f ca="1">P54-O54</f>
        <v>19724121.803994328</v>
      </c>
      <c r="R54" s="204" t="str">
        <f>'General input'!$C$10</f>
        <v>ZAR</v>
      </c>
      <c r="T54" s="318" t="s">
        <v>901</v>
      </c>
      <c r="U54" s="222">
        <f>U46</f>
        <v>186987935.9128575</v>
      </c>
      <c r="V54" s="222">
        <f>V46</f>
        <v>199243797.59659243</v>
      </c>
      <c r="W54" s="222">
        <f>V54-U54</f>
        <v>12255861.683734924</v>
      </c>
      <c r="X54" s="204" t="str">
        <f>'General input'!$C$10</f>
        <v>ZAR</v>
      </c>
    </row>
    <row r="55" spans="1:24" x14ac:dyDescent="0.3">
      <c r="A55" s="204"/>
      <c r="B55" s="318" t="s">
        <v>902</v>
      </c>
      <c r="C55" s="222">
        <f ca="1">SUM(C46:C48)</f>
        <v>910561630.28880537</v>
      </c>
      <c r="D55" s="222">
        <f ca="1">SUM(D46:D48)</f>
        <v>908034621.42265797</v>
      </c>
      <c r="E55" s="222">
        <f t="shared" ca="1" si="7"/>
        <v>-2527008.8661473989</v>
      </c>
      <c r="F55" s="204" t="str">
        <f>'General input'!$C$10</f>
        <v>ZAR</v>
      </c>
      <c r="H55" s="318" t="s">
        <v>902</v>
      </c>
      <c r="I55" s="222">
        <f ca="1">SUM(I46:I48)</f>
        <v>1500367768.7627733</v>
      </c>
      <c r="J55" s="222">
        <f ca="1">SUM(J46:J48)</f>
        <v>1481642781.2633703</v>
      </c>
      <c r="K55" s="222">
        <f ca="1">J55-I55</f>
        <v>-18724987.499403</v>
      </c>
      <c r="L55" s="204" t="str">
        <f>'General input'!$C$10</f>
        <v>ZAR</v>
      </c>
      <c r="M55" s="29"/>
      <c r="N55" s="318" t="s">
        <v>902</v>
      </c>
      <c r="O55" s="222">
        <f ca="1">SUM(O46:O48)</f>
        <v>364513260.03421605</v>
      </c>
      <c r="P55" s="222">
        <f ca="1">SUM(P46:P48)</f>
        <v>384237381.8382104</v>
      </c>
      <c r="Q55" s="222">
        <f ca="1">P55-O55</f>
        <v>19724121.803994358</v>
      </c>
      <c r="R55" s="204" t="str">
        <f>'General input'!$C$10</f>
        <v>ZAR</v>
      </c>
      <c r="T55" s="318" t="s">
        <v>902</v>
      </c>
      <c r="U55" s="222">
        <f ca="1">SUM(U46:U48)</f>
        <v>894469756.55150557</v>
      </c>
      <c r="V55" s="222">
        <f ca="1">SUM(V46:V48)</f>
        <v>900329953.39281178</v>
      </c>
      <c r="W55" s="222">
        <f ca="1">V55-U55</f>
        <v>5860196.8413062096</v>
      </c>
      <c r="X55" s="204" t="str">
        <f>'General input'!$C$10</f>
        <v>ZAR</v>
      </c>
    </row>
    <row r="56" spans="1:24" x14ac:dyDescent="0.3">
      <c r="A56" s="204"/>
      <c r="B56" s="318" t="s">
        <v>226</v>
      </c>
      <c r="C56" s="222">
        <f ca="1">C49</f>
        <v>25196.476850662777</v>
      </c>
      <c r="D56" s="222">
        <f ca="1">D49</f>
        <v>24968.732552940477</v>
      </c>
      <c r="E56" s="222">
        <f ca="1">C56-D56</f>
        <v>227.74429772229996</v>
      </c>
      <c r="F56" s="204"/>
      <c r="H56" s="318" t="s">
        <v>226</v>
      </c>
      <c r="I56" s="222">
        <f ca="1">I49</f>
        <v>30794.11756238711</v>
      </c>
      <c r="J56" s="222">
        <f ca="1">J49</f>
        <v>30701.463040418719</v>
      </c>
      <c r="K56" s="222">
        <f ca="1">I56-J56</f>
        <v>92.654521968390327</v>
      </c>
      <c r="L56" s="204"/>
      <c r="M56" s="29"/>
      <c r="N56" s="318" t="s">
        <v>226</v>
      </c>
      <c r="O56" s="222">
        <f ca="1">O49</f>
        <v>14672.38833350499</v>
      </c>
      <c r="P56" s="222">
        <f ca="1">P49</f>
        <v>14672.38833350499</v>
      </c>
      <c r="Q56" s="222">
        <f ca="1">O56-P56</f>
        <v>0</v>
      </c>
      <c r="R56" s="204"/>
      <c r="T56" s="318" t="s">
        <v>226</v>
      </c>
      <c r="U56" s="222">
        <f>U49</f>
        <v>22742.629826001667</v>
      </c>
      <c r="V56" s="222">
        <f>V49</f>
        <v>22537.063008974077</v>
      </c>
      <c r="W56" s="222">
        <f>U56-V56</f>
        <v>205.56681702758942</v>
      </c>
      <c r="X56" s="204"/>
    </row>
    <row r="57" spans="1:24" x14ac:dyDescent="0.3">
      <c r="A57" s="204"/>
      <c r="B57" s="318" t="s">
        <v>903</v>
      </c>
      <c r="C57" s="222">
        <f ca="1">C50</f>
        <v>20474.343331006574</v>
      </c>
      <c r="D57" s="222">
        <f ca="1">D50</f>
        <v>20289.253911437965</v>
      </c>
      <c r="E57" s="222">
        <f ca="1">C57-D57</f>
        <v>185.08941956860872</v>
      </c>
      <c r="F57" s="204"/>
      <c r="H57" s="318" t="s">
        <v>903</v>
      </c>
      <c r="I57" s="222">
        <f>I50</f>
        <v>21086.396668482063</v>
      </c>
      <c r="J57" s="222">
        <f>J50</f>
        <v>20738.893549579396</v>
      </c>
      <c r="K57" s="222">
        <f>I57-J57</f>
        <v>347.50311890266676</v>
      </c>
      <c r="L57" s="204"/>
      <c r="M57" s="29"/>
      <c r="N57" s="318" t="s">
        <v>903</v>
      </c>
      <c r="O57" s="222">
        <f>O50</f>
        <v>12049.36952484689</v>
      </c>
      <c r="P57" s="222">
        <f>P50</f>
        <v>12049.36952484689</v>
      </c>
      <c r="Q57" s="222">
        <f>O57-P57</f>
        <v>0</v>
      </c>
      <c r="R57" s="204"/>
      <c r="T57" s="318" t="s">
        <v>903</v>
      </c>
      <c r="U57" s="222">
        <f>U50</f>
        <v>17069.940160199763</v>
      </c>
      <c r="V57" s="222">
        <f>V50</f>
        <v>16915.626770742354</v>
      </c>
      <c r="W57" s="222">
        <f>U57-V57</f>
        <v>154.31338945740936</v>
      </c>
      <c r="X57" s="204"/>
    </row>
    <row r="58" spans="1:24" x14ac:dyDescent="0.3">
      <c r="A58" s="204"/>
      <c r="B58" s="204"/>
      <c r="C58" s="204"/>
      <c r="D58" s="204"/>
      <c r="E58" s="204"/>
      <c r="F58" s="204"/>
      <c r="H58" s="204"/>
      <c r="I58" s="204"/>
      <c r="J58" s="204"/>
      <c r="K58" s="204"/>
      <c r="L58" s="204"/>
      <c r="N58" s="204"/>
      <c r="O58" s="204"/>
      <c r="P58" s="204"/>
      <c r="Q58" s="204"/>
      <c r="R58" s="204"/>
      <c r="T58" s="204"/>
      <c r="U58" s="204"/>
      <c r="V58" s="204"/>
      <c r="W58" s="204"/>
      <c r="X58" s="204"/>
    </row>
    <row r="59" spans="1:24" x14ac:dyDescent="0.3">
      <c r="A59" s="204"/>
      <c r="B59" s="361" t="s">
        <v>1394</v>
      </c>
      <c r="C59" s="362"/>
      <c r="D59" s="204"/>
      <c r="E59" s="362"/>
      <c r="F59" s="204"/>
      <c r="G59" s="23"/>
      <c r="H59" s="361" t="s">
        <v>1394</v>
      </c>
      <c r="I59" s="362"/>
      <c r="J59" s="204"/>
      <c r="K59" s="362"/>
      <c r="L59" s="204"/>
      <c r="N59" s="361" t="s">
        <v>1394</v>
      </c>
      <c r="O59" s="362"/>
      <c r="P59" s="204"/>
      <c r="Q59" s="204"/>
      <c r="R59" s="204"/>
      <c r="T59" s="361" t="s">
        <v>1394</v>
      </c>
      <c r="U59" s="362"/>
      <c r="V59" s="204"/>
      <c r="W59" s="204"/>
      <c r="X59" s="204"/>
    </row>
    <row r="60" spans="1:24" x14ac:dyDescent="0.3">
      <c r="A60" s="204"/>
      <c r="B60" s="362" t="s">
        <v>901</v>
      </c>
      <c r="C60" s="103">
        <f ca="1">IF($E$56=0,"NA",E54/E56)</f>
        <v>20444.789244571661</v>
      </c>
      <c r="D60" s="204" t="str">
        <f>'General input'!$C$10</f>
        <v>ZAR</v>
      </c>
      <c r="E60" s="103">
        <f ca="1">C60/'General input'!$C$16</f>
        <v>1602.3904694674416</v>
      </c>
      <c r="F60" s="398" t="s">
        <v>1402</v>
      </c>
      <c r="H60" s="362" t="s">
        <v>901</v>
      </c>
      <c r="I60" s="103">
        <f ca="1">IF(Results!$K$56=0,"NA",K54/K56)</f>
        <v>-122.91411967480008</v>
      </c>
      <c r="J60" s="204" t="str">
        <f>'General input'!$C$10</f>
        <v>ZAR</v>
      </c>
      <c r="K60" s="397">
        <f ca="1">I60/'General input'!$C$16</f>
        <v>-9.6335751654752091</v>
      </c>
      <c r="L60" s="398" t="s">
        <v>1402</v>
      </c>
      <c r="M60" s="199"/>
      <c r="N60" s="362" t="s">
        <v>901</v>
      </c>
      <c r="O60" s="103" t="str">
        <f ca="1">IF(Results!$Q$56=0,"NA",Q54/Q56)</f>
        <v>NA</v>
      </c>
      <c r="P60" s="204" t="str">
        <f>'General input'!$C$10</f>
        <v>ZAR</v>
      </c>
      <c r="Q60" s="397" t="e">
        <f ca="1">O60/'General input'!$C$16</f>
        <v>#VALUE!</v>
      </c>
      <c r="R60" s="398" t="s">
        <v>1402</v>
      </c>
      <c r="T60" s="362" t="s">
        <v>901</v>
      </c>
      <c r="U60" s="103">
        <f>IF(W56=0,"NA",W54/W56)</f>
        <v>59619.844588487482</v>
      </c>
      <c r="V60" s="204" t="str">
        <f>'General input'!$C$10</f>
        <v>ZAR</v>
      </c>
      <c r="W60" s="397">
        <f>U60/'General input'!$C$16</f>
        <v>4672.7931316331797</v>
      </c>
      <c r="X60" s="398" t="s">
        <v>1402</v>
      </c>
    </row>
    <row r="61" spans="1:24" x14ac:dyDescent="0.3">
      <c r="A61" s="204"/>
      <c r="B61" s="362" t="s">
        <v>902</v>
      </c>
      <c r="C61" s="104">
        <f ca="1">IF($E$56=0,"NA",E55/E56)</f>
        <v>-11095.816191317806</v>
      </c>
      <c r="D61" s="204" t="str">
        <f>'General input'!$C$10</f>
        <v>ZAR</v>
      </c>
      <c r="E61" s="104">
        <f ca="1">C61/'General input'!$C$16</f>
        <v>-869.65093663907248</v>
      </c>
      <c r="F61" s="204" t="s">
        <v>1402</v>
      </c>
      <c r="H61" s="362" t="s">
        <v>902</v>
      </c>
      <c r="I61" s="104">
        <f ca="1">IF(Results!$K$56=0,"NA",K55/K56)</f>
        <v>-202094.69653074403</v>
      </c>
      <c r="J61" s="204" t="str">
        <f>'General input'!$C$10</f>
        <v>ZAR</v>
      </c>
      <c r="K61" s="397">
        <f ca="1">I61/'General input'!$C$16</f>
        <v>-15839.469498897432</v>
      </c>
      <c r="L61" s="204" t="s">
        <v>1402</v>
      </c>
      <c r="M61" s="200"/>
      <c r="N61" s="362" t="s">
        <v>902</v>
      </c>
      <c r="O61" s="104" t="str">
        <f ca="1">IF(Results!$Q$56=0,"NA",Q55/Q56)</f>
        <v>NA</v>
      </c>
      <c r="P61" s="204" t="str">
        <f>'General input'!$C$10</f>
        <v>ZAR</v>
      </c>
      <c r="Q61" s="397" t="e">
        <f ca="1">O61/'General input'!$C$16</f>
        <v>#VALUE!</v>
      </c>
      <c r="R61" s="204" t="s">
        <v>1402</v>
      </c>
      <c r="T61" s="362" t="s">
        <v>902</v>
      </c>
      <c r="U61" s="104">
        <f ca="1">IF(W56=0,"NA",W55/W56)</f>
        <v>28507.503915477293</v>
      </c>
      <c r="V61" s="204" t="str">
        <f>'General input'!$C$10</f>
        <v>ZAR</v>
      </c>
      <c r="W61" s="397">
        <f ca="1">U61/'General input'!$C$16</f>
        <v>2234.3176070937106</v>
      </c>
      <c r="X61" s="204" t="s">
        <v>1402</v>
      </c>
    </row>
    <row r="62" spans="1:24" x14ac:dyDescent="0.3">
      <c r="A62" s="204"/>
      <c r="B62" s="361"/>
      <c r="C62" s="105"/>
      <c r="D62" s="204"/>
      <c r="E62" s="105"/>
      <c r="F62" s="204"/>
      <c r="G62" s="23"/>
      <c r="H62" s="361"/>
      <c r="I62" s="105"/>
      <c r="J62" s="204"/>
      <c r="K62" s="105"/>
      <c r="L62" s="204"/>
      <c r="M62" s="201"/>
      <c r="N62" s="361"/>
      <c r="O62" s="105"/>
      <c r="P62" s="204"/>
      <c r="Q62" s="204"/>
      <c r="R62" s="204"/>
      <c r="T62" s="361"/>
      <c r="U62" s="105"/>
      <c r="V62" s="204"/>
      <c r="W62" s="204"/>
      <c r="X62" s="204"/>
    </row>
    <row r="63" spans="1:24" x14ac:dyDescent="0.3">
      <c r="A63" s="204"/>
      <c r="B63" s="361" t="s">
        <v>1395</v>
      </c>
      <c r="C63" s="105"/>
      <c r="D63" s="204"/>
      <c r="E63" s="105"/>
      <c r="F63" s="204"/>
      <c r="G63" s="23"/>
      <c r="H63" s="361" t="s">
        <v>1395</v>
      </c>
      <c r="I63" s="105"/>
      <c r="J63" s="204"/>
      <c r="K63" s="105"/>
      <c r="L63" s="204"/>
      <c r="M63" s="201"/>
      <c r="N63" s="361" t="s">
        <v>1395</v>
      </c>
      <c r="O63" s="105"/>
      <c r="P63" s="204"/>
      <c r="Q63" s="204"/>
      <c r="R63" s="204"/>
      <c r="T63" s="361" t="s">
        <v>1395</v>
      </c>
      <c r="U63" s="105"/>
      <c r="V63" s="204"/>
      <c r="W63" s="204"/>
      <c r="X63" s="204"/>
    </row>
    <row r="64" spans="1:24" x14ac:dyDescent="0.3">
      <c r="A64" s="204"/>
      <c r="B64" s="362" t="s">
        <v>901</v>
      </c>
      <c r="C64" s="103">
        <f ca="1">IF($E$57=0,"NA",E54/E57)</f>
        <v>25156.403750347577</v>
      </c>
      <c r="D64" s="204" t="str">
        <f>'General input'!$C$10</f>
        <v>ZAR</v>
      </c>
      <c r="E64" s="103">
        <f ca="1">C64/'General input'!$C$16</f>
        <v>1971.6701959319466</v>
      </c>
      <c r="F64" s="398" t="s">
        <v>1402</v>
      </c>
      <c r="H64" s="362" t="s">
        <v>901</v>
      </c>
      <c r="I64" s="103">
        <f ca="1">IF(Results!$K$57=0,"NA",K54/K57)</f>
        <v>-32.772508740630833</v>
      </c>
      <c r="J64" s="204" t="str">
        <f>'General input'!$C$10</f>
        <v>ZAR</v>
      </c>
      <c r="K64" s="397">
        <f ca="1">I64/'General input'!$C$16</f>
        <v>-2.5685936420434596</v>
      </c>
      <c r="L64" s="398" t="s">
        <v>1402</v>
      </c>
      <c r="M64" s="199"/>
      <c r="N64" s="362" t="s">
        <v>901</v>
      </c>
      <c r="O64" s="103" t="str">
        <f>IF(Results!$Q$57=0,"NA",Q54/Q57)</f>
        <v>NA</v>
      </c>
      <c r="P64" s="204" t="str">
        <f>'General input'!$C$10</f>
        <v>ZAR</v>
      </c>
      <c r="Q64" s="397" t="e">
        <f>O64/'General input'!$C$16</f>
        <v>#VALUE!</v>
      </c>
      <c r="R64" s="398" t="s">
        <v>1402</v>
      </c>
      <c r="T64" s="362" t="s">
        <v>901</v>
      </c>
      <c r="U64" s="103">
        <f>IF(W57=0,"NA",W54/W57)</f>
        <v>79421.894152079098</v>
      </c>
      <c r="V64" s="204" t="str">
        <f>'General input'!$C$10</f>
        <v>ZAR</v>
      </c>
      <c r="W64" s="397">
        <f>U64/'General input'!$C$16</f>
        <v>6224.807931934728</v>
      </c>
      <c r="X64" s="398" t="s">
        <v>1402</v>
      </c>
    </row>
    <row r="65" spans="1:24" x14ac:dyDescent="0.3">
      <c r="A65" s="204"/>
      <c r="B65" s="362" t="s">
        <v>902</v>
      </c>
      <c r="C65" s="104">
        <f ca="1">IF($E$57=0,"NA",E55/E57)</f>
        <v>-13652.90826475735</v>
      </c>
      <c r="D65" s="204" t="str">
        <f>'General input'!$C$10</f>
        <v>ZAR</v>
      </c>
      <c r="E65" s="104">
        <f ca="1">C65/'General input'!$C$16</f>
        <v>-1070.0667941475176</v>
      </c>
      <c r="F65" s="204" t="s">
        <v>1402</v>
      </c>
      <c r="H65" s="362" t="s">
        <v>902</v>
      </c>
      <c r="I65" s="104">
        <f ca="1">IF(Results!$K$57=0,"NA",K55/K57)</f>
        <v>-53884.372487165332</v>
      </c>
      <c r="J65" s="204" t="str">
        <f>'General input'!$C$10</f>
        <v>ZAR</v>
      </c>
      <c r="K65" s="397">
        <f ca="1">I65/'General input'!$C$16</f>
        <v>-4223.2670581132388</v>
      </c>
      <c r="L65" s="204" t="s">
        <v>1402</v>
      </c>
      <c r="M65" s="200"/>
      <c r="N65" s="362" t="s">
        <v>902</v>
      </c>
      <c r="O65" s="104" t="str">
        <f>IF(Results!$Q$57=0,"NA",Q55/Q57)</f>
        <v>NA</v>
      </c>
      <c r="P65" s="204" t="str">
        <f>'General input'!$C$10</f>
        <v>ZAR</v>
      </c>
      <c r="Q65" s="397" t="e">
        <f>O65/'General input'!$C$16</f>
        <v>#VALUE!</v>
      </c>
      <c r="R65" s="204" t="s">
        <v>1402</v>
      </c>
      <c r="T65" s="362" t="s">
        <v>902</v>
      </c>
      <c r="U65" s="104">
        <f ca="1">IF(W57=0,"NA",W55/W57)</f>
        <v>37975.945327308291</v>
      </c>
      <c r="V65" s="204" t="str">
        <f>'General input'!$C$10</f>
        <v>ZAR</v>
      </c>
      <c r="W65" s="397">
        <f ca="1">U65/'General input'!$C$16</f>
        <v>2976.4206484863839</v>
      </c>
      <c r="X65" s="204" t="s">
        <v>1402</v>
      </c>
    </row>
    <row r="66" spans="1:24" x14ac:dyDescent="0.3">
      <c r="A66" s="204"/>
      <c r="B66" s="204"/>
      <c r="C66" s="204"/>
      <c r="D66" s="204"/>
      <c r="E66" s="204"/>
      <c r="F66" s="204"/>
    </row>
    <row r="67" spans="1:24" x14ac:dyDescent="0.3">
      <c r="A67" s="204"/>
      <c r="B67" s="204"/>
      <c r="C67" s="204"/>
      <c r="D67" s="204"/>
      <c r="E67" s="204"/>
      <c r="F67" s="204"/>
    </row>
    <row r="68" spans="1:24" x14ac:dyDescent="0.3">
      <c r="A68" s="204"/>
      <c r="B68" s="23"/>
      <c r="E68" s="29"/>
      <c r="F68" s="29"/>
      <c r="G68" s="23"/>
      <c r="J68" s="29"/>
      <c r="L68" s="23"/>
      <c r="O68" s="29"/>
      <c r="U68" s="29"/>
    </row>
    <row r="69" spans="1:24" x14ac:dyDescent="0.3">
      <c r="A69" s="204"/>
      <c r="B69" s="23"/>
      <c r="C69" s="400"/>
      <c r="D69" s="29"/>
      <c r="E69" s="29"/>
      <c r="F69" s="29"/>
      <c r="G69" s="23"/>
      <c r="H69" s="29"/>
      <c r="I69" s="29"/>
      <c r="J69" s="29"/>
      <c r="L69" s="23"/>
      <c r="M69" s="29"/>
      <c r="N69" s="29"/>
      <c r="O69" s="29"/>
      <c r="T69" s="29"/>
      <c r="U69" s="29"/>
    </row>
    <row r="70" spans="1:24" x14ac:dyDescent="0.3">
      <c r="A70" s="204"/>
      <c r="B70" s="23"/>
      <c r="C70" s="16"/>
      <c r="G70" s="31"/>
      <c r="H70" s="16"/>
      <c r="L70" s="31"/>
      <c r="M70" s="16"/>
    </row>
    <row r="71" spans="1:24" x14ac:dyDescent="0.3">
      <c r="A71" s="204"/>
      <c r="B71" s="31"/>
      <c r="C71" s="16"/>
      <c r="G71" s="31"/>
      <c r="H71" s="16"/>
      <c r="L71" s="31"/>
      <c r="M71" s="16"/>
    </row>
    <row r="72" spans="1:24" x14ac:dyDescent="0.3">
      <c r="A72" s="204"/>
      <c r="B72" s="31"/>
      <c r="C72" s="16"/>
      <c r="G72" s="31"/>
      <c r="H72" s="16"/>
      <c r="L72" s="31"/>
      <c r="M72" s="16"/>
    </row>
    <row r="73" spans="1:24" x14ac:dyDescent="0.3">
      <c r="A73" s="204"/>
      <c r="B73" s="31"/>
      <c r="C73" s="16"/>
      <c r="G73" s="31"/>
      <c r="H73" s="16"/>
      <c r="L73" s="31"/>
      <c r="M73" s="16"/>
    </row>
    <row r="74" spans="1:24" x14ac:dyDescent="0.3">
      <c r="A74" s="204"/>
      <c r="B74" s="31"/>
      <c r="C74" s="16"/>
      <c r="D74" s="29"/>
      <c r="E74" s="29"/>
      <c r="F74" s="29"/>
      <c r="G74" s="31"/>
      <c r="H74" s="16"/>
      <c r="I74" s="29"/>
      <c r="J74" s="29"/>
      <c r="L74" s="31"/>
      <c r="M74" s="16"/>
      <c r="N74" s="29"/>
      <c r="O74" s="29"/>
      <c r="T74" s="29"/>
      <c r="U74" s="29"/>
    </row>
    <row r="75" spans="1:24" x14ac:dyDescent="0.3">
      <c r="A75" s="204"/>
      <c r="B75" s="31"/>
      <c r="C75" s="16"/>
      <c r="D75" s="29"/>
      <c r="E75" s="29"/>
      <c r="F75" s="29"/>
      <c r="G75" s="31"/>
      <c r="H75" s="16"/>
      <c r="I75" s="29"/>
      <c r="J75" s="29"/>
      <c r="L75" s="31"/>
      <c r="M75" s="16"/>
      <c r="N75" s="29"/>
      <c r="O75" s="29"/>
      <c r="T75" s="29"/>
      <c r="U75" s="29"/>
    </row>
    <row r="76" spans="1:24" x14ac:dyDescent="0.3">
      <c r="A76" s="204"/>
      <c r="B76" s="31"/>
      <c r="C76" s="16"/>
      <c r="D76" s="29"/>
      <c r="E76" s="29"/>
      <c r="F76" s="29"/>
      <c r="G76" s="31"/>
      <c r="H76" s="16"/>
      <c r="I76" s="29"/>
      <c r="J76" s="29"/>
      <c r="L76" s="31"/>
      <c r="M76" s="16"/>
      <c r="N76" s="29"/>
      <c r="O76" s="29"/>
      <c r="T76" s="29"/>
      <c r="U76" s="29"/>
    </row>
    <row r="77" spans="1:24" x14ac:dyDescent="0.3">
      <c r="A77" s="204"/>
      <c r="B77" s="31"/>
      <c r="C77" s="16"/>
      <c r="G77" s="31"/>
      <c r="H77" s="16"/>
      <c r="L77" s="31"/>
      <c r="M77" s="16"/>
    </row>
    <row r="78" spans="1:24" x14ac:dyDescent="0.3">
      <c r="A78" s="204"/>
      <c r="B78" s="31"/>
      <c r="C78" s="16"/>
      <c r="G78" s="31"/>
      <c r="H78" s="16"/>
      <c r="L78" s="31"/>
      <c r="M78" s="16"/>
    </row>
    <row r="79" spans="1:24" x14ac:dyDescent="0.3">
      <c r="A79" s="204"/>
      <c r="B79" s="31"/>
      <c r="C79" s="16"/>
      <c r="G79" s="31"/>
      <c r="H79" s="16"/>
      <c r="L79" s="31"/>
      <c r="M79" s="16"/>
    </row>
    <row r="80" spans="1:24" x14ac:dyDescent="0.3">
      <c r="A80" s="204"/>
      <c r="B80" s="31"/>
      <c r="C80" s="16"/>
      <c r="G80" s="31"/>
      <c r="H80" s="16"/>
      <c r="L80" s="31"/>
      <c r="M80" s="16"/>
    </row>
    <row r="81" spans="1:13" x14ac:dyDescent="0.3">
      <c r="A81" s="204"/>
      <c r="B81" s="31"/>
      <c r="C81" s="16"/>
      <c r="G81" s="31"/>
      <c r="H81" s="16"/>
      <c r="L81" s="31"/>
      <c r="M81" s="16"/>
    </row>
    <row r="82" spans="1:13" x14ac:dyDescent="0.3">
      <c r="A82" s="204"/>
      <c r="B82" s="206"/>
      <c r="C82" s="270"/>
      <c r="D82" s="204"/>
      <c r="E82" s="204"/>
      <c r="F82" s="204"/>
      <c r="G82" s="31"/>
      <c r="H82" s="16"/>
      <c r="L82" s="31"/>
      <c r="M82" s="16"/>
    </row>
    <row r="83" spans="1:13" x14ac:dyDescent="0.3">
      <c r="A83" s="204"/>
      <c r="B83" s="215"/>
      <c r="C83" s="231"/>
      <c r="D83" s="231"/>
      <c r="E83" s="231"/>
      <c r="F83" s="231"/>
      <c r="G83" s="29"/>
    </row>
    <row r="84" spans="1:13" x14ac:dyDescent="0.3">
      <c r="A84" s="204"/>
      <c r="B84" s="204"/>
      <c r="C84" s="204"/>
      <c r="D84" s="204"/>
      <c r="E84" s="204"/>
      <c r="F84" s="204"/>
    </row>
    <row r="85" spans="1:13" x14ac:dyDescent="0.3">
      <c r="A85" s="204"/>
      <c r="B85" s="204"/>
      <c r="C85" s="204"/>
      <c r="D85" s="204"/>
      <c r="E85" s="204"/>
      <c r="F85" s="204"/>
    </row>
    <row r="86" spans="1:13" x14ac:dyDescent="0.3">
      <c r="A86" s="204"/>
      <c r="B86" s="204"/>
      <c r="C86" s="204"/>
      <c r="D86" s="204"/>
      <c r="E86" s="204"/>
      <c r="F86" s="204"/>
    </row>
    <row r="87" spans="1:13" x14ac:dyDescent="0.3">
      <c r="A87" s="204"/>
      <c r="B87" s="204"/>
      <c r="C87" s="204"/>
      <c r="D87" s="204"/>
      <c r="E87" s="204"/>
    </row>
  </sheetData>
  <mergeCells count="18">
    <mergeCell ref="B17:E17"/>
    <mergeCell ref="N17:Q17"/>
    <mergeCell ref="C4:D4"/>
    <mergeCell ref="C5:D5"/>
    <mergeCell ref="B8:E8"/>
    <mergeCell ref="H8:K8"/>
    <mergeCell ref="N8:Q8"/>
    <mergeCell ref="B52:E52"/>
    <mergeCell ref="N52:Q52"/>
    <mergeCell ref="B36:E36"/>
    <mergeCell ref="N36:Q36"/>
    <mergeCell ref="B44:E44"/>
    <mergeCell ref="N44:Q44"/>
    <mergeCell ref="T8:W8"/>
    <mergeCell ref="T17:W17"/>
    <mergeCell ref="T36:W36"/>
    <mergeCell ref="T44:W44"/>
    <mergeCell ref="T52:W5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tabColor rgb="FF00B050"/>
  </sheetPr>
  <dimension ref="A1:AN19"/>
  <sheetViews>
    <sheetView zoomScale="70" zoomScaleNormal="70" workbookViewId="0">
      <selection activeCell="C10" sqref="C10"/>
    </sheetView>
  </sheetViews>
  <sheetFormatPr defaultColWidth="0" defaultRowHeight="21" zeroHeight="1" x14ac:dyDescent="0.4"/>
  <cols>
    <col min="1" max="1" width="9.109375" style="453" customWidth="1"/>
    <col min="2" max="2" width="64.44140625" style="453" customWidth="1"/>
    <col min="3" max="6" width="19.5546875" style="453" customWidth="1"/>
    <col min="7" max="7" width="9.109375" style="453" customWidth="1"/>
    <col min="8" max="8" width="10.5546875" style="453" customWidth="1"/>
    <col min="9" max="9" width="10" style="453" customWidth="1"/>
    <col min="10" max="37" width="15.88671875" style="453" customWidth="1"/>
    <col min="38" max="38" width="9.109375" style="453" customWidth="1"/>
    <col min="39" max="40" width="0" style="453" hidden="1" customWidth="1"/>
    <col min="41" max="16384" width="9.109375" style="453" hidden="1"/>
  </cols>
  <sheetData>
    <row r="1" spans="2:37" x14ac:dyDescent="0.4"/>
    <row r="2" spans="2:37" ht="22.8" thickBot="1" x14ac:dyDescent="0.5">
      <c r="B2" s="691" t="s">
        <v>1470</v>
      </c>
      <c r="C2" s="770">
        <f>I4</f>
        <v>4672.7931316331797</v>
      </c>
      <c r="D2" s="771"/>
      <c r="E2" s="771"/>
      <c r="F2" s="772"/>
      <c r="H2" s="453" t="s">
        <v>1549</v>
      </c>
      <c r="I2" s="453">
        <v>1</v>
      </c>
      <c r="K2" s="453">
        <v>1</v>
      </c>
      <c r="M2" s="453">
        <v>1</v>
      </c>
      <c r="O2" s="453">
        <v>1</v>
      </c>
      <c r="Q2" s="453">
        <v>1</v>
      </c>
      <c r="S2" s="453">
        <v>1</v>
      </c>
      <c r="U2" s="453">
        <v>1</v>
      </c>
      <c r="W2" s="453">
        <v>1</v>
      </c>
      <c r="Y2" s="453">
        <v>1</v>
      </c>
      <c r="AA2" s="453">
        <v>1</v>
      </c>
      <c r="AC2" s="453">
        <v>1</v>
      </c>
      <c r="AE2" s="453">
        <v>1</v>
      </c>
      <c r="AG2" s="453">
        <v>1</v>
      </c>
      <c r="AI2" s="453">
        <v>1</v>
      </c>
      <c r="AK2" s="453">
        <v>1</v>
      </c>
    </row>
    <row r="3" spans="2:37" ht="64.5" customHeight="1" x14ac:dyDescent="0.4">
      <c r="B3" s="454" t="s">
        <v>1055</v>
      </c>
      <c r="C3" s="454" t="s">
        <v>1456</v>
      </c>
      <c r="D3" s="454" t="s">
        <v>1457</v>
      </c>
      <c r="E3" s="588" t="s">
        <v>1458</v>
      </c>
      <c r="F3" s="454" t="s">
        <v>1471</v>
      </c>
      <c r="H3" s="773" t="s">
        <v>1459</v>
      </c>
      <c r="I3" s="774"/>
      <c r="J3" s="773" t="s">
        <v>1460</v>
      </c>
      <c r="K3" s="774"/>
      <c r="L3" s="773" t="s">
        <v>1461</v>
      </c>
      <c r="M3" s="774"/>
      <c r="N3" s="773" t="s">
        <v>1463</v>
      </c>
      <c r="O3" s="774"/>
      <c r="P3" s="773" t="s">
        <v>1464</v>
      </c>
      <c r="Q3" s="774"/>
      <c r="R3" s="773" t="s">
        <v>1462</v>
      </c>
      <c r="S3" s="774"/>
      <c r="T3" s="773" t="s">
        <v>536</v>
      </c>
      <c r="U3" s="774"/>
      <c r="V3" s="773" t="s">
        <v>911</v>
      </c>
      <c r="W3" s="774"/>
      <c r="X3" s="773" t="s">
        <v>1465</v>
      </c>
      <c r="Y3" s="774"/>
      <c r="Z3" s="773" t="s">
        <v>535</v>
      </c>
      <c r="AA3" s="774"/>
      <c r="AB3" s="773" t="s">
        <v>549</v>
      </c>
      <c r="AC3" s="774"/>
      <c r="AD3" s="773" t="s">
        <v>1012</v>
      </c>
      <c r="AE3" s="774"/>
      <c r="AF3" s="773" t="s">
        <v>1550</v>
      </c>
      <c r="AG3" s="774"/>
      <c r="AH3" s="773" t="s">
        <v>1551</v>
      </c>
      <c r="AI3" s="774"/>
      <c r="AJ3" s="773" t="s">
        <v>1515</v>
      </c>
      <c r="AK3" s="774"/>
    </row>
    <row r="4" spans="2:37" ht="24" customHeight="1" thickBot="1" x14ac:dyDescent="0.45">
      <c r="B4" s="564" t="s">
        <v>1459</v>
      </c>
      <c r="C4" s="561">
        <f>I6</f>
        <v>5269.9238499909188</v>
      </c>
      <c r="D4" s="561">
        <f>I7</f>
        <v>4197.2106588738407</v>
      </c>
      <c r="E4" s="561">
        <f t="shared" ref="E4:E17" si="0">ABS(D4-C4)</f>
        <v>1072.7131911170782</v>
      </c>
      <c r="F4" s="561">
        <f>I5</f>
        <v>4672.7931316331797</v>
      </c>
      <c r="H4" s="567"/>
      <c r="I4" s="568">
        <f>Results!W60</f>
        <v>4672.7931316331797</v>
      </c>
      <c r="J4" s="567"/>
      <c r="K4" s="568">
        <f>Results!W60</f>
        <v>4672.7931316331797</v>
      </c>
      <c r="L4" s="567"/>
      <c r="M4" s="568">
        <f>Results!W60</f>
        <v>4672.7931316331797</v>
      </c>
      <c r="N4" s="567"/>
      <c r="O4" s="568">
        <f>Results!W60</f>
        <v>4672.7931316331797</v>
      </c>
      <c r="P4" s="567"/>
      <c r="Q4" s="568">
        <f>Results!W60</f>
        <v>4672.7931316331797</v>
      </c>
      <c r="R4" s="567"/>
      <c r="S4" s="568">
        <f>Results!W60</f>
        <v>4672.7931316331797</v>
      </c>
      <c r="T4" s="567"/>
      <c r="U4" s="568">
        <f>Results!W60</f>
        <v>4672.7931316331797</v>
      </c>
      <c r="V4" s="567"/>
      <c r="W4" s="568">
        <f>Results!W60</f>
        <v>4672.7931316331797</v>
      </c>
      <c r="X4" s="567"/>
      <c r="Y4" s="568">
        <f>Results!W60</f>
        <v>4672.7931316331797</v>
      </c>
      <c r="Z4" s="567"/>
      <c r="AA4" s="568">
        <f>Results!W60</f>
        <v>4672.7931316331797</v>
      </c>
      <c r="AB4" s="567"/>
      <c r="AC4" s="568">
        <f>Results!W60</f>
        <v>4672.7931316331797</v>
      </c>
      <c r="AD4" s="567"/>
      <c r="AE4" s="568">
        <f>Results!W60</f>
        <v>4672.7931316331797</v>
      </c>
      <c r="AF4" s="567"/>
      <c r="AG4" s="568">
        <f>Results!W60</f>
        <v>4672.7931316331797</v>
      </c>
      <c r="AH4" s="567"/>
      <c r="AI4" s="568">
        <f>Results!W60</f>
        <v>4672.7931316331797</v>
      </c>
      <c r="AJ4" s="567"/>
      <c r="AK4" s="568">
        <f>Results!W60</f>
        <v>4672.7931316331797</v>
      </c>
    </row>
    <row r="5" spans="2:37" x14ac:dyDescent="0.4">
      <c r="B5" s="565" t="s">
        <v>1460</v>
      </c>
      <c r="C5" s="562">
        <f>K6</f>
        <v>4789.8814619407558</v>
      </c>
      <c r="D5" s="562">
        <f>K7</f>
        <v>4558.5456006741952</v>
      </c>
      <c r="E5" s="562">
        <f t="shared" si="0"/>
        <v>231.33586126656064</v>
      </c>
      <c r="F5" s="562">
        <f>K5</f>
        <v>4672.7931316331797</v>
      </c>
      <c r="H5" s="569">
        <v>1</v>
      </c>
      <c r="I5" s="570">
        <f t="dataTable" ref="I5:I7" dt2D="0" dtr="0" r1="I2"/>
        <v>4672.7931316331797</v>
      </c>
      <c r="J5" s="569">
        <v>1</v>
      </c>
      <c r="K5" s="570">
        <f t="dataTable" ref="K5:K7" dt2D="0" dtr="0" r1="K2" ca="1"/>
        <v>4672.7931316331797</v>
      </c>
      <c r="L5" s="569">
        <v>1</v>
      </c>
      <c r="M5" s="570">
        <f t="dataTable" ref="M5:M7" dt2D="0" dtr="0" r1="M2" ca="1"/>
        <v>4672.7931316331797</v>
      </c>
      <c r="N5" s="569">
        <v>1</v>
      </c>
      <c r="O5" s="570">
        <f t="dataTable" ref="O5:O7" dt2D="0" dtr="0" r1="O2" ca="1"/>
        <v>4672.7931316331797</v>
      </c>
      <c r="P5" s="569">
        <v>1</v>
      </c>
      <c r="Q5" s="570">
        <f t="dataTable" ref="Q5:Q7" dt2D="0" dtr="0" r1="Q2" ca="1"/>
        <v>4672.7931316331797</v>
      </c>
      <c r="R5" s="569">
        <v>1</v>
      </c>
      <c r="S5" s="570">
        <f t="dataTable" ref="S5:S7" dt2D="0" dtr="0" r1="S2" ca="1"/>
        <v>4672.7931316331797</v>
      </c>
      <c r="T5" s="569">
        <v>1</v>
      </c>
      <c r="U5" s="570">
        <f t="dataTable" ref="U5:U7" dt2D="0" dtr="0" r1="U2" ca="1"/>
        <v>4672.7931316331797</v>
      </c>
      <c r="V5" s="569">
        <v>1</v>
      </c>
      <c r="W5" s="570">
        <f t="dataTable" ref="W5:W7" dt2D="0" dtr="0" r1="W2" ca="1"/>
        <v>4672.7931316331797</v>
      </c>
      <c r="X5" s="569">
        <v>1</v>
      </c>
      <c r="Y5" s="570">
        <f t="dataTable" ref="Y5:Y7" dt2D="0" dtr="0" r1="Y2" ca="1"/>
        <v>4672.7931316331797</v>
      </c>
      <c r="Z5" s="569">
        <v>1</v>
      </c>
      <c r="AA5" s="570">
        <f t="dataTable" ref="AA5:AA7" dt2D="0" dtr="0" r1="AA2" ca="1"/>
        <v>4672.7931316331797</v>
      </c>
      <c r="AB5" s="569">
        <v>1</v>
      </c>
      <c r="AC5" s="570">
        <f t="dataTable" ref="AC5:AC7" dt2D="0" dtr="0" r1="AC2" ca="1"/>
        <v>4672.7931316331797</v>
      </c>
      <c r="AD5" s="569">
        <v>1</v>
      </c>
      <c r="AE5" s="570">
        <f t="dataTable" ref="AE5:AE7" dt2D="0" dtr="0" r1="AE2" ca="1"/>
        <v>4672.7931316331797</v>
      </c>
      <c r="AF5" s="569">
        <v>1</v>
      </c>
      <c r="AG5" s="570">
        <f t="dataTable" ref="AG5:AG7" dt2D="0" dtr="0" r1="AG2" ca="1"/>
        <v>4672.7931316331797</v>
      </c>
      <c r="AH5" s="569">
        <v>1</v>
      </c>
      <c r="AI5" s="570">
        <f t="dataTable" ref="AI5:AI7" dt2D="0" dtr="0" r1="AI2" ca="1"/>
        <v>4672.7931316331797</v>
      </c>
      <c r="AJ5" s="569">
        <v>1</v>
      </c>
      <c r="AK5" s="570">
        <f t="dataTable" ref="AK5:AK7" dt2D="0" dtr="0" r1="AK2" ca="1"/>
        <v>4672.7931316331797</v>
      </c>
    </row>
    <row r="6" spans="2:37" x14ac:dyDescent="0.4">
      <c r="B6" s="565" t="s">
        <v>1461</v>
      </c>
      <c r="C6" s="562">
        <f>M6</f>
        <v>5631.3404942026291</v>
      </c>
      <c r="D6" s="562">
        <f>M7</f>
        <v>4112.7470356157164</v>
      </c>
      <c r="E6" s="562">
        <f t="shared" si="0"/>
        <v>1518.5934585869127</v>
      </c>
      <c r="F6" s="562">
        <f>M5</f>
        <v>4672.7931316331797</v>
      </c>
      <c r="H6" s="567">
        <v>2</v>
      </c>
      <c r="I6" s="568">
        <v>5269.9238499909188</v>
      </c>
      <c r="J6" s="567">
        <v>2</v>
      </c>
      <c r="K6" s="568">
        <v>4789.8814619407558</v>
      </c>
      <c r="L6" s="567">
        <v>2</v>
      </c>
      <c r="M6" s="568">
        <v>5631.3404942026291</v>
      </c>
      <c r="N6" s="567">
        <v>2</v>
      </c>
      <c r="O6" s="568">
        <v>7848.9940334575949</v>
      </c>
      <c r="P6" s="567">
        <v>2</v>
      </c>
      <c r="Q6" s="568">
        <v>5407.0393630464714</v>
      </c>
      <c r="R6" s="567">
        <v>2</v>
      </c>
      <c r="S6" s="568">
        <v>11092.322641840781</v>
      </c>
      <c r="T6" s="567">
        <v>2</v>
      </c>
      <c r="U6" s="568">
        <v>3438.0714849199494</v>
      </c>
      <c r="V6" s="567">
        <v>2</v>
      </c>
      <c r="W6" s="568">
        <v>3065.2264986583027</v>
      </c>
      <c r="X6" s="567">
        <v>2</v>
      </c>
      <c r="Y6" s="568">
        <v>4780.8532120729724</v>
      </c>
      <c r="Z6" s="567">
        <v>2</v>
      </c>
      <c r="AA6" s="568">
        <v>4844.8012353811955</v>
      </c>
      <c r="AB6" s="567">
        <v>2</v>
      </c>
      <c r="AC6" s="568">
        <v>5110.260372173444</v>
      </c>
      <c r="AD6" s="567">
        <v>2</v>
      </c>
      <c r="AE6" s="568">
        <v>4705.6154622464392</v>
      </c>
      <c r="AF6" s="567">
        <v>2</v>
      </c>
      <c r="AG6" s="568">
        <v>4579.3071084802532</v>
      </c>
      <c r="AH6" s="567">
        <v>2</v>
      </c>
      <c r="AI6" s="568">
        <v>4607.2868758189043</v>
      </c>
      <c r="AJ6" s="567">
        <v>2</v>
      </c>
      <c r="AK6" s="568">
        <v>4672.7931316331797</v>
      </c>
    </row>
    <row r="7" spans="2:37" ht="21.6" thickBot="1" x14ac:dyDescent="0.45">
      <c r="B7" s="565" t="s">
        <v>1463</v>
      </c>
      <c r="C7" s="562">
        <f>O6</f>
        <v>7848.9940334575949</v>
      </c>
      <c r="D7" s="562">
        <f>O7</f>
        <v>3505.3618490683448</v>
      </c>
      <c r="E7" s="562">
        <f t="shared" si="0"/>
        <v>4343.6321843892501</v>
      </c>
      <c r="F7" s="562">
        <f>O5</f>
        <v>4672.7931316331797</v>
      </c>
      <c r="H7" s="571">
        <v>3</v>
      </c>
      <c r="I7" s="572">
        <v>4197.2106588738407</v>
      </c>
      <c r="J7" s="571">
        <v>3</v>
      </c>
      <c r="K7" s="572">
        <v>4558.5456006741952</v>
      </c>
      <c r="L7" s="571">
        <v>3</v>
      </c>
      <c r="M7" s="572">
        <v>4112.7470356157164</v>
      </c>
      <c r="N7" s="571">
        <v>3</v>
      </c>
      <c r="O7" s="572">
        <v>3505.3618490683448</v>
      </c>
      <c r="P7" s="571">
        <v>3</v>
      </c>
      <c r="Q7" s="572">
        <v>4086.5428494855501</v>
      </c>
      <c r="R7" s="571">
        <v>3</v>
      </c>
      <c r="S7" s="572">
        <v>3164.5514948819118</v>
      </c>
      <c r="T7" s="571">
        <v>3</v>
      </c>
      <c r="U7" s="572">
        <v>5455.1320574269457</v>
      </c>
      <c r="V7" s="571">
        <v>3</v>
      </c>
      <c r="W7" s="572">
        <v>6280.359764608057</v>
      </c>
      <c r="X7" s="571">
        <v>3</v>
      </c>
      <c r="Y7" s="572">
        <v>4564.6221065522686</v>
      </c>
      <c r="Z7" s="571">
        <v>3</v>
      </c>
      <c r="AA7" s="572">
        <v>4442.069304199792</v>
      </c>
      <c r="AB7" s="571">
        <v>3</v>
      </c>
      <c r="AC7" s="572">
        <v>4304.3190356401437</v>
      </c>
      <c r="AD7" s="571">
        <v>3</v>
      </c>
      <c r="AE7" s="572">
        <v>4640.4255101176395</v>
      </c>
      <c r="AF7" s="571">
        <v>3</v>
      </c>
      <c r="AG7" s="572">
        <v>4766.2791547860952</v>
      </c>
      <c r="AH7" s="571">
        <v>3</v>
      </c>
      <c r="AI7" s="572">
        <v>4738.4662664350253</v>
      </c>
      <c r="AJ7" s="571">
        <v>3</v>
      </c>
      <c r="AK7" s="572">
        <v>4672.7931316331797</v>
      </c>
    </row>
    <row r="8" spans="2:37" ht="21.6" thickBot="1" x14ac:dyDescent="0.45">
      <c r="B8" s="565" t="s">
        <v>1464</v>
      </c>
      <c r="C8" s="562">
        <f>Q6</f>
        <v>5407.0393630464714</v>
      </c>
      <c r="D8" s="562">
        <f>Q7</f>
        <v>4086.5428494855501</v>
      </c>
      <c r="E8" s="562">
        <f t="shared" si="0"/>
        <v>1320.4965135609214</v>
      </c>
      <c r="F8" s="562">
        <f>Q5</f>
        <v>4672.7931316331797</v>
      </c>
    </row>
    <row r="9" spans="2:37" x14ac:dyDescent="0.4">
      <c r="B9" s="565" t="s">
        <v>1462</v>
      </c>
      <c r="C9" s="562">
        <f>S6</f>
        <v>11092.322641840781</v>
      </c>
      <c r="D9" s="562">
        <f>S7</f>
        <v>3164.5514948819118</v>
      </c>
      <c r="E9" s="562">
        <f t="shared" si="0"/>
        <v>7927.7711469588694</v>
      </c>
      <c r="F9" s="562">
        <f>S5</f>
        <v>4672.7931316331797</v>
      </c>
      <c r="H9" s="685">
        <v>1</v>
      </c>
      <c r="I9" s="688" t="s">
        <v>1471</v>
      </c>
    </row>
    <row r="10" spans="2:37" x14ac:dyDescent="0.4">
      <c r="B10" s="565" t="s">
        <v>536</v>
      </c>
      <c r="C10" s="562">
        <f>U6</f>
        <v>3438.0714849199494</v>
      </c>
      <c r="D10" s="562">
        <f>U7</f>
        <v>5455.1320574269457</v>
      </c>
      <c r="E10" s="562">
        <f t="shared" si="0"/>
        <v>2017.0605725069963</v>
      </c>
      <c r="F10" s="562">
        <f>U5</f>
        <v>4672.7931316331797</v>
      </c>
      <c r="H10" s="686">
        <v>2</v>
      </c>
      <c r="I10" s="689" t="s">
        <v>985</v>
      </c>
    </row>
    <row r="11" spans="2:37" ht="21.6" thickBot="1" x14ac:dyDescent="0.45">
      <c r="B11" s="565" t="s">
        <v>911</v>
      </c>
      <c r="C11" s="562">
        <f>W6</f>
        <v>3065.2264986583027</v>
      </c>
      <c r="D11" s="562">
        <f>W7</f>
        <v>6280.359764608057</v>
      </c>
      <c r="E11" s="562">
        <f t="shared" si="0"/>
        <v>3215.1332659497543</v>
      </c>
      <c r="F11" s="562">
        <f>W5</f>
        <v>4672.7931316331797</v>
      </c>
      <c r="H11" s="687">
        <v>3</v>
      </c>
      <c r="I11" s="690" t="s">
        <v>986</v>
      </c>
    </row>
    <row r="12" spans="2:37" x14ac:dyDescent="0.4">
      <c r="B12" s="565" t="s">
        <v>1465</v>
      </c>
      <c r="C12" s="562">
        <f>Y6</f>
        <v>4780.8532120729724</v>
      </c>
      <c r="D12" s="562">
        <f>Y7</f>
        <v>4564.6221065522686</v>
      </c>
      <c r="E12" s="562">
        <f t="shared" si="0"/>
        <v>216.23110552070375</v>
      </c>
      <c r="F12" s="562">
        <f>Y5</f>
        <v>4672.7931316331797</v>
      </c>
    </row>
    <row r="13" spans="2:37" x14ac:dyDescent="0.4">
      <c r="B13" s="565" t="s">
        <v>535</v>
      </c>
      <c r="C13" s="562">
        <f>AA6</f>
        <v>4844.8012353811955</v>
      </c>
      <c r="D13" s="562">
        <f>AA7</f>
        <v>4442.069304199792</v>
      </c>
      <c r="E13" s="562">
        <f t="shared" si="0"/>
        <v>402.73193118140352</v>
      </c>
      <c r="F13" s="562">
        <f>AA5</f>
        <v>4672.7931316331797</v>
      </c>
    </row>
    <row r="14" spans="2:37" x14ac:dyDescent="0.4">
      <c r="B14" s="565" t="s">
        <v>549</v>
      </c>
      <c r="C14" s="562">
        <f>AC6</f>
        <v>5110.260372173444</v>
      </c>
      <c r="D14" s="562">
        <f>AC7</f>
        <v>4304.3190356401437</v>
      </c>
      <c r="E14" s="562">
        <f t="shared" si="0"/>
        <v>805.94133653330027</v>
      </c>
      <c r="F14" s="562">
        <f>AC5</f>
        <v>4672.7931316331797</v>
      </c>
    </row>
    <row r="15" spans="2:37" x14ac:dyDescent="0.4">
      <c r="B15" s="565" t="s">
        <v>1012</v>
      </c>
      <c r="C15" s="562">
        <f>AE6</f>
        <v>4705.6154622464392</v>
      </c>
      <c r="D15" s="562">
        <f>AE7</f>
        <v>4640.4255101176395</v>
      </c>
      <c r="E15" s="562">
        <f t="shared" si="0"/>
        <v>65.189952128799632</v>
      </c>
      <c r="F15" s="562">
        <f>AE5</f>
        <v>4672.7931316331797</v>
      </c>
    </row>
    <row r="16" spans="2:37" ht="21" customHeight="1" x14ac:dyDescent="0.4">
      <c r="B16" s="565" t="str">
        <f>AF3</f>
        <v>Incidence of adverse events</v>
      </c>
      <c r="C16" s="562">
        <f>AG6</f>
        <v>4579.3071084802532</v>
      </c>
      <c r="D16" s="562">
        <f>AG7</f>
        <v>4766.2791547860952</v>
      </c>
      <c r="E16" s="562">
        <f t="shared" si="0"/>
        <v>186.97204630584201</v>
      </c>
      <c r="F16" s="562">
        <f>AG5</f>
        <v>4672.7931316331797</v>
      </c>
    </row>
    <row r="17" spans="2:6" ht="21" customHeight="1" x14ac:dyDescent="0.4">
      <c r="B17" s="565" t="str">
        <f>AH3</f>
        <v>Cost of adverse events</v>
      </c>
      <c r="C17" s="562">
        <f>AI6</f>
        <v>4607.2868758189043</v>
      </c>
      <c r="D17" s="562">
        <f>AI7</f>
        <v>4738.4662664350253</v>
      </c>
      <c r="E17" s="562">
        <f t="shared" si="0"/>
        <v>131.17939061612105</v>
      </c>
      <c r="F17" s="562">
        <f>AI5</f>
        <v>4672.7931316331797</v>
      </c>
    </row>
    <row r="18" spans="2:6" x14ac:dyDescent="0.4">
      <c r="B18" s="566"/>
      <c r="C18" s="563"/>
      <c r="D18" s="563"/>
      <c r="E18" s="563"/>
      <c r="F18" s="563"/>
    </row>
    <row r="19" spans="2:6" x14ac:dyDescent="0.4"/>
  </sheetData>
  <mergeCells count="16">
    <mergeCell ref="C2:F2"/>
    <mergeCell ref="AF3:AG3"/>
    <mergeCell ref="AJ3:AK3"/>
    <mergeCell ref="AH3:AI3"/>
    <mergeCell ref="H3:I3"/>
    <mergeCell ref="J3:K3"/>
    <mergeCell ref="L3:M3"/>
    <mergeCell ref="X3:Y3"/>
    <mergeCell ref="Z3:AA3"/>
    <mergeCell ref="AB3:AC3"/>
    <mergeCell ref="AD3:AE3"/>
    <mergeCell ref="N3:O3"/>
    <mergeCell ref="P3:Q3"/>
    <mergeCell ref="R3:S3"/>
    <mergeCell ref="T3:U3"/>
    <mergeCell ref="V3:W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rgb="FF00B050"/>
  </sheetPr>
  <dimension ref="B1:M38"/>
  <sheetViews>
    <sheetView zoomScale="70" zoomScaleNormal="70" workbookViewId="0">
      <selection activeCell="I7" sqref="I7:L21"/>
    </sheetView>
  </sheetViews>
  <sheetFormatPr defaultColWidth="10" defaultRowHeight="13.2" x14ac:dyDescent="0.25"/>
  <cols>
    <col min="1" max="1" width="10" style="423" customWidth="1"/>
    <col min="2" max="2" width="29.44140625" style="423" customWidth="1"/>
    <col min="3" max="5" width="20.109375" style="423" customWidth="1"/>
    <col min="6" max="6" width="10" style="423" customWidth="1"/>
    <col min="7" max="7" width="12.88671875" style="423" bestFit="1" customWidth="1"/>
    <col min="8" max="8" width="7" style="423" customWidth="1"/>
    <col min="9" max="9" width="28.109375" style="423" bestFit="1" customWidth="1"/>
    <col min="10" max="10" width="12" style="423" customWidth="1"/>
    <col min="11" max="11" width="13" style="423" bestFit="1" customWidth="1"/>
    <col min="12" max="12" width="19.44140625" style="423" bestFit="1" customWidth="1"/>
    <col min="13" max="14" width="10" style="423" customWidth="1"/>
    <col min="15" max="16384" width="10" style="423"/>
  </cols>
  <sheetData>
    <row r="1" spans="2:13" ht="13.8" thickBot="1" x14ac:dyDescent="0.3">
      <c r="B1" s="424"/>
      <c r="C1" s="425"/>
      <c r="D1" s="425"/>
      <c r="E1" s="425"/>
    </row>
    <row r="2" spans="2:13" ht="22.5" customHeight="1" x14ac:dyDescent="0.25">
      <c r="B2" s="775" t="s">
        <v>1557</v>
      </c>
      <c r="C2" s="776"/>
      <c r="D2" s="776"/>
      <c r="E2" s="776"/>
      <c r="F2" s="776"/>
      <c r="G2" s="776"/>
      <c r="H2" s="776"/>
      <c r="I2" s="776"/>
      <c r="J2" s="776"/>
      <c r="K2" s="776"/>
      <c r="L2" s="776"/>
      <c r="M2" s="777"/>
    </row>
    <row r="3" spans="2:13" s="426" customFormat="1" ht="22.5" customHeight="1" thickBot="1" x14ac:dyDescent="0.4">
      <c r="B3" s="778"/>
      <c r="C3" s="779"/>
      <c r="D3" s="779"/>
      <c r="E3" s="779"/>
      <c r="F3" s="779"/>
      <c r="G3" s="779"/>
      <c r="H3" s="779"/>
      <c r="I3" s="779"/>
      <c r="J3" s="779"/>
      <c r="K3" s="779"/>
      <c r="L3" s="779"/>
      <c r="M3" s="780"/>
    </row>
    <row r="4" spans="2:13" s="426" customFormat="1" ht="8.25" customHeight="1" thickBot="1" x14ac:dyDescent="0.4">
      <c r="B4" s="705"/>
      <c r="C4" s="705"/>
      <c r="D4" s="705"/>
      <c r="E4" s="705"/>
      <c r="F4" s="705"/>
      <c r="G4" s="705"/>
      <c r="H4" s="705"/>
      <c r="I4" s="705"/>
      <c r="J4" s="705"/>
      <c r="K4" s="705"/>
      <c r="L4" s="705"/>
      <c r="M4" s="705"/>
    </row>
    <row r="5" spans="2:13" ht="16.8" thickBot="1" x14ac:dyDescent="0.4">
      <c r="B5" s="710" t="s">
        <v>1558</v>
      </c>
      <c r="C5" s="711">
        <f>'SA Results'!C2:F2</f>
        <v>4672.7931316331797</v>
      </c>
      <c r="D5" s="425"/>
      <c r="E5" s="425"/>
      <c r="I5" s="709" t="s">
        <v>1556</v>
      </c>
    </row>
    <row r="6" spans="2:13" s="426" customFormat="1" ht="15" customHeight="1" x14ac:dyDescent="0.35">
      <c r="B6" s="705"/>
      <c r="C6" s="705"/>
      <c r="D6" s="705"/>
      <c r="E6" s="705"/>
      <c r="F6" s="705"/>
      <c r="G6" s="705"/>
      <c r="H6" s="705"/>
      <c r="I6" s="705"/>
      <c r="J6" s="705"/>
      <c r="K6" s="705"/>
      <c r="L6" s="705"/>
      <c r="M6" s="705"/>
    </row>
    <row r="7" spans="2:13" x14ac:dyDescent="0.25">
      <c r="B7" s="427" t="s">
        <v>1055</v>
      </c>
      <c r="C7" s="707" t="s">
        <v>1456</v>
      </c>
      <c r="D7" s="706" t="s">
        <v>1457</v>
      </c>
      <c r="E7" s="427" t="s">
        <v>1458</v>
      </c>
      <c r="I7" s="427" t="s">
        <v>1055</v>
      </c>
      <c r="J7" s="707" t="s">
        <v>1456</v>
      </c>
      <c r="K7" s="706" t="s">
        <v>1457</v>
      </c>
      <c r="L7" s="427" t="s">
        <v>1458</v>
      </c>
    </row>
    <row r="8" spans="2:13" ht="12.75" customHeight="1" x14ac:dyDescent="0.3">
      <c r="B8" t="s">
        <v>1459</v>
      </c>
      <c r="C8" s="428">
        <v>1945.1824550188469</v>
      </c>
      <c r="D8" s="429">
        <v>1703.4349664556521</v>
      </c>
      <c r="E8" s="430">
        <f>ABS(D8-C8)</f>
        <v>241.74748856319479</v>
      </c>
      <c r="I8" t="s">
        <v>1462</v>
      </c>
      <c r="J8" s="708">
        <v>4228.4639164778209</v>
      </c>
      <c r="K8" s="429">
        <v>1347.0492711968229</v>
      </c>
      <c r="L8" s="430">
        <v>2881.4146452809982</v>
      </c>
    </row>
    <row r="9" spans="2:13" ht="14.4" x14ac:dyDescent="0.3">
      <c r="B9" t="s">
        <v>1460</v>
      </c>
      <c r="C9" s="428">
        <v>2000.2623888441904</v>
      </c>
      <c r="D9" s="429">
        <v>1635.2645354576196</v>
      </c>
      <c r="E9" s="430">
        <f t="shared" ref="E9:E21" si="0">ABS(D9-C9)</f>
        <v>364.9978533865708</v>
      </c>
      <c r="I9" t="s">
        <v>911</v>
      </c>
      <c r="J9" s="708">
        <v>1015.5167420623584</v>
      </c>
      <c r="K9" s="429">
        <v>2617.0698861315673</v>
      </c>
      <c r="L9" s="430">
        <v>1601.5531440692089</v>
      </c>
    </row>
    <row r="10" spans="2:13" ht="14.4" x14ac:dyDescent="0.3">
      <c r="B10" t="s">
        <v>1461</v>
      </c>
      <c r="C10" s="428">
        <v>2393.1882714227663</v>
      </c>
      <c r="D10" s="429">
        <v>1469.5858056111697</v>
      </c>
      <c r="E10" s="430">
        <f t="shared" si="0"/>
        <v>923.60246581159663</v>
      </c>
      <c r="I10" t="s">
        <v>1464</v>
      </c>
      <c r="J10" s="708">
        <v>2471.4419087346218</v>
      </c>
      <c r="K10" s="429">
        <v>1435.9549659598574</v>
      </c>
      <c r="L10" s="430">
        <v>1035.4869427747644</v>
      </c>
    </row>
    <row r="11" spans="2:13" ht="14.4" x14ac:dyDescent="0.3">
      <c r="B11" t="s">
        <v>1463</v>
      </c>
      <c r="C11" s="428">
        <v>2172.2292939391077</v>
      </c>
      <c r="D11" s="429">
        <v>1653.7626042703148</v>
      </c>
      <c r="E11" s="430">
        <f t="shared" si="0"/>
        <v>518.46668966879292</v>
      </c>
      <c r="I11" t="s">
        <v>536</v>
      </c>
      <c r="J11" s="708">
        <v>1201.2418771047433</v>
      </c>
      <c r="K11" s="429">
        <v>2205.9995137131145</v>
      </c>
      <c r="L11" s="430">
        <v>1004.7576366083713</v>
      </c>
    </row>
    <row r="12" spans="2:13" ht="14.4" x14ac:dyDescent="0.3">
      <c r="B12" t="s">
        <v>1464</v>
      </c>
      <c r="C12" s="428">
        <v>2471.4419087346218</v>
      </c>
      <c r="D12" s="429">
        <v>1435.9549659598574</v>
      </c>
      <c r="E12" s="430">
        <f t="shared" si="0"/>
        <v>1035.4869427747644</v>
      </c>
      <c r="I12" t="s">
        <v>1461</v>
      </c>
      <c r="J12" s="708">
        <v>2393.1882714227663</v>
      </c>
      <c r="K12" s="429">
        <v>1469.5858056111697</v>
      </c>
      <c r="L12" s="430">
        <v>923.60246581159663</v>
      </c>
    </row>
    <row r="13" spans="2:13" ht="14.4" x14ac:dyDescent="0.3">
      <c r="B13" t="s">
        <v>1462</v>
      </c>
      <c r="C13" s="428">
        <v>4228.4639164778209</v>
      </c>
      <c r="D13" s="429">
        <v>1347.0492711968229</v>
      </c>
      <c r="E13" s="430">
        <f t="shared" si="0"/>
        <v>2881.4146452809982</v>
      </c>
      <c r="I13" t="s">
        <v>535</v>
      </c>
      <c r="J13" s="708">
        <v>2190.7476370022619</v>
      </c>
      <c r="K13" s="429">
        <v>1289.2201926782079</v>
      </c>
      <c r="L13" s="430">
        <v>901.52744432405393</v>
      </c>
    </row>
    <row r="14" spans="2:13" ht="14.4" x14ac:dyDescent="0.3">
      <c r="B14" t="s">
        <v>536</v>
      </c>
      <c r="C14" s="428">
        <v>1201.2418771047433</v>
      </c>
      <c r="D14" s="429">
        <v>2205.9995137131145</v>
      </c>
      <c r="E14" s="430">
        <f t="shared" si="0"/>
        <v>1004.7576366083713</v>
      </c>
      <c r="I14" t="s">
        <v>1463</v>
      </c>
      <c r="J14" s="708">
        <v>2172.2292939391077</v>
      </c>
      <c r="K14" s="429">
        <v>1653.7626042703148</v>
      </c>
      <c r="L14" s="430">
        <v>518.46668966879292</v>
      </c>
    </row>
    <row r="15" spans="2:13" ht="14.4" x14ac:dyDescent="0.3">
      <c r="B15" t="s">
        <v>911</v>
      </c>
      <c r="C15" s="428">
        <v>1015.5167420623584</v>
      </c>
      <c r="D15" s="429">
        <v>2617.0698861315673</v>
      </c>
      <c r="E15" s="430">
        <f t="shared" si="0"/>
        <v>1601.5531440692089</v>
      </c>
      <c r="I15" t="s">
        <v>1460</v>
      </c>
      <c r="J15" s="708">
        <v>2000.2623888441904</v>
      </c>
      <c r="K15" s="429">
        <v>1635.2645354576196</v>
      </c>
      <c r="L15" s="430">
        <v>364.9978533865708</v>
      </c>
    </row>
    <row r="16" spans="2:13" ht="14.4" x14ac:dyDescent="0.3">
      <c r="B16" t="s">
        <v>1465</v>
      </c>
      <c r="C16" s="428">
        <v>1942.7664263591882</v>
      </c>
      <c r="D16" s="429">
        <v>1689.8028311545227</v>
      </c>
      <c r="E16" s="430">
        <f t="shared" si="0"/>
        <v>252.96359520466558</v>
      </c>
      <c r="I16" t="s">
        <v>1465</v>
      </c>
      <c r="J16" s="708">
        <v>1942.7664263591882</v>
      </c>
      <c r="K16" s="429">
        <v>1689.8028311545227</v>
      </c>
      <c r="L16" s="430">
        <v>252.96359520466558</v>
      </c>
    </row>
    <row r="17" spans="2:12" ht="14.4" x14ac:dyDescent="0.3">
      <c r="B17" t="s">
        <v>535</v>
      </c>
      <c r="C17" s="428">
        <v>2190.7476370022619</v>
      </c>
      <c r="D17" s="429">
        <v>1289.2201926782079</v>
      </c>
      <c r="E17" s="430">
        <f t="shared" si="0"/>
        <v>901.52744432405393</v>
      </c>
      <c r="I17" t="s">
        <v>1459</v>
      </c>
      <c r="J17" s="708">
        <v>1945.1824550188469</v>
      </c>
      <c r="K17" s="429">
        <v>1703.4349664556521</v>
      </c>
      <c r="L17" s="430">
        <v>241.74748856319479</v>
      </c>
    </row>
    <row r="18" spans="2:12" ht="14.4" x14ac:dyDescent="0.3">
      <c r="B18" t="s">
        <v>549</v>
      </c>
      <c r="C18" s="428">
        <v>1895.5462461494783</v>
      </c>
      <c r="D18" s="429">
        <v>1743.4015627743652</v>
      </c>
      <c r="E18" s="430">
        <f t="shared" si="0"/>
        <v>152.14468337511312</v>
      </c>
      <c r="I18" t="s">
        <v>549</v>
      </c>
      <c r="J18" s="708">
        <v>1895.5462461494783</v>
      </c>
      <c r="K18" s="429">
        <v>1743.4015627743652</v>
      </c>
      <c r="L18" s="430">
        <v>152.14468337511312</v>
      </c>
    </row>
    <row r="19" spans="2:12" ht="14.4" x14ac:dyDescent="0.3">
      <c r="B19" t="s">
        <v>1012</v>
      </c>
      <c r="C19" s="428">
        <v>1835.7371555060101</v>
      </c>
      <c r="D19" s="429">
        <v>1797.2570479804247</v>
      </c>
      <c r="E19" s="430">
        <f t="shared" si="0"/>
        <v>38.480107525585481</v>
      </c>
      <c r="I19" t="s">
        <v>1551</v>
      </c>
      <c r="J19" s="708">
        <v>1768.108265311582</v>
      </c>
      <c r="K19" s="429">
        <v>1864.5857434616469</v>
      </c>
      <c r="L19" s="430">
        <v>96.477478150064826</v>
      </c>
    </row>
    <row r="20" spans="2:12" ht="14.4" x14ac:dyDescent="0.3">
      <c r="B20" t="s">
        <v>1550</v>
      </c>
      <c r="C20" s="428">
        <v>1769.9463775182139</v>
      </c>
      <c r="D20" s="429">
        <v>1862.6402506757145</v>
      </c>
      <c r="E20" s="430">
        <f t="shared" si="0"/>
        <v>92.693873157500548</v>
      </c>
      <c r="I20" t="s">
        <v>1550</v>
      </c>
      <c r="J20" s="708">
        <v>1769.9463775182139</v>
      </c>
      <c r="K20" s="429">
        <v>1862.6402506757145</v>
      </c>
      <c r="L20" s="430">
        <v>92.693873157500548</v>
      </c>
    </row>
    <row r="21" spans="2:12" ht="14.4" x14ac:dyDescent="0.3">
      <c r="B21" t="s">
        <v>1551</v>
      </c>
      <c r="C21" s="428">
        <v>1768.108265311582</v>
      </c>
      <c r="D21" s="429">
        <v>1864.5857434616469</v>
      </c>
      <c r="E21" s="430">
        <f t="shared" si="0"/>
        <v>96.477478150064826</v>
      </c>
      <c r="I21" t="s">
        <v>1012</v>
      </c>
      <c r="J21" s="708">
        <v>1835.7371555060101</v>
      </c>
      <c r="K21" s="429">
        <v>1797.2570479804247</v>
      </c>
      <c r="L21" s="430">
        <v>38.480107525585481</v>
      </c>
    </row>
    <row r="22" spans="2:12" ht="14.4" x14ac:dyDescent="0.3">
      <c r="B22"/>
      <c r="C22" s="428"/>
      <c r="D22" s="429"/>
      <c r="E22" s="430"/>
      <c r="I22"/>
      <c r="J22" s="708"/>
      <c r="K22" s="429"/>
      <c r="L22" s="430"/>
    </row>
    <row r="23" spans="2:12" ht="16.5" customHeight="1" x14ac:dyDescent="0.25"/>
    <row r="25" spans="2:12" x14ac:dyDescent="0.25">
      <c r="I25" s="427"/>
      <c r="J25" s="427"/>
      <c r="K25" s="427"/>
      <c r="L25" s="427"/>
    </row>
    <row r="26" spans="2:12" x14ac:dyDescent="0.25">
      <c r="I26" s="432"/>
      <c r="J26" s="428"/>
      <c r="K26" s="429"/>
      <c r="L26" s="430"/>
    </row>
    <row r="27" spans="2:12" ht="14.4" x14ac:dyDescent="0.35">
      <c r="I27" s="433"/>
      <c r="J27" s="428"/>
      <c r="K27" s="429"/>
      <c r="L27" s="430"/>
    </row>
    <row r="28" spans="2:12" x14ac:dyDescent="0.25">
      <c r="I28" s="432"/>
      <c r="J28" s="428"/>
      <c r="K28" s="431"/>
      <c r="L28" s="430"/>
    </row>
    <row r="29" spans="2:12" x14ac:dyDescent="0.25">
      <c r="I29" s="432"/>
      <c r="J29" s="428"/>
      <c r="K29" s="429"/>
      <c r="L29" s="430"/>
    </row>
    <row r="30" spans="2:12" x14ac:dyDescent="0.25">
      <c r="I30" s="432"/>
      <c r="J30" s="428"/>
      <c r="K30" s="429"/>
      <c r="L30" s="430"/>
    </row>
    <row r="31" spans="2:12" x14ac:dyDescent="0.25">
      <c r="I31" s="432"/>
      <c r="J31" s="428"/>
      <c r="K31" s="429"/>
      <c r="L31" s="430"/>
    </row>
    <row r="32" spans="2:12" x14ac:dyDescent="0.25">
      <c r="I32" s="432"/>
      <c r="J32" s="428"/>
      <c r="K32" s="429"/>
      <c r="L32" s="430"/>
    </row>
    <row r="33" spans="9:12" x14ac:dyDescent="0.25">
      <c r="I33" s="432"/>
      <c r="J33" s="428"/>
      <c r="K33" s="429"/>
      <c r="L33" s="430"/>
    </row>
    <row r="34" spans="9:12" x14ac:dyDescent="0.25">
      <c r="I34" s="432"/>
      <c r="J34" s="428"/>
      <c r="K34" s="429"/>
      <c r="L34" s="430"/>
    </row>
    <row r="35" spans="9:12" x14ac:dyDescent="0.25">
      <c r="I35" s="432"/>
      <c r="J35" s="428"/>
      <c r="K35" s="429"/>
      <c r="L35" s="430"/>
    </row>
    <row r="36" spans="9:12" x14ac:dyDescent="0.25">
      <c r="I36" s="432"/>
      <c r="J36" s="428"/>
      <c r="K36" s="429"/>
      <c r="L36" s="430"/>
    </row>
    <row r="37" spans="9:12" x14ac:dyDescent="0.25">
      <c r="I37" s="432"/>
      <c r="J37" s="428"/>
      <c r="K37" s="429"/>
      <c r="L37" s="430"/>
    </row>
    <row r="38" spans="9:12" x14ac:dyDescent="0.25">
      <c r="I38" s="432"/>
      <c r="J38" s="428"/>
      <c r="K38" s="429"/>
      <c r="L38" s="430"/>
    </row>
  </sheetData>
  <sortState xmlns:xlrd2="http://schemas.microsoft.com/office/spreadsheetml/2017/richdata2" ref="I8:L21">
    <sortCondition descending="1" ref="L8:L21"/>
  </sortState>
  <mergeCells count="1">
    <mergeCell ref="B2:M3"/>
  </mergeCells>
  <printOptions headings="1" gridLines="1" gridLinesSet="0"/>
  <pageMargins left="0.75" right="0.75" top="1" bottom="1" header="0.5" footer="0.5"/>
  <pageSetup orientation="portrait" horizontalDpi="300" verticalDpi="300" r:id="rId1"/>
  <headerFooter alignWithMargins="0">
    <oddHeader>&amp;F</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tabColor rgb="FF00B050"/>
  </sheetPr>
  <dimension ref="A1"/>
  <sheetViews>
    <sheetView topLeftCell="A4" workbookViewId="0">
      <selection activeCell="L18" sqref="L18"/>
    </sheetView>
  </sheetViews>
  <sheetFormatPr defaultColWidth="9.109375" defaultRowHeight="14.4" x14ac:dyDescent="0.3"/>
  <cols>
    <col min="1" max="16384" width="9.109375" style="204"/>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00FFCC"/>
  </sheetPr>
  <dimension ref="A1:BF203"/>
  <sheetViews>
    <sheetView zoomScale="70" zoomScaleNormal="70" workbookViewId="0">
      <pane ySplit="2" topLeftCell="A3" activePane="bottomLeft" state="frozen"/>
      <selection activeCell="C101" sqref="C101"/>
      <selection pane="bottomLeft" activeCell="A3" sqref="A3"/>
    </sheetView>
  </sheetViews>
  <sheetFormatPr defaultColWidth="9.109375" defaultRowHeight="14.4" zeroHeight="1" x14ac:dyDescent="0.3"/>
  <cols>
    <col min="1" max="1" width="5.5546875" style="204" customWidth="1"/>
    <col min="2" max="2" width="20.109375" style="204" customWidth="1"/>
    <col min="3" max="3" width="20.88671875" style="204" customWidth="1"/>
    <col min="4" max="4" width="13.5546875" style="204" customWidth="1"/>
    <col min="5" max="5" width="12.44140625" style="204" bestFit="1" customWidth="1"/>
    <col min="6" max="6" width="11.6640625" style="204" customWidth="1"/>
    <col min="7" max="7" width="15.109375" style="204" customWidth="1"/>
    <col min="8" max="8" width="17.109375" style="204" customWidth="1"/>
    <col min="9" max="9" width="19.33203125" style="204" customWidth="1"/>
    <col min="10" max="10" width="18.109375" style="204" customWidth="1"/>
    <col min="11" max="11" width="13" style="204" customWidth="1"/>
    <col min="12" max="12" width="10.88671875" style="204" customWidth="1"/>
    <col min="13" max="13" width="13.33203125" style="204" customWidth="1"/>
    <col min="14" max="14" width="4.44140625" style="204" customWidth="1"/>
    <col min="15" max="19" width="9.109375" style="204" customWidth="1"/>
    <col min="20" max="22" width="14" style="204" customWidth="1"/>
    <col min="23" max="23" width="35.33203125" style="204" customWidth="1"/>
    <col min="24" max="24" width="20.109375" style="204" customWidth="1"/>
    <col min="25" max="25" width="9.109375" style="204" customWidth="1"/>
    <col min="26" max="28" width="13.88671875" style="204" customWidth="1"/>
    <col min="29" max="29" width="23.5546875" style="204" customWidth="1"/>
    <col min="30" max="30" width="13.88671875" style="204" customWidth="1"/>
    <col min="31" max="31" width="9.109375" style="204" customWidth="1"/>
    <col min="32" max="34" width="13.88671875" style="204" customWidth="1"/>
    <col min="35" max="35" width="24.44140625" style="204" customWidth="1"/>
    <col min="36" max="36" width="24.88671875" style="204" customWidth="1"/>
    <col min="37" max="37" width="9.109375" style="204" customWidth="1"/>
    <col min="38" max="42" width="14" style="204" customWidth="1"/>
    <col min="43" max="43" width="9.109375" style="204" customWidth="1"/>
    <col min="44" max="48" width="13.88671875" style="204" customWidth="1"/>
    <col min="49" max="49" width="9.109375" style="204" customWidth="1"/>
    <col min="50" max="52" width="13.88671875" style="204" customWidth="1"/>
    <col min="53" max="53" width="22.109375" style="204" customWidth="1"/>
    <col min="54" max="54" width="13.88671875" style="204" customWidth="1"/>
    <col min="55" max="66" width="9.109375" style="204" customWidth="1"/>
    <col min="67" max="16384" width="9.109375" style="204"/>
  </cols>
  <sheetData>
    <row r="1" spans="1:17" ht="34.200000000000003" customHeight="1" x14ac:dyDescent="0.5">
      <c r="B1" s="217" t="s">
        <v>1058</v>
      </c>
    </row>
    <row r="2" spans="1:17" ht="36" customHeight="1" x14ac:dyDescent="0.4">
      <c r="A2"/>
      <c r="B2" s="317" t="s">
        <v>1057</v>
      </c>
      <c r="C2" s="317"/>
      <c r="D2" s="317"/>
      <c r="E2" s="245"/>
      <c r="F2" s="245"/>
      <c r="G2" s="245"/>
      <c r="H2" s="245"/>
    </row>
    <row r="3" spans="1:17" ht="15" customHeight="1" x14ac:dyDescent="0.4">
      <c r="B3" s="235"/>
      <c r="C3" s="235"/>
      <c r="D3" s="235"/>
    </row>
    <row r="4" spans="1:17" x14ac:dyDescent="0.3">
      <c r="B4" s="204" t="s">
        <v>1065</v>
      </c>
      <c r="D4" s="246"/>
      <c r="H4" s="204" t="s">
        <v>965</v>
      </c>
    </row>
    <row r="5" spans="1:17" x14ac:dyDescent="0.3">
      <c r="B5" s="318" t="s">
        <v>586</v>
      </c>
      <c r="C5" s="783" t="str">
        <f>'General input'!$C$4</f>
        <v>South Africa</v>
      </c>
      <c r="D5" s="784"/>
      <c r="E5" s="785"/>
      <c r="H5" s="204" t="s">
        <v>965</v>
      </c>
    </row>
    <row r="6" spans="1:17" x14ac:dyDescent="0.3">
      <c r="B6" s="318" t="s">
        <v>987</v>
      </c>
      <c r="C6" s="783" t="str">
        <f>VLOOKUP('General input'!$U$20,'General input'!$R$20:S25,2)</f>
        <v>Children (0.5-5 years)</v>
      </c>
      <c r="D6" s="784"/>
      <c r="E6" s="785"/>
      <c r="H6" s="204" t="s">
        <v>965</v>
      </c>
    </row>
    <row r="7" spans="1:17" x14ac:dyDescent="0.3">
      <c r="B7" s="318"/>
    </row>
    <row r="8" spans="1:17" x14ac:dyDescent="0.3">
      <c r="B8" s="236" t="s">
        <v>1094</v>
      </c>
      <c r="C8" s="236"/>
      <c r="D8" s="246"/>
      <c r="H8" s="204" t="s">
        <v>965</v>
      </c>
    </row>
    <row r="9" spans="1:17" x14ac:dyDescent="0.3">
      <c r="B9" s="712" t="s">
        <v>1564</v>
      </c>
      <c r="C9" s="236"/>
      <c r="D9" s="246"/>
    </row>
    <row r="10" spans="1:17" x14ac:dyDescent="0.3">
      <c r="B10" s="781" t="s">
        <v>1095</v>
      </c>
      <c r="C10" s="781"/>
      <c r="D10" s="781"/>
      <c r="E10" s="781"/>
      <c r="F10" s="781"/>
      <c r="G10" s="781"/>
      <c r="H10" s="204" t="s">
        <v>965</v>
      </c>
      <c r="I10" s="782" t="s">
        <v>1096</v>
      </c>
      <c r="J10" s="782"/>
      <c r="K10" s="782"/>
      <c r="L10" s="782"/>
      <c r="M10" s="782"/>
    </row>
    <row r="11" spans="1:17" x14ac:dyDescent="0.3">
      <c r="B11" s="330"/>
      <c r="C11" s="214" t="s">
        <v>1379</v>
      </c>
      <c r="D11" s="214" t="s">
        <v>985</v>
      </c>
      <c r="E11" s="214" t="s">
        <v>986</v>
      </c>
      <c r="F11" s="319" t="s">
        <v>592</v>
      </c>
      <c r="G11" s="215" t="s">
        <v>591</v>
      </c>
      <c r="H11" s="204" t="s">
        <v>965</v>
      </c>
      <c r="I11" s="214" t="s">
        <v>1379</v>
      </c>
      <c r="J11" s="214" t="s">
        <v>985</v>
      </c>
      <c r="K11" s="214" t="s">
        <v>986</v>
      </c>
      <c r="L11" s="319" t="s">
        <v>592</v>
      </c>
      <c r="M11" s="215" t="s">
        <v>591</v>
      </c>
      <c r="O11" s="214" t="s">
        <v>1379</v>
      </c>
      <c r="P11" s="214" t="s">
        <v>985</v>
      </c>
      <c r="Q11" s="214" t="s">
        <v>986</v>
      </c>
    </row>
    <row r="12" spans="1:17" x14ac:dyDescent="0.3">
      <c r="B12" s="205" t="s">
        <v>1450</v>
      </c>
      <c r="H12" s="204" t="s">
        <v>965</v>
      </c>
    </row>
    <row r="13" spans="1:17" x14ac:dyDescent="0.3">
      <c r="B13" s="206" t="s">
        <v>1082</v>
      </c>
      <c r="C13" s="252">
        <v>18978</v>
      </c>
      <c r="D13" s="252">
        <v>13664</v>
      </c>
      <c r="E13" s="252">
        <v>24292</v>
      </c>
      <c r="F13" s="320" t="s">
        <v>1559</v>
      </c>
      <c r="G13" s="251" t="s">
        <v>1560</v>
      </c>
      <c r="H13" s="248"/>
      <c r="I13" s="204">
        <v>15200</v>
      </c>
      <c r="J13" s="204">
        <v>11400</v>
      </c>
      <c r="K13" s="204">
        <v>18900</v>
      </c>
      <c r="O13" s="204">
        <f>IF(ISBLANK(C13),I13,C13)</f>
        <v>18978</v>
      </c>
      <c r="P13" s="204">
        <f t="shared" ref="P13:P35" si="0">IF(ISBLANK(D13),J13,D13)</f>
        <v>13664</v>
      </c>
      <c r="Q13" s="204">
        <f t="shared" ref="Q13:Q35" si="1">IF(ISBLANK(E13),K13,E13)</f>
        <v>24292</v>
      </c>
    </row>
    <row r="14" spans="1:17" x14ac:dyDescent="0.3">
      <c r="B14" s="206" t="s">
        <v>1083</v>
      </c>
      <c r="C14" s="252">
        <v>18978</v>
      </c>
      <c r="D14" s="252">
        <v>13664</v>
      </c>
      <c r="E14" s="252">
        <v>24292</v>
      </c>
      <c r="F14" s="320" t="s">
        <v>1561</v>
      </c>
      <c r="G14" s="251" t="s">
        <v>1560</v>
      </c>
      <c r="I14" s="204">
        <v>15200</v>
      </c>
      <c r="J14" s="204">
        <v>11400</v>
      </c>
      <c r="K14" s="204">
        <v>18900</v>
      </c>
      <c r="O14" s="204">
        <f t="shared" ref="O14:O35" si="2">IF(ISBLANK(C14),I14,C14)</f>
        <v>18978</v>
      </c>
      <c r="P14" s="204">
        <f t="shared" si="0"/>
        <v>13664</v>
      </c>
      <c r="Q14" s="204">
        <f t="shared" si="1"/>
        <v>24292</v>
      </c>
    </row>
    <row r="15" spans="1:17" x14ac:dyDescent="0.3">
      <c r="B15" s="206" t="s">
        <v>1084</v>
      </c>
      <c r="C15" s="252">
        <v>18978</v>
      </c>
      <c r="D15" s="252">
        <v>13664</v>
      </c>
      <c r="E15" s="252">
        <v>24292</v>
      </c>
      <c r="F15" s="320" t="s">
        <v>1561</v>
      </c>
      <c r="G15" s="251" t="s">
        <v>1560</v>
      </c>
      <c r="I15" s="204">
        <v>15200</v>
      </c>
      <c r="J15" s="204">
        <v>11400</v>
      </c>
      <c r="K15" s="204">
        <v>18900</v>
      </c>
      <c r="O15" s="204">
        <f t="shared" si="2"/>
        <v>18978</v>
      </c>
      <c r="P15" s="204">
        <f t="shared" si="0"/>
        <v>13664</v>
      </c>
      <c r="Q15" s="204">
        <f t="shared" si="1"/>
        <v>24292</v>
      </c>
    </row>
    <row r="16" spans="1:17" x14ac:dyDescent="0.3">
      <c r="B16" s="206" t="s">
        <v>1085</v>
      </c>
      <c r="C16" s="252">
        <v>15226</v>
      </c>
      <c r="D16" s="252">
        <v>11267</v>
      </c>
      <c r="E16" s="252">
        <v>19185</v>
      </c>
      <c r="F16" s="320" t="s">
        <v>1561</v>
      </c>
      <c r="G16" s="251" t="s">
        <v>1605</v>
      </c>
      <c r="I16" s="204">
        <v>15200</v>
      </c>
      <c r="J16" s="204">
        <v>11400</v>
      </c>
      <c r="K16" s="204">
        <v>18900</v>
      </c>
      <c r="O16" s="204">
        <f t="shared" si="2"/>
        <v>15226</v>
      </c>
      <c r="P16" s="204">
        <f t="shared" si="0"/>
        <v>11267</v>
      </c>
      <c r="Q16" s="204">
        <f t="shared" si="1"/>
        <v>19185</v>
      </c>
    </row>
    <row r="17" spans="2:17" x14ac:dyDescent="0.3">
      <c r="B17" s="206" t="s">
        <v>1086</v>
      </c>
      <c r="C17" s="252">
        <v>15226</v>
      </c>
      <c r="D17" s="252">
        <v>11267</v>
      </c>
      <c r="E17" s="252">
        <v>19185</v>
      </c>
      <c r="F17" s="320" t="s">
        <v>1561</v>
      </c>
      <c r="G17" s="251" t="s">
        <v>1605</v>
      </c>
      <c r="I17" s="204">
        <v>3500</v>
      </c>
      <c r="J17" s="204">
        <v>2300</v>
      </c>
      <c r="K17" s="204">
        <v>4600</v>
      </c>
      <c r="O17" s="204">
        <f t="shared" si="2"/>
        <v>15226</v>
      </c>
      <c r="P17" s="204">
        <f t="shared" si="0"/>
        <v>11267</v>
      </c>
      <c r="Q17" s="204">
        <f t="shared" si="1"/>
        <v>19185</v>
      </c>
    </row>
    <row r="18" spans="2:17" x14ac:dyDescent="0.3">
      <c r="B18" s="206" t="s">
        <v>1087</v>
      </c>
      <c r="C18" s="252">
        <v>15226</v>
      </c>
      <c r="D18" s="252">
        <v>11267</v>
      </c>
      <c r="E18" s="252">
        <v>19185</v>
      </c>
      <c r="F18" s="320" t="s">
        <v>1561</v>
      </c>
      <c r="G18" s="251" t="s">
        <v>1605</v>
      </c>
      <c r="I18" s="204">
        <v>3500</v>
      </c>
      <c r="J18" s="204">
        <v>2300</v>
      </c>
      <c r="K18" s="204">
        <v>4600</v>
      </c>
      <c r="O18" s="204">
        <f t="shared" si="2"/>
        <v>15226</v>
      </c>
      <c r="P18" s="204">
        <f t="shared" si="0"/>
        <v>11267</v>
      </c>
      <c r="Q18" s="204">
        <f t="shared" si="1"/>
        <v>19185</v>
      </c>
    </row>
    <row r="19" spans="2:17" x14ac:dyDescent="0.3">
      <c r="B19" s="206" t="s">
        <v>1443</v>
      </c>
      <c r="C19" s="252">
        <v>2488</v>
      </c>
      <c r="D19" s="252">
        <v>1018</v>
      </c>
      <c r="E19" s="252">
        <v>4042</v>
      </c>
      <c r="F19" s="320" t="s">
        <v>1561</v>
      </c>
      <c r="G19" s="251" t="s">
        <v>1560</v>
      </c>
      <c r="I19" s="204">
        <v>35</v>
      </c>
      <c r="J19" s="204">
        <v>300</v>
      </c>
      <c r="K19" s="204">
        <v>500</v>
      </c>
      <c r="O19" s="204">
        <f t="shared" si="2"/>
        <v>2488</v>
      </c>
      <c r="P19" s="204">
        <f t="shared" si="0"/>
        <v>1018</v>
      </c>
      <c r="Q19" s="204">
        <f t="shared" si="1"/>
        <v>4042</v>
      </c>
    </row>
    <row r="20" spans="2:17" x14ac:dyDescent="0.3">
      <c r="B20" s="205" t="s">
        <v>1444</v>
      </c>
      <c r="H20" s="204" t="s">
        <v>965</v>
      </c>
    </row>
    <row r="21" spans="2:17" x14ac:dyDescent="0.3">
      <c r="B21" s="206" t="s">
        <v>1082</v>
      </c>
      <c r="C21" s="252">
        <v>18978</v>
      </c>
      <c r="D21" s="252">
        <v>13664</v>
      </c>
      <c r="E21" s="252">
        <v>24292</v>
      </c>
      <c r="F21" s="320" t="s">
        <v>1562</v>
      </c>
      <c r="G21" s="251" t="s">
        <v>1560</v>
      </c>
      <c r="H21" s="248"/>
      <c r="I21" s="204">
        <v>15200</v>
      </c>
      <c r="J21" s="204">
        <v>11400</v>
      </c>
      <c r="K21" s="204">
        <v>18900</v>
      </c>
      <c r="O21" s="204">
        <f t="shared" si="2"/>
        <v>18978</v>
      </c>
      <c r="P21" s="204">
        <f t="shared" si="0"/>
        <v>13664</v>
      </c>
      <c r="Q21" s="204">
        <f t="shared" si="1"/>
        <v>24292</v>
      </c>
    </row>
    <row r="22" spans="2:17" x14ac:dyDescent="0.3">
      <c r="B22" s="206" t="s">
        <v>1083</v>
      </c>
      <c r="C22" s="252">
        <v>18978</v>
      </c>
      <c r="D22" s="252">
        <v>13664</v>
      </c>
      <c r="E22" s="252">
        <v>24292</v>
      </c>
      <c r="F22" s="320" t="s">
        <v>1561</v>
      </c>
      <c r="G22" s="251" t="s">
        <v>1560</v>
      </c>
      <c r="I22" s="204">
        <v>15200</v>
      </c>
      <c r="J22" s="204">
        <v>11400</v>
      </c>
      <c r="K22" s="204">
        <v>18900</v>
      </c>
      <c r="O22" s="204">
        <f t="shared" si="2"/>
        <v>18978</v>
      </c>
      <c r="P22" s="204">
        <f t="shared" si="0"/>
        <v>13664</v>
      </c>
      <c r="Q22" s="204">
        <f t="shared" si="1"/>
        <v>24292</v>
      </c>
    </row>
    <row r="23" spans="2:17" x14ac:dyDescent="0.3">
      <c r="B23" s="206" t="s">
        <v>1084</v>
      </c>
      <c r="C23" s="252">
        <v>18978</v>
      </c>
      <c r="D23" s="252">
        <v>13664</v>
      </c>
      <c r="E23" s="252">
        <v>24292</v>
      </c>
      <c r="F23" s="320" t="s">
        <v>1561</v>
      </c>
      <c r="G23" s="251" t="s">
        <v>1560</v>
      </c>
      <c r="I23" s="204">
        <v>15200</v>
      </c>
      <c r="J23" s="204">
        <v>11400</v>
      </c>
      <c r="K23" s="204">
        <v>18900</v>
      </c>
      <c r="O23" s="204">
        <f t="shared" si="2"/>
        <v>18978</v>
      </c>
      <c r="P23" s="204">
        <f t="shared" si="0"/>
        <v>13664</v>
      </c>
      <c r="Q23" s="204">
        <f t="shared" si="1"/>
        <v>24292</v>
      </c>
    </row>
    <row r="24" spans="2:17" x14ac:dyDescent="0.3">
      <c r="B24" s="206" t="s">
        <v>1085</v>
      </c>
      <c r="C24" s="252">
        <v>15470</v>
      </c>
      <c r="D24" s="252">
        <v>11602</v>
      </c>
      <c r="E24" s="252">
        <v>19337</v>
      </c>
      <c r="F24" s="320" t="s">
        <v>1561</v>
      </c>
      <c r="G24" s="251" t="s">
        <v>1606</v>
      </c>
      <c r="I24" s="204">
        <v>15200</v>
      </c>
      <c r="J24" s="204">
        <v>11400</v>
      </c>
      <c r="K24" s="204">
        <v>18900</v>
      </c>
      <c r="O24" s="204">
        <f t="shared" si="2"/>
        <v>15470</v>
      </c>
      <c r="P24" s="204">
        <f t="shared" si="0"/>
        <v>11602</v>
      </c>
      <c r="Q24" s="204">
        <f t="shared" si="1"/>
        <v>19337</v>
      </c>
    </row>
    <row r="25" spans="2:17" x14ac:dyDescent="0.3">
      <c r="B25" s="206" t="s">
        <v>1086</v>
      </c>
      <c r="C25" s="252">
        <v>15470</v>
      </c>
      <c r="D25" s="252">
        <v>11602</v>
      </c>
      <c r="E25" s="252">
        <v>19337</v>
      </c>
      <c r="F25" s="320" t="s">
        <v>1561</v>
      </c>
      <c r="G25" s="251" t="s">
        <v>1606</v>
      </c>
      <c r="I25" s="204">
        <v>3500</v>
      </c>
      <c r="J25" s="204">
        <v>2300</v>
      </c>
      <c r="K25" s="204">
        <v>4600</v>
      </c>
      <c r="O25" s="204">
        <f t="shared" si="2"/>
        <v>15470</v>
      </c>
      <c r="P25" s="204">
        <f t="shared" si="0"/>
        <v>11602</v>
      </c>
      <c r="Q25" s="204">
        <f t="shared" si="1"/>
        <v>19337</v>
      </c>
    </row>
    <row r="26" spans="2:17" x14ac:dyDescent="0.3">
      <c r="B26" s="206" t="s">
        <v>1087</v>
      </c>
      <c r="C26" s="252">
        <v>15470</v>
      </c>
      <c r="D26" s="252">
        <v>11602</v>
      </c>
      <c r="E26" s="252">
        <v>19337</v>
      </c>
      <c r="F26" s="320" t="s">
        <v>1561</v>
      </c>
      <c r="G26" s="251" t="s">
        <v>1606</v>
      </c>
      <c r="I26" s="204">
        <v>3500</v>
      </c>
      <c r="J26" s="204">
        <v>2300</v>
      </c>
      <c r="K26" s="204">
        <v>4600</v>
      </c>
      <c r="O26" s="204">
        <f t="shared" si="2"/>
        <v>15470</v>
      </c>
      <c r="P26" s="204">
        <f t="shared" si="0"/>
        <v>11602</v>
      </c>
      <c r="Q26" s="204">
        <f t="shared" si="1"/>
        <v>19337</v>
      </c>
    </row>
    <row r="27" spans="2:17" x14ac:dyDescent="0.3">
      <c r="B27" s="206" t="s">
        <v>1443</v>
      </c>
      <c r="C27" s="252">
        <v>2055</v>
      </c>
      <c r="D27" s="252">
        <v>838</v>
      </c>
      <c r="E27" s="252">
        <v>3255</v>
      </c>
      <c r="F27" s="320" t="s">
        <v>1561</v>
      </c>
      <c r="G27" s="251" t="s">
        <v>1560</v>
      </c>
      <c r="I27" s="204">
        <v>35</v>
      </c>
      <c r="J27" s="204">
        <v>300</v>
      </c>
      <c r="K27" s="204">
        <v>500</v>
      </c>
      <c r="O27" s="204">
        <f t="shared" si="2"/>
        <v>2055</v>
      </c>
      <c r="P27" s="204">
        <f t="shared" si="0"/>
        <v>838</v>
      </c>
      <c r="Q27" s="204">
        <f t="shared" si="1"/>
        <v>3255</v>
      </c>
    </row>
    <row r="28" spans="2:17" x14ac:dyDescent="0.3">
      <c r="B28" s="207" t="s">
        <v>227</v>
      </c>
      <c r="C28" s="320"/>
      <c r="D28" s="320"/>
      <c r="E28" s="320"/>
      <c r="F28" s="320"/>
      <c r="G28" s="251"/>
    </row>
    <row r="29" spans="2:17" x14ac:dyDescent="0.3">
      <c r="B29" s="206" t="s">
        <v>1437</v>
      </c>
      <c r="C29" s="252">
        <v>11378</v>
      </c>
      <c r="D29" s="252">
        <v>8306</v>
      </c>
      <c r="E29" s="252">
        <v>14450</v>
      </c>
      <c r="F29" s="320" t="s">
        <v>1561</v>
      </c>
      <c r="G29" s="251" t="s">
        <v>1560</v>
      </c>
      <c r="I29" s="204">
        <v>3500</v>
      </c>
      <c r="J29" s="204">
        <v>2300</v>
      </c>
      <c r="K29" s="204">
        <v>4600</v>
      </c>
      <c r="O29" s="204">
        <f t="shared" si="2"/>
        <v>11378</v>
      </c>
      <c r="P29" s="204">
        <f t="shared" si="0"/>
        <v>8306</v>
      </c>
      <c r="Q29" s="204">
        <f t="shared" si="1"/>
        <v>14450</v>
      </c>
    </row>
    <row r="30" spans="2:17" x14ac:dyDescent="0.3">
      <c r="B30" s="206" t="s">
        <v>1438</v>
      </c>
      <c r="C30" s="252">
        <v>11378</v>
      </c>
      <c r="D30" s="252">
        <v>8306</v>
      </c>
      <c r="E30" s="252">
        <v>14450</v>
      </c>
      <c r="F30" s="320" t="s">
        <v>1561</v>
      </c>
      <c r="G30" s="251" t="s">
        <v>1560</v>
      </c>
      <c r="I30" s="232">
        <v>5668.3333333333303</v>
      </c>
      <c r="J30" s="204">
        <v>4251.25</v>
      </c>
      <c r="K30" s="204">
        <v>7048.125</v>
      </c>
      <c r="O30" s="204">
        <f t="shared" si="2"/>
        <v>11378</v>
      </c>
      <c r="P30" s="204">
        <f t="shared" si="0"/>
        <v>8306</v>
      </c>
      <c r="Q30" s="204">
        <f t="shared" si="1"/>
        <v>14450</v>
      </c>
    </row>
    <row r="31" spans="2:17" x14ac:dyDescent="0.3">
      <c r="B31" s="206" t="s">
        <v>1441</v>
      </c>
      <c r="C31" s="252">
        <v>18280</v>
      </c>
      <c r="D31" s="252">
        <v>12430</v>
      </c>
      <c r="E31" s="252">
        <v>24129</v>
      </c>
      <c r="F31" s="320" t="s">
        <v>1561</v>
      </c>
      <c r="G31" s="251" t="s">
        <v>1563</v>
      </c>
      <c r="I31" s="232">
        <v>3500</v>
      </c>
      <c r="J31" s="204">
        <v>2300</v>
      </c>
      <c r="K31" s="204">
        <v>4600</v>
      </c>
      <c r="O31" s="204">
        <f t="shared" si="2"/>
        <v>18280</v>
      </c>
      <c r="P31" s="204">
        <f t="shared" si="0"/>
        <v>12430</v>
      </c>
      <c r="Q31" s="204">
        <f t="shared" si="1"/>
        <v>24129</v>
      </c>
    </row>
    <row r="32" spans="2:17" x14ac:dyDescent="0.3">
      <c r="B32" s="206" t="s">
        <v>1442</v>
      </c>
      <c r="C32" s="252">
        <v>18280</v>
      </c>
      <c r="D32" s="252">
        <v>12430</v>
      </c>
      <c r="E32" s="252">
        <v>24129</v>
      </c>
      <c r="F32" s="320" t="s">
        <v>1561</v>
      </c>
      <c r="G32" s="251" t="s">
        <v>1563</v>
      </c>
      <c r="I32" s="232">
        <v>5668.3333333333303</v>
      </c>
      <c r="J32" s="204">
        <v>4251.25</v>
      </c>
      <c r="K32" s="204">
        <v>7048.125</v>
      </c>
      <c r="O32" s="204">
        <f t="shared" si="2"/>
        <v>18280</v>
      </c>
      <c r="P32" s="204">
        <f t="shared" si="0"/>
        <v>12430</v>
      </c>
      <c r="Q32" s="204">
        <f t="shared" si="1"/>
        <v>24129</v>
      </c>
    </row>
    <row r="33" spans="2:58" x14ac:dyDescent="0.3">
      <c r="B33" s="207" t="s">
        <v>920</v>
      </c>
      <c r="C33" s="320"/>
      <c r="D33" s="320"/>
      <c r="E33" s="320"/>
      <c r="F33" s="320"/>
      <c r="G33" s="251"/>
    </row>
    <row r="34" spans="2:58" x14ac:dyDescent="0.3">
      <c r="B34" s="206" t="s">
        <v>920</v>
      </c>
      <c r="C34" s="252"/>
      <c r="D34" s="252"/>
      <c r="E34" s="252"/>
      <c r="F34" s="320"/>
      <c r="G34" s="251"/>
      <c r="I34" s="204">
        <v>7540</v>
      </c>
      <c r="J34" s="204">
        <v>4860</v>
      </c>
      <c r="K34" s="204">
        <v>11700</v>
      </c>
      <c r="O34" s="204">
        <f t="shared" si="2"/>
        <v>7540</v>
      </c>
      <c r="P34" s="204">
        <f t="shared" si="0"/>
        <v>4860</v>
      </c>
      <c r="Q34" s="204">
        <f t="shared" si="1"/>
        <v>11700</v>
      </c>
    </row>
    <row r="35" spans="2:58" x14ac:dyDescent="0.3">
      <c r="B35" s="206" t="s">
        <v>980</v>
      </c>
      <c r="C35" s="252"/>
      <c r="D35" s="252"/>
      <c r="E35" s="252"/>
      <c r="F35" s="320"/>
      <c r="G35" s="251"/>
      <c r="I35" s="204">
        <v>3500</v>
      </c>
      <c r="J35" s="204">
        <v>2300</v>
      </c>
      <c r="K35" s="204">
        <v>4600</v>
      </c>
      <c r="O35" s="204">
        <f t="shared" si="2"/>
        <v>3500</v>
      </c>
      <c r="P35" s="204">
        <f t="shared" si="0"/>
        <v>2300</v>
      </c>
      <c r="Q35" s="204">
        <f t="shared" si="1"/>
        <v>4600</v>
      </c>
    </row>
    <row r="36" spans="2:58" x14ac:dyDescent="0.3">
      <c r="H36" s="204" t="s">
        <v>965</v>
      </c>
      <c r="BF36" s="205"/>
    </row>
    <row r="37" spans="2:58" x14ac:dyDescent="0.3">
      <c r="BF37" s="205"/>
    </row>
    <row r="38" spans="2:58" x14ac:dyDescent="0.3">
      <c r="B38" s="236" t="s">
        <v>1093</v>
      </c>
      <c r="C38" s="236"/>
      <c r="D38" s="246"/>
      <c r="BF38" s="205"/>
    </row>
    <row r="39" spans="2:58" x14ac:dyDescent="0.3">
      <c r="B39" s="236"/>
      <c r="C39" s="236"/>
      <c r="D39" s="246"/>
      <c r="BF39" s="205"/>
    </row>
    <row r="40" spans="2:58" x14ac:dyDescent="0.3">
      <c r="B40" s="781" t="s">
        <v>1095</v>
      </c>
      <c r="C40" s="781"/>
      <c r="D40" s="781"/>
      <c r="E40" s="781"/>
      <c r="F40" s="781"/>
      <c r="G40" s="781"/>
      <c r="H40" s="204" t="s">
        <v>965</v>
      </c>
      <c r="I40" s="782" t="s">
        <v>1096</v>
      </c>
      <c r="J40" s="782"/>
      <c r="K40" s="782"/>
      <c r="L40" s="782"/>
      <c r="M40" s="782"/>
      <c r="O40" s="204" t="s">
        <v>1097</v>
      </c>
      <c r="BF40" s="205"/>
    </row>
    <row r="41" spans="2:58" x14ac:dyDescent="0.3">
      <c r="B41" s="330"/>
      <c r="C41" s="214" t="s">
        <v>1379</v>
      </c>
      <c r="D41" s="214" t="s">
        <v>985</v>
      </c>
      <c r="E41" s="214" t="s">
        <v>986</v>
      </c>
      <c r="F41" s="319" t="s">
        <v>592</v>
      </c>
      <c r="G41" s="215" t="s">
        <v>591</v>
      </c>
      <c r="I41" s="214" t="s">
        <v>1379</v>
      </c>
      <c r="J41" s="214" t="s">
        <v>985</v>
      </c>
      <c r="K41" s="214" t="s">
        <v>986</v>
      </c>
      <c r="L41" s="319" t="s">
        <v>592</v>
      </c>
      <c r="M41" s="215" t="s">
        <v>591</v>
      </c>
      <c r="O41" s="214" t="s">
        <v>1379</v>
      </c>
      <c r="P41" s="214" t="s">
        <v>985</v>
      </c>
      <c r="Q41" s="214" t="s">
        <v>986</v>
      </c>
      <c r="BF41" s="205"/>
    </row>
    <row r="42" spans="2:58" x14ac:dyDescent="0.3">
      <c r="B42" s="205" t="s">
        <v>1450</v>
      </c>
      <c r="BF42" s="205"/>
    </row>
    <row r="43" spans="2:58" x14ac:dyDescent="0.3">
      <c r="B43" s="206" t="s">
        <v>1082</v>
      </c>
      <c r="C43" s="252">
        <v>5279</v>
      </c>
      <c r="D43" s="252">
        <v>3801</v>
      </c>
      <c r="E43" s="252">
        <v>6757</v>
      </c>
      <c r="F43" s="320" t="s">
        <v>1599</v>
      </c>
      <c r="G43" s="251" t="s">
        <v>1602</v>
      </c>
      <c r="I43" s="204">
        <v>30</v>
      </c>
      <c r="J43" s="204">
        <v>22</v>
      </c>
      <c r="K43" s="204">
        <v>37</v>
      </c>
      <c r="O43" s="204">
        <f>IF(ISBLANK(C43),I43,C43)</f>
        <v>5279</v>
      </c>
      <c r="P43" s="204">
        <f t="shared" ref="P43:P49" si="3">IF(ISBLANK(D43),J43,D43)</f>
        <v>3801</v>
      </c>
      <c r="Q43" s="204">
        <f t="shared" ref="Q43:Q49" si="4">IF(ISBLANK(E43),K43,E43)</f>
        <v>6757</v>
      </c>
      <c r="BF43" s="205"/>
    </row>
    <row r="44" spans="2:58" x14ac:dyDescent="0.3">
      <c r="B44" s="206" t="s">
        <v>1083</v>
      </c>
      <c r="C44" s="252">
        <v>5279</v>
      </c>
      <c r="D44" s="252">
        <v>3801</v>
      </c>
      <c r="E44" s="252">
        <v>6757</v>
      </c>
      <c r="F44" s="320" t="s">
        <v>1599</v>
      </c>
      <c r="G44" s="251" t="s">
        <v>1602</v>
      </c>
      <c r="I44" s="204">
        <v>3040</v>
      </c>
      <c r="J44" s="204">
        <v>2280</v>
      </c>
      <c r="K44" s="204">
        <v>3780</v>
      </c>
      <c r="O44" s="204">
        <f t="shared" ref="O44:O49" si="5">IF(ISBLANK(C44),I44,C44)</f>
        <v>5279</v>
      </c>
      <c r="P44" s="204">
        <f t="shared" si="3"/>
        <v>3801</v>
      </c>
      <c r="Q44" s="204">
        <f t="shared" si="4"/>
        <v>6757</v>
      </c>
      <c r="BF44" s="205"/>
    </row>
    <row r="45" spans="2:58" x14ac:dyDescent="0.3">
      <c r="B45" s="206" t="s">
        <v>1084</v>
      </c>
      <c r="C45" s="252">
        <v>5279</v>
      </c>
      <c r="D45" s="252">
        <v>3801</v>
      </c>
      <c r="E45" s="252">
        <v>6757</v>
      </c>
      <c r="F45" s="320" t="s">
        <v>1599</v>
      </c>
      <c r="G45" s="251" t="s">
        <v>1602</v>
      </c>
      <c r="I45" s="204">
        <v>3040</v>
      </c>
      <c r="J45" s="204">
        <v>2280</v>
      </c>
      <c r="K45" s="204">
        <v>3780</v>
      </c>
      <c r="O45" s="204">
        <f t="shared" si="5"/>
        <v>5279</v>
      </c>
      <c r="P45" s="204">
        <f t="shared" si="3"/>
        <v>3801</v>
      </c>
      <c r="Q45" s="204">
        <f t="shared" si="4"/>
        <v>6757</v>
      </c>
      <c r="BF45" s="205"/>
    </row>
    <row r="46" spans="2:58" x14ac:dyDescent="0.3">
      <c r="B46" s="206" t="s">
        <v>1085</v>
      </c>
      <c r="C46" s="252">
        <v>5290</v>
      </c>
      <c r="D46" s="252">
        <v>3914</v>
      </c>
      <c r="E46" s="252">
        <v>6665</v>
      </c>
      <c r="F46" s="320" t="s">
        <v>1599</v>
      </c>
      <c r="G46" s="251" t="s">
        <v>1604</v>
      </c>
      <c r="I46" s="204">
        <v>3040</v>
      </c>
      <c r="J46" s="204">
        <v>2280</v>
      </c>
      <c r="K46" s="204">
        <v>3780</v>
      </c>
      <c r="O46" s="204">
        <f t="shared" si="5"/>
        <v>5290</v>
      </c>
      <c r="P46" s="204">
        <f t="shared" si="3"/>
        <v>3914</v>
      </c>
      <c r="Q46" s="204">
        <f t="shared" si="4"/>
        <v>6665</v>
      </c>
      <c r="BF46" s="205"/>
    </row>
    <row r="47" spans="2:58" x14ac:dyDescent="0.3">
      <c r="B47" s="206" t="s">
        <v>1086</v>
      </c>
      <c r="C47" s="252">
        <v>5290</v>
      </c>
      <c r="D47" s="252">
        <v>3914</v>
      </c>
      <c r="E47" s="252">
        <v>6665</v>
      </c>
      <c r="F47" s="320" t="s">
        <v>1599</v>
      </c>
      <c r="G47" s="251" t="s">
        <v>1604</v>
      </c>
      <c r="I47" s="204">
        <v>700</v>
      </c>
      <c r="J47" s="204">
        <v>460</v>
      </c>
      <c r="K47" s="204">
        <v>920</v>
      </c>
      <c r="O47" s="204">
        <f t="shared" si="5"/>
        <v>5290</v>
      </c>
      <c r="P47" s="204">
        <f t="shared" si="3"/>
        <v>3914</v>
      </c>
      <c r="Q47" s="204">
        <f t="shared" si="4"/>
        <v>6665</v>
      </c>
      <c r="BF47" s="205"/>
    </row>
    <row r="48" spans="2:58" x14ac:dyDescent="0.3">
      <c r="B48" s="206" t="s">
        <v>1087</v>
      </c>
      <c r="C48" s="252">
        <v>5290</v>
      </c>
      <c r="D48" s="252">
        <v>3914</v>
      </c>
      <c r="E48" s="252">
        <v>6665</v>
      </c>
      <c r="F48" s="320" t="s">
        <v>1599</v>
      </c>
      <c r="G48" s="251" t="s">
        <v>1604</v>
      </c>
      <c r="I48" s="204">
        <v>700</v>
      </c>
      <c r="J48" s="204">
        <v>460</v>
      </c>
      <c r="K48" s="204">
        <v>920</v>
      </c>
      <c r="O48" s="204">
        <f t="shared" si="5"/>
        <v>5290</v>
      </c>
      <c r="P48" s="204">
        <f t="shared" si="3"/>
        <v>3914</v>
      </c>
      <c r="Q48" s="204">
        <f t="shared" si="4"/>
        <v>6665</v>
      </c>
      <c r="BF48" s="205"/>
    </row>
    <row r="49" spans="2:58" x14ac:dyDescent="0.3">
      <c r="B49" s="206" t="s">
        <v>1443</v>
      </c>
      <c r="C49" s="252">
        <v>653</v>
      </c>
      <c r="D49" s="252">
        <v>270</v>
      </c>
      <c r="E49" s="252">
        <v>1036</v>
      </c>
      <c r="F49" s="320" t="s">
        <v>1599</v>
      </c>
      <c r="G49" s="251" t="s">
        <v>1602</v>
      </c>
      <c r="I49" s="204">
        <v>7</v>
      </c>
      <c r="J49" s="204">
        <v>40</v>
      </c>
      <c r="K49" s="204">
        <v>92</v>
      </c>
      <c r="O49" s="204">
        <f t="shared" si="5"/>
        <v>653</v>
      </c>
      <c r="P49" s="204">
        <f t="shared" si="3"/>
        <v>270</v>
      </c>
      <c r="Q49" s="204">
        <f t="shared" si="4"/>
        <v>1036</v>
      </c>
      <c r="BF49" s="205"/>
    </row>
    <row r="50" spans="2:58" x14ac:dyDescent="0.3">
      <c r="B50" s="205" t="s">
        <v>1444</v>
      </c>
      <c r="BF50" s="205"/>
    </row>
    <row r="51" spans="2:58" x14ac:dyDescent="0.3">
      <c r="B51" s="206" t="s">
        <v>1082</v>
      </c>
      <c r="C51" s="252">
        <v>5279</v>
      </c>
      <c r="D51" s="252">
        <v>3801</v>
      </c>
      <c r="E51" s="252">
        <v>6757</v>
      </c>
      <c r="F51" s="320" t="s">
        <v>1599</v>
      </c>
      <c r="G51" s="251" t="s">
        <v>1602</v>
      </c>
      <c r="I51" s="204">
        <v>30</v>
      </c>
      <c r="J51" s="204">
        <v>22</v>
      </c>
      <c r="K51" s="204">
        <v>37</v>
      </c>
      <c r="O51" s="204">
        <f t="shared" ref="O51:O57" si="6">IF(ISBLANK(C51),I51,C51)</f>
        <v>5279</v>
      </c>
      <c r="P51" s="204">
        <f t="shared" ref="P51:P57" si="7">IF(ISBLANK(D51),J51,D51)</f>
        <v>3801</v>
      </c>
      <c r="Q51" s="204">
        <f t="shared" ref="Q51:Q57" si="8">IF(ISBLANK(E51),K51,E51)</f>
        <v>6757</v>
      </c>
      <c r="BF51" s="205"/>
    </row>
    <row r="52" spans="2:58" x14ac:dyDescent="0.3">
      <c r="B52" s="206" t="s">
        <v>1083</v>
      </c>
      <c r="C52" s="252">
        <v>5279</v>
      </c>
      <c r="D52" s="252">
        <v>3801</v>
      </c>
      <c r="E52" s="252">
        <v>6757</v>
      </c>
      <c r="F52" s="320" t="s">
        <v>1599</v>
      </c>
      <c r="G52" s="251" t="s">
        <v>1602</v>
      </c>
      <c r="I52" s="204">
        <v>3040</v>
      </c>
      <c r="J52" s="204">
        <v>2280</v>
      </c>
      <c r="K52" s="204">
        <v>3780</v>
      </c>
      <c r="O52" s="204">
        <f t="shared" si="6"/>
        <v>5279</v>
      </c>
      <c r="P52" s="204">
        <f t="shared" si="7"/>
        <v>3801</v>
      </c>
      <c r="Q52" s="204">
        <f t="shared" si="8"/>
        <v>6757</v>
      </c>
      <c r="BF52" s="205"/>
    </row>
    <row r="53" spans="2:58" x14ac:dyDescent="0.3">
      <c r="B53" s="206" t="s">
        <v>1084</v>
      </c>
      <c r="C53" s="252">
        <v>5279</v>
      </c>
      <c r="D53" s="252">
        <v>3801</v>
      </c>
      <c r="E53" s="252">
        <v>6757</v>
      </c>
      <c r="F53" s="320" t="s">
        <v>1599</v>
      </c>
      <c r="G53" s="251" t="s">
        <v>1602</v>
      </c>
      <c r="I53" s="204">
        <v>3040</v>
      </c>
      <c r="J53" s="204">
        <v>2280</v>
      </c>
      <c r="K53" s="204">
        <v>3780</v>
      </c>
      <c r="O53" s="204">
        <f t="shared" si="6"/>
        <v>5279</v>
      </c>
      <c r="P53" s="204">
        <f t="shared" si="7"/>
        <v>3801</v>
      </c>
      <c r="Q53" s="204">
        <f t="shared" si="8"/>
        <v>6757</v>
      </c>
      <c r="BF53" s="205"/>
    </row>
    <row r="54" spans="2:58" x14ac:dyDescent="0.3">
      <c r="B54" s="206" t="s">
        <v>1085</v>
      </c>
      <c r="C54" s="252">
        <v>5290</v>
      </c>
      <c r="D54" s="252">
        <v>3967</v>
      </c>
      <c r="E54" s="252">
        <v>6612</v>
      </c>
      <c r="F54" s="320" t="s">
        <v>1599</v>
      </c>
      <c r="G54" s="251" t="s">
        <v>1603</v>
      </c>
      <c r="I54" s="204">
        <v>3040</v>
      </c>
      <c r="J54" s="204">
        <v>2280</v>
      </c>
      <c r="K54" s="204">
        <v>3780</v>
      </c>
      <c r="O54" s="204">
        <f t="shared" si="6"/>
        <v>5290</v>
      </c>
      <c r="P54" s="204">
        <f t="shared" si="7"/>
        <v>3967</v>
      </c>
      <c r="Q54" s="204">
        <f t="shared" si="8"/>
        <v>6612</v>
      </c>
      <c r="BF54" s="205"/>
    </row>
    <row r="55" spans="2:58" x14ac:dyDescent="0.3">
      <c r="B55" s="206" t="s">
        <v>1086</v>
      </c>
      <c r="C55" s="252">
        <v>5290</v>
      </c>
      <c r="D55" s="252">
        <v>3967</v>
      </c>
      <c r="E55" s="252">
        <v>6612</v>
      </c>
      <c r="F55" s="320" t="s">
        <v>1599</v>
      </c>
      <c r="G55" s="251" t="s">
        <v>1603</v>
      </c>
      <c r="I55" s="204">
        <v>700</v>
      </c>
      <c r="J55" s="204">
        <v>460</v>
      </c>
      <c r="K55" s="204">
        <v>920</v>
      </c>
      <c r="O55" s="204">
        <f t="shared" si="6"/>
        <v>5290</v>
      </c>
      <c r="P55" s="204">
        <f t="shared" si="7"/>
        <v>3967</v>
      </c>
      <c r="Q55" s="204">
        <f t="shared" si="8"/>
        <v>6612</v>
      </c>
      <c r="BF55" s="205"/>
    </row>
    <row r="56" spans="2:58" x14ac:dyDescent="0.3">
      <c r="B56" s="206" t="s">
        <v>1087</v>
      </c>
      <c r="C56" s="252">
        <v>5290</v>
      </c>
      <c r="D56" s="252">
        <v>3967</v>
      </c>
      <c r="E56" s="252">
        <v>6612</v>
      </c>
      <c r="F56" s="320" t="s">
        <v>1599</v>
      </c>
      <c r="G56" s="251" t="s">
        <v>1603</v>
      </c>
      <c r="I56" s="204">
        <v>700</v>
      </c>
      <c r="J56" s="204">
        <v>460</v>
      </c>
      <c r="K56" s="204">
        <v>920</v>
      </c>
      <c r="O56" s="204">
        <f t="shared" si="6"/>
        <v>5290</v>
      </c>
      <c r="P56" s="204">
        <f t="shared" si="7"/>
        <v>3967</v>
      </c>
      <c r="Q56" s="204">
        <f t="shared" si="8"/>
        <v>6612</v>
      </c>
      <c r="BF56" s="205"/>
    </row>
    <row r="57" spans="2:58" x14ac:dyDescent="0.3">
      <c r="B57" s="206" t="s">
        <v>1443</v>
      </c>
      <c r="C57" s="252">
        <v>653</v>
      </c>
      <c r="D57" s="252">
        <v>270</v>
      </c>
      <c r="E57" s="252">
        <v>1036</v>
      </c>
      <c r="F57" s="320" t="s">
        <v>1599</v>
      </c>
      <c r="G57" s="251" t="s">
        <v>1602</v>
      </c>
      <c r="I57" s="204">
        <v>7</v>
      </c>
      <c r="J57" s="204">
        <v>40</v>
      </c>
      <c r="K57" s="204">
        <v>92</v>
      </c>
      <c r="O57" s="204">
        <f t="shared" si="6"/>
        <v>653</v>
      </c>
      <c r="P57" s="204">
        <f t="shared" si="7"/>
        <v>270</v>
      </c>
      <c r="Q57" s="204">
        <f t="shared" si="8"/>
        <v>1036</v>
      </c>
      <c r="BF57" s="205"/>
    </row>
    <row r="58" spans="2:58" x14ac:dyDescent="0.3">
      <c r="B58" s="207" t="s">
        <v>227</v>
      </c>
      <c r="C58" s="320"/>
      <c r="D58" s="320"/>
      <c r="E58" s="320"/>
      <c r="BF58" s="205"/>
    </row>
    <row r="59" spans="2:58" x14ac:dyDescent="0.3">
      <c r="B59" s="206" t="s">
        <v>1437</v>
      </c>
      <c r="C59" s="252">
        <v>4676</v>
      </c>
      <c r="D59" s="252">
        <v>3414</v>
      </c>
      <c r="E59" s="252">
        <v>5939</v>
      </c>
      <c r="F59" s="320" t="s">
        <v>1599</v>
      </c>
      <c r="G59" s="251" t="s">
        <v>1602</v>
      </c>
      <c r="I59" s="204">
        <v>700</v>
      </c>
      <c r="J59" s="204">
        <v>460</v>
      </c>
      <c r="K59" s="204">
        <v>920</v>
      </c>
      <c r="O59" s="204">
        <f t="shared" ref="O59:O62" si="9">IF(ISBLANK(C59),I59,C59)</f>
        <v>4676</v>
      </c>
      <c r="P59" s="204">
        <f t="shared" ref="P59:P62" si="10">IF(ISBLANK(D59),J59,D59)</f>
        <v>3414</v>
      </c>
      <c r="Q59" s="204">
        <f t="shared" ref="Q59:Q62" si="11">IF(ISBLANK(E59),K59,E59)</f>
        <v>5939</v>
      </c>
      <c r="BF59" s="205"/>
    </row>
    <row r="60" spans="2:58" x14ac:dyDescent="0.3">
      <c r="B60" s="206" t="s">
        <v>1438</v>
      </c>
      <c r="C60" s="252">
        <v>4676</v>
      </c>
      <c r="D60" s="252">
        <v>3414</v>
      </c>
      <c r="E60" s="252">
        <v>5939</v>
      </c>
      <c r="F60" s="320" t="s">
        <v>1599</v>
      </c>
      <c r="G60" s="251" t="s">
        <v>1602</v>
      </c>
      <c r="I60" s="204">
        <v>1133.6666666666699</v>
      </c>
      <c r="J60" s="204">
        <v>850.25</v>
      </c>
      <c r="K60" s="204">
        <v>1409.625</v>
      </c>
      <c r="O60" s="204">
        <f t="shared" si="9"/>
        <v>4676</v>
      </c>
      <c r="P60" s="204">
        <f t="shared" si="10"/>
        <v>3414</v>
      </c>
      <c r="Q60" s="204">
        <f t="shared" si="11"/>
        <v>5939</v>
      </c>
      <c r="BF60" s="205"/>
    </row>
    <row r="61" spans="2:58" x14ac:dyDescent="0.3">
      <c r="B61" s="206" t="s">
        <v>1441</v>
      </c>
      <c r="C61" s="252">
        <v>8585</v>
      </c>
      <c r="D61" s="252">
        <v>5838</v>
      </c>
      <c r="E61" s="252">
        <v>11332</v>
      </c>
      <c r="F61" s="320" t="s">
        <v>1599</v>
      </c>
      <c r="G61" s="251" t="s">
        <v>1602</v>
      </c>
      <c r="I61" s="204">
        <v>700</v>
      </c>
      <c r="J61" s="204">
        <v>460</v>
      </c>
      <c r="K61" s="204">
        <v>920</v>
      </c>
      <c r="O61" s="204">
        <f t="shared" si="9"/>
        <v>8585</v>
      </c>
      <c r="P61" s="204">
        <f t="shared" si="10"/>
        <v>5838</v>
      </c>
      <c r="Q61" s="204">
        <f t="shared" si="11"/>
        <v>11332</v>
      </c>
      <c r="BF61" s="205"/>
    </row>
    <row r="62" spans="2:58" x14ac:dyDescent="0.3">
      <c r="B62" s="206" t="s">
        <v>1442</v>
      </c>
      <c r="C62" s="252">
        <v>8585</v>
      </c>
      <c r="D62" s="252">
        <v>5838</v>
      </c>
      <c r="E62" s="252">
        <v>11332</v>
      </c>
      <c r="F62" s="320" t="s">
        <v>1599</v>
      </c>
      <c r="G62" s="251" t="s">
        <v>1602</v>
      </c>
      <c r="I62" s="204">
        <v>1133.6666666666699</v>
      </c>
      <c r="J62" s="204">
        <v>850.25</v>
      </c>
      <c r="K62" s="204">
        <v>1409.625</v>
      </c>
      <c r="O62" s="204">
        <f t="shared" si="9"/>
        <v>8585</v>
      </c>
      <c r="P62" s="204">
        <f t="shared" si="10"/>
        <v>5838</v>
      </c>
      <c r="Q62" s="204">
        <f t="shared" si="11"/>
        <v>11332</v>
      </c>
      <c r="BF62" s="205"/>
    </row>
    <row r="63" spans="2:58" x14ac:dyDescent="0.3">
      <c r="B63" s="207" t="s">
        <v>920</v>
      </c>
      <c r="C63" s="320"/>
      <c r="D63" s="320"/>
      <c r="E63" s="320"/>
      <c r="F63" s="320"/>
      <c r="G63" s="251"/>
      <c r="BF63" s="205"/>
    </row>
    <row r="64" spans="2:58" x14ac:dyDescent="0.3">
      <c r="B64" s="206" t="s">
        <v>920</v>
      </c>
      <c r="C64" s="252">
        <v>5290</v>
      </c>
      <c r="D64" s="252">
        <v>3914</v>
      </c>
      <c r="E64" s="252">
        <v>6665</v>
      </c>
      <c r="F64" s="251" t="s">
        <v>993</v>
      </c>
      <c r="G64" s="320" t="s">
        <v>1601</v>
      </c>
      <c r="I64" s="204">
        <v>1508</v>
      </c>
      <c r="J64" s="204">
        <v>972</v>
      </c>
      <c r="K64" s="204">
        <v>2340</v>
      </c>
      <c r="O64" s="204">
        <f t="shared" ref="O64:O65" si="12">IF(ISBLANK(C64),I64,C64)</f>
        <v>5290</v>
      </c>
      <c r="P64" s="204">
        <f t="shared" ref="P64:P65" si="13">IF(ISBLANK(D64),J64,D64)</f>
        <v>3914</v>
      </c>
      <c r="Q64" s="204">
        <f t="shared" ref="Q64:Q65" si="14">IF(ISBLANK(E64),K64,E64)</f>
        <v>6665</v>
      </c>
      <c r="BF64" s="205"/>
    </row>
    <row r="65" spans="2:58" x14ac:dyDescent="0.3">
      <c r="B65" s="206" t="s">
        <v>980</v>
      </c>
      <c r="C65" s="252">
        <v>5290</v>
      </c>
      <c r="D65" s="252">
        <v>3914</v>
      </c>
      <c r="E65" s="252">
        <v>6665</v>
      </c>
      <c r="F65" s="251" t="s">
        <v>993</v>
      </c>
      <c r="G65" s="320" t="s">
        <v>1601</v>
      </c>
      <c r="I65" s="204">
        <v>700</v>
      </c>
      <c r="J65" s="204">
        <v>460</v>
      </c>
      <c r="K65" s="204">
        <v>920</v>
      </c>
      <c r="O65" s="204">
        <f t="shared" si="12"/>
        <v>5290</v>
      </c>
      <c r="P65" s="204">
        <f t="shared" si="13"/>
        <v>3914</v>
      </c>
      <c r="Q65" s="204">
        <f t="shared" si="14"/>
        <v>6665</v>
      </c>
      <c r="BF65" s="205"/>
    </row>
    <row r="66" spans="2:58" x14ac:dyDescent="0.3">
      <c r="BF66" s="205"/>
    </row>
    <row r="67" spans="2:58" x14ac:dyDescent="0.3">
      <c r="B67" s="236" t="s">
        <v>1421</v>
      </c>
      <c r="H67" s="204" t="s">
        <v>965</v>
      </c>
    </row>
    <row r="68" spans="2:58" x14ac:dyDescent="0.3">
      <c r="B68" s="236"/>
    </row>
    <row r="69" spans="2:58" x14ac:dyDescent="0.3">
      <c r="B69" s="781" t="s">
        <v>1095</v>
      </c>
      <c r="C69" s="781"/>
      <c r="D69" s="781"/>
      <c r="E69" s="781"/>
      <c r="F69" s="781"/>
      <c r="G69" s="781"/>
      <c r="H69" s="204" t="s">
        <v>965</v>
      </c>
      <c r="I69" s="782" t="s">
        <v>1096</v>
      </c>
      <c r="J69" s="782"/>
      <c r="K69" s="782"/>
      <c r="L69" s="782"/>
      <c r="M69" s="782"/>
      <c r="O69" s="204" t="s">
        <v>1097</v>
      </c>
    </row>
    <row r="70" spans="2:58" x14ac:dyDescent="0.3">
      <c r="B70" s="330"/>
      <c r="C70" s="214" t="s">
        <v>1379</v>
      </c>
      <c r="D70" s="214" t="s">
        <v>985</v>
      </c>
      <c r="E70" s="214" t="s">
        <v>986</v>
      </c>
      <c r="F70" s="319" t="s">
        <v>592</v>
      </c>
      <c r="G70" s="215" t="s">
        <v>591</v>
      </c>
      <c r="H70" s="204" t="s">
        <v>965</v>
      </c>
      <c r="I70" s="214" t="s">
        <v>1379</v>
      </c>
      <c r="J70" s="214" t="s">
        <v>985</v>
      </c>
      <c r="K70" s="214" t="s">
        <v>986</v>
      </c>
      <c r="L70" s="319" t="s">
        <v>592</v>
      </c>
      <c r="M70" s="215" t="s">
        <v>591</v>
      </c>
      <c r="O70" s="214" t="s">
        <v>1379</v>
      </c>
      <c r="P70" s="214" t="s">
        <v>985</v>
      </c>
      <c r="Q70" s="214" t="s">
        <v>986</v>
      </c>
    </row>
    <row r="71" spans="2:58" x14ac:dyDescent="0.3">
      <c r="B71" s="205" t="s">
        <v>1450</v>
      </c>
      <c r="F71" s="273"/>
    </row>
    <row r="72" spans="2:58" x14ac:dyDescent="0.3">
      <c r="B72" s="206" t="s">
        <v>1082</v>
      </c>
      <c r="C72" s="585">
        <v>234</v>
      </c>
      <c r="D72" s="585">
        <v>168</v>
      </c>
      <c r="E72" s="585">
        <v>299</v>
      </c>
      <c r="F72" s="320" t="s">
        <v>1599</v>
      </c>
      <c r="G72" s="254" t="s">
        <v>1600</v>
      </c>
      <c r="O72" s="204">
        <f>IF(ISBLANK(C72),I72,C72)</f>
        <v>234</v>
      </c>
      <c r="P72" s="204">
        <f t="shared" ref="P72:P78" si="15">IF(ISBLANK(D72),J72,D72)</f>
        <v>168</v>
      </c>
      <c r="Q72" s="204">
        <f t="shared" ref="Q72:Q78" si="16">IF(ISBLANK(E72),K72,E72)</f>
        <v>299</v>
      </c>
    </row>
    <row r="73" spans="2:58" x14ac:dyDescent="0.3">
      <c r="B73" s="206" t="s">
        <v>1083</v>
      </c>
      <c r="C73" s="585">
        <v>234</v>
      </c>
      <c r="D73" s="585">
        <v>168</v>
      </c>
      <c r="E73" s="585">
        <v>299</v>
      </c>
      <c r="F73" s="320" t="s">
        <v>1599</v>
      </c>
      <c r="G73" s="254" t="s">
        <v>1600</v>
      </c>
      <c r="O73" s="204">
        <f t="shared" ref="O73:O78" si="17">IF(ISBLANK(C73),I73,C73)</f>
        <v>234</v>
      </c>
      <c r="P73" s="204">
        <f t="shared" si="15"/>
        <v>168</v>
      </c>
      <c r="Q73" s="204">
        <f t="shared" si="16"/>
        <v>299</v>
      </c>
    </row>
    <row r="74" spans="2:58" x14ac:dyDescent="0.3">
      <c r="B74" s="206" t="s">
        <v>1084</v>
      </c>
      <c r="C74" s="585">
        <v>234</v>
      </c>
      <c r="D74" s="585">
        <v>168</v>
      </c>
      <c r="E74" s="585">
        <v>299</v>
      </c>
      <c r="F74" s="320" t="s">
        <v>1599</v>
      </c>
      <c r="G74" s="254" t="s">
        <v>1600</v>
      </c>
      <c r="O74" s="204">
        <f t="shared" si="17"/>
        <v>234</v>
      </c>
      <c r="P74" s="204">
        <f t="shared" si="15"/>
        <v>168</v>
      </c>
      <c r="Q74" s="204">
        <f t="shared" si="16"/>
        <v>299</v>
      </c>
    </row>
    <row r="75" spans="2:58" x14ac:dyDescent="0.3">
      <c r="B75" s="206" t="s">
        <v>1085</v>
      </c>
      <c r="C75" s="585">
        <v>112</v>
      </c>
      <c r="D75" s="585">
        <v>83</v>
      </c>
      <c r="E75" s="585">
        <v>142</v>
      </c>
      <c r="F75" s="320" t="s">
        <v>1599</v>
      </c>
      <c r="G75" s="254" t="s">
        <v>1608</v>
      </c>
      <c r="O75" s="204">
        <f t="shared" si="17"/>
        <v>112</v>
      </c>
      <c r="P75" s="204">
        <f t="shared" si="15"/>
        <v>83</v>
      </c>
      <c r="Q75" s="204">
        <f t="shared" si="16"/>
        <v>142</v>
      </c>
    </row>
    <row r="76" spans="2:58" x14ac:dyDescent="0.3">
      <c r="B76" s="206" t="s">
        <v>1086</v>
      </c>
      <c r="C76" s="585">
        <v>112</v>
      </c>
      <c r="D76" s="585">
        <v>83</v>
      </c>
      <c r="E76" s="585">
        <v>142</v>
      </c>
      <c r="F76" s="320" t="s">
        <v>1599</v>
      </c>
      <c r="G76" s="254" t="s">
        <v>1608</v>
      </c>
      <c r="O76" s="204">
        <f t="shared" si="17"/>
        <v>112</v>
      </c>
      <c r="P76" s="204">
        <f t="shared" si="15"/>
        <v>83</v>
      </c>
      <c r="Q76" s="204">
        <f t="shared" si="16"/>
        <v>142</v>
      </c>
    </row>
    <row r="77" spans="2:58" x14ac:dyDescent="0.3">
      <c r="B77" s="206" t="s">
        <v>1087</v>
      </c>
      <c r="C77" s="585">
        <v>112</v>
      </c>
      <c r="D77" s="585">
        <v>83</v>
      </c>
      <c r="E77" s="585">
        <v>142</v>
      </c>
      <c r="F77" s="320" t="s">
        <v>1599</v>
      </c>
      <c r="G77" s="254" t="s">
        <v>1608</v>
      </c>
      <c r="O77" s="204">
        <f t="shared" si="17"/>
        <v>112</v>
      </c>
      <c r="P77" s="204">
        <f t="shared" si="15"/>
        <v>83</v>
      </c>
      <c r="Q77" s="204">
        <f t="shared" si="16"/>
        <v>142</v>
      </c>
    </row>
    <row r="78" spans="2:58" x14ac:dyDescent="0.3">
      <c r="B78" s="206" t="s">
        <v>1443</v>
      </c>
      <c r="C78" s="585">
        <v>329</v>
      </c>
      <c r="D78" s="585">
        <v>144</v>
      </c>
      <c r="E78" s="585">
        <v>570</v>
      </c>
      <c r="F78" s="320" t="s">
        <v>1599</v>
      </c>
      <c r="G78" s="254" t="s">
        <v>1600</v>
      </c>
      <c r="O78" s="204">
        <f t="shared" si="17"/>
        <v>329</v>
      </c>
      <c r="P78" s="204">
        <f t="shared" si="15"/>
        <v>144</v>
      </c>
      <c r="Q78" s="204">
        <f t="shared" si="16"/>
        <v>570</v>
      </c>
    </row>
    <row r="79" spans="2:58" x14ac:dyDescent="0.3">
      <c r="B79" s="205" t="s">
        <v>1444</v>
      </c>
      <c r="C79" s="586"/>
      <c r="D79" s="586"/>
      <c r="E79" s="586"/>
    </row>
    <row r="80" spans="2:58" x14ac:dyDescent="0.3">
      <c r="B80" s="206" t="s">
        <v>1082</v>
      </c>
      <c r="C80" s="585">
        <v>234</v>
      </c>
      <c r="D80" s="585">
        <v>168</v>
      </c>
      <c r="E80" s="585">
        <v>299</v>
      </c>
      <c r="F80" s="320" t="s">
        <v>1599</v>
      </c>
      <c r="G80" s="254" t="s">
        <v>1600</v>
      </c>
      <c r="O80" s="204">
        <f t="shared" ref="O80:O86" si="18">IF(ISBLANK(C80),I80,C80)</f>
        <v>234</v>
      </c>
      <c r="P80" s="204">
        <f t="shared" ref="P80:P86" si="19">IF(ISBLANK(D80),J80,D80)</f>
        <v>168</v>
      </c>
      <c r="Q80" s="204">
        <f t="shared" ref="Q80:Q86" si="20">IF(ISBLANK(E80),K80,E80)</f>
        <v>299</v>
      </c>
    </row>
    <row r="81" spans="2:17" x14ac:dyDescent="0.3">
      <c r="B81" s="206" t="s">
        <v>1083</v>
      </c>
      <c r="C81" s="585">
        <v>234</v>
      </c>
      <c r="D81" s="585">
        <v>168</v>
      </c>
      <c r="E81" s="585">
        <v>299</v>
      </c>
      <c r="F81" s="320" t="s">
        <v>1599</v>
      </c>
      <c r="G81" s="254" t="s">
        <v>1600</v>
      </c>
      <c r="O81" s="204">
        <f t="shared" si="18"/>
        <v>234</v>
      </c>
      <c r="P81" s="204">
        <f t="shared" si="19"/>
        <v>168</v>
      </c>
      <c r="Q81" s="204">
        <f t="shared" si="20"/>
        <v>299</v>
      </c>
    </row>
    <row r="82" spans="2:17" x14ac:dyDescent="0.3">
      <c r="B82" s="206" t="s">
        <v>1084</v>
      </c>
      <c r="C82" s="585">
        <v>234</v>
      </c>
      <c r="D82" s="585">
        <v>168</v>
      </c>
      <c r="E82" s="585">
        <v>299</v>
      </c>
      <c r="F82" s="320" t="s">
        <v>1599</v>
      </c>
      <c r="G82" s="254" t="s">
        <v>1600</v>
      </c>
      <c r="O82" s="204">
        <f t="shared" si="18"/>
        <v>234</v>
      </c>
      <c r="P82" s="204">
        <f t="shared" si="19"/>
        <v>168</v>
      </c>
      <c r="Q82" s="204">
        <f t="shared" si="20"/>
        <v>299</v>
      </c>
    </row>
    <row r="83" spans="2:17" x14ac:dyDescent="0.3">
      <c r="B83" s="206" t="s">
        <v>1085</v>
      </c>
      <c r="C83" s="585">
        <v>296</v>
      </c>
      <c r="D83" s="585">
        <v>222</v>
      </c>
      <c r="E83" s="585">
        <v>370</v>
      </c>
      <c r="F83" s="320" t="s">
        <v>1599</v>
      </c>
      <c r="G83" s="254" t="s">
        <v>1607</v>
      </c>
      <c r="O83" s="204">
        <f t="shared" si="18"/>
        <v>296</v>
      </c>
      <c r="P83" s="204">
        <f t="shared" si="19"/>
        <v>222</v>
      </c>
      <c r="Q83" s="204">
        <f t="shared" si="20"/>
        <v>370</v>
      </c>
    </row>
    <row r="84" spans="2:17" x14ac:dyDescent="0.3">
      <c r="B84" s="206" t="s">
        <v>1086</v>
      </c>
      <c r="C84" s="585">
        <v>296</v>
      </c>
      <c r="D84" s="585">
        <v>222</v>
      </c>
      <c r="E84" s="585">
        <v>370</v>
      </c>
      <c r="F84" s="320" t="s">
        <v>1599</v>
      </c>
      <c r="G84" s="254" t="s">
        <v>1607</v>
      </c>
      <c r="O84" s="204">
        <f t="shared" si="18"/>
        <v>296</v>
      </c>
      <c r="P84" s="204">
        <f t="shared" si="19"/>
        <v>222</v>
      </c>
      <c r="Q84" s="204">
        <f t="shared" si="20"/>
        <v>370</v>
      </c>
    </row>
    <row r="85" spans="2:17" x14ac:dyDescent="0.3">
      <c r="B85" s="206" t="s">
        <v>1087</v>
      </c>
      <c r="C85" s="585">
        <v>296</v>
      </c>
      <c r="D85" s="585">
        <v>222</v>
      </c>
      <c r="E85" s="585">
        <v>370</v>
      </c>
      <c r="F85" s="320" t="s">
        <v>1599</v>
      </c>
      <c r="G85" s="254" t="s">
        <v>1607</v>
      </c>
      <c r="O85" s="204">
        <f t="shared" si="18"/>
        <v>296</v>
      </c>
      <c r="P85" s="204">
        <f t="shared" si="19"/>
        <v>222</v>
      </c>
      <c r="Q85" s="204">
        <f t="shared" si="20"/>
        <v>370</v>
      </c>
    </row>
    <row r="86" spans="2:17" x14ac:dyDescent="0.3">
      <c r="B86" s="206" t="s">
        <v>1443</v>
      </c>
      <c r="C86" s="585">
        <v>329</v>
      </c>
      <c r="D86" s="585">
        <v>144</v>
      </c>
      <c r="E86" s="585">
        <v>570</v>
      </c>
      <c r="F86" s="320" t="s">
        <v>1599</v>
      </c>
      <c r="G86" s="254" t="s">
        <v>1600</v>
      </c>
      <c r="O86" s="204">
        <f t="shared" si="18"/>
        <v>329</v>
      </c>
      <c r="P86" s="204">
        <f t="shared" si="19"/>
        <v>144</v>
      </c>
      <c r="Q86" s="204">
        <f t="shared" si="20"/>
        <v>570</v>
      </c>
    </row>
    <row r="87" spans="2:17" x14ac:dyDescent="0.3">
      <c r="B87" s="207" t="s">
        <v>227</v>
      </c>
      <c r="C87" s="587"/>
      <c r="D87" s="587"/>
      <c r="E87" s="587"/>
    </row>
    <row r="88" spans="2:17" x14ac:dyDescent="0.3">
      <c r="B88" s="206" t="s">
        <v>1437</v>
      </c>
      <c r="C88" s="585">
        <v>425</v>
      </c>
      <c r="D88" s="585">
        <v>310</v>
      </c>
      <c r="E88" s="585">
        <v>540</v>
      </c>
      <c r="F88" s="320" t="s">
        <v>1599</v>
      </c>
      <c r="G88" s="254" t="s">
        <v>1600</v>
      </c>
      <c r="O88" s="204">
        <f t="shared" ref="O88:O91" si="21">IF(ISBLANK(C88),I88,C88)</f>
        <v>425</v>
      </c>
      <c r="P88" s="204">
        <f t="shared" ref="P88:P91" si="22">IF(ISBLANK(D88),J88,D88)</f>
        <v>310</v>
      </c>
      <c r="Q88" s="204">
        <f t="shared" ref="Q88:Q91" si="23">IF(ISBLANK(E88),K88,E88)</f>
        <v>540</v>
      </c>
    </row>
    <row r="89" spans="2:17" x14ac:dyDescent="0.3">
      <c r="B89" s="206" t="s">
        <v>1438</v>
      </c>
      <c r="C89" s="585">
        <v>425</v>
      </c>
      <c r="D89" s="585">
        <v>310</v>
      </c>
      <c r="E89" s="585">
        <v>540</v>
      </c>
      <c r="F89" s="320" t="s">
        <v>1599</v>
      </c>
      <c r="G89" s="254" t="s">
        <v>1600</v>
      </c>
      <c r="O89" s="204">
        <f t="shared" si="21"/>
        <v>425</v>
      </c>
      <c r="P89" s="204">
        <f t="shared" si="22"/>
        <v>310</v>
      </c>
      <c r="Q89" s="204">
        <f t="shared" si="23"/>
        <v>540</v>
      </c>
    </row>
    <row r="90" spans="2:17" x14ac:dyDescent="0.3">
      <c r="B90" s="206" t="s">
        <v>1441</v>
      </c>
      <c r="C90" s="585">
        <v>539</v>
      </c>
      <c r="D90" s="585">
        <v>366</v>
      </c>
      <c r="E90" s="585">
        <v>711</v>
      </c>
      <c r="F90" s="320" t="s">
        <v>1599</v>
      </c>
      <c r="G90" s="254" t="s">
        <v>1609</v>
      </c>
      <c r="O90" s="204">
        <f t="shared" si="21"/>
        <v>539</v>
      </c>
      <c r="P90" s="204">
        <f t="shared" si="22"/>
        <v>366</v>
      </c>
      <c r="Q90" s="204">
        <f t="shared" si="23"/>
        <v>711</v>
      </c>
    </row>
    <row r="91" spans="2:17" x14ac:dyDescent="0.3">
      <c r="B91" s="206" t="s">
        <v>1442</v>
      </c>
      <c r="C91" s="585">
        <v>539</v>
      </c>
      <c r="D91" s="585">
        <v>366</v>
      </c>
      <c r="E91" s="585">
        <v>711</v>
      </c>
      <c r="F91" s="320" t="s">
        <v>1599</v>
      </c>
      <c r="G91" s="254" t="s">
        <v>1609</v>
      </c>
      <c r="O91" s="204">
        <f t="shared" si="21"/>
        <v>539</v>
      </c>
      <c r="P91" s="204">
        <f t="shared" si="22"/>
        <v>366</v>
      </c>
      <c r="Q91" s="204">
        <f t="shared" si="23"/>
        <v>711</v>
      </c>
    </row>
    <row r="92" spans="2:17" x14ac:dyDescent="0.3">
      <c r="B92" s="207" t="s">
        <v>920</v>
      </c>
      <c r="C92" s="332"/>
      <c r="D92" s="332"/>
      <c r="E92" s="332"/>
      <c r="F92" s="332"/>
      <c r="G92" s="251"/>
    </row>
    <row r="93" spans="2:17" x14ac:dyDescent="0.3">
      <c r="B93" s="206" t="s">
        <v>920</v>
      </c>
      <c r="C93" s="585">
        <v>112</v>
      </c>
      <c r="D93" s="585">
        <v>83</v>
      </c>
      <c r="E93" s="585">
        <v>142</v>
      </c>
      <c r="F93" s="251" t="s">
        <v>993</v>
      </c>
      <c r="G93" s="320" t="s">
        <v>1601</v>
      </c>
      <c r="O93" s="204">
        <f t="shared" ref="O93:O94" si="24">IF(ISBLANK(C93),I93,C93)</f>
        <v>112</v>
      </c>
      <c r="P93" s="204">
        <f t="shared" ref="P93:P94" si="25">IF(ISBLANK(D93),J93,D93)</f>
        <v>83</v>
      </c>
      <c r="Q93" s="204">
        <f t="shared" ref="Q93:Q94" si="26">IF(ISBLANK(E93),K93,E93)</f>
        <v>142</v>
      </c>
    </row>
    <row r="94" spans="2:17" x14ac:dyDescent="0.3">
      <c r="B94" s="206" t="s">
        <v>980</v>
      </c>
      <c r="C94" s="585">
        <v>112</v>
      </c>
      <c r="D94" s="585">
        <v>83</v>
      </c>
      <c r="E94" s="585">
        <v>142</v>
      </c>
      <c r="F94" s="251" t="s">
        <v>993</v>
      </c>
      <c r="G94" s="320" t="s">
        <v>1601</v>
      </c>
      <c r="O94" s="204">
        <f t="shared" si="24"/>
        <v>112</v>
      </c>
      <c r="P94" s="204">
        <f t="shared" si="25"/>
        <v>83</v>
      </c>
      <c r="Q94" s="204">
        <f t="shared" si="26"/>
        <v>142</v>
      </c>
    </row>
    <row r="95" spans="2:17" x14ac:dyDescent="0.3">
      <c r="H95" s="204" t="s">
        <v>965</v>
      </c>
    </row>
    <row r="96" spans="2:17" x14ac:dyDescent="0.3">
      <c r="B96" s="236" t="s">
        <v>1422</v>
      </c>
      <c r="H96" s="204" t="s">
        <v>965</v>
      </c>
    </row>
    <row r="97" spans="2:17" x14ac:dyDescent="0.3">
      <c r="B97" s="236"/>
    </row>
    <row r="98" spans="2:17" x14ac:dyDescent="0.3">
      <c r="B98" s="781" t="s">
        <v>1095</v>
      </c>
      <c r="C98" s="781"/>
      <c r="D98" s="781"/>
      <c r="E98" s="781"/>
      <c r="F98" s="781"/>
      <c r="G98" s="781"/>
      <c r="H98" s="204" t="s">
        <v>965</v>
      </c>
      <c r="I98" s="782" t="s">
        <v>1096</v>
      </c>
      <c r="J98" s="782"/>
      <c r="K98" s="782"/>
      <c r="L98" s="782"/>
      <c r="M98" s="782"/>
      <c r="O98" s="204" t="s">
        <v>1097</v>
      </c>
    </row>
    <row r="99" spans="2:17" x14ac:dyDescent="0.3">
      <c r="B99" s="330"/>
      <c r="C99" s="214" t="s">
        <v>1379</v>
      </c>
      <c r="D99" s="214" t="s">
        <v>985</v>
      </c>
      <c r="E99" s="214" t="s">
        <v>986</v>
      </c>
      <c r="F99" s="319" t="s">
        <v>592</v>
      </c>
      <c r="G99" s="215" t="s">
        <v>591</v>
      </c>
      <c r="H99" s="204" t="s">
        <v>965</v>
      </c>
      <c r="I99" s="214" t="s">
        <v>1379</v>
      </c>
      <c r="J99" s="214" t="s">
        <v>985</v>
      </c>
      <c r="K99" s="214" t="s">
        <v>986</v>
      </c>
      <c r="L99" s="319" t="s">
        <v>592</v>
      </c>
      <c r="M99" s="215" t="s">
        <v>591</v>
      </c>
      <c r="O99" s="214" t="s">
        <v>1379</v>
      </c>
      <c r="P99" s="214" t="s">
        <v>985</v>
      </c>
      <c r="Q99" s="214" t="s">
        <v>986</v>
      </c>
    </row>
    <row r="100" spans="2:17" x14ac:dyDescent="0.3">
      <c r="B100" s="205" t="s">
        <v>1450</v>
      </c>
      <c r="F100" s="273"/>
    </row>
    <row r="101" spans="2:17" x14ac:dyDescent="0.3">
      <c r="B101" s="206" t="s">
        <v>1082</v>
      </c>
      <c r="C101" s="585">
        <v>17</v>
      </c>
      <c r="D101" s="585">
        <v>12</v>
      </c>
      <c r="E101" s="585">
        <v>21</v>
      </c>
      <c r="F101" s="247" t="s">
        <v>1595</v>
      </c>
      <c r="G101" s="247" t="s">
        <v>1596</v>
      </c>
      <c r="O101" s="204">
        <f>IF(ISBLANK(C101),I101,C101)</f>
        <v>17</v>
      </c>
      <c r="P101" s="204">
        <f t="shared" ref="P101:P107" si="27">IF(ISBLANK(D101),J101,D101)</f>
        <v>12</v>
      </c>
      <c r="Q101" s="204">
        <f t="shared" ref="Q101:Q107" si="28">IF(ISBLANK(E101),K101,E101)</f>
        <v>21</v>
      </c>
    </row>
    <row r="102" spans="2:17" x14ac:dyDescent="0.3">
      <c r="B102" s="206" t="s">
        <v>1083</v>
      </c>
      <c r="C102" s="585">
        <v>17</v>
      </c>
      <c r="D102" s="585">
        <v>12</v>
      </c>
      <c r="E102" s="585">
        <v>21</v>
      </c>
      <c r="F102" s="247" t="s">
        <v>1595</v>
      </c>
      <c r="G102" s="247" t="s">
        <v>1596</v>
      </c>
      <c r="O102" s="204">
        <f t="shared" ref="O102:O107" si="29">IF(ISBLANK(C102),I102,C102)</f>
        <v>17</v>
      </c>
      <c r="P102" s="204">
        <f t="shared" si="27"/>
        <v>12</v>
      </c>
      <c r="Q102" s="204">
        <f t="shared" si="28"/>
        <v>21</v>
      </c>
    </row>
    <row r="103" spans="2:17" x14ac:dyDescent="0.3">
      <c r="B103" s="206" t="s">
        <v>1084</v>
      </c>
      <c r="C103" s="585">
        <v>17</v>
      </c>
      <c r="D103" s="585">
        <v>12</v>
      </c>
      <c r="E103" s="585">
        <v>21</v>
      </c>
      <c r="F103" s="247" t="s">
        <v>1595</v>
      </c>
      <c r="G103" s="247" t="s">
        <v>1596</v>
      </c>
      <c r="O103" s="204">
        <f t="shared" si="29"/>
        <v>17</v>
      </c>
      <c r="P103" s="204">
        <f t="shared" si="27"/>
        <v>12</v>
      </c>
      <c r="Q103" s="204">
        <f t="shared" si="28"/>
        <v>21</v>
      </c>
    </row>
    <row r="104" spans="2:17" x14ac:dyDescent="0.3">
      <c r="B104" s="206" t="s">
        <v>1085</v>
      </c>
      <c r="C104" s="585">
        <v>28</v>
      </c>
      <c r="D104" s="585">
        <v>21</v>
      </c>
      <c r="E104" s="585">
        <v>36</v>
      </c>
      <c r="F104" s="247" t="s">
        <v>1595</v>
      </c>
      <c r="G104" s="247" t="s">
        <v>1610</v>
      </c>
      <c r="O104" s="204">
        <f t="shared" si="29"/>
        <v>28</v>
      </c>
      <c r="P104" s="204">
        <f t="shared" si="27"/>
        <v>21</v>
      </c>
      <c r="Q104" s="204">
        <f t="shared" si="28"/>
        <v>36</v>
      </c>
    </row>
    <row r="105" spans="2:17" x14ac:dyDescent="0.3">
      <c r="B105" s="206" t="s">
        <v>1086</v>
      </c>
      <c r="C105" s="585">
        <v>28</v>
      </c>
      <c r="D105" s="585">
        <v>21</v>
      </c>
      <c r="E105" s="585">
        <v>36</v>
      </c>
      <c r="F105" s="247" t="s">
        <v>1595</v>
      </c>
      <c r="G105" s="247" t="s">
        <v>1610</v>
      </c>
      <c r="O105" s="204">
        <f t="shared" si="29"/>
        <v>28</v>
      </c>
      <c r="P105" s="204">
        <f t="shared" si="27"/>
        <v>21</v>
      </c>
      <c r="Q105" s="204">
        <f t="shared" si="28"/>
        <v>36</v>
      </c>
    </row>
    <row r="106" spans="2:17" x14ac:dyDescent="0.3">
      <c r="B106" s="206" t="s">
        <v>1087</v>
      </c>
      <c r="C106" s="585">
        <v>28</v>
      </c>
      <c r="D106" s="585">
        <v>21</v>
      </c>
      <c r="E106" s="585">
        <v>36</v>
      </c>
      <c r="F106" s="247" t="s">
        <v>1595</v>
      </c>
      <c r="G106" s="247" t="s">
        <v>1610</v>
      </c>
      <c r="O106" s="204">
        <f t="shared" si="29"/>
        <v>28</v>
      </c>
      <c r="P106" s="204">
        <f t="shared" si="27"/>
        <v>21</v>
      </c>
      <c r="Q106" s="204">
        <f t="shared" si="28"/>
        <v>36</v>
      </c>
    </row>
    <row r="107" spans="2:17" x14ac:dyDescent="0.3">
      <c r="B107" s="206" t="s">
        <v>1443</v>
      </c>
      <c r="C107" s="585">
        <v>138</v>
      </c>
      <c r="D107" s="585">
        <v>57</v>
      </c>
      <c r="E107" s="585">
        <v>248</v>
      </c>
      <c r="F107" s="247" t="s">
        <v>1595</v>
      </c>
      <c r="G107" s="247" t="s">
        <v>1596</v>
      </c>
      <c r="O107" s="204">
        <f t="shared" si="29"/>
        <v>138</v>
      </c>
      <c r="P107" s="204">
        <f t="shared" si="27"/>
        <v>57</v>
      </c>
      <c r="Q107" s="204">
        <f t="shared" si="28"/>
        <v>248</v>
      </c>
    </row>
    <row r="108" spans="2:17" x14ac:dyDescent="0.3">
      <c r="B108" s="205" t="s">
        <v>1444</v>
      </c>
      <c r="C108" s="586"/>
      <c r="D108" s="586"/>
      <c r="E108" s="586"/>
    </row>
    <row r="109" spans="2:17" x14ac:dyDescent="0.3">
      <c r="B109" s="206" t="s">
        <v>1082</v>
      </c>
      <c r="C109" s="585">
        <v>17</v>
      </c>
      <c r="D109" s="585">
        <v>12</v>
      </c>
      <c r="E109" s="585">
        <v>21</v>
      </c>
      <c r="F109" s="247" t="s">
        <v>1595</v>
      </c>
      <c r="G109" s="247" t="s">
        <v>1596</v>
      </c>
      <c r="O109" s="204">
        <f t="shared" ref="O109:O115" si="30">IF(ISBLANK(C109),I109,C109)</f>
        <v>17</v>
      </c>
      <c r="P109" s="204">
        <f t="shared" ref="P109:P115" si="31">IF(ISBLANK(D109),J109,D109)</f>
        <v>12</v>
      </c>
      <c r="Q109" s="204">
        <f t="shared" ref="Q109:Q115" si="32">IF(ISBLANK(E109),K109,E109)</f>
        <v>21</v>
      </c>
    </row>
    <row r="110" spans="2:17" x14ac:dyDescent="0.3">
      <c r="B110" s="206" t="s">
        <v>1083</v>
      </c>
      <c r="C110" s="585">
        <v>17</v>
      </c>
      <c r="D110" s="585">
        <v>12</v>
      </c>
      <c r="E110" s="585">
        <v>21</v>
      </c>
      <c r="F110" s="247" t="s">
        <v>1595</v>
      </c>
      <c r="G110" s="247" t="s">
        <v>1596</v>
      </c>
      <c r="O110" s="204">
        <f t="shared" si="30"/>
        <v>17</v>
      </c>
      <c r="P110" s="204">
        <f t="shared" si="31"/>
        <v>12</v>
      </c>
      <c r="Q110" s="204">
        <f t="shared" si="32"/>
        <v>21</v>
      </c>
    </row>
    <row r="111" spans="2:17" x14ac:dyDescent="0.3">
      <c r="B111" s="206" t="s">
        <v>1084</v>
      </c>
      <c r="C111" s="585">
        <v>17</v>
      </c>
      <c r="D111" s="585">
        <v>12</v>
      </c>
      <c r="E111" s="585">
        <v>21</v>
      </c>
      <c r="F111" s="247" t="s">
        <v>1595</v>
      </c>
      <c r="G111" s="247" t="s">
        <v>1596</v>
      </c>
      <c r="O111" s="204">
        <f t="shared" si="30"/>
        <v>17</v>
      </c>
      <c r="P111" s="204">
        <f t="shared" si="31"/>
        <v>12</v>
      </c>
      <c r="Q111" s="204">
        <f t="shared" si="32"/>
        <v>21</v>
      </c>
    </row>
    <row r="112" spans="2:17" x14ac:dyDescent="0.3">
      <c r="B112" s="206" t="s">
        <v>1085</v>
      </c>
      <c r="C112" s="585">
        <v>81</v>
      </c>
      <c r="D112" s="585">
        <v>60</v>
      </c>
      <c r="E112" s="585">
        <v>101</v>
      </c>
      <c r="F112" s="247" t="s">
        <v>1595</v>
      </c>
      <c r="G112" s="247" t="s">
        <v>1611</v>
      </c>
      <c r="O112" s="204">
        <f t="shared" si="30"/>
        <v>81</v>
      </c>
      <c r="P112" s="204">
        <f t="shared" si="31"/>
        <v>60</v>
      </c>
      <c r="Q112" s="204">
        <f t="shared" si="32"/>
        <v>101</v>
      </c>
    </row>
    <row r="113" spans="2:54" x14ac:dyDescent="0.3">
      <c r="B113" s="206" t="s">
        <v>1086</v>
      </c>
      <c r="C113" s="585">
        <v>81</v>
      </c>
      <c r="D113" s="585">
        <v>60</v>
      </c>
      <c r="E113" s="585">
        <v>101</v>
      </c>
      <c r="F113" s="247" t="s">
        <v>1595</v>
      </c>
      <c r="G113" s="247" t="s">
        <v>1611</v>
      </c>
      <c r="O113" s="204">
        <f t="shared" si="30"/>
        <v>81</v>
      </c>
      <c r="P113" s="204">
        <f t="shared" si="31"/>
        <v>60</v>
      </c>
      <c r="Q113" s="204">
        <f t="shared" si="32"/>
        <v>101</v>
      </c>
    </row>
    <row r="114" spans="2:54" x14ac:dyDescent="0.3">
      <c r="B114" s="206" t="s">
        <v>1087</v>
      </c>
      <c r="C114" s="585">
        <v>81</v>
      </c>
      <c r="D114" s="585">
        <v>60</v>
      </c>
      <c r="E114" s="585">
        <v>101</v>
      </c>
      <c r="F114" s="247" t="s">
        <v>1595</v>
      </c>
      <c r="G114" s="247" t="s">
        <v>1611</v>
      </c>
      <c r="O114" s="204">
        <f t="shared" si="30"/>
        <v>81</v>
      </c>
      <c r="P114" s="204">
        <f t="shared" si="31"/>
        <v>60</v>
      </c>
      <c r="Q114" s="204">
        <f t="shared" si="32"/>
        <v>101</v>
      </c>
    </row>
    <row r="115" spans="2:54" x14ac:dyDescent="0.3">
      <c r="B115" s="206" t="s">
        <v>1443</v>
      </c>
      <c r="C115" s="585">
        <v>138</v>
      </c>
      <c r="D115" s="585">
        <v>57</v>
      </c>
      <c r="E115" s="585">
        <v>248</v>
      </c>
      <c r="F115" s="247" t="s">
        <v>1595</v>
      </c>
      <c r="G115" s="247" t="s">
        <v>1596</v>
      </c>
      <c r="O115" s="204">
        <f t="shared" si="30"/>
        <v>138</v>
      </c>
      <c r="P115" s="204">
        <f t="shared" si="31"/>
        <v>57</v>
      </c>
      <c r="Q115" s="204">
        <f t="shared" si="32"/>
        <v>248</v>
      </c>
    </row>
    <row r="116" spans="2:54" x14ac:dyDescent="0.3">
      <c r="B116" s="207" t="s">
        <v>227</v>
      </c>
      <c r="C116" s="587"/>
      <c r="D116" s="587"/>
      <c r="E116" s="587"/>
      <c r="F116" s="332"/>
      <c r="G116" s="332"/>
      <c r="H116" s="332"/>
      <c r="T116" s="721"/>
      <c r="U116" s="722"/>
      <c r="V116" s="722"/>
      <c r="X116" s="722"/>
      <c r="Z116" s="723"/>
      <c r="AA116" s="723"/>
      <c r="AB116" s="723"/>
      <c r="AC116" s="723"/>
      <c r="AD116" s="723"/>
      <c r="AF116" s="723"/>
      <c r="AG116" s="723"/>
      <c r="AH116" s="723"/>
      <c r="AI116" s="723"/>
      <c r="AJ116" s="723"/>
      <c r="AL116" s="723"/>
      <c r="AM116" s="723"/>
      <c r="AN116" s="723"/>
      <c r="AO116" s="723"/>
      <c r="AP116" s="723"/>
      <c r="AX116" s="472"/>
      <c r="AY116" s="472"/>
      <c r="AZ116" s="472"/>
      <c r="BA116" s="472"/>
      <c r="BB116" s="472"/>
    </row>
    <row r="117" spans="2:54" x14ac:dyDescent="0.3">
      <c r="B117" s="206" t="s">
        <v>1437</v>
      </c>
      <c r="C117" s="585">
        <v>16</v>
      </c>
      <c r="D117" s="585">
        <v>12</v>
      </c>
      <c r="E117" s="585">
        <v>21</v>
      </c>
      <c r="F117" s="247" t="s">
        <v>1595</v>
      </c>
      <c r="G117" s="247" t="s">
        <v>1596</v>
      </c>
      <c r="O117" s="204">
        <f t="shared" ref="O117:O120" si="33">IF(ISBLANK(C117),I117,C117)</f>
        <v>16</v>
      </c>
      <c r="P117" s="204">
        <f t="shared" ref="P117:P120" si="34">IF(ISBLANK(D117),J117,D117)</f>
        <v>12</v>
      </c>
      <c r="Q117" s="204">
        <f t="shared" ref="Q117:Q120" si="35">IF(ISBLANK(E117),K117,E117)</f>
        <v>21</v>
      </c>
      <c r="T117" s="721"/>
      <c r="U117" s="722"/>
      <c r="V117" s="722"/>
      <c r="X117" s="722"/>
    </row>
    <row r="118" spans="2:54" x14ac:dyDescent="0.3">
      <c r="B118" s="206" t="s">
        <v>1438</v>
      </c>
      <c r="C118" s="585">
        <v>16</v>
      </c>
      <c r="D118" s="585">
        <v>12</v>
      </c>
      <c r="E118" s="585">
        <v>21</v>
      </c>
      <c r="F118" s="247" t="s">
        <v>1595</v>
      </c>
      <c r="G118" s="247" t="s">
        <v>1596</v>
      </c>
      <c r="O118" s="204">
        <f t="shared" si="33"/>
        <v>16</v>
      </c>
      <c r="P118" s="204">
        <f t="shared" si="34"/>
        <v>12</v>
      </c>
      <c r="Q118" s="204">
        <f t="shared" si="35"/>
        <v>21</v>
      </c>
      <c r="T118" s="721"/>
      <c r="U118" s="722"/>
      <c r="V118" s="722"/>
      <c r="X118" s="722"/>
    </row>
    <row r="119" spans="2:54" x14ac:dyDescent="0.3">
      <c r="B119" s="206" t="s">
        <v>1441</v>
      </c>
      <c r="C119" s="585">
        <v>61</v>
      </c>
      <c r="D119" s="585">
        <v>41</v>
      </c>
      <c r="E119" s="585">
        <v>80</v>
      </c>
      <c r="F119" s="331" t="s">
        <v>1595</v>
      </c>
      <c r="G119" s="255" t="s">
        <v>1597</v>
      </c>
      <c r="O119" s="204">
        <f t="shared" si="33"/>
        <v>61</v>
      </c>
      <c r="P119" s="204">
        <f t="shared" si="34"/>
        <v>41</v>
      </c>
      <c r="Q119" s="204">
        <f t="shared" si="35"/>
        <v>80</v>
      </c>
      <c r="T119" s="721"/>
      <c r="U119" s="722"/>
      <c r="V119" s="722"/>
      <c r="X119" s="722"/>
    </row>
    <row r="120" spans="2:54" x14ac:dyDescent="0.3">
      <c r="B120" s="206" t="s">
        <v>1442</v>
      </c>
      <c r="C120" s="585">
        <v>61</v>
      </c>
      <c r="D120" s="585">
        <v>41</v>
      </c>
      <c r="E120" s="585">
        <v>80</v>
      </c>
      <c r="F120" s="331" t="s">
        <v>1595</v>
      </c>
      <c r="G120" s="255" t="s">
        <v>1597</v>
      </c>
      <c r="O120" s="204">
        <f t="shared" si="33"/>
        <v>61</v>
      </c>
      <c r="P120" s="204">
        <f t="shared" si="34"/>
        <v>41</v>
      </c>
      <c r="Q120" s="204">
        <f t="shared" si="35"/>
        <v>80</v>
      </c>
      <c r="T120" s="721"/>
      <c r="U120" s="722"/>
      <c r="V120" s="722"/>
      <c r="X120" s="722"/>
    </row>
    <row r="121" spans="2:54" x14ac:dyDescent="0.3">
      <c r="B121" s="207" t="s">
        <v>920</v>
      </c>
      <c r="C121" s="332"/>
      <c r="D121" s="332"/>
      <c r="E121" s="332"/>
      <c r="F121" s="320"/>
      <c r="G121" s="251"/>
      <c r="T121" s="721"/>
      <c r="U121" s="722"/>
      <c r="V121" s="722"/>
      <c r="X121" s="722"/>
    </row>
    <row r="122" spans="2:54" x14ac:dyDescent="0.3">
      <c r="B122" s="206" t="s">
        <v>920</v>
      </c>
      <c r="C122" s="585"/>
      <c r="D122" s="585"/>
      <c r="E122" s="585"/>
      <c r="F122" s="247" t="s">
        <v>1598</v>
      </c>
      <c r="G122" s="247"/>
      <c r="O122" s="204">
        <f t="shared" ref="O122:O123" si="36">IF(ISBLANK(C122),I122,C122)</f>
        <v>0</v>
      </c>
      <c r="P122" s="204">
        <f t="shared" ref="P122:P123" si="37">IF(ISBLANK(D122),J122,D122)</f>
        <v>0</v>
      </c>
      <c r="Q122" s="204">
        <f t="shared" ref="Q122:Q123" si="38">IF(ISBLANK(E122),K122,E122)</f>
        <v>0</v>
      </c>
    </row>
    <row r="123" spans="2:54" x14ac:dyDescent="0.3">
      <c r="B123" s="206" t="s">
        <v>980</v>
      </c>
      <c r="C123" s="585"/>
      <c r="D123" s="585"/>
      <c r="E123" s="585"/>
      <c r="F123" s="247" t="s">
        <v>1598</v>
      </c>
      <c r="G123" s="247"/>
      <c r="O123" s="204">
        <f t="shared" si="36"/>
        <v>0</v>
      </c>
      <c r="P123" s="204">
        <f t="shared" si="37"/>
        <v>0</v>
      </c>
      <c r="Q123" s="204">
        <f t="shared" si="38"/>
        <v>0</v>
      </c>
    </row>
    <row r="124" spans="2:54" x14ac:dyDescent="0.3"/>
    <row r="125" spans="2:54" x14ac:dyDescent="0.3">
      <c r="B125" s="236" t="s">
        <v>1581</v>
      </c>
      <c r="C125" s="264"/>
      <c r="D125" s="264"/>
    </row>
    <row r="126" spans="2:54" x14ac:dyDescent="0.3">
      <c r="B126" s="236"/>
      <c r="C126" s="264"/>
      <c r="D126" s="264"/>
    </row>
    <row r="127" spans="2:54" x14ac:dyDescent="0.3">
      <c r="B127" s="781" t="s">
        <v>1095</v>
      </c>
      <c r="C127" s="781"/>
      <c r="D127" s="781"/>
      <c r="E127" s="781"/>
      <c r="F127" s="781"/>
      <c r="G127" s="781"/>
      <c r="I127" s="782" t="s">
        <v>1096</v>
      </c>
      <c r="J127" s="782"/>
      <c r="K127" s="782"/>
      <c r="L127" s="782"/>
      <c r="M127" s="782"/>
      <c r="O127" s="204" t="s">
        <v>1097</v>
      </c>
    </row>
    <row r="128" spans="2:54" ht="19.5" customHeight="1" thickBot="1" x14ac:dyDescent="0.4">
      <c r="B128" s="215"/>
      <c r="C128" s="786" t="s">
        <v>1580</v>
      </c>
      <c r="D128" s="786"/>
      <c r="E128" s="786"/>
      <c r="F128" s="786"/>
      <c r="G128" s="786"/>
      <c r="I128" s="786" t="s">
        <v>1580</v>
      </c>
      <c r="J128" s="786"/>
      <c r="K128" s="786"/>
      <c r="L128" s="786"/>
      <c r="M128" s="786"/>
    </row>
    <row r="129" spans="2:17" ht="19.5" customHeight="1" x14ac:dyDescent="0.3">
      <c r="B129"/>
      <c r="C129" s="237"/>
      <c r="D129" s="214" t="s">
        <v>985</v>
      </c>
      <c r="E129" s="214" t="s">
        <v>986</v>
      </c>
      <c r="F129" s="319" t="s">
        <v>592</v>
      </c>
      <c r="G129" s="215" t="s">
        <v>591</v>
      </c>
      <c r="H129"/>
      <c r="I129" s="237"/>
      <c r="J129" s="214" t="s">
        <v>985</v>
      </c>
      <c r="K129" s="214" t="s">
        <v>986</v>
      </c>
      <c r="L129" s="319" t="s">
        <v>592</v>
      </c>
      <c r="M129" s="215" t="s">
        <v>591</v>
      </c>
      <c r="O129" s="237" t="s">
        <v>1382</v>
      </c>
      <c r="P129" s="214" t="s">
        <v>985</v>
      </c>
      <c r="Q129" s="214" t="s">
        <v>986</v>
      </c>
    </row>
    <row r="130" spans="2:17" x14ac:dyDescent="0.3">
      <c r="B130" s="205" t="s">
        <v>1450</v>
      </c>
      <c r="C130" s="265"/>
      <c r="D130" s="265"/>
      <c r="E130" s="266"/>
      <c r="F130" s="210"/>
    </row>
    <row r="131" spans="2:17" x14ac:dyDescent="0.3">
      <c r="B131" s="206" t="s">
        <v>1082</v>
      </c>
      <c r="C131" s="753">
        <v>0.98556222995046894</v>
      </c>
      <c r="D131" s="753">
        <v>0.98558255269320838</v>
      </c>
      <c r="E131" s="753">
        <v>0.98555079861682859</v>
      </c>
      <c r="F131" s="210"/>
      <c r="I131" s="724">
        <v>0.98556222995046894</v>
      </c>
      <c r="J131" s="724">
        <v>0.98558255269320838</v>
      </c>
      <c r="K131" s="725">
        <v>0.98555079861682859</v>
      </c>
      <c r="L131" s="210"/>
      <c r="O131" s="204">
        <f t="shared" ref="O131:Q137" si="39">IF(ISBLANK(C131),I131,C131)</f>
        <v>0.98556222995046894</v>
      </c>
      <c r="P131" s="204">
        <f t="shared" si="39"/>
        <v>0.98558255269320838</v>
      </c>
      <c r="Q131" s="204">
        <f t="shared" si="39"/>
        <v>0.98555079861682859</v>
      </c>
    </row>
    <row r="132" spans="2:17" x14ac:dyDescent="0.3">
      <c r="B132" s="206" t="s">
        <v>1083</v>
      </c>
      <c r="C132" s="753">
        <v>0.98556222995046894</v>
      </c>
      <c r="D132" s="753">
        <v>0.98558255269320838</v>
      </c>
      <c r="E132" s="753">
        <v>0.98555079861682859</v>
      </c>
      <c r="F132" s="210"/>
      <c r="I132" s="724">
        <v>0.98556222995046894</v>
      </c>
      <c r="J132" s="724">
        <v>0.98558255269320838</v>
      </c>
      <c r="K132" s="725">
        <v>0.98555079861682859</v>
      </c>
      <c r="L132" s="210"/>
      <c r="O132" s="204">
        <f t="shared" si="39"/>
        <v>0.98556222995046894</v>
      </c>
      <c r="P132" s="204">
        <f t="shared" si="39"/>
        <v>0.98558255269320838</v>
      </c>
      <c r="Q132" s="204">
        <f t="shared" si="39"/>
        <v>0.98555079861682859</v>
      </c>
    </row>
    <row r="133" spans="2:17" x14ac:dyDescent="0.3">
      <c r="B133" s="206" t="s">
        <v>1084</v>
      </c>
      <c r="C133" s="753">
        <v>0.98556222995046894</v>
      </c>
      <c r="D133" s="753">
        <v>0.98558255269320838</v>
      </c>
      <c r="E133" s="753">
        <v>0.98555079861682859</v>
      </c>
      <c r="F133" s="210"/>
      <c r="I133" s="724">
        <v>0.98556222995046894</v>
      </c>
      <c r="J133" s="724">
        <v>0.98558255269320838</v>
      </c>
      <c r="K133" s="725">
        <v>0.98555079861682859</v>
      </c>
      <c r="L133" s="210"/>
      <c r="O133" s="204">
        <f t="shared" si="39"/>
        <v>0.98556222995046894</v>
      </c>
      <c r="P133" s="204">
        <f t="shared" si="39"/>
        <v>0.98558255269320838</v>
      </c>
      <c r="Q133" s="204">
        <f t="shared" si="39"/>
        <v>0.98555079861682859</v>
      </c>
    </row>
    <row r="134" spans="2:17" x14ac:dyDescent="0.3">
      <c r="B134" s="206" t="s">
        <v>1085</v>
      </c>
      <c r="C134" s="753">
        <v>0.99021410744778671</v>
      </c>
      <c r="D134" s="753">
        <v>0.99023697523741905</v>
      </c>
      <c r="E134" s="753">
        <v>0.99020067761271824</v>
      </c>
      <c r="F134" s="210" t="s">
        <v>1612</v>
      </c>
      <c r="I134" s="724">
        <v>0.98716689582924111</v>
      </c>
      <c r="J134" s="724">
        <v>0.98723580605055949</v>
      </c>
      <c r="K134" s="725">
        <v>0.98717532467532465</v>
      </c>
      <c r="L134" s="210"/>
      <c r="O134" s="204">
        <f t="shared" si="39"/>
        <v>0.99021410744778671</v>
      </c>
      <c r="P134" s="204">
        <f t="shared" si="39"/>
        <v>0.99023697523741905</v>
      </c>
      <c r="Q134" s="204">
        <f t="shared" si="39"/>
        <v>0.99020067761271824</v>
      </c>
    </row>
    <row r="135" spans="2:17" x14ac:dyDescent="0.3">
      <c r="B135" s="206" t="s">
        <v>1086</v>
      </c>
      <c r="C135" s="753">
        <v>0.99021410744778671</v>
      </c>
      <c r="D135" s="753">
        <v>0.99023697523741905</v>
      </c>
      <c r="E135" s="753">
        <v>0.99020067761271824</v>
      </c>
      <c r="F135" s="210" t="s">
        <v>1612</v>
      </c>
      <c r="I135" s="724">
        <v>0.98716689582924111</v>
      </c>
      <c r="J135" s="724">
        <v>0.98723580605055949</v>
      </c>
      <c r="K135" s="725">
        <v>0.98717532467532465</v>
      </c>
      <c r="L135" s="210"/>
      <c r="O135" s="204">
        <f t="shared" si="39"/>
        <v>0.99021410744778671</v>
      </c>
      <c r="P135" s="204">
        <f t="shared" si="39"/>
        <v>0.99023697523741905</v>
      </c>
      <c r="Q135" s="204">
        <f t="shared" si="39"/>
        <v>0.99020067761271824</v>
      </c>
    </row>
    <row r="136" spans="2:17" x14ac:dyDescent="0.3">
      <c r="B136" s="206" t="s">
        <v>1087</v>
      </c>
      <c r="C136" s="753">
        <v>0.99021410744778671</v>
      </c>
      <c r="D136" s="753">
        <v>0.99023697523741905</v>
      </c>
      <c r="E136" s="753">
        <v>0.99020067761271824</v>
      </c>
      <c r="F136" s="210" t="s">
        <v>1612</v>
      </c>
      <c r="I136" s="724">
        <v>0.98716689582924111</v>
      </c>
      <c r="J136" s="724">
        <v>0.98723580605055949</v>
      </c>
      <c r="K136" s="725">
        <v>0.98717532467532465</v>
      </c>
      <c r="L136" s="210"/>
      <c r="O136" s="204">
        <f t="shared" si="39"/>
        <v>0.99021410744778671</v>
      </c>
      <c r="P136" s="204">
        <f t="shared" si="39"/>
        <v>0.99023697523741905</v>
      </c>
      <c r="Q136" s="204">
        <f t="shared" si="39"/>
        <v>0.99020067761271824</v>
      </c>
    </row>
    <row r="137" spans="2:17" x14ac:dyDescent="0.3">
      <c r="B137" s="206" t="s">
        <v>1443</v>
      </c>
      <c r="C137" s="753">
        <v>0.82596463022508038</v>
      </c>
      <c r="D137" s="753">
        <v>0.82318271119842834</v>
      </c>
      <c r="E137" s="753">
        <v>0.80529440870856017</v>
      </c>
      <c r="F137" s="210"/>
      <c r="I137" s="724">
        <v>0.82596463022508038</v>
      </c>
      <c r="J137" s="724">
        <v>0.82318271119842834</v>
      </c>
      <c r="K137" s="725">
        <v>0.80529440870856017</v>
      </c>
      <c r="L137" s="210"/>
      <c r="O137" s="204">
        <f t="shared" si="39"/>
        <v>0.82596463022508038</v>
      </c>
      <c r="P137" s="204">
        <f t="shared" si="39"/>
        <v>0.82318271119842834</v>
      </c>
      <c r="Q137" s="204">
        <f t="shared" si="39"/>
        <v>0.80529440870856017</v>
      </c>
    </row>
    <row r="138" spans="2:17" x14ac:dyDescent="0.3">
      <c r="B138" s="205" t="s">
        <v>1444</v>
      </c>
      <c r="C138" s="754"/>
      <c r="D138" s="754"/>
      <c r="E138" s="754"/>
      <c r="F138" s="210"/>
      <c r="I138" s="265"/>
      <c r="J138" s="265"/>
      <c r="K138" s="266"/>
      <c r="L138" s="210"/>
    </row>
    <row r="139" spans="2:17" x14ac:dyDescent="0.3">
      <c r="B139" s="206" t="s">
        <v>1082</v>
      </c>
      <c r="C139" s="753">
        <v>0</v>
      </c>
      <c r="D139" s="753">
        <v>0</v>
      </c>
      <c r="E139" s="753">
        <v>0</v>
      </c>
      <c r="F139" s="210"/>
      <c r="I139" s="724">
        <v>0</v>
      </c>
      <c r="J139" s="724">
        <v>0</v>
      </c>
      <c r="K139" s="725">
        <v>0</v>
      </c>
      <c r="L139" s="210"/>
      <c r="O139" s="204">
        <f t="shared" ref="O139:Q145" si="40">IF(ISBLANK(C139),I139,C139)</f>
        <v>0</v>
      </c>
      <c r="P139" s="204">
        <f t="shared" si="40"/>
        <v>0</v>
      </c>
      <c r="Q139" s="204">
        <f t="shared" si="40"/>
        <v>0</v>
      </c>
    </row>
    <row r="140" spans="2:17" x14ac:dyDescent="0.3">
      <c r="B140" s="206" t="s">
        <v>1083</v>
      </c>
      <c r="C140" s="753">
        <v>0</v>
      </c>
      <c r="D140" s="753">
        <v>0</v>
      </c>
      <c r="E140" s="753">
        <v>0</v>
      </c>
      <c r="F140" s="210"/>
      <c r="I140" s="724">
        <v>0</v>
      </c>
      <c r="J140" s="724">
        <v>0</v>
      </c>
      <c r="K140" s="725">
        <v>0</v>
      </c>
      <c r="L140" s="210"/>
      <c r="O140" s="204">
        <f t="shared" si="40"/>
        <v>0</v>
      </c>
      <c r="P140" s="204">
        <f t="shared" si="40"/>
        <v>0</v>
      </c>
      <c r="Q140" s="204">
        <f t="shared" si="40"/>
        <v>0</v>
      </c>
    </row>
    <row r="141" spans="2:17" x14ac:dyDescent="0.3">
      <c r="B141" s="206" t="s">
        <v>1084</v>
      </c>
      <c r="C141" s="753">
        <v>0</v>
      </c>
      <c r="D141" s="753">
        <v>0</v>
      </c>
      <c r="E141" s="753">
        <v>0</v>
      </c>
      <c r="F141" s="210"/>
      <c r="I141" s="724">
        <v>0</v>
      </c>
      <c r="J141" s="724">
        <v>0</v>
      </c>
      <c r="K141" s="725">
        <v>0</v>
      </c>
      <c r="L141" s="210"/>
      <c r="O141" s="204">
        <f t="shared" si="40"/>
        <v>0</v>
      </c>
      <c r="P141" s="204">
        <f t="shared" si="40"/>
        <v>0</v>
      </c>
      <c r="Q141" s="204">
        <f t="shared" si="40"/>
        <v>0</v>
      </c>
    </row>
    <row r="142" spans="2:17" x14ac:dyDescent="0.3">
      <c r="B142" s="206" t="s">
        <v>1085</v>
      </c>
      <c r="C142" s="753">
        <v>0.97459599224305105</v>
      </c>
      <c r="D142" s="753">
        <v>0.97457334942251339</v>
      </c>
      <c r="E142" s="753">
        <v>0.97460826394994049</v>
      </c>
      <c r="F142" s="210"/>
      <c r="I142" s="724">
        <v>0.97459599224305105</v>
      </c>
      <c r="J142" s="724">
        <v>0.97457334942251339</v>
      </c>
      <c r="K142" s="725">
        <v>0.97460826394994049</v>
      </c>
      <c r="L142" s="210"/>
      <c r="O142" s="204">
        <f t="shared" si="40"/>
        <v>0.97459599224305105</v>
      </c>
      <c r="P142" s="204">
        <f t="shared" si="40"/>
        <v>0.97457334942251339</v>
      </c>
      <c r="Q142" s="204">
        <f t="shared" si="40"/>
        <v>0.97460826394994049</v>
      </c>
    </row>
    <row r="143" spans="2:17" x14ac:dyDescent="0.3">
      <c r="B143" s="206" t="s">
        <v>1086</v>
      </c>
      <c r="C143" s="753">
        <v>0.97459599224305105</v>
      </c>
      <c r="D143" s="753">
        <v>0.97457334942251339</v>
      </c>
      <c r="E143" s="753">
        <v>0.97460826394994049</v>
      </c>
      <c r="F143" s="210"/>
      <c r="I143" s="724">
        <v>0.97459599224305105</v>
      </c>
      <c r="J143" s="724">
        <v>0.97457334942251339</v>
      </c>
      <c r="K143" s="725">
        <v>0.97460826394994049</v>
      </c>
      <c r="L143" s="210"/>
      <c r="O143" s="204">
        <f t="shared" si="40"/>
        <v>0.97459599224305105</v>
      </c>
      <c r="P143" s="204">
        <f t="shared" si="40"/>
        <v>0.97457334942251339</v>
      </c>
      <c r="Q143" s="204">
        <f t="shared" si="40"/>
        <v>0.97460826394994049</v>
      </c>
    </row>
    <row r="144" spans="2:17" x14ac:dyDescent="0.3">
      <c r="B144" s="206" t="s">
        <v>1087</v>
      </c>
      <c r="C144" s="753">
        <v>0.97459599224305105</v>
      </c>
      <c r="D144" s="753">
        <v>0.97457334942251339</v>
      </c>
      <c r="E144" s="753">
        <v>0.97460826394994049</v>
      </c>
      <c r="F144" s="210"/>
      <c r="I144" s="724">
        <v>0.97459599224305105</v>
      </c>
      <c r="J144" s="724">
        <v>0.97457334942251339</v>
      </c>
      <c r="K144" s="725">
        <v>0.97460826394994049</v>
      </c>
      <c r="L144" s="210"/>
      <c r="O144" s="204">
        <f t="shared" si="40"/>
        <v>0.97459599224305105</v>
      </c>
      <c r="P144" s="204">
        <f t="shared" si="40"/>
        <v>0.97457334942251339</v>
      </c>
      <c r="Q144" s="204">
        <f t="shared" si="40"/>
        <v>0.97460826394994049</v>
      </c>
    </row>
    <row r="145" spans="2:17" x14ac:dyDescent="0.3">
      <c r="B145" s="206" t="s">
        <v>1443</v>
      </c>
      <c r="C145" s="753">
        <v>0</v>
      </c>
      <c r="D145" s="753">
        <v>0</v>
      </c>
      <c r="E145" s="753">
        <v>0</v>
      </c>
      <c r="F145" s="210"/>
      <c r="I145" s="724">
        <v>0</v>
      </c>
      <c r="J145" s="724">
        <v>0</v>
      </c>
      <c r="K145" s="725">
        <v>0</v>
      </c>
      <c r="L145" s="210"/>
      <c r="O145" s="204">
        <f t="shared" si="40"/>
        <v>0</v>
      </c>
      <c r="P145" s="204">
        <f t="shared" si="40"/>
        <v>0</v>
      </c>
      <c r="Q145" s="204">
        <f t="shared" si="40"/>
        <v>0</v>
      </c>
    </row>
    <row r="146" spans="2:17" x14ac:dyDescent="0.3">
      <c r="B146" s="207" t="s">
        <v>227</v>
      </c>
      <c r="C146" s="755"/>
      <c r="D146" s="755"/>
      <c r="E146" s="755"/>
      <c r="F146" s="210"/>
      <c r="I146" s="265"/>
      <c r="J146" s="265"/>
      <c r="K146" s="266"/>
      <c r="L146" s="210"/>
    </row>
    <row r="147" spans="2:17" x14ac:dyDescent="0.3">
      <c r="B147" s="206" t="s">
        <v>1437</v>
      </c>
      <c r="C147" s="753">
        <v>0.95218843381965201</v>
      </c>
      <c r="D147" s="753">
        <v>0.9522032265831929</v>
      </c>
      <c r="E147" s="753">
        <v>0.95217993079584773</v>
      </c>
      <c r="F147" s="210"/>
      <c r="I147" s="724">
        <v>0.95218843381965201</v>
      </c>
      <c r="J147" s="724">
        <v>0.9522032265831929</v>
      </c>
      <c r="K147" s="725">
        <v>0.95217993079584773</v>
      </c>
      <c r="L147" s="210"/>
      <c r="O147" s="204">
        <f t="shared" ref="O147:Q150" si="41">IF(ISBLANK(C147),I147,C147)</f>
        <v>0.95218843381965201</v>
      </c>
      <c r="P147" s="204">
        <f t="shared" si="41"/>
        <v>0.9522032265831929</v>
      </c>
      <c r="Q147" s="204">
        <f t="shared" si="41"/>
        <v>0.95217993079584773</v>
      </c>
    </row>
    <row r="148" spans="2:17" x14ac:dyDescent="0.3">
      <c r="B148" s="206" t="s">
        <v>1438</v>
      </c>
      <c r="C148" s="753">
        <v>0.95218843381965201</v>
      </c>
      <c r="D148" s="753">
        <v>0.9522032265831929</v>
      </c>
      <c r="E148" s="753">
        <v>0.95217993079584773</v>
      </c>
      <c r="F148" s="210"/>
      <c r="I148" s="724">
        <v>0.95218843381965201</v>
      </c>
      <c r="J148" s="724">
        <v>0.9522032265831929</v>
      </c>
      <c r="K148" s="725">
        <v>0.95217993079584773</v>
      </c>
      <c r="L148" s="210"/>
      <c r="O148" s="204">
        <f t="shared" si="41"/>
        <v>0.95218843381965201</v>
      </c>
      <c r="P148" s="204">
        <f t="shared" si="41"/>
        <v>0.9522032265831929</v>
      </c>
      <c r="Q148" s="204">
        <f t="shared" si="41"/>
        <v>0.95217993079584773</v>
      </c>
    </row>
    <row r="149" spans="2:17" x14ac:dyDescent="0.3">
      <c r="B149" s="206" t="s">
        <v>1441</v>
      </c>
      <c r="C149" s="753">
        <v>0.95218843381965201</v>
      </c>
      <c r="D149" s="753">
        <v>0.9522032265831929</v>
      </c>
      <c r="E149" s="753">
        <v>0.95217993079584773</v>
      </c>
      <c r="F149" s="210"/>
      <c r="I149" s="724">
        <v>0.95218843381965201</v>
      </c>
      <c r="J149" s="724">
        <v>0.9522032265831929</v>
      </c>
      <c r="K149" s="725">
        <v>0.95217993079584773</v>
      </c>
      <c r="L149" s="210"/>
      <c r="O149" s="204">
        <f t="shared" si="41"/>
        <v>0.95218843381965201</v>
      </c>
      <c r="P149" s="204">
        <f t="shared" si="41"/>
        <v>0.9522032265831929</v>
      </c>
      <c r="Q149" s="204">
        <f t="shared" si="41"/>
        <v>0.95217993079584773</v>
      </c>
    </row>
    <row r="150" spans="2:17" x14ac:dyDescent="0.3">
      <c r="B150" s="206" t="s">
        <v>1442</v>
      </c>
      <c r="C150" s="753">
        <v>0.95218843381965201</v>
      </c>
      <c r="D150" s="753">
        <v>0.9522032265831929</v>
      </c>
      <c r="E150" s="753">
        <v>0.95217993079584773</v>
      </c>
      <c r="F150" s="210"/>
      <c r="I150" s="724">
        <v>0.95218843381965201</v>
      </c>
      <c r="J150" s="724">
        <v>0.9522032265831929</v>
      </c>
      <c r="K150" s="725">
        <v>0.95217993079584773</v>
      </c>
      <c r="L150" s="210"/>
      <c r="O150" s="204">
        <f t="shared" si="41"/>
        <v>0.95218843381965201</v>
      </c>
      <c r="P150" s="204">
        <f t="shared" si="41"/>
        <v>0.9522032265831929</v>
      </c>
      <c r="Q150" s="204">
        <f t="shared" si="41"/>
        <v>0.95217993079584773</v>
      </c>
    </row>
    <row r="151" spans="2:17" x14ac:dyDescent="0.3">
      <c r="B151" s="207" t="s">
        <v>920</v>
      </c>
      <c r="C151" s="756"/>
      <c r="D151" s="756"/>
      <c r="E151" s="756"/>
      <c r="F151" s="210"/>
      <c r="I151" s="265"/>
      <c r="J151" s="265"/>
      <c r="K151" s="266"/>
      <c r="L151" s="210"/>
    </row>
    <row r="152" spans="2:17" x14ac:dyDescent="0.3">
      <c r="B152" s="206" t="s">
        <v>920</v>
      </c>
      <c r="C152" s="753">
        <v>0.82596463022508038</v>
      </c>
      <c r="D152" s="753">
        <v>0.82318271119842834</v>
      </c>
      <c r="E152" s="753">
        <v>0.80529440870856017</v>
      </c>
      <c r="F152" s="210"/>
      <c r="I152" s="724">
        <v>0.82596463022508038</v>
      </c>
      <c r="J152" s="724">
        <v>0.82318271119842834</v>
      </c>
      <c r="K152" s="725">
        <v>0.80529440870856017</v>
      </c>
      <c r="L152" s="210"/>
      <c r="O152" s="204">
        <f t="shared" ref="O152:Q153" si="42">IF(ISBLANK(C152),I152,C152)</f>
        <v>0.82596463022508038</v>
      </c>
      <c r="P152" s="204">
        <f t="shared" si="42"/>
        <v>0.82318271119842834</v>
      </c>
      <c r="Q152" s="204">
        <f t="shared" si="42"/>
        <v>0.80529440870856017</v>
      </c>
    </row>
    <row r="153" spans="2:17" x14ac:dyDescent="0.3">
      <c r="B153" s="206" t="s">
        <v>980</v>
      </c>
      <c r="C153" s="753">
        <v>0.82596463022508038</v>
      </c>
      <c r="D153" s="753">
        <v>0.82318271119842834</v>
      </c>
      <c r="E153" s="753">
        <v>0.80529440870856017</v>
      </c>
      <c r="F153" s="210"/>
      <c r="I153" s="724">
        <v>0.82596463022508038</v>
      </c>
      <c r="J153" s="724">
        <v>0.82318271119842834</v>
      </c>
      <c r="K153" s="725">
        <v>0.80529440870856017</v>
      </c>
      <c r="L153" s="210"/>
      <c r="O153" s="204">
        <f t="shared" si="42"/>
        <v>0.82596463022508038</v>
      </c>
      <c r="P153" s="204">
        <f t="shared" si="42"/>
        <v>0.82318271119842834</v>
      </c>
      <c r="Q153" s="204">
        <f t="shared" si="42"/>
        <v>0.80529440870856017</v>
      </c>
    </row>
    <row r="154" spans="2:17" x14ac:dyDescent="0.3">
      <c r="B154" s="206"/>
      <c r="C154" s="265"/>
      <c r="D154" s="265"/>
      <c r="E154" s="266"/>
      <c r="F154" s="210"/>
      <c r="I154" s="265"/>
      <c r="J154" s="265"/>
      <c r="K154" s="266"/>
      <c r="L154" s="210"/>
    </row>
    <row r="155" spans="2:17" x14ac:dyDescent="0.3">
      <c r="B155" s="236" t="s">
        <v>1583</v>
      </c>
      <c r="C155" s="264"/>
      <c r="D155" s="264"/>
    </row>
    <row r="156" spans="2:17" x14ac:dyDescent="0.3">
      <c r="B156" s="236"/>
      <c r="C156" s="264"/>
      <c r="D156" s="264"/>
    </row>
    <row r="157" spans="2:17" x14ac:dyDescent="0.3">
      <c r="B157" s="781" t="s">
        <v>1095</v>
      </c>
      <c r="C157" s="781"/>
      <c r="D157" s="781"/>
      <c r="E157" s="781"/>
      <c r="F157" s="781"/>
      <c r="G157" s="781"/>
      <c r="I157" s="782" t="s">
        <v>1096</v>
      </c>
      <c r="J157" s="782"/>
      <c r="K157" s="782"/>
      <c r="L157" s="782"/>
      <c r="M157" s="782"/>
      <c r="O157" s="204" t="s">
        <v>1097</v>
      </c>
    </row>
    <row r="158" spans="2:17" ht="19.5" customHeight="1" thickBot="1" x14ac:dyDescent="0.4">
      <c r="B158" s="215"/>
      <c r="C158" s="786" t="s">
        <v>1584</v>
      </c>
      <c r="D158" s="786"/>
      <c r="E158" s="786"/>
      <c r="F158" s="786"/>
      <c r="G158" s="786"/>
      <c r="I158" s="786" t="s">
        <v>1584</v>
      </c>
      <c r="J158" s="786"/>
      <c r="K158" s="786"/>
      <c r="L158" s="786"/>
      <c r="M158" s="786"/>
    </row>
    <row r="159" spans="2:17" ht="19.5" customHeight="1" x14ac:dyDescent="0.3">
      <c r="B159"/>
      <c r="C159" s="237"/>
      <c r="D159" s="214" t="s">
        <v>985</v>
      </c>
      <c r="E159" s="214" t="s">
        <v>986</v>
      </c>
      <c r="F159" s="319" t="s">
        <v>592</v>
      </c>
      <c r="G159" s="215" t="s">
        <v>591</v>
      </c>
      <c r="H159"/>
      <c r="I159" s="237"/>
      <c r="J159" s="214" t="s">
        <v>985</v>
      </c>
      <c r="K159" s="214" t="s">
        <v>986</v>
      </c>
      <c r="L159" s="319" t="s">
        <v>592</v>
      </c>
      <c r="M159" s="215" t="s">
        <v>591</v>
      </c>
      <c r="O159" s="237" t="s">
        <v>1382</v>
      </c>
      <c r="P159" s="214" t="s">
        <v>985</v>
      </c>
      <c r="Q159" s="214" t="s">
        <v>986</v>
      </c>
    </row>
    <row r="160" spans="2:17" x14ac:dyDescent="0.3">
      <c r="B160" s="205" t="s">
        <v>1450</v>
      </c>
      <c r="C160" s="265"/>
      <c r="D160" s="265"/>
      <c r="E160" s="266"/>
      <c r="F160" s="210"/>
      <c r="G160"/>
    </row>
    <row r="161" spans="2:17" x14ac:dyDescent="0.3">
      <c r="B161" s="206" t="s">
        <v>1082</v>
      </c>
      <c r="C161" s="585">
        <v>38.24</v>
      </c>
      <c r="D161" s="585">
        <v>38.24</v>
      </c>
      <c r="E161" s="585">
        <v>38.24</v>
      </c>
      <c r="F161" s="210"/>
      <c r="I161" s="265">
        <v>38.24</v>
      </c>
      <c r="J161" s="265">
        <v>38.24</v>
      </c>
      <c r="K161" s="266">
        <v>38.24</v>
      </c>
      <c r="L161" s="210"/>
      <c r="O161" s="204">
        <f t="shared" ref="O161:Q167" si="43">IF(ISBLANK(C161),I161,C161)</f>
        <v>38.24</v>
      </c>
      <c r="P161" s="204">
        <f t="shared" si="43"/>
        <v>38.24</v>
      </c>
      <c r="Q161" s="204">
        <f t="shared" si="43"/>
        <v>38.24</v>
      </c>
    </row>
    <row r="162" spans="2:17" x14ac:dyDescent="0.3">
      <c r="B162" s="206" t="s">
        <v>1083</v>
      </c>
      <c r="C162" s="585">
        <v>51.83</v>
      </c>
      <c r="D162" s="585">
        <v>51.83</v>
      </c>
      <c r="E162" s="585">
        <v>51.83</v>
      </c>
      <c r="F162" s="210"/>
      <c r="I162" s="265">
        <v>51.83</v>
      </c>
      <c r="J162" s="265">
        <v>51.83</v>
      </c>
      <c r="K162" s="266">
        <v>51.83</v>
      </c>
      <c r="L162" s="210"/>
      <c r="O162" s="204">
        <f t="shared" si="43"/>
        <v>51.83</v>
      </c>
      <c r="P162" s="204">
        <f t="shared" si="43"/>
        <v>51.83</v>
      </c>
      <c r="Q162" s="204">
        <f t="shared" si="43"/>
        <v>51.83</v>
      </c>
    </row>
    <row r="163" spans="2:17" x14ac:dyDescent="0.3">
      <c r="B163" s="206" t="s">
        <v>1084</v>
      </c>
      <c r="C163" s="585">
        <v>51.83</v>
      </c>
      <c r="D163" s="585">
        <v>51.83</v>
      </c>
      <c r="E163" s="585">
        <v>51.83</v>
      </c>
      <c r="F163" s="210"/>
      <c r="I163" s="265">
        <v>51.83</v>
      </c>
      <c r="J163" s="265">
        <v>51.83</v>
      </c>
      <c r="K163" s="266">
        <v>51.83</v>
      </c>
      <c r="L163" s="210"/>
      <c r="O163" s="204">
        <f t="shared" si="43"/>
        <v>51.83</v>
      </c>
      <c r="P163" s="204">
        <f t="shared" si="43"/>
        <v>51.83</v>
      </c>
      <c r="Q163" s="204">
        <f t="shared" si="43"/>
        <v>51.83</v>
      </c>
    </row>
    <row r="164" spans="2:17" x14ac:dyDescent="0.3">
      <c r="B164" s="206" t="s">
        <v>1085</v>
      </c>
      <c r="C164" s="585">
        <v>39.18</v>
      </c>
      <c r="D164" s="585">
        <v>39.18</v>
      </c>
      <c r="E164" s="585">
        <v>39.18</v>
      </c>
      <c r="F164" s="210"/>
      <c r="I164" s="265">
        <v>39.18</v>
      </c>
      <c r="J164" s="265">
        <v>39.18</v>
      </c>
      <c r="K164" s="266">
        <v>39.18</v>
      </c>
      <c r="L164" s="210"/>
      <c r="O164" s="204">
        <f t="shared" si="43"/>
        <v>39.18</v>
      </c>
      <c r="P164" s="204">
        <f t="shared" si="43"/>
        <v>39.18</v>
      </c>
      <c r="Q164" s="204">
        <f t="shared" si="43"/>
        <v>39.18</v>
      </c>
    </row>
    <row r="165" spans="2:17" x14ac:dyDescent="0.3">
      <c r="B165" s="206" t="s">
        <v>1086</v>
      </c>
      <c r="C165" s="585">
        <v>44.02</v>
      </c>
      <c r="D165" s="585">
        <v>44.02</v>
      </c>
      <c r="E165" s="585">
        <v>44.02</v>
      </c>
      <c r="F165" s="210"/>
      <c r="I165" s="265">
        <v>44.02</v>
      </c>
      <c r="J165" s="265">
        <v>44.02</v>
      </c>
      <c r="K165" s="266">
        <v>44.02</v>
      </c>
      <c r="L165" s="210"/>
      <c r="O165" s="204">
        <f t="shared" si="43"/>
        <v>44.02</v>
      </c>
      <c r="P165" s="204">
        <f t="shared" si="43"/>
        <v>44.02</v>
      </c>
      <c r="Q165" s="204">
        <f t="shared" si="43"/>
        <v>44.02</v>
      </c>
    </row>
    <row r="166" spans="2:17" x14ac:dyDescent="0.3">
      <c r="B166" s="206" t="s">
        <v>1087</v>
      </c>
      <c r="C166" s="585">
        <v>37.590000000000003</v>
      </c>
      <c r="D166" s="585">
        <v>37.590000000000003</v>
      </c>
      <c r="E166" s="585">
        <v>37.590000000000003</v>
      </c>
      <c r="F166" s="210"/>
      <c r="I166" s="265">
        <v>37.590000000000003</v>
      </c>
      <c r="J166" s="265">
        <v>37.590000000000003</v>
      </c>
      <c r="K166" s="266">
        <v>37.590000000000003</v>
      </c>
      <c r="L166" s="210"/>
      <c r="O166" s="204">
        <f t="shared" si="43"/>
        <v>37.590000000000003</v>
      </c>
      <c r="P166" s="204">
        <f t="shared" si="43"/>
        <v>37.590000000000003</v>
      </c>
      <c r="Q166" s="204">
        <f t="shared" si="43"/>
        <v>37.590000000000003</v>
      </c>
    </row>
    <row r="167" spans="2:17" x14ac:dyDescent="0.3">
      <c r="B167" s="206" t="s">
        <v>1443</v>
      </c>
      <c r="C167" s="585">
        <v>41.63</v>
      </c>
      <c r="D167" s="585">
        <v>41.63</v>
      </c>
      <c r="E167" s="585">
        <v>41.63</v>
      </c>
      <c r="F167" s="210"/>
      <c r="I167" s="265">
        <v>41.63</v>
      </c>
      <c r="J167" s="265">
        <v>41.63</v>
      </c>
      <c r="K167" s="266">
        <v>41.63</v>
      </c>
      <c r="L167" s="210"/>
      <c r="O167" s="204">
        <f t="shared" si="43"/>
        <v>41.63</v>
      </c>
      <c r="P167" s="204">
        <f t="shared" si="43"/>
        <v>41.63</v>
      </c>
      <c r="Q167" s="204">
        <f t="shared" si="43"/>
        <v>41.63</v>
      </c>
    </row>
    <row r="168" spans="2:17" x14ac:dyDescent="0.3">
      <c r="B168" s="205" t="s">
        <v>1444</v>
      </c>
      <c r="C168" s="586"/>
      <c r="D168" s="586"/>
      <c r="E168" s="586"/>
      <c r="F168" s="210"/>
      <c r="I168" s="265"/>
      <c r="J168" s="265"/>
      <c r="K168" s="266"/>
      <c r="L168" s="210"/>
    </row>
    <row r="169" spans="2:17" x14ac:dyDescent="0.3">
      <c r="B169" s="206" t="s">
        <v>1082</v>
      </c>
      <c r="C169" s="585">
        <v>38.24</v>
      </c>
      <c r="D169" s="585">
        <v>38.24</v>
      </c>
      <c r="E169" s="585">
        <v>38.24</v>
      </c>
      <c r="F169" s="210"/>
      <c r="I169" s="265">
        <v>38.24</v>
      </c>
      <c r="J169" s="265">
        <v>38.24</v>
      </c>
      <c r="K169" s="266">
        <v>38.24</v>
      </c>
      <c r="L169" s="210"/>
      <c r="O169" s="204">
        <f t="shared" ref="O169:Q175" si="44">IF(ISBLANK(C169),I169,C169)</f>
        <v>38.24</v>
      </c>
      <c r="P169" s="204">
        <f t="shared" si="44"/>
        <v>38.24</v>
      </c>
      <c r="Q169" s="204">
        <f t="shared" si="44"/>
        <v>38.24</v>
      </c>
    </row>
    <row r="170" spans="2:17" x14ac:dyDescent="0.3">
      <c r="B170" s="206" t="s">
        <v>1083</v>
      </c>
      <c r="C170" s="585">
        <v>51.83</v>
      </c>
      <c r="D170" s="585">
        <v>51.83</v>
      </c>
      <c r="E170" s="585">
        <v>51.83</v>
      </c>
      <c r="F170" s="210"/>
      <c r="I170" s="265">
        <v>51.83</v>
      </c>
      <c r="J170" s="265">
        <v>51.83</v>
      </c>
      <c r="K170" s="266">
        <v>51.83</v>
      </c>
      <c r="L170" s="210"/>
      <c r="O170" s="204">
        <f t="shared" si="44"/>
        <v>51.83</v>
      </c>
      <c r="P170" s="204">
        <f t="shared" si="44"/>
        <v>51.83</v>
      </c>
      <c r="Q170" s="204">
        <f t="shared" si="44"/>
        <v>51.83</v>
      </c>
    </row>
    <row r="171" spans="2:17" x14ac:dyDescent="0.3">
      <c r="B171" s="206" t="s">
        <v>1084</v>
      </c>
      <c r="C171" s="585">
        <v>51.83</v>
      </c>
      <c r="D171" s="585">
        <v>51.83</v>
      </c>
      <c r="E171" s="585">
        <v>51.83</v>
      </c>
      <c r="F171" s="210"/>
      <c r="I171" s="265">
        <v>51.83</v>
      </c>
      <c r="J171" s="265">
        <v>51.83</v>
      </c>
      <c r="K171" s="266">
        <v>51.83</v>
      </c>
      <c r="L171" s="210"/>
      <c r="O171" s="204">
        <f t="shared" si="44"/>
        <v>51.83</v>
      </c>
      <c r="P171" s="204">
        <f t="shared" si="44"/>
        <v>51.83</v>
      </c>
      <c r="Q171" s="204">
        <f t="shared" si="44"/>
        <v>51.83</v>
      </c>
    </row>
    <row r="172" spans="2:17" x14ac:dyDescent="0.3">
      <c r="B172" s="206" t="s">
        <v>1085</v>
      </c>
      <c r="C172" s="585">
        <v>41.16</v>
      </c>
      <c r="D172" s="585">
        <v>41.16</v>
      </c>
      <c r="E172" s="585">
        <v>41.16</v>
      </c>
      <c r="F172" s="210"/>
      <c r="I172" s="265">
        <v>41.16</v>
      </c>
      <c r="J172" s="265">
        <v>41.16</v>
      </c>
      <c r="K172" s="266">
        <v>41.16</v>
      </c>
      <c r="L172" s="210"/>
      <c r="O172" s="204">
        <f t="shared" si="44"/>
        <v>41.16</v>
      </c>
      <c r="P172" s="204">
        <f t="shared" si="44"/>
        <v>41.16</v>
      </c>
      <c r="Q172" s="204">
        <f t="shared" si="44"/>
        <v>41.16</v>
      </c>
    </row>
    <row r="173" spans="2:17" x14ac:dyDescent="0.3">
      <c r="B173" s="206" t="s">
        <v>1086</v>
      </c>
      <c r="C173" s="585">
        <v>41.16</v>
      </c>
      <c r="D173" s="585">
        <v>41.16</v>
      </c>
      <c r="E173" s="585">
        <v>41.16</v>
      </c>
      <c r="F173" s="210"/>
      <c r="I173" s="265">
        <v>41.16</v>
      </c>
      <c r="J173" s="265">
        <v>41.16</v>
      </c>
      <c r="K173" s="266">
        <v>41.16</v>
      </c>
      <c r="L173" s="210"/>
      <c r="O173" s="204">
        <f t="shared" si="44"/>
        <v>41.16</v>
      </c>
      <c r="P173" s="204">
        <f t="shared" si="44"/>
        <v>41.16</v>
      </c>
      <c r="Q173" s="204">
        <f t="shared" si="44"/>
        <v>41.16</v>
      </c>
    </row>
    <row r="174" spans="2:17" x14ac:dyDescent="0.3">
      <c r="B174" s="206" t="s">
        <v>1087</v>
      </c>
      <c r="C174" s="585">
        <v>41.16</v>
      </c>
      <c r="D174" s="585">
        <v>41.16</v>
      </c>
      <c r="E174" s="585">
        <v>41.16</v>
      </c>
      <c r="F174" s="210"/>
      <c r="I174" s="265">
        <v>41.16</v>
      </c>
      <c r="J174" s="265">
        <v>41.16</v>
      </c>
      <c r="K174" s="266">
        <v>41.16</v>
      </c>
      <c r="L174" s="210"/>
      <c r="O174" s="204">
        <f t="shared" si="44"/>
        <v>41.16</v>
      </c>
      <c r="P174" s="204">
        <f t="shared" si="44"/>
        <v>41.16</v>
      </c>
      <c r="Q174" s="204">
        <f t="shared" si="44"/>
        <v>41.16</v>
      </c>
    </row>
    <row r="175" spans="2:17" x14ac:dyDescent="0.3">
      <c r="B175" s="206" t="s">
        <v>1443</v>
      </c>
      <c r="C175" s="585">
        <v>41.63</v>
      </c>
      <c r="D175" s="585">
        <v>41.63</v>
      </c>
      <c r="E175" s="585">
        <v>41.63</v>
      </c>
      <c r="F175" s="210"/>
      <c r="I175" s="265">
        <v>41.63</v>
      </c>
      <c r="J175" s="265">
        <v>41.63</v>
      </c>
      <c r="K175" s="266">
        <v>41.63</v>
      </c>
      <c r="L175" s="210"/>
      <c r="O175" s="204">
        <f t="shared" si="44"/>
        <v>41.63</v>
      </c>
      <c r="P175" s="204">
        <f t="shared" si="44"/>
        <v>41.63</v>
      </c>
      <c r="Q175" s="204">
        <f t="shared" si="44"/>
        <v>41.63</v>
      </c>
    </row>
    <row r="176" spans="2:17" x14ac:dyDescent="0.3">
      <c r="B176" s="207" t="s">
        <v>227</v>
      </c>
      <c r="C176" s="587"/>
      <c r="D176" s="587"/>
      <c r="E176" s="587"/>
      <c r="F176" s="210"/>
      <c r="I176" s="265"/>
      <c r="J176" s="265"/>
      <c r="K176" s="266"/>
      <c r="L176" s="210"/>
    </row>
    <row r="177" spans="1:17" x14ac:dyDescent="0.3">
      <c r="B177" s="206" t="s">
        <v>1437</v>
      </c>
      <c r="C177" s="585">
        <v>41.16</v>
      </c>
      <c r="D177" s="585">
        <v>41.16</v>
      </c>
      <c r="E177" s="585">
        <v>41.16</v>
      </c>
      <c r="F177" s="210"/>
      <c r="I177" s="265">
        <v>41.16</v>
      </c>
      <c r="J177" s="265">
        <v>41.16</v>
      </c>
      <c r="K177" s="266">
        <v>41.16</v>
      </c>
      <c r="L177" s="210"/>
      <c r="O177" s="204">
        <f t="shared" ref="O177:Q180" si="45">IF(ISBLANK(C177),I177,C177)</f>
        <v>41.16</v>
      </c>
      <c r="P177" s="204">
        <f t="shared" si="45"/>
        <v>41.16</v>
      </c>
      <c r="Q177" s="204">
        <f t="shared" si="45"/>
        <v>41.16</v>
      </c>
    </row>
    <row r="178" spans="1:17" x14ac:dyDescent="0.3">
      <c r="B178" s="206" t="s">
        <v>1438</v>
      </c>
      <c r="C178" s="585">
        <v>41.16</v>
      </c>
      <c r="D178" s="585">
        <v>41.16</v>
      </c>
      <c r="E178" s="585">
        <v>41.16</v>
      </c>
      <c r="F178" s="210"/>
      <c r="I178" s="265">
        <v>41.16</v>
      </c>
      <c r="J178" s="265">
        <v>41.16</v>
      </c>
      <c r="K178" s="266">
        <v>41.16</v>
      </c>
      <c r="L178" s="210"/>
      <c r="O178" s="204">
        <f t="shared" si="45"/>
        <v>41.16</v>
      </c>
      <c r="P178" s="204">
        <f t="shared" si="45"/>
        <v>41.16</v>
      </c>
      <c r="Q178" s="204">
        <f t="shared" si="45"/>
        <v>41.16</v>
      </c>
    </row>
    <row r="179" spans="1:17" x14ac:dyDescent="0.3">
      <c r="B179" s="206" t="s">
        <v>1441</v>
      </c>
      <c r="C179" s="585">
        <v>41.16</v>
      </c>
      <c r="D179" s="585">
        <v>41.16</v>
      </c>
      <c r="E179" s="585">
        <v>41.16</v>
      </c>
      <c r="F179" s="210"/>
      <c r="I179" s="265">
        <v>41.16</v>
      </c>
      <c r="J179" s="265">
        <v>41.16</v>
      </c>
      <c r="K179" s="266">
        <v>41.16</v>
      </c>
      <c r="L179" s="210"/>
      <c r="O179" s="204">
        <f t="shared" si="45"/>
        <v>41.16</v>
      </c>
      <c r="P179" s="204">
        <f t="shared" si="45"/>
        <v>41.16</v>
      </c>
      <c r="Q179" s="204">
        <f t="shared" si="45"/>
        <v>41.16</v>
      </c>
    </row>
    <row r="180" spans="1:17" x14ac:dyDescent="0.3">
      <c r="B180" s="206" t="s">
        <v>1442</v>
      </c>
      <c r="C180" s="585">
        <v>41.16</v>
      </c>
      <c r="D180" s="585">
        <v>41.16</v>
      </c>
      <c r="E180" s="585">
        <v>41.16</v>
      </c>
      <c r="F180" s="210"/>
      <c r="I180" s="265">
        <v>41.16</v>
      </c>
      <c r="J180" s="265">
        <v>41.16</v>
      </c>
      <c r="K180" s="266">
        <v>41.16</v>
      </c>
      <c r="L180" s="210"/>
      <c r="O180" s="204">
        <f t="shared" si="45"/>
        <v>41.16</v>
      </c>
      <c r="P180" s="204">
        <f t="shared" si="45"/>
        <v>41.16</v>
      </c>
      <c r="Q180" s="204">
        <f t="shared" si="45"/>
        <v>41.16</v>
      </c>
    </row>
    <row r="181" spans="1:17" x14ac:dyDescent="0.3">
      <c r="B181" s="207" t="s">
        <v>920</v>
      </c>
      <c r="C181" s="332"/>
      <c r="D181" s="332"/>
      <c r="E181" s="332"/>
      <c r="F181" s="210"/>
      <c r="I181" s="265"/>
      <c r="J181" s="265"/>
      <c r="K181" s="266"/>
      <c r="L181" s="210"/>
    </row>
    <row r="182" spans="1:17" x14ac:dyDescent="0.3">
      <c r="B182" s="206" t="s">
        <v>920</v>
      </c>
      <c r="C182" s="585">
        <v>41.16</v>
      </c>
      <c r="D182" s="585">
        <v>41.16</v>
      </c>
      <c r="E182" s="585">
        <v>41.16</v>
      </c>
      <c r="F182" s="210"/>
      <c r="I182" s="265">
        <v>41.16</v>
      </c>
      <c r="J182" s="265">
        <v>41.16</v>
      </c>
      <c r="K182" s="266">
        <v>41.16</v>
      </c>
      <c r="L182" s="210"/>
      <c r="O182" s="204">
        <f t="shared" ref="O182:Q183" si="46">IF(ISBLANK(C182),I182,C182)</f>
        <v>41.16</v>
      </c>
      <c r="P182" s="204">
        <f t="shared" si="46"/>
        <v>41.16</v>
      </c>
      <c r="Q182" s="204">
        <f t="shared" si="46"/>
        <v>41.16</v>
      </c>
    </row>
    <row r="183" spans="1:17" x14ac:dyDescent="0.3">
      <c r="B183" s="206" t="s">
        <v>980</v>
      </c>
      <c r="C183" s="585">
        <v>41.16</v>
      </c>
      <c r="D183" s="585">
        <v>41.16</v>
      </c>
      <c r="E183" s="585">
        <v>41.16</v>
      </c>
      <c r="F183" s="210"/>
      <c r="I183" s="265">
        <v>41.16</v>
      </c>
      <c r="J183" s="265">
        <v>41.16</v>
      </c>
      <c r="K183" s="266">
        <v>41.16</v>
      </c>
      <c r="L183" s="210"/>
      <c r="O183" s="204">
        <f t="shared" si="46"/>
        <v>41.16</v>
      </c>
      <c r="P183" s="204">
        <f t="shared" si="46"/>
        <v>41.16</v>
      </c>
      <c r="Q183" s="204">
        <f t="shared" si="46"/>
        <v>41.16</v>
      </c>
    </row>
    <row r="184" spans="1:17" x14ac:dyDescent="0.3">
      <c r="B184" s="206"/>
      <c r="C184" s="265"/>
      <c r="D184" s="265"/>
      <c r="E184" s="266"/>
      <c r="F184" s="210"/>
      <c r="I184" s="265"/>
      <c r="J184" s="265"/>
      <c r="K184" s="266"/>
      <c r="L184" s="210"/>
    </row>
    <row r="185" spans="1:17" customFormat="1" x14ac:dyDescent="0.3">
      <c r="A185" s="204"/>
      <c r="B185" s="18"/>
      <c r="C185" s="264"/>
      <c r="D185" s="264"/>
      <c r="E185" s="204"/>
      <c r="F185" s="204"/>
      <c r="G185" s="204"/>
      <c r="H185" s="204"/>
      <c r="I185" s="204"/>
      <c r="J185" s="204"/>
      <c r="K185" s="204"/>
      <c r="L185" s="204"/>
      <c r="M185" s="204"/>
      <c r="N185" s="204"/>
      <c r="O185" s="204"/>
      <c r="P185" s="204"/>
      <c r="Q185" s="204"/>
    </row>
    <row r="186" spans="1:17" x14ac:dyDescent="0.3">
      <c r="B186" s="220"/>
    </row>
    <row r="187" spans="1:17" x14ac:dyDescent="0.3">
      <c r="B187" s="249"/>
    </row>
    <row r="188" spans="1:17" x14ac:dyDescent="0.3"/>
    <row r="189" spans="1:17" x14ac:dyDescent="0.3">
      <c r="G189" s="204" t="s">
        <v>1066</v>
      </c>
    </row>
    <row r="190" spans="1:17" x14ac:dyDescent="0.3"/>
    <row r="191" spans="1:17" x14ac:dyDescent="0.3"/>
    <row r="192" spans="1:17" x14ac:dyDescent="0.3"/>
    <row r="193" x14ac:dyDescent="0.3"/>
    <row r="194" x14ac:dyDescent="0.3"/>
    <row r="195" x14ac:dyDescent="0.3"/>
    <row r="196" x14ac:dyDescent="0.3"/>
    <row r="197" x14ac:dyDescent="0.3"/>
    <row r="198" x14ac:dyDescent="0.3"/>
    <row r="199" x14ac:dyDescent="0.3"/>
    <row r="200" x14ac:dyDescent="0.3"/>
    <row r="201" x14ac:dyDescent="0.3"/>
    <row r="202" x14ac:dyDescent="0.3"/>
    <row r="203" x14ac:dyDescent="0.3"/>
  </sheetData>
  <mergeCells count="18">
    <mergeCell ref="C158:G158"/>
    <mergeCell ref="I158:M158"/>
    <mergeCell ref="B127:G127"/>
    <mergeCell ref="I127:M127"/>
    <mergeCell ref="C128:G128"/>
    <mergeCell ref="I128:M128"/>
    <mergeCell ref="B157:G157"/>
    <mergeCell ref="I157:M157"/>
    <mergeCell ref="B69:G69"/>
    <mergeCell ref="I69:M69"/>
    <mergeCell ref="B98:G98"/>
    <mergeCell ref="I98:M98"/>
    <mergeCell ref="C5:E5"/>
    <mergeCell ref="C6:E6"/>
    <mergeCell ref="I10:M10"/>
    <mergeCell ref="B10:G10"/>
    <mergeCell ref="B40:G40"/>
    <mergeCell ref="I40:M40"/>
  </mergeCells>
  <dataValidations count="1">
    <dataValidation allowBlank="1" showDropDown="1" showInputMessage="1" showErrorMessage="1" sqref="I129 C129 O129 I159 C159 O159" xr:uid="{00000000-0002-0000-0600-000000000000}"/>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FFCC"/>
  </sheetPr>
  <dimension ref="A1:AJ693"/>
  <sheetViews>
    <sheetView topLeftCell="A11" zoomScale="70" zoomScaleNormal="70" workbookViewId="0">
      <selection activeCell="C689" sqref="C689"/>
    </sheetView>
  </sheetViews>
  <sheetFormatPr defaultColWidth="9.109375" defaultRowHeight="14.4" x14ac:dyDescent="0.3"/>
  <cols>
    <col min="1" max="1" width="4.6640625" style="204" customWidth="1"/>
    <col min="2" max="2" width="38.5546875" style="204" customWidth="1"/>
    <col min="3" max="3" width="12" style="204" customWidth="1"/>
    <col min="4" max="4" width="12.5546875" style="204" bestFit="1" customWidth="1"/>
    <col min="5" max="5" width="13" style="204" customWidth="1"/>
    <col min="6" max="6" width="16.44140625" style="204" customWidth="1"/>
    <col min="7" max="7" width="22" style="204" customWidth="1"/>
    <col min="8" max="8" width="11.109375" style="204" customWidth="1"/>
    <col min="9" max="9" width="10" style="204" bestFit="1" customWidth="1"/>
    <col min="10" max="10" width="10" style="204" customWidth="1"/>
    <col min="11" max="11" width="12.6640625" style="204" customWidth="1"/>
    <col min="12" max="12" width="20.33203125" style="204" customWidth="1"/>
    <col min="13" max="13" width="17.109375" style="204" customWidth="1"/>
    <col min="14" max="15" width="10.88671875" style="204" customWidth="1"/>
    <col min="16" max="16" width="11" style="204" customWidth="1"/>
    <col min="17" max="17" width="10.5546875" style="204" customWidth="1"/>
    <col min="18" max="18" width="24" style="204" customWidth="1"/>
    <col min="19" max="19" width="11.44140625" style="204" customWidth="1"/>
    <col min="20" max="20" width="9.88671875" style="204" customWidth="1"/>
    <col min="21" max="21" width="19.33203125" style="204" customWidth="1"/>
    <col min="22" max="22" width="23.44140625" style="204" customWidth="1"/>
    <col min="23" max="23" width="9.109375" style="204"/>
    <col min="24" max="24" width="20.6640625" style="204" bestFit="1" customWidth="1"/>
    <col min="25" max="28" width="9.109375" style="204"/>
    <col min="29" max="29" width="26.88671875" style="204" bestFit="1" customWidth="1"/>
    <col min="30" max="16384" width="9.109375" style="204"/>
  </cols>
  <sheetData>
    <row r="1" spans="2:36" ht="37.950000000000003" customHeight="1" x14ac:dyDescent="0.5">
      <c r="B1" s="217" t="s">
        <v>1058</v>
      </c>
      <c r="C1" s="217"/>
      <c r="D1"/>
    </row>
    <row r="2" spans="2:36" ht="27" customHeight="1" x14ac:dyDescent="0.4">
      <c r="B2" s="317" t="s">
        <v>1071</v>
      </c>
      <c r="C2" s="317"/>
      <c r="D2" s="317"/>
      <c r="E2" s="317"/>
      <c r="F2" s="317"/>
      <c r="G2" s="317"/>
      <c r="H2" s="317"/>
      <c r="I2" s="317"/>
      <c r="J2" s="317"/>
      <c r="K2" s="317"/>
      <c r="L2" s="317"/>
      <c r="M2" s="317"/>
    </row>
    <row r="4" spans="2:36" x14ac:dyDescent="0.3">
      <c r="B4" s="204" t="s">
        <v>1065</v>
      </c>
    </row>
    <row r="5" spans="2:36" x14ac:dyDescent="0.3">
      <c r="B5" s="318" t="s">
        <v>586</v>
      </c>
      <c r="C5" s="783" t="str">
        <f>'General input'!$C$4</f>
        <v>South Africa</v>
      </c>
      <c r="D5" s="784"/>
      <c r="E5" s="785"/>
    </row>
    <row r="6" spans="2:36" x14ac:dyDescent="0.3">
      <c r="B6" s="318" t="s">
        <v>987</v>
      </c>
      <c r="C6" s="783" t="str">
        <f>VLOOKUP('General input'!$U$20,'General input'!$R$20:S25,2)</f>
        <v>Children (0.5-5 years)</v>
      </c>
      <c r="D6" s="784"/>
      <c r="E6" s="785"/>
    </row>
    <row r="7" spans="2:36" x14ac:dyDescent="0.3">
      <c r="B7" s="318"/>
    </row>
    <row r="8" spans="2:36" ht="23.4" x14ac:dyDescent="0.45">
      <c r="B8" s="379" t="s">
        <v>1361</v>
      </c>
    </row>
    <row r="9" spans="2:36" x14ac:dyDescent="0.3">
      <c r="B9" s="318"/>
    </row>
    <row r="10" spans="2:36" x14ac:dyDescent="0.3">
      <c r="B10" s="236" t="s">
        <v>1363</v>
      </c>
    </row>
    <row r="11" spans="2:36" x14ac:dyDescent="0.3">
      <c r="B11" s="236"/>
    </row>
    <row r="12" spans="2:36" x14ac:dyDescent="0.3">
      <c r="B12" s="781" t="s">
        <v>1095</v>
      </c>
      <c r="C12" s="781"/>
      <c r="D12" s="781"/>
      <c r="E12" s="781"/>
      <c r="F12" s="781"/>
      <c r="G12" s="781"/>
      <c r="I12" s="787" t="s">
        <v>1096</v>
      </c>
      <c r="J12" s="787"/>
      <c r="K12" s="787"/>
      <c r="L12" s="787"/>
      <c r="M12" s="787"/>
      <c r="O12" s="204" t="s">
        <v>1097</v>
      </c>
      <c r="X12" s="215"/>
    </row>
    <row r="13" spans="2:36" ht="18.600000000000001" thickBot="1" x14ac:dyDescent="0.4">
      <c r="B13"/>
      <c r="C13" s="786" t="s">
        <v>1072</v>
      </c>
      <c r="D13" s="786"/>
      <c r="E13" s="786"/>
      <c r="F13" s="786"/>
      <c r="G13" s="786"/>
      <c r="I13" s="786" t="s">
        <v>1072</v>
      </c>
      <c r="J13" s="786"/>
      <c r="K13" s="786"/>
      <c r="L13" s="786"/>
      <c r="M13" s="786"/>
    </row>
    <row r="14" spans="2:36" x14ac:dyDescent="0.3">
      <c r="B14" s="286"/>
      <c r="C14" s="214" t="s">
        <v>563</v>
      </c>
      <c r="D14" s="214" t="s">
        <v>985</v>
      </c>
      <c r="E14" s="214" t="s">
        <v>986</v>
      </c>
      <c r="F14" s="319" t="s">
        <v>592</v>
      </c>
      <c r="G14" s="215" t="s">
        <v>591</v>
      </c>
      <c r="I14" s="214" t="s">
        <v>563</v>
      </c>
      <c r="J14" s="214" t="s">
        <v>985</v>
      </c>
      <c r="K14" s="214" t="s">
        <v>986</v>
      </c>
      <c r="L14" s="319" t="s">
        <v>592</v>
      </c>
      <c r="M14" s="215" t="s">
        <v>591</v>
      </c>
      <c r="O14" s="214" t="s">
        <v>563</v>
      </c>
      <c r="P14" s="214" t="s">
        <v>985</v>
      </c>
      <c r="Q14" s="214" t="s">
        <v>986</v>
      </c>
      <c r="AB14" s="467" t="s">
        <v>685</v>
      </c>
      <c r="AC14" s="467" t="s">
        <v>686</v>
      </c>
      <c r="AD14" s="467" t="s">
        <v>687</v>
      </c>
      <c r="AE14" s="467" t="s">
        <v>685</v>
      </c>
      <c r="AF14" s="467" t="s">
        <v>686</v>
      </c>
      <c r="AG14" s="467" t="s">
        <v>687</v>
      </c>
      <c r="AH14" s="467" t="s">
        <v>685</v>
      </c>
      <c r="AI14" s="467" t="s">
        <v>686</v>
      </c>
      <c r="AJ14" s="467" t="s">
        <v>687</v>
      </c>
    </row>
    <row r="15" spans="2:36" ht="15" customHeight="1" x14ac:dyDescent="0.3">
      <c r="B15" s="205" t="s">
        <v>1434</v>
      </c>
      <c r="F15" s="320"/>
      <c r="G15" s="251"/>
      <c r="M15" s="251"/>
      <c r="AA15" s="206" t="s">
        <v>8</v>
      </c>
      <c r="AB15" s="467">
        <v>3.76</v>
      </c>
      <c r="AC15" s="467">
        <v>2.91</v>
      </c>
      <c r="AD15" s="467">
        <v>7.59</v>
      </c>
      <c r="AE15" s="467">
        <v>3.2</v>
      </c>
      <c r="AF15" s="467">
        <v>1.1200000000000001</v>
      </c>
      <c r="AG15" s="467">
        <v>4.4400000000000004</v>
      </c>
      <c r="AH15" s="467">
        <v>3.51</v>
      </c>
      <c r="AI15" s="467">
        <v>2.88</v>
      </c>
      <c r="AJ15" s="467">
        <v>3.63</v>
      </c>
    </row>
    <row r="16" spans="2:36" ht="15" customHeight="1" x14ac:dyDescent="0.3">
      <c r="B16" s="206" t="s">
        <v>1082</v>
      </c>
      <c r="C16" s="167">
        <v>40.22</v>
      </c>
      <c r="D16" s="167">
        <v>14.29</v>
      </c>
      <c r="E16" s="167">
        <v>56.64965311236994</v>
      </c>
      <c r="F16" s="320" t="s">
        <v>1614</v>
      </c>
      <c r="G16" s="251" t="s">
        <v>1144</v>
      </c>
      <c r="I16" s="167">
        <v>40.22</v>
      </c>
      <c r="J16" s="167">
        <v>14.29</v>
      </c>
      <c r="K16" s="167">
        <v>56.64965311236994</v>
      </c>
      <c r="L16" s="320"/>
      <c r="M16" s="251"/>
      <c r="O16">
        <f>IF(ISBLANK(C16),I16,C16)</f>
        <v>40.22</v>
      </c>
      <c r="P16">
        <f t="shared" ref="P16:Q38" si="0">IF(ISBLANK(D16),J16,D16)</f>
        <v>14.29</v>
      </c>
      <c r="Q16">
        <f t="shared" si="0"/>
        <v>56.64965311236994</v>
      </c>
      <c r="S16" s="204" t="s">
        <v>1358</v>
      </c>
      <c r="AA16" s="206" t="s">
        <v>2</v>
      </c>
      <c r="AB16" s="467">
        <v>3.76</v>
      </c>
      <c r="AC16" s="467">
        <v>2.91</v>
      </c>
      <c r="AD16" s="467">
        <v>7.59</v>
      </c>
      <c r="AE16" s="467">
        <v>3.2</v>
      </c>
      <c r="AF16" s="467">
        <v>1.1200000000000001</v>
      </c>
      <c r="AG16" s="467">
        <v>4.4400000000000004</v>
      </c>
      <c r="AH16" s="467">
        <v>3.51</v>
      </c>
      <c r="AI16" s="467">
        <v>2.88</v>
      </c>
      <c r="AJ16" s="467">
        <v>3.63</v>
      </c>
    </row>
    <row r="17" spans="2:36" ht="15" customHeight="1" x14ac:dyDescent="0.3">
      <c r="B17" s="206" t="s">
        <v>1083</v>
      </c>
      <c r="C17" s="167">
        <v>40.22</v>
      </c>
      <c r="D17" s="167">
        <v>14.29</v>
      </c>
      <c r="E17" s="167">
        <v>56.64965311236994</v>
      </c>
      <c r="F17" s="320" t="s">
        <v>1614</v>
      </c>
      <c r="G17" s="251" t="s">
        <v>1144</v>
      </c>
      <c r="I17" s="167">
        <v>40.22</v>
      </c>
      <c r="J17" s="167">
        <v>14.29</v>
      </c>
      <c r="K17" s="167">
        <v>56.64965311236994</v>
      </c>
      <c r="L17" s="320"/>
      <c r="M17" s="251"/>
      <c r="O17">
        <f t="shared" ref="O17:O38" si="1">IF(ISBLANK(C17),I17,C17)</f>
        <v>40.22</v>
      </c>
      <c r="P17">
        <f t="shared" si="0"/>
        <v>14.29</v>
      </c>
      <c r="Q17">
        <f t="shared" si="0"/>
        <v>56.64965311236994</v>
      </c>
      <c r="AA17" s="206" t="s">
        <v>3</v>
      </c>
      <c r="AB17" s="467">
        <v>3.76</v>
      </c>
      <c r="AC17" s="467">
        <v>2.91</v>
      </c>
      <c r="AD17" s="467">
        <v>7.59</v>
      </c>
      <c r="AE17" s="467">
        <v>3.2</v>
      </c>
      <c r="AF17" s="467">
        <v>1.1200000000000001</v>
      </c>
      <c r="AG17" s="467">
        <v>4.4400000000000004</v>
      </c>
      <c r="AH17" s="467">
        <v>3.51</v>
      </c>
      <c r="AI17" s="467">
        <v>2.88</v>
      </c>
      <c r="AJ17" s="467">
        <v>3.63</v>
      </c>
    </row>
    <row r="18" spans="2:36" ht="15" customHeight="1" x14ac:dyDescent="0.3">
      <c r="B18" s="206" t="s">
        <v>1084</v>
      </c>
      <c r="C18" s="167">
        <v>40.22</v>
      </c>
      <c r="D18" s="167">
        <v>14.29</v>
      </c>
      <c r="E18" s="167">
        <v>56.64965311236994</v>
      </c>
      <c r="F18" s="320" t="s">
        <v>1614</v>
      </c>
      <c r="G18" s="251" t="s">
        <v>1144</v>
      </c>
      <c r="I18" s="167">
        <v>40.22</v>
      </c>
      <c r="J18" s="167">
        <v>14.29</v>
      </c>
      <c r="K18" s="167">
        <v>56.64965311236994</v>
      </c>
      <c r="L18" s="320"/>
      <c r="M18" s="251"/>
      <c r="O18">
        <f t="shared" si="1"/>
        <v>40.22</v>
      </c>
      <c r="P18">
        <f t="shared" si="0"/>
        <v>14.29</v>
      </c>
      <c r="Q18">
        <f t="shared" si="0"/>
        <v>56.64965311236994</v>
      </c>
      <c r="AA18" s="206" t="s">
        <v>4</v>
      </c>
      <c r="AB18" s="467">
        <v>3.76</v>
      </c>
      <c r="AC18" s="467">
        <v>2.91</v>
      </c>
      <c r="AD18" s="467">
        <v>7.59</v>
      </c>
      <c r="AE18" s="467">
        <v>3.2</v>
      </c>
      <c r="AF18" s="467">
        <v>1.1200000000000001</v>
      </c>
      <c r="AG18" s="467">
        <v>4.4400000000000004</v>
      </c>
      <c r="AH18" s="467">
        <v>3.51</v>
      </c>
      <c r="AI18" s="467">
        <v>2.88</v>
      </c>
      <c r="AJ18" s="467">
        <v>3.63</v>
      </c>
    </row>
    <row r="19" spans="2:36" ht="15" customHeight="1" x14ac:dyDescent="0.3">
      <c r="B19" s="206" t="s">
        <v>1085</v>
      </c>
      <c r="C19" s="167">
        <v>40.22</v>
      </c>
      <c r="D19" s="167">
        <v>14.29</v>
      </c>
      <c r="E19" s="167">
        <v>56.64965311236994</v>
      </c>
      <c r="F19" s="320" t="s">
        <v>1614</v>
      </c>
      <c r="G19" s="251" t="s">
        <v>1144</v>
      </c>
      <c r="I19" s="167">
        <v>40.22</v>
      </c>
      <c r="J19" s="167">
        <v>14.29</v>
      </c>
      <c r="K19" s="167">
        <v>56.64965311236994</v>
      </c>
      <c r="L19" s="320"/>
      <c r="M19" s="251"/>
      <c r="O19">
        <f t="shared" si="1"/>
        <v>40.22</v>
      </c>
      <c r="P19">
        <f t="shared" si="0"/>
        <v>14.29</v>
      </c>
      <c r="Q19">
        <f t="shared" si="0"/>
        <v>56.64965311236994</v>
      </c>
      <c r="AA19" s="206" t="s">
        <v>5</v>
      </c>
      <c r="AB19" s="467">
        <v>3.76</v>
      </c>
      <c r="AC19" s="467">
        <v>2.91</v>
      </c>
      <c r="AD19" s="467">
        <v>7.59</v>
      </c>
      <c r="AE19" s="467">
        <v>3.2</v>
      </c>
      <c r="AF19" s="467">
        <v>1.1200000000000001</v>
      </c>
      <c r="AG19" s="467">
        <v>4.4400000000000004</v>
      </c>
      <c r="AH19" s="467">
        <v>3.51</v>
      </c>
      <c r="AI19" s="467">
        <v>2.88</v>
      </c>
      <c r="AJ19" s="467">
        <v>3.63</v>
      </c>
    </row>
    <row r="20" spans="2:36" ht="15" customHeight="1" x14ac:dyDescent="0.3">
      <c r="B20" s="206" t="s">
        <v>1086</v>
      </c>
      <c r="C20" s="167">
        <v>40.22</v>
      </c>
      <c r="D20" s="167">
        <v>14.29</v>
      </c>
      <c r="E20" s="167">
        <v>56.64965311236994</v>
      </c>
      <c r="F20" s="320" t="s">
        <v>1614</v>
      </c>
      <c r="G20" s="251" t="s">
        <v>1144</v>
      </c>
      <c r="I20" s="167">
        <v>40.22</v>
      </c>
      <c r="J20" s="167">
        <v>14.29</v>
      </c>
      <c r="K20" s="167">
        <v>56.64965311236994</v>
      </c>
      <c r="L20" s="320"/>
      <c r="M20" s="251"/>
      <c r="O20">
        <f t="shared" si="1"/>
        <v>40.22</v>
      </c>
      <c r="P20">
        <f t="shared" si="0"/>
        <v>14.29</v>
      </c>
      <c r="Q20">
        <f t="shared" si="0"/>
        <v>56.64965311236994</v>
      </c>
      <c r="AA20" s="206" t="s">
        <v>6</v>
      </c>
      <c r="AB20" s="467">
        <v>3.76</v>
      </c>
      <c r="AC20" s="467">
        <v>2.91</v>
      </c>
      <c r="AD20" s="467">
        <v>7.59</v>
      </c>
      <c r="AE20" s="467">
        <v>3.2</v>
      </c>
      <c r="AF20" s="467">
        <v>1.1200000000000001</v>
      </c>
      <c r="AG20" s="467">
        <v>4.4400000000000004</v>
      </c>
      <c r="AH20" s="467">
        <v>3.51</v>
      </c>
      <c r="AI20" s="467">
        <v>2.88</v>
      </c>
      <c r="AJ20" s="467">
        <v>3.63</v>
      </c>
    </row>
    <row r="21" spans="2:36" ht="15" customHeight="1" x14ac:dyDescent="0.3">
      <c r="B21" s="206" t="s">
        <v>1087</v>
      </c>
      <c r="C21" s="167">
        <v>40.22</v>
      </c>
      <c r="D21" s="167">
        <v>14.29</v>
      </c>
      <c r="E21" s="167">
        <v>56.64965311236994</v>
      </c>
      <c r="F21" s="320" t="s">
        <v>1614</v>
      </c>
      <c r="G21" s="251" t="s">
        <v>1144</v>
      </c>
      <c r="I21" s="167">
        <v>40.22</v>
      </c>
      <c r="J21" s="167">
        <v>14.29</v>
      </c>
      <c r="K21" s="167">
        <v>56.64965311236994</v>
      </c>
      <c r="L21" s="320"/>
      <c r="M21" s="251"/>
      <c r="O21">
        <f t="shared" si="1"/>
        <v>40.22</v>
      </c>
      <c r="P21">
        <f t="shared" si="0"/>
        <v>14.29</v>
      </c>
      <c r="Q21">
        <f t="shared" si="0"/>
        <v>56.64965311236994</v>
      </c>
      <c r="AA21" s="206" t="s">
        <v>7</v>
      </c>
      <c r="AB21" s="467">
        <v>3.76</v>
      </c>
      <c r="AC21" s="467">
        <v>2.91</v>
      </c>
      <c r="AD21" s="467">
        <v>7.59</v>
      </c>
      <c r="AE21" s="467">
        <v>3.2</v>
      </c>
      <c r="AF21" s="467">
        <v>1.1200000000000001</v>
      </c>
      <c r="AG21" s="467">
        <v>4.4400000000000004</v>
      </c>
      <c r="AH21" s="467">
        <v>3.51</v>
      </c>
      <c r="AI21" s="467">
        <v>2.88</v>
      </c>
      <c r="AJ21" s="467">
        <v>3.63</v>
      </c>
    </row>
    <row r="22" spans="2:36" ht="15" customHeight="1" x14ac:dyDescent="0.3">
      <c r="B22" s="206" t="s">
        <v>1443</v>
      </c>
      <c r="C22" s="167">
        <v>40.22</v>
      </c>
      <c r="D22" s="167">
        <v>14.29</v>
      </c>
      <c r="E22" s="167">
        <v>56.64965311236994</v>
      </c>
      <c r="F22" s="320" t="s">
        <v>1614</v>
      </c>
      <c r="G22" s="251" t="s">
        <v>1144</v>
      </c>
      <c r="I22" s="167">
        <v>40.22</v>
      </c>
      <c r="J22" s="167">
        <v>14.29</v>
      </c>
      <c r="K22" s="167">
        <v>56.64965311236994</v>
      </c>
      <c r="L22" s="320"/>
      <c r="M22" s="251"/>
      <c r="O22">
        <f t="shared" si="1"/>
        <v>40.22</v>
      </c>
      <c r="P22">
        <f t="shared" si="0"/>
        <v>14.29</v>
      </c>
      <c r="Q22">
        <f t="shared" si="0"/>
        <v>56.64965311236994</v>
      </c>
      <c r="AA22" s="206" t="s">
        <v>11</v>
      </c>
      <c r="AB22" s="467">
        <v>3.76</v>
      </c>
      <c r="AC22" s="467">
        <v>2.91</v>
      </c>
      <c r="AD22" s="467">
        <v>7.59</v>
      </c>
      <c r="AE22" s="467">
        <v>3.2</v>
      </c>
      <c r="AF22" s="467">
        <v>1.1200000000000001</v>
      </c>
      <c r="AG22" s="467">
        <v>4.4400000000000004</v>
      </c>
      <c r="AH22" s="467">
        <v>3.51</v>
      </c>
      <c r="AI22" s="467">
        <v>2.88</v>
      </c>
      <c r="AJ22" s="467">
        <v>3.63</v>
      </c>
    </row>
    <row r="23" spans="2:36" ht="15" customHeight="1" x14ac:dyDescent="0.3">
      <c r="B23" s="205" t="s">
        <v>1435</v>
      </c>
      <c r="F23" s="251"/>
      <c r="G23" s="251"/>
      <c r="M23" s="251"/>
      <c r="O23"/>
      <c r="P23"/>
      <c r="Q23"/>
      <c r="AA23" s="206" t="s">
        <v>8</v>
      </c>
      <c r="AB23" s="467">
        <v>3.76</v>
      </c>
      <c r="AC23" s="467">
        <v>2.91</v>
      </c>
      <c r="AD23" s="467">
        <v>7.59</v>
      </c>
      <c r="AE23" s="467">
        <v>3.2</v>
      </c>
      <c r="AF23" s="467">
        <v>1.1200000000000001</v>
      </c>
      <c r="AG23" s="467">
        <v>4.4400000000000004</v>
      </c>
      <c r="AH23" s="467">
        <v>3.51</v>
      </c>
      <c r="AI23" s="467">
        <v>2.88</v>
      </c>
      <c r="AJ23" s="467">
        <v>3.63</v>
      </c>
    </row>
    <row r="24" spans="2:36" ht="15" customHeight="1" x14ac:dyDescent="0.3">
      <c r="B24" s="206" t="s">
        <v>1082</v>
      </c>
      <c r="C24" s="167">
        <v>40.22</v>
      </c>
      <c r="D24" s="167">
        <v>14.29</v>
      </c>
      <c r="E24" s="167">
        <v>56.64965311236994</v>
      </c>
      <c r="F24" s="320" t="s">
        <v>1614</v>
      </c>
      <c r="G24" s="251" t="s">
        <v>1144</v>
      </c>
      <c r="I24" s="167">
        <v>40.22</v>
      </c>
      <c r="J24" s="167">
        <v>14.29</v>
      </c>
      <c r="K24" s="167">
        <v>56.64965311236994</v>
      </c>
      <c r="L24" s="320"/>
      <c r="M24" s="251"/>
      <c r="O24">
        <f t="shared" si="1"/>
        <v>40.22</v>
      </c>
      <c r="P24">
        <f t="shared" si="0"/>
        <v>14.29</v>
      </c>
      <c r="Q24">
        <f t="shared" si="0"/>
        <v>56.64965311236994</v>
      </c>
      <c r="S24" s="204" t="s">
        <v>1358</v>
      </c>
      <c r="AA24" s="206" t="s">
        <v>2</v>
      </c>
      <c r="AB24" s="467">
        <v>3.76</v>
      </c>
      <c r="AC24" s="467">
        <v>2.91</v>
      </c>
      <c r="AD24" s="467">
        <v>7.59</v>
      </c>
      <c r="AE24" s="467">
        <v>3.2</v>
      </c>
      <c r="AF24" s="467">
        <v>1.1200000000000001</v>
      </c>
      <c r="AG24" s="467">
        <v>4.4400000000000004</v>
      </c>
      <c r="AH24" s="467">
        <v>3.51</v>
      </c>
      <c r="AI24" s="467">
        <v>2.88</v>
      </c>
      <c r="AJ24" s="467">
        <v>3.63</v>
      </c>
    </row>
    <row r="25" spans="2:36" ht="15" customHeight="1" x14ac:dyDescent="0.3">
      <c r="B25" s="206" t="s">
        <v>1083</v>
      </c>
      <c r="C25" s="167">
        <v>40.22</v>
      </c>
      <c r="D25" s="167">
        <v>14.29</v>
      </c>
      <c r="E25" s="167">
        <v>56.64965311236994</v>
      </c>
      <c r="F25" s="320" t="s">
        <v>1614</v>
      </c>
      <c r="G25" s="251" t="s">
        <v>1144</v>
      </c>
      <c r="I25" s="167">
        <v>40.22</v>
      </c>
      <c r="J25" s="167">
        <v>14.29</v>
      </c>
      <c r="K25" s="167">
        <v>56.64965311236994</v>
      </c>
      <c r="L25" s="320"/>
      <c r="M25" s="251"/>
      <c r="O25">
        <f t="shared" si="1"/>
        <v>40.22</v>
      </c>
      <c r="P25">
        <f t="shared" si="0"/>
        <v>14.29</v>
      </c>
      <c r="Q25">
        <f t="shared" si="0"/>
        <v>56.64965311236994</v>
      </c>
      <c r="AA25" s="206" t="s">
        <v>3</v>
      </c>
      <c r="AB25" s="467">
        <v>3.76</v>
      </c>
      <c r="AC25" s="467">
        <v>2.91</v>
      </c>
      <c r="AD25" s="467">
        <v>7.59</v>
      </c>
      <c r="AE25" s="467">
        <v>3.2</v>
      </c>
      <c r="AF25" s="467">
        <v>1.1200000000000001</v>
      </c>
      <c r="AG25" s="467">
        <v>4.4400000000000004</v>
      </c>
      <c r="AH25" s="467">
        <v>3.51</v>
      </c>
      <c r="AI25" s="467">
        <v>2.88</v>
      </c>
      <c r="AJ25" s="467">
        <v>3.63</v>
      </c>
    </row>
    <row r="26" spans="2:36" ht="15" customHeight="1" x14ac:dyDescent="0.3">
      <c r="B26" s="206" t="s">
        <v>1084</v>
      </c>
      <c r="C26" s="167">
        <v>40.22</v>
      </c>
      <c r="D26" s="167">
        <v>14.29</v>
      </c>
      <c r="E26" s="167">
        <v>56.64965311236994</v>
      </c>
      <c r="F26" s="320" t="s">
        <v>1614</v>
      </c>
      <c r="G26" s="251" t="s">
        <v>1144</v>
      </c>
      <c r="I26" s="167">
        <v>40.22</v>
      </c>
      <c r="J26" s="167">
        <v>14.29</v>
      </c>
      <c r="K26" s="167">
        <v>56.64965311236994</v>
      </c>
      <c r="L26" s="320"/>
      <c r="M26" s="251"/>
      <c r="O26">
        <f t="shared" si="1"/>
        <v>40.22</v>
      </c>
      <c r="P26">
        <f t="shared" si="0"/>
        <v>14.29</v>
      </c>
      <c r="Q26">
        <f t="shared" si="0"/>
        <v>56.64965311236994</v>
      </c>
      <c r="AA26" s="206" t="s">
        <v>4</v>
      </c>
      <c r="AB26" s="467">
        <v>3.76</v>
      </c>
      <c r="AC26" s="467">
        <v>2.91</v>
      </c>
      <c r="AD26" s="467">
        <v>7.59</v>
      </c>
      <c r="AE26" s="467">
        <v>3.2</v>
      </c>
      <c r="AF26" s="467">
        <v>1.1200000000000001</v>
      </c>
      <c r="AG26" s="467">
        <v>4.4400000000000004</v>
      </c>
      <c r="AH26" s="467">
        <v>3.51</v>
      </c>
      <c r="AI26" s="467">
        <v>2.88</v>
      </c>
      <c r="AJ26" s="467">
        <v>3.63</v>
      </c>
    </row>
    <row r="27" spans="2:36" ht="15" customHeight="1" x14ac:dyDescent="0.3">
      <c r="B27" s="206" t="s">
        <v>1085</v>
      </c>
      <c r="C27" s="167">
        <v>40.22</v>
      </c>
      <c r="D27" s="167">
        <v>14.29</v>
      </c>
      <c r="E27" s="167">
        <v>56.64965311236994</v>
      </c>
      <c r="F27" s="320" t="s">
        <v>1614</v>
      </c>
      <c r="G27" s="251" t="s">
        <v>1144</v>
      </c>
      <c r="I27" s="167">
        <v>40.22</v>
      </c>
      <c r="J27" s="167">
        <v>14.29</v>
      </c>
      <c r="K27" s="167">
        <v>56.64965311236994</v>
      </c>
      <c r="L27" s="320"/>
      <c r="M27" s="251"/>
      <c r="O27">
        <f t="shared" si="1"/>
        <v>40.22</v>
      </c>
      <c r="P27">
        <f t="shared" si="0"/>
        <v>14.29</v>
      </c>
      <c r="Q27">
        <f t="shared" si="0"/>
        <v>56.64965311236994</v>
      </c>
      <c r="AA27" s="206" t="s">
        <v>5</v>
      </c>
      <c r="AB27" s="467">
        <v>3.76</v>
      </c>
      <c r="AC27" s="467">
        <v>2.91</v>
      </c>
      <c r="AD27" s="467">
        <v>7.59</v>
      </c>
      <c r="AE27" s="467">
        <v>3.2</v>
      </c>
      <c r="AF27" s="467">
        <v>1.1200000000000001</v>
      </c>
      <c r="AG27" s="467">
        <v>4.4400000000000004</v>
      </c>
      <c r="AH27" s="467">
        <v>3.51</v>
      </c>
      <c r="AI27" s="467">
        <v>2.88</v>
      </c>
      <c r="AJ27" s="467">
        <v>3.63</v>
      </c>
    </row>
    <row r="28" spans="2:36" ht="15" customHeight="1" x14ac:dyDescent="0.3">
      <c r="B28" s="206" t="s">
        <v>1086</v>
      </c>
      <c r="C28" s="167">
        <v>40.22</v>
      </c>
      <c r="D28" s="167">
        <v>14.29</v>
      </c>
      <c r="E28" s="167">
        <v>56.64965311236994</v>
      </c>
      <c r="F28" s="320" t="s">
        <v>1614</v>
      </c>
      <c r="G28" s="251" t="s">
        <v>1144</v>
      </c>
      <c r="I28" s="167">
        <v>40.22</v>
      </c>
      <c r="J28" s="167">
        <v>14.29</v>
      </c>
      <c r="K28" s="167">
        <v>56.64965311236994</v>
      </c>
      <c r="L28" s="320"/>
      <c r="M28" s="251"/>
      <c r="O28">
        <f t="shared" si="1"/>
        <v>40.22</v>
      </c>
      <c r="P28">
        <f t="shared" si="0"/>
        <v>14.29</v>
      </c>
      <c r="Q28">
        <f t="shared" si="0"/>
        <v>56.64965311236994</v>
      </c>
      <c r="AA28" s="206" t="s">
        <v>6</v>
      </c>
      <c r="AB28" s="467">
        <v>3.76</v>
      </c>
      <c r="AC28" s="467">
        <v>2.91</v>
      </c>
      <c r="AD28" s="467">
        <v>7.59</v>
      </c>
      <c r="AE28" s="467">
        <v>3.2</v>
      </c>
      <c r="AF28" s="467">
        <v>1.1200000000000001</v>
      </c>
      <c r="AG28" s="467">
        <v>4.4400000000000004</v>
      </c>
      <c r="AH28" s="467">
        <v>3.51</v>
      </c>
      <c r="AI28" s="467">
        <v>2.88</v>
      </c>
      <c r="AJ28" s="467">
        <v>3.63</v>
      </c>
    </row>
    <row r="29" spans="2:36" ht="15" customHeight="1" x14ac:dyDescent="0.3">
      <c r="B29" s="206" t="s">
        <v>1087</v>
      </c>
      <c r="C29" s="167">
        <v>40.22</v>
      </c>
      <c r="D29" s="167">
        <v>14.29</v>
      </c>
      <c r="E29" s="167">
        <v>56.64965311236994</v>
      </c>
      <c r="F29" s="320" t="s">
        <v>1614</v>
      </c>
      <c r="G29" s="251" t="s">
        <v>1144</v>
      </c>
      <c r="I29" s="167">
        <v>40.22</v>
      </c>
      <c r="J29" s="167">
        <v>14.29</v>
      </c>
      <c r="K29" s="167">
        <v>56.64965311236994</v>
      </c>
      <c r="L29" s="320"/>
      <c r="M29" s="251"/>
      <c r="O29">
        <f t="shared" si="1"/>
        <v>40.22</v>
      </c>
      <c r="P29">
        <f t="shared" si="0"/>
        <v>14.29</v>
      </c>
      <c r="Q29">
        <f t="shared" si="0"/>
        <v>56.64965311236994</v>
      </c>
      <c r="AA29" s="206" t="s">
        <v>7</v>
      </c>
      <c r="AB29" s="467">
        <v>3.76</v>
      </c>
      <c r="AC29" s="467">
        <v>2.91</v>
      </c>
      <c r="AD29" s="467">
        <v>7.59</v>
      </c>
      <c r="AE29" s="467">
        <v>3.2</v>
      </c>
      <c r="AF29" s="467">
        <v>1.1200000000000001</v>
      </c>
      <c r="AG29" s="467">
        <v>4.4400000000000004</v>
      </c>
      <c r="AH29" s="467">
        <v>3.51</v>
      </c>
      <c r="AI29" s="467">
        <v>2.88</v>
      </c>
      <c r="AJ29" s="467">
        <v>3.63</v>
      </c>
    </row>
    <row r="30" spans="2:36" ht="15" customHeight="1" x14ac:dyDescent="0.3">
      <c r="B30" s="206" t="s">
        <v>1443</v>
      </c>
      <c r="C30" s="167">
        <v>40.22</v>
      </c>
      <c r="D30" s="167">
        <v>14.29</v>
      </c>
      <c r="E30" s="167">
        <v>56.64965311236994</v>
      </c>
      <c r="F30" s="320" t="s">
        <v>1614</v>
      </c>
      <c r="G30" s="251" t="s">
        <v>1144</v>
      </c>
      <c r="I30" s="167">
        <v>40.22</v>
      </c>
      <c r="J30" s="167">
        <v>14.29</v>
      </c>
      <c r="K30" s="167">
        <v>56.64965311236994</v>
      </c>
      <c r="L30" s="320"/>
      <c r="M30" s="251"/>
      <c r="O30">
        <f t="shared" si="1"/>
        <v>40.22</v>
      </c>
      <c r="P30">
        <f t="shared" si="0"/>
        <v>14.29</v>
      </c>
      <c r="Q30">
        <f t="shared" si="0"/>
        <v>56.64965311236994</v>
      </c>
      <c r="AA30" s="206" t="s">
        <v>11</v>
      </c>
      <c r="AB30" s="467">
        <v>3.76</v>
      </c>
      <c r="AC30" s="467">
        <v>2.91</v>
      </c>
      <c r="AD30" s="467">
        <v>7.59</v>
      </c>
      <c r="AE30" s="467">
        <v>3.2</v>
      </c>
      <c r="AF30" s="467">
        <v>1.1200000000000001</v>
      </c>
      <c r="AG30" s="467">
        <v>4.4400000000000004</v>
      </c>
      <c r="AH30" s="467">
        <v>3.51</v>
      </c>
      <c r="AI30" s="467">
        <v>2.88</v>
      </c>
      <c r="AJ30" s="467">
        <v>3.63</v>
      </c>
    </row>
    <row r="31" spans="2:36" ht="15" customHeight="1" x14ac:dyDescent="0.3">
      <c r="B31" s="207" t="s">
        <v>227</v>
      </c>
      <c r="C31" s="275"/>
      <c r="D31" s="275"/>
      <c r="E31" s="275"/>
      <c r="F31" s="251"/>
      <c r="G31" s="251"/>
      <c r="I31" s="275"/>
      <c r="J31" s="275"/>
      <c r="K31" s="275"/>
      <c r="L31" s="320"/>
      <c r="M31" s="251"/>
      <c r="O31"/>
      <c r="P31"/>
      <c r="Q31"/>
      <c r="AA31" s="206"/>
      <c r="AB31" s="467"/>
      <c r="AC31" s="467"/>
      <c r="AD31" s="467"/>
      <c r="AE31" s="467"/>
      <c r="AF31" s="467"/>
      <c r="AG31" s="467"/>
      <c r="AH31" s="467"/>
      <c r="AI31" s="467"/>
      <c r="AJ31" s="467"/>
    </row>
    <row r="32" spans="2:36" ht="15" customHeight="1" x14ac:dyDescent="0.3">
      <c r="B32" s="206" t="s">
        <v>1437</v>
      </c>
      <c r="C32" s="167">
        <v>40.22</v>
      </c>
      <c r="D32" s="167">
        <v>14.29</v>
      </c>
      <c r="E32" s="167">
        <v>56.64965311236994</v>
      </c>
      <c r="F32" s="320" t="s">
        <v>1614</v>
      </c>
      <c r="G32" s="251" t="s">
        <v>1144</v>
      </c>
      <c r="I32" s="167">
        <v>40.22</v>
      </c>
      <c r="J32" s="167">
        <v>14.29</v>
      </c>
      <c r="K32" s="167">
        <v>56.64965311236994</v>
      </c>
      <c r="L32" s="320"/>
      <c r="M32" s="251"/>
      <c r="O32">
        <f t="shared" si="1"/>
        <v>40.22</v>
      </c>
      <c r="P32">
        <f t="shared" si="0"/>
        <v>14.29</v>
      </c>
      <c r="Q32">
        <f t="shared" si="0"/>
        <v>56.64965311236994</v>
      </c>
      <c r="AA32" s="468" t="s">
        <v>227</v>
      </c>
      <c r="AB32" s="467">
        <v>3.76</v>
      </c>
      <c r="AC32" s="467">
        <v>2.91</v>
      </c>
      <c r="AD32" s="467">
        <v>7.59</v>
      </c>
      <c r="AE32" s="467">
        <v>3.2</v>
      </c>
      <c r="AF32" s="467">
        <v>1.1200000000000001</v>
      </c>
      <c r="AG32" s="467">
        <v>4.4400000000000004</v>
      </c>
      <c r="AH32" s="467">
        <v>3.51</v>
      </c>
      <c r="AI32" s="467">
        <v>2.88</v>
      </c>
      <c r="AJ32" s="467">
        <v>3.63</v>
      </c>
    </row>
    <row r="33" spans="1:36" ht="15" customHeight="1" x14ac:dyDescent="0.3">
      <c r="A33" s="204" t="s">
        <v>1035</v>
      </c>
      <c r="B33" s="206" t="s">
        <v>1438</v>
      </c>
      <c r="C33" s="167">
        <v>40.22</v>
      </c>
      <c r="D33" s="167">
        <v>14.29</v>
      </c>
      <c r="E33" s="167">
        <v>56.64965311236994</v>
      </c>
      <c r="F33" s="320" t="s">
        <v>1614</v>
      </c>
      <c r="G33" s="251"/>
      <c r="I33" s="167">
        <v>40.22</v>
      </c>
      <c r="J33" s="167">
        <v>14.29</v>
      </c>
      <c r="K33" s="167">
        <v>56.64965311236994</v>
      </c>
      <c r="L33" s="320"/>
      <c r="M33" s="251"/>
      <c r="O33">
        <f t="shared" si="1"/>
        <v>40.22</v>
      </c>
      <c r="P33">
        <f t="shared" si="0"/>
        <v>14.29</v>
      </c>
      <c r="Q33">
        <f t="shared" si="0"/>
        <v>56.64965311236994</v>
      </c>
      <c r="AA33" s="468"/>
      <c r="AB33" s="467"/>
      <c r="AC33" s="467"/>
      <c r="AD33" s="467"/>
      <c r="AE33" s="467"/>
      <c r="AF33" s="467"/>
      <c r="AG33" s="467"/>
      <c r="AH33" s="467"/>
      <c r="AI33" s="467"/>
      <c r="AJ33" s="467"/>
    </row>
    <row r="34" spans="1:36" ht="15" customHeight="1" x14ac:dyDescent="0.3">
      <c r="B34" s="206" t="s">
        <v>1441</v>
      </c>
      <c r="C34" s="167">
        <v>40.22</v>
      </c>
      <c r="D34" s="167">
        <v>14.29</v>
      </c>
      <c r="E34" s="167">
        <v>56.64965311236994</v>
      </c>
      <c r="F34" s="320" t="s">
        <v>1614</v>
      </c>
      <c r="G34" s="251" t="s">
        <v>1144</v>
      </c>
      <c r="I34" s="167">
        <v>40.22</v>
      </c>
      <c r="J34" s="167">
        <v>14.29</v>
      </c>
      <c r="K34" s="167">
        <v>56.64965311236994</v>
      </c>
      <c r="L34" s="320"/>
      <c r="M34" s="251"/>
      <c r="O34">
        <f t="shared" si="1"/>
        <v>40.22</v>
      </c>
      <c r="P34">
        <f t="shared" si="0"/>
        <v>14.29</v>
      </c>
      <c r="Q34">
        <f t="shared" si="0"/>
        <v>56.64965311236994</v>
      </c>
      <c r="AA34" s="468" t="s">
        <v>227</v>
      </c>
      <c r="AB34" s="467">
        <v>3.76</v>
      </c>
      <c r="AC34" s="467">
        <v>2.91</v>
      </c>
      <c r="AD34" s="467">
        <v>7.59</v>
      </c>
      <c r="AE34" s="467">
        <v>3.2</v>
      </c>
      <c r="AF34" s="467">
        <v>1.1200000000000001</v>
      </c>
      <c r="AG34" s="467">
        <v>4.4400000000000004</v>
      </c>
      <c r="AH34" s="467">
        <v>3.51</v>
      </c>
      <c r="AI34" s="467">
        <v>2.88</v>
      </c>
      <c r="AJ34" s="467">
        <v>3.63</v>
      </c>
    </row>
    <row r="35" spans="1:36" ht="15" customHeight="1" x14ac:dyDescent="0.3">
      <c r="A35" s="204" t="s">
        <v>1035</v>
      </c>
      <c r="B35" s="206" t="s">
        <v>1442</v>
      </c>
      <c r="C35" s="167">
        <v>40.22</v>
      </c>
      <c r="D35" s="167">
        <v>14.29</v>
      </c>
      <c r="E35" s="167">
        <v>56.64965311236994</v>
      </c>
      <c r="F35" s="320" t="s">
        <v>1614</v>
      </c>
      <c r="G35" s="251"/>
      <c r="I35" s="167">
        <v>40.22</v>
      </c>
      <c r="J35" s="167">
        <v>14.29</v>
      </c>
      <c r="K35" s="167">
        <v>56.64965311236994</v>
      </c>
      <c r="L35" s="320"/>
      <c r="M35" s="251"/>
      <c r="O35">
        <f t="shared" si="1"/>
        <v>40.22</v>
      </c>
      <c r="P35">
        <f t="shared" si="0"/>
        <v>14.29</v>
      </c>
      <c r="Q35">
        <f t="shared" si="0"/>
        <v>56.64965311236994</v>
      </c>
      <c r="AA35" s="468"/>
      <c r="AB35" s="467"/>
      <c r="AC35" s="467"/>
      <c r="AD35" s="467"/>
      <c r="AE35" s="467"/>
      <c r="AF35" s="467"/>
      <c r="AG35" s="467"/>
      <c r="AH35" s="467"/>
      <c r="AI35" s="467"/>
      <c r="AJ35" s="467"/>
    </row>
    <row r="36" spans="1:36" ht="15" customHeight="1" x14ac:dyDescent="0.3">
      <c r="B36" s="207" t="s">
        <v>920</v>
      </c>
      <c r="C36" s="320"/>
      <c r="D36" s="320"/>
      <c r="E36" s="320"/>
      <c r="F36" s="251"/>
      <c r="G36" s="251"/>
      <c r="I36" s="320"/>
      <c r="J36" s="320"/>
      <c r="K36" s="320"/>
      <c r="L36" s="320"/>
      <c r="M36" s="251"/>
      <c r="O36"/>
      <c r="P36"/>
      <c r="Q36"/>
      <c r="AA36" s="468"/>
      <c r="AB36" s="467"/>
      <c r="AC36" s="467"/>
      <c r="AD36" s="467"/>
      <c r="AE36" s="467"/>
      <c r="AF36" s="467"/>
      <c r="AG36" s="467"/>
      <c r="AH36" s="467"/>
      <c r="AI36" s="467"/>
      <c r="AJ36" s="467"/>
    </row>
    <row r="37" spans="1:36" ht="15" customHeight="1" x14ac:dyDescent="0.3">
      <c r="B37" s="206" t="s">
        <v>920</v>
      </c>
      <c r="C37" s="167">
        <v>40.22</v>
      </c>
      <c r="D37" s="167">
        <v>14.29</v>
      </c>
      <c r="E37" s="167">
        <v>56.64965311236994</v>
      </c>
      <c r="F37" s="320" t="s">
        <v>1614</v>
      </c>
      <c r="G37" s="251" t="s">
        <v>1144</v>
      </c>
      <c r="I37" s="167">
        <v>40.22</v>
      </c>
      <c r="J37" s="167">
        <v>14.29</v>
      </c>
      <c r="K37" s="167">
        <v>56.64965311236994</v>
      </c>
      <c r="L37" s="320"/>
      <c r="M37" s="251"/>
      <c r="O37">
        <f t="shared" si="1"/>
        <v>40.22</v>
      </c>
      <c r="P37">
        <f t="shared" si="0"/>
        <v>14.29</v>
      </c>
      <c r="Q37">
        <f t="shared" si="0"/>
        <v>56.64965311236994</v>
      </c>
      <c r="AA37" s="468"/>
      <c r="AB37" s="467"/>
      <c r="AC37" s="467"/>
      <c r="AD37" s="467"/>
      <c r="AE37" s="467"/>
      <c r="AF37" s="467"/>
      <c r="AG37" s="467"/>
      <c r="AH37" s="467"/>
      <c r="AI37" s="467"/>
      <c r="AJ37" s="467"/>
    </row>
    <row r="38" spans="1:36" ht="15" customHeight="1" x14ac:dyDescent="0.3">
      <c r="A38" s="204" t="s">
        <v>1035</v>
      </c>
      <c r="B38" s="206" t="s">
        <v>980</v>
      </c>
      <c r="C38" s="167">
        <v>40.22</v>
      </c>
      <c r="D38" s="167">
        <v>14.29</v>
      </c>
      <c r="E38" s="167">
        <v>56.64965311236994</v>
      </c>
      <c r="F38" s="320" t="s">
        <v>1614</v>
      </c>
      <c r="G38" s="251"/>
      <c r="I38" s="167">
        <v>40.22</v>
      </c>
      <c r="J38" s="167">
        <v>14.29</v>
      </c>
      <c r="K38" s="167">
        <v>56.64965311236994</v>
      </c>
      <c r="L38" s="320"/>
      <c r="M38" s="251"/>
      <c r="O38">
        <f t="shared" si="1"/>
        <v>40.22</v>
      </c>
      <c r="P38">
        <f t="shared" si="0"/>
        <v>14.29</v>
      </c>
      <c r="Q38">
        <f t="shared" si="0"/>
        <v>56.64965311236994</v>
      </c>
      <c r="AA38" s="468"/>
      <c r="AB38" s="467"/>
      <c r="AC38" s="467"/>
      <c r="AD38" s="467"/>
      <c r="AE38" s="467"/>
      <c r="AF38" s="467"/>
      <c r="AG38" s="467"/>
      <c r="AH38" s="467"/>
      <c r="AI38" s="467"/>
      <c r="AJ38" s="467"/>
    </row>
    <row r="39" spans="1:36" ht="15" customHeight="1" x14ac:dyDescent="0.4">
      <c r="B39" s="274"/>
      <c r="C39" s="274"/>
      <c r="D39" s="274"/>
      <c r="E39" s="274"/>
      <c r="G39" s="251"/>
      <c r="M39" s="251"/>
    </row>
    <row r="40" spans="1:36" ht="15" customHeight="1" x14ac:dyDescent="0.4">
      <c r="B40" s="274"/>
      <c r="C40" s="274"/>
      <c r="D40" s="274"/>
      <c r="E40" s="274"/>
      <c r="G40" s="251"/>
      <c r="M40" s="251"/>
    </row>
    <row r="41" spans="1:36" ht="15" customHeight="1" thickBot="1" x14ac:dyDescent="0.45">
      <c r="B41" s="274"/>
      <c r="C41" s="788" t="s">
        <v>1077</v>
      </c>
      <c r="D41" s="788"/>
      <c r="E41" s="788"/>
      <c r="F41" s="788"/>
      <c r="G41" s="788"/>
      <c r="I41" s="788" t="s">
        <v>1077</v>
      </c>
      <c r="J41" s="788"/>
      <c r="K41" s="788"/>
      <c r="L41" s="788"/>
      <c r="M41" s="788"/>
    </row>
    <row r="42" spans="1:36" ht="15" customHeight="1" x14ac:dyDescent="0.3">
      <c r="B42" s="286"/>
      <c r="C42" s="214" t="s">
        <v>563</v>
      </c>
      <c r="D42" s="214" t="s">
        <v>985</v>
      </c>
      <c r="E42" s="214" t="s">
        <v>986</v>
      </c>
      <c r="F42" s="319" t="s">
        <v>592</v>
      </c>
      <c r="G42" s="215" t="s">
        <v>591</v>
      </c>
      <c r="I42" s="214" t="s">
        <v>563</v>
      </c>
      <c r="J42" s="214" t="s">
        <v>985</v>
      </c>
      <c r="K42" s="214" t="s">
        <v>986</v>
      </c>
      <c r="L42" s="319" t="s">
        <v>592</v>
      </c>
      <c r="M42" s="215" t="s">
        <v>591</v>
      </c>
      <c r="O42" s="214" t="s">
        <v>563</v>
      </c>
      <c r="P42" s="214" t="s">
        <v>985</v>
      </c>
      <c r="Q42" s="214" t="s">
        <v>986</v>
      </c>
    </row>
    <row r="43" spans="1:36" ht="21.75" customHeight="1" x14ac:dyDescent="0.3">
      <c r="B43" s="205" t="s">
        <v>1434</v>
      </c>
      <c r="C43" s="22"/>
      <c r="D43" s="214"/>
      <c r="E43" s="214"/>
      <c r="F43" s="320"/>
      <c r="G43" s="251"/>
      <c r="I43" s="22"/>
      <c r="J43" s="214"/>
      <c r="K43" s="214"/>
      <c r="L43" s="320"/>
      <c r="M43" s="251"/>
    </row>
    <row r="44" spans="1:36" ht="15" customHeight="1" x14ac:dyDescent="0.3">
      <c r="B44" s="206" t="s">
        <v>1082</v>
      </c>
      <c r="C44" s="167">
        <v>40.22</v>
      </c>
      <c r="D44" s="167">
        <v>14.29</v>
      </c>
      <c r="E44" s="167">
        <v>56.64965311236994</v>
      </c>
      <c r="F44" s="320" t="s">
        <v>1614</v>
      </c>
      <c r="G44" s="251" t="s">
        <v>1144</v>
      </c>
      <c r="I44" s="167">
        <v>40.22</v>
      </c>
      <c r="J44" s="167">
        <v>14.29</v>
      </c>
      <c r="K44" s="167">
        <v>56.64965311236994</v>
      </c>
      <c r="L44" s="320"/>
      <c r="M44" s="251"/>
      <c r="O44">
        <f>IF(ISBLANK(C44),I44,C44)</f>
        <v>40.22</v>
      </c>
      <c r="P44">
        <f t="shared" ref="P44:Q66" si="2">IF(ISBLANK(D44),J44,D44)</f>
        <v>14.29</v>
      </c>
      <c r="Q44">
        <f t="shared" si="2"/>
        <v>56.64965311236994</v>
      </c>
    </row>
    <row r="45" spans="1:36" ht="15" customHeight="1" x14ac:dyDescent="0.3">
      <c r="B45" s="206" t="s">
        <v>1083</v>
      </c>
      <c r="C45" s="167">
        <v>40.22</v>
      </c>
      <c r="D45" s="167">
        <v>14.29</v>
      </c>
      <c r="E45" s="167">
        <v>56.64965311236994</v>
      </c>
      <c r="F45" s="320" t="s">
        <v>1614</v>
      </c>
      <c r="G45" s="251" t="s">
        <v>1144</v>
      </c>
      <c r="I45" s="167">
        <v>40.22</v>
      </c>
      <c r="J45" s="167">
        <v>14.29</v>
      </c>
      <c r="K45" s="167">
        <v>56.64965311236994</v>
      </c>
      <c r="L45" s="320"/>
      <c r="M45" s="251"/>
      <c r="O45">
        <f t="shared" ref="O45:O66" si="3">IF(ISBLANK(C45),I45,C45)</f>
        <v>40.22</v>
      </c>
      <c r="P45">
        <f t="shared" si="2"/>
        <v>14.29</v>
      </c>
      <c r="Q45">
        <f t="shared" si="2"/>
        <v>56.64965311236994</v>
      </c>
    </row>
    <row r="46" spans="1:36" ht="15" customHeight="1" x14ac:dyDescent="0.3">
      <c r="B46" s="206" t="s">
        <v>1084</v>
      </c>
      <c r="C46" s="167">
        <v>40.22</v>
      </c>
      <c r="D46" s="167">
        <v>14.29</v>
      </c>
      <c r="E46" s="167">
        <v>56.64965311236994</v>
      </c>
      <c r="F46" s="320" t="s">
        <v>1614</v>
      </c>
      <c r="G46" s="251" t="s">
        <v>1144</v>
      </c>
      <c r="I46" s="167">
        <v>40.22</v>
      </c>
      <c r="J46" s="167">
        <v>14.29</v>
      </c>
      <c r="K46" s="167">
        <v>56.64965311236994</v>
      </c>
      <c r="L46" s="320"/>
      <c r="M46" s="251"/>
      <c r="O46">
        <f t="shared" si="3"/>
        <v>40.22</v>
      </c>
      <c r="P46">
        <f t="shared" si="2"/>
        <v>14.29</v>
      </c>
      <c r="Q46">
        <f t="shared" si="2"/>
        <v>56.64965311236994</v>
      </c>
    </row>
    <row r="47" spans="1:36" ht="15" customHeight="1" x14ac:dyDescent="0.3">
      <c r="B47" s="206" t="s">
        <v>1085</v>
      </c>
      <c r="C47" s="167">
        <v>40.22</v>
      </c>
      <c r="D47" s="167">
        <v>14.29</v>
      </c>
      <c r="E47" s="167">
        <v>56.64965311236994</v>
      </c>
      <c r="F47" s="320" t="s">
        <v>1614</v>
      </c>
      <c r="G47" s="251" t="s">
        <v>1144</v>
      </c>
      <c r="I47" s="167">
        <v>40.22</v>
      </c>
      <c r="J47" s="167">
        <v>14.29</v>
      </c>
      <c r="K47" s="167">
        <v>56.64965311236994</v>
      </c>
      <c r="L47" s="320"/>
      <c r="M47" s="251"/>
      <c r="O47">
        <f t="shared" si="3"/>
        <v>40.22</v>
      </c>
      <c r="P47">
        <f t="shared" si="2"/>
        <v>14.29</v>
      </c>
      <c r="Q47">
        <f t="shared" si="2"/>
        <v>56.64965311236994</v>
      </c>
    </row>
    <row r="48" spans="1:36" ht="15" customHeight="1" x14ac:dyDescent="0.3">
      <c r="B48" s="206" t="s">
        <v>1086</v>
      </c>
      <c r="C48" s="167">
        <v>40.22</v>
      </c>
      <c r="D48" s="167">
        <v>14.29</v>
      </c>
      <c r="E48" s="167">
        <v>56.64965311236994</v>
      </c>
      <c r="F48" s="320" t="s">
        <v>1614</v>
      </c>
      <c r="G48" s="251" t="s">
        <v>1144</v>
      </c>
      <c r="I48" s="167">
        <v>40.22</v>
      </c>
      <c r="J48" s="167">
        <v>14.29</v>
      </c>
      <c r="K48" s="167">
        <v>56.64965311236994</v>
      </c>
      <c r="L48" s="320"/>
      <c r="M48" s="251"/>
      <c r="O48">
        <f t="shared" si="3"/>
        <v>40.22</v>
      </c>
      <c r="P48">
        <f t="shared" si="2"/>
        <v>14.29</v>
      </c>
      <c r="Q48">
        <f t="shared" si="2"/>
        <v>56.64965311236994</v>
      </c>
    </row>
    <row r="49" spans="2:17" ht="15" customHeight="1" x14ac:dyDescent="0.3">
      <c r="B49" s="206" t="s">
        <v>1087</v>
      </c>
      <c r="C49" s="167">
        <v>40.22</v>
      </c>
      <c r="D49" s="167">
        <v>14.29</v>
      </c>
      <c r="E49" s="167">
        <v>56.64965311236994</v>
      </c>
      <c r="F49" s="320" t="s">
        <v>1614</v>
      </c>
      <c r="G49" s="251" t="s">
        <v>1144</v>
      </c>
      <c r="I49" s="167">
        <v>40.22</v>
      </c>
      <c r="J49" s="167">
        <v>14.29</v>
      </c>
      <c r="K49" s="167">
        <v>56.64965311236994</v>
      </c>
      <c r="L49" s="320"/>
      <c r="M49" s="251"/>
      <c r="O49">
        <f t="shared" si="3"/>
        <v>40.22</v>
      </c>
      <c r="P49">
        <f t="shared" si="2"/>
        <v>14.29</v>
      </c>
      <c r="Q49">
        <f t="shared" si="2"/>
        <v>56.64965311236994</v>
      </c>
    </row>
    <row r="50" spans="2:17" ht="15" customHeight="1" x14ac:dyDescent="0.3">
      <c r="B50" s="206" t="s">
        <v>1443</v>
      </c>
      <c r="C50" s="167">
        <v>40.22</v>
      </c>
      <c r="D50" s="167">
        <v>14.29</v>
      </c>
      <c r="E50" s="167">
        <v>56.64965311236994</v>
      </c>
      <c r="F50" s="320" t="s">
        <v>1614</v>
      </c>
      <c r="G50" s="251" t="s">
        <v>1144</v>
      </c>
      <c r="I50" s="167">
        <v>40.22</v>
      </c>
      <c r="J50" s="167">
        <v>14.29</v>
      </c>
      <c r="K50" s="167">
        <v>56.64965311236994</v>
      </c>
      <c r="L50" s="320"/>
      <c r="M50" s="251"/>
      <c r="O50">
        <f t="shared" si="3"/>
        <v>40.22</v>
      </c>
      <c r="P50">
        <f t="shared" si="2"/>
        <v>14.29</v>
      </c>
      <c r="Q50">
        <f t="shared" si="2"/>
        <v>56.64965311236994</v>
      </c>
    </row>
    <row r="51" spans="2:17" ht="21.75" customHeight="1" x14ac:dyDescent="0.3">
      <c r="B51" s="205" t="s">
        <v>1435</v>
      </c>
      <c r="C51" s="214"/>
      <c r="D51" s="214"/>
      <c r="E51" s="214"/>
      <c r="F51" s="251"/>
      <c r="G51" s="251"/>
      <c r="I51" s="214"/>
      <c r="J51" s="214"/>
      <c r="K51" s="214"/>
      <c r="L51" s="320"/>
      <c r="M51" s="251"/>
      <c r="O51"/>
      <c r="P51"/>
      <c r="Q51"/>
    </row>
    <row r="52" spans="2:17" ht="15" customHeight="1" x14ac:dyDescent="0.3">
      <c r="B52" s="206" t="s">
        <v>1082</v>
      </c>
      <c r="C52" s="167">
        <v>40.22</v>
      </c>
      <c r="D52" s="167">
        <v>14.29</v>
      </c>
      <c r="E52" s="167">
        <v>56.64965311236994</v>
      </c>
      <c r="F52" s="320" t="s">
        <v>1614</v>
      </c>
      <c r="G52" s="251" t="s">
        <v>1144</v>
      </c>
      <c r="I52" s="167">
        <v>40.22</v>
      </c>
      <c r="J52" s="167">
        <v>14.29</v>
      </c>
      <c r="K52" s="167">
        <v>56.64965311236994</v>
      </c>
      <c r="L52" s="320"/>
      <c r="M52" s="251"/>
      <c r="O52">
        <f t="shared" si="3"/>
        <v>40.22</v>
      </c>
      <c r="P52">
        <f t="shared" si="2"/>
        <v>14.29</v>
      </c>
      <c r="Q52">
        <f t="shared" si="2"/>
        <v>56.64965311236994</v>
      </c>
    </row>
    <row r="53" spans="2:17" ht="15" customHeight="1" x14ac:dyDescent="0.3">
      <c r="B53" s="206" t="s">
        <v>1083</v>
      </c>
      <c r="C53" s="167">
        <v>40.22</v>
      </c>
      <c r="D53" s="167">
        <v>14.29</v>
      </c>
      <c r="E53" s="167">
        <v>56.64965311236994</v>
      </c>
      <c r="F53" s="320" t="s">
        <v>1614</v>
      </c>
      <c r="G53" s="251" t="s">
        <v>1144</v>
      </c>
      <c r="I53" s="167">
        <v>40.22</v>
      </c>
      <c r="J53" s="167">
        <v>14.29</v>
      </c>
      <c r="K53" s="167">
        <v>56.64965311236994</v>
      </c>
      <c r="L53" s="320"/>
      <c r="M53" s="251"/>
      <c r="O53">
        <f t="shared" si="3"/>
        <v>40.22</v>
      </c>
      <c r="P53">
        <f t="shared" si="2"/>
        <v>14.29</v>
      </c>
      <c r="Q53">
        <f t="shared" si="2"/>
        <v>56.64965311236994</v>
      </c>
    </row>
    <row r="54" spans="2:17" ht="15" customHeight="1" x14ac:dyDescent="0.3">
      <c r="B54" s="206" t="s">
        <v>1084</v>
      </c>
      <c r="C54" s="167">
        <v>40.22</v>
      </c>
      <c r="D54" s="167">
        <v>14.29</v>
      </c>
      <c r="E54" s="167">
        <v>56.64965311236994</v>
      </c>
      <c r="F54" s="320" t="s">
        <v>1614</v>
      </c>
      <c r="G54" s="251" t="s">
        <v>1144</v>
      </c>
      <c r="I54" s="167">
        <v>40.22</v>
      </c>
      <c r="J54" s="167">
        <v>14.29</v>
      </c>
      <c r="K54" s="167">
        <v>56.64965311236994</v>
      </c>
      <c r="L54" s="320"/>
      <c r="M54" s="251"/>
      <c r="O54">
        <f t="shared" si="3"/>
        <v>40.22</v>
      </c>
      <c r="P54">
        <f t="shared" si="2"/>
        <v>14.29</v>
      </c>
      <c r="Q54">
        <f t="shared" si="2"/>
        <v>56.64965311236994</v>
      </c>
    </row>
    <row r="55" spans="2:17" ht="15" customHeight="1" x14ac:dyDescent="0.3">
      <c r="B55" s="206" t="s">
        <v>1085</v>
      </c>
      <c r="C55" s="167">
        <v>40.22</v>
      </c>
      <c r="D55" s="167">
        <v>14.29</v>
      </c>
      <c r="E55" s="167">
        <v>56.64965311236994</v>
      </c>
      <c r="F55" s="320" t="s">
        <v>1614</v>
      </c>
      <c r="G55" s="251" t="s">
        <v>1144</v>
      </c>
      <c r="I55" s="167">
        <v>40.22</v>
      </c>
      <c r="J55" s="167">
        <v>14.29</v>
      </c>
      <c r="K55" s="167">
        <v>56.64965311236994</v>
      </c>
      <c r="L55" s="320"/>
      <c r="M55" s="251"/>
      <c r="O55">
        <f t="shared" si="3"/>
        <v>40.22</v>
      </c>
      <c r="P55">
        <f t="shared" si="2"/>
        <v>14.29</v>
      </c>
      <c r="Q55">
        <f t="shared" si="2"/>
        <v>56.64965311236994</v>
      </c>
    </row>
    <row r="56" spans="2:17" ht="15" customHeight="1" x14ac:dyDescent="0.3">
      <c r="B56" s="206" t="s">
        <v>1086</v>
      </c>
      <c r="C56" s="167">
        <v>40.22</v>
      </c>
      <c r="D56" s="167">
        <v>14.29</v>
      </c>
      <c r="E56" s="167">
        <v>56.64965311236994</v>
      </c>
      <c r="F56" s="320" t="s">
        <v>1614</v>
      </c>
      <c r="G56" s="251" t="s">
        <v>1144</v>
      </c>
      <c r="I56" s="167">
        <v>40.22</v>
      </c>
      <c r="J56" s="167">
        <v>14.29</v>
      </c>
      <c r="K56" s="167">
        <v>56.64965311236994</v>
      </c>
      <c r="L56" s="320"/>
      <c r="M56" s="251"/>
      <c r="O56">
        <f t="shared" si="3"/>
        <v>40.22</v>
      </c>
      <c r="P56">
        <f t="shared" si="2"/>
        <v>14.29</v>
      </c>
      <c r="Q56">
        <f t="shared" si="2"/>
        <v>56.64965311236994</v>
      </c>
    </row>
    <row r="57" spans="2:17" ht="15" customHeight="1" x14ac:dyDescent="0.3">
      <c r="B57" s="206" t="s">
        <v>1087</v>
      </c>
      <c r="C57" s="167">
        <v>40.22</v>
      </c>
      <c r="D57" s="167">
        <v>14.29</v>
      </c>
      <c r="E57" s="167">
        <v>56.64965311236994</v>
      </c>
      <c r="F57" s="320" t="s">
        <v>1614</v>
      </c>
      <c r="G57" s="251" t="s">
        <v>1144</v>
      </c>
      <c r="I57" s="167">
        <v>40.22</v>
      </c>
      <c r="J57" s="167">
        <v>14.29</v>
      </c>
      <c r="K57" s="167">
        <v>56.64965311236994</v>
      </c>
      <c r="L57" s="320"/>
      <c r="M57" s="251"/>
      <c r="O57">
        <f t="shared" si="3"/>
        <v>40.22</v>
      </c>
      <c r="P57">
        <f t="shared" si="2"/>
        <v>14.29</v>
      </c>
      <c r="Q57">
        <f t="shared" si="2"/>
        <v>56.64965311236994</v>
      </c>
    </row>
    <row r="58" spans="2:17" ht="15" customHeight="1" x14ac:dyDescent="0.3">
      <c r="B58" s="206" t="s">
        <v>1443</v>
      </c>
      <c r="C58" s="167">
        <v>40.22</v>
      </c>
      <c r="D58" s="167">
        <v>14.29</v>
      </c>
      <c r="E58" s="167">
        <v>56.64965311236994</v>
      </c>
      <c r="F58" s="320" t="s">
        <v>1614</v>
      </c>
      <c r="G58" s="251" t="s">
        <v>1144</v>
      </c>
      <c r="I58" s="167">
        <v>40.22</v>
      </c>
      <c r="J58" s="167">
        <v>14.29</v>
      </c>
      <c r="K58" s="167">
        <v>56.64965311236994</v>
      </c>
      <c r="L58" s="320"/>
      <c r="M58" s="251"/>
      <c r="O58">
        <f t="shared" si="3"/>
        <v>40.22</v>
      </c>
      <c r="P58">
        <f t="shared" si="2"/>
        <v>14.29</v>
      </c>
      <c r="Q58">
        <f t="shared" si="2"/>
        <v>56.64965311236994</v>
      </c>
    </row>
    <row r="59" spans="2:17" ht="15" customHeight="1" x14ac:dyDescent="0.3">
      <c r="B59" s="207" t="s">
        <v>227</v>
      </c>
      <c r="C59" s="275"/>
      <c r="D59" s="275"/>
      <c r="E59" s="251"/>
      <c r="F59" s="251"/>
      <c r="G59" s="251"/>
      <c r="I59" s="275"/>
      <c r="J59" s="275"/>
      <c r="K59" s="275"/>
      <c r="L59" s="320"/>
      <c r="M59" s="251"/>
      <c r="O59"/>
      <c r="P59"/>
      <c r="Q59"/>
    </row>
    <row r="60" spans="2:17" ht="15" customHeight="1" x14ac:dyDescent="0.3">
      <c r="B60" s="206" t="s">
        <v>1437</v>
      </c>
      <c r="C60" s="167">
        <v>40.22</v>
      </c>
      <c r="D60" s="167">
        <v>14.29</v>
      </c>
      <c r="E60" s="167">
        <v>56.64965311236994</v>
      </c>
      <c r="F60" s="320" t="s">
        <v>1614</v>
      </c>
      <c r="G60" s="251" t="s">
        <v>1144</v>
      </c>
      <c r="I60" s="167">
        <v>40.22</v>
      </c>
      <c r="J60" s="167">
        <v>14.29</v>
      </c>
      <c r="K60" s="167">
        <v>56.64965311236994</v>
      </c>
      <c r="L60" s="320"/>
      <c r="M60" s="251"/>
      <c r="O60">
        <f t="shared" si="3"/>
        <v>40.22</v>
      </c>
      <c r="P60">
        <f t="shared" si="2"/>
        <v>14.29</v>
      </c>
      <c r="Q60">
        <f t="shared" si="2"/>
        <v>56.64965311236994</v>
      </c>
    </row>
    <row r="61" spans="2:17" ht="15" customHeight="1" x14ac:dyDescent="0.3">
      <c r="B61" s="206" t="s">
        <v>1438</v>
      </c>
      <c r="C61" s="167">
        <v>40.22</v>
      </c>
      <c r="D61" s="167">
        <v>14.29</v>
      </c>
      <c r="E61" s="167">
        <v>56.64965311236994</v>
      </c>
      <c r="F61" s="320" t="s">
        <v>1614</v>
      </c>
      <c r="G61" s="251"/>
      <c r="I61" s="167">
        <v>40.22</v>
      </c>
      <c r="J61" s="167">
        <v>14.29</v>
      </c>
      <c r="K61" s="167">
        <v>56.64965311236994</v>
      </c>
      <c r="L61" s="320"/>
      <c r="M61" s="251"/>
      <c r="O61">
        <f t="shared" si="3"/>
        <v>40.22</v>
      </c>
      <c r="P61">
        <f t="shared" si="2"/>
        <v>14.29</v>
      </c>
      <c r="Q61">
        <f t="shared" si="2"/>
        <v>56.64965311236994</v>
      </c>
    </row>
    <row r="62" spans="2:17" ht="15" customHeight="1" x14ac:dyDescent="0.3">
      <c r="B62" s="206" t="s">
        <v>1441</v>
      </c>
      <c r="C62" s="167">
        <v>40.22</v>
      </c>
      <c r="D62" s="167">
        <v>14.29</v>
      </c>
      <c r="E62" s="167">
        <v>56.64965311236994</v>
      </c>
      <c r="F62" s="320" t="s">
        <v>1614</v>
      </c>
      <c r="G62" s="251" t="s">
        <v>1144</v>
      </c>
      <c r="I62" s="167">
        <v>40.22</v>
      </c>
      <c r="J62" s="167">
        <v>14.29</v>
      </c>
      <c r="K62" s="167">
        <v>56.64965311236994</v>
      </c>
      <c r="L62" s="320"/>
      <c r="M62" s="251"/>
      <c r="O62">
        <f t="shared" si="3"/>
        <v>40.22</v>
      </c>
      <c r="P62">
        <f t="shared" si="2"/>
        <v>14.29</v>
      </c>
      <c r="Q62">
        <f t="shared" si="2"/>
        <v>56.64965311236994</v>
      </c>
    </row>
    <row r="63" spans="2:17" ht="15" customHeight="1" x14ac:dyDescent="0.3">
      <c r="B63" s="206" t="s">
        <v>1442</v>
      </c>
      <c r="C63" s="167">
        <v>40.22</v>
      </c>
      <c r="D63" s="167">
        <v>14.29</v>
      </c>
      <c r="E63" s="167">
        <v>56.64965311236994</v>
      </c>
      <c r="F63" s="320" t="s">
        <v>1614</v>
      </c>
      <c r="G63" s="251"/>
      <c r="I63" s="167">
        <v>40.22</v>
      </c>
      <c r="J63" s="167">
        <v>14.29</v>
      </c>
      <c r="K63" s="167">
        <v>56.64965311236994</v>
      </c>
      <c r="L63" s="320"/>
      <c r="M63" s="251"/>
      <c r="O63">
        <f t="shared" si="3"/>
        <v>40.22</v>
      </c>
      <c r="P63">
        <f t="shared" si="2"/>
        <v>14.29</v>
      </c>
      <c r="Q63">
        <f t="shared" si="2"/>
        <v>56.64965311236994</v>
      </c>
    </row>
    <row r="64" spans="2:17" ht="15" customHeight="1" x14ac:dyDescent="0.3">
      <c r="B64" s="207" t="s">
        <v>920</v>
      </c>
      <c r="C64" s="320"/>
      <c r="D64" s="251"/>
      <c r="E64" s="251"/>
      <c r="F64" s="251"/>
      <c r="G64" s="251"/>
      <c r="I64" s="320"/>
      <c r="J64" s="320"/>
      <c r="K64" s="320"/>
      <c r="L64" s="320"/>
      <c r="M64" s="251"/>
      <c r="O64"/>
      <c r="P64"/>
      <c r="Q64"/>
    </row>
    <row r="65" spans="2:17" ht="15" customHeight="1" x14ac:dyDescent="0.3">
      <c r="B65" s="206" t="s">
        <v>920</v>
      </c>
      <c r="C65" s="167">
        <v>40.22</v>
      </c>
      <c r="D65" s="167">
        <v>14.29</v>
      </c>
      <c r="E65" s="167">
        <v>56.64965311236994</v>
      </c>
      <c r="F65" s="320" t="s">
        <v>1614</v>
      </c>
      <c r="G65" s="251" t="s">
        <v>1144</v>
      </c>
      <c r="I65" s="167">
        <v>40.22</v>
      </c>
      <c r="J65" s="167">
        <v>14.29</v>
      </c>
      <c r="K65" s="167">
        <v>56.64965311236994</v>
      </c>
      <c r="L65" s="320"/>
      <c r="M65" s="251"/>
      <c r="O65">
        <f t="shared" si="3"/>
        <v>40.22</v>
      </c>
      <c r="P65">
        <f t="shared" si="2"/>
        <v>14.29</v>
      </c>
      <c r="Q65">
        <f t="shared" si="2"/>
        <v>56.64965311236994</v>
      </c>
    </row>
    <row r="66" spans="2:17" ht="15" customHeight="1" x14ac:dyDescent="0.3">
      <c r="B66" s="206" t="s">
        <v>980</v>
      </c>
      <c r="C66" s="167">
        <v>40.22</v>
      </c>
      <c r="D66" s="167">
        <v>14.29</v>
      </c>
      <c r="E66" s="167">
        <v>56.64965311236994</v>
      </c>
      <c r="F66" s="320" t="s">
        <v>1614</v>
      </c>
      <c r="G66" s="251"/>
      <c r="I66" s="167">
        <v>40.22</v>
      </c>
      <c r="J66" s="167">
        <v>14.29</v>
      </c>
      <c r="K66" s="167">
        <v>56.64965311236994</v>
      </c>
      <c r="L66" s="320"/>
      <c r="M66" s="251"/>
      <c r="O66">
        <f t="shared" si="3"/>
        <v>40.22</v>
      </c>
      <c r="P66">
        <f t="shared" si="2"/>
        <v>14.29</v>
      </c>
      <c r="Q66">
        <f t="shared" si="2"/>
        <v>56.64965311236994</v>
      </c>
    </row>
    <row r="67" spans="2:17" ht="15" customHeight="1" x14ac:dyDescent="0.4">
      <c r="B67" s="274"/>
      <c r="C67" s="274"/>
      <c r="D67" s="274"/>
      <c r="E67" s="274"/>
      <c r="G67" s="251"/>
      <c r="M67" s="251"/>
    </row>
    <row r="68" spans="2:17" ht="15" customHeight="1" x14ac:dyDescent="0.4">
      <c r="B68" s="274"/>
      <c r="C68" s="274"/>
      <c r="D68" s="274"/>
      <c r="E68" s="274"/>
      <c r="G68" s="251"/>
      <c r="M68" s="251"/>
    </row>
    <row r="69" spans="2:17" ht="15" customHeight="1" x14ac:dyDescent="0.4">
      <c r="B69" s="236" t="s">
        <v>1362</v>
      </c>
      <c r="C69" s="274"/>
      <c r="D69" s="274"/>
      <c r="E69" s="274"/>
      <c r="G69" s="251"/>
      <c r="M69" s="251"/>
    </row>
    <row r="70" spans="2:17" ht="15" customHeight="1" x14ac:dyDescent="0.4">
      <c r="B70" s="236"/>
      <c r="C70" s="274"/>
      <c r="D70" s="274"/>
      <c r="E70" s="274"/>
      <c r="G70" s="251"/>
      <c r="M70" s="251"/>
    </row>
    <row r="71" spans="2:17" ht="15" customHeight="1" x14ac:dyDescent="0.3">
      <c r="B71" s="781" t="s">
        <v>1095</v>
      </c>
      <c r="C71" s="781"/>
      <c r="D71" s="781"/>
      <c r="E71" s="781"/>
      <c r="F71" s="781"/>
      <c r="G71" s="781"/>
      <c r="I71" s="787" t="s">
        <v>1096</v>
      </c>
      <c r="J71" s="787"/>
      <c r="K71" s="787"/>
      <c r="L71" s="787"/>
      <c r="M71" s="787"/>
      <c r="O71" s="204" t="s">
        <v>1097</v>
      </c>
    </row>
    <row r="72" spans="2:17" ht="15" customHeight="1" thickBot="1" x14ac:dyDescent="0.4">
      <c r="B72" s="205"/>
      <c r="C72" s="786" t="s">
        <v>1073</v>
      </c>
      <c r="D72" s="786"/>
      <c r="E72" s="786"/>
      <c r="F72" s="786"/>
      <c r="G72" s="786"/>
      <c r="I72" s="786" t="s">
        <v>1073</v>
      </c>
      <c r="J72" s="786"/>
      <c r="K72" s="786"/>
      <c r="L72" s="786"/>
      <c r="M72" s="786"/>
    </row>
    <row r="73" spans="2:17" ht="15" customHeight="1" x14ac:dyDescent="0.3">
      <c r="B73" s="286"/>
      <c r="C73" s="214" t="s">
        <v>563</v>
      </c>
      <c r="D73" s="214" t="s">
        <v>985</v>
      </c>
      <c r="E73" s="214" t="s">
        <v>986</v>
      </c>
      <c r="F73" s="319" t="s">
        <v>592</v>
      </c>
      <c r="G73" s="215" t="s">
        <v>591</v>
      </c>
      <c r="I73" s="214" t="s">
        <v>563</v>
      </c>
      <c r="J73" s="214" t="s">
        <v>985</v>
      </c>
      <c r="K73" s="214" t="s">
        <v>986</v>
      </c>
      <c r="L73" s="319" t="s">
        <v>592</v>
      </c>
      <c r="M73" s="215" t="s">
        <v>591</v>
      </c>
      <c r="O73" s="214" t="s">
        <v>563</v>
      </c>
      <c r="P73" s="214" t="s">
        <v>985</v>
      </c>
      <c r="Q73" s="214" t="s">
        <v>986</v>
      </c>
    </row>
    <row r="74" spans="2:17" ht="15" customHeight="1" x14ac:dyDescent="0.3">
      <c r="B74" s="205" t="s">
        <v>1434</v>
      </c>
      <c r="F74" s="320"/>
      <c r="G74" s="251"/>
      <c r="L74" s="320"/>
      <c r="M74" s="251"/>
    </row>
    <row r="75" spans="2:17" ht="15" customHeight="1" x14ac:dyDescent="0.3">
      <c r="B75" s="206" t="s">
        <v>1082</v>
      </c>
      <c r="C75" s="167">
        <v>67.52</v>
      </c>
      <c r="D75" s="167">
        <v>33.76</v>
      </c>
      <c r="E75" s="167">
        <v>101.28</v>
      </c>
      <c r="F75" s="320" t="s">
        <v>1613</v>
      </c>
      <c r="G75" s="251"/>
      <c r="I75" s="167">
        <v>87.73</v>
      </c>
      <c r="J75" s="167">
        <v>65.797499999999999</v>
      </c>
      <c r="K75" s="167">
        <v>109.66250000000001</v>
      </c>
      <c r="L75" s="320"/>
      <c r="M75" s="251"/>
      <c r="O75">
        <f>IF(ISBLANK(C75),I75,C75)</f>
        <v>67.52</v>
      </c>
      <c r="P75">
        <f t="shared" ref="P75:Q97" si="4">IF(ISBLANK(D75),J75,D75)</f>
        <v>33.76</v>
      </c>
      <c r="Q75">
        <f t="shared" si="4"/>
        <v>101.28</v>
      </c>
    </row>
    <row r="76" spans="2:17" ht="15" customHeight="1" x14ac:dyDescent="0.3">
      <c r="B76" s="206" t="s">
        <v>1083</v>
      </c>
      <c r="C76" s="167">
        <v>67.52</v>
      </c>
      <c r="D76" s="167">
        <v>33.76</v>
      </c>
      <c r="E76" s="167">
        <v>101.28</v>
      </c>
      <c r="F76" s="320"/>
      <c r="G76" s="251"/>
      <c r="I76" s="167">
        <v>87.73</v>
      </c>
      <c r="J76" s="167">
        <v>65.797499999999999</v>
      </c>
      <c r="K76" s="167">
        <v>109.66250000000001</v>
      </c>
      <c r="L76" s="320"/>
      <c r="M76" s="251"/>
      <c r="O76">
        <f t="shared" ref="O76:O97" si="5">IF(ISBLANK(C76),I76,C76)</f>
        <v>67.52</v>
      </c>
      <c r="P76">
        <f t="shared" si="4"/>
        <v>33.76</v>
      </c>
      <c r="Q76">
        <f t="shared" si="4"/>
        <v>101.28</v>
      </c>
    </row>
    <row r="77" spans="2:17" ht="15" customHeight="1" x14ac:dyDescent="0.3">
      <c r="B77" s="206" t="s">
        <v>1084</v>
      </c>
      <c r="C77" s="167">
        <v>67.52</v>
      </c>
      <c r="D77" s="167">
        <v>33.76</v>
      </c>
      <c r="E77" s="167">
        <v>101.28</v>
      </c>
      <c r="F77" s="320"/>
      <c r="G77" s="251"/>
      <c r="I77" s="167">
        <v>87.73</v>
      </c>
      <c r="J77" s="167">
        <v>65.797499999999999</v>
      </c>
      <c r="K77" s="167">
        <v>109.66250000000001</v>
      </c>
      <c r="L77" s="320"/>
      <c r="M77" s="251"/>
      <c r="O77">
        <f t="shared" si="5"/>
        <v>67.52</v>
      </c>
      <c r="P77">
        <f t="shared" si="4"/>
        <v>33.76</v>
      </c>
      <c r="Q77">
        <f t="shared" si="4"/>
        <v>101.28</v>
      </c>
    </row>
    <row r="78" spans="2:17" ht="15" customHeight="1" x14ac:dyDescent="0.3">
      <c r="B78" s="206" t="s">
        <v>1085</v>
      </c>
      <c r="C78" s="167">
        <v>67.52</v>
      </c>
      <c r="D78" s="167">
        <v>33.76</v>
      </c>
      <c r="E78" s="167">
        <v>101.28</v>
      </c>
      <c r="F78" s="320"/>
      <c r="G78" s="251"/>
      <c r="I78" s="167">
        <v>87.73</v>
      </c>
      <c r="J78" s="167">
        <v>65.797499999999999</v>
      </c>
      <c r="K78" s="167">
        <v>109.66250000000001</v>
      </c>
      <c r="L78" s="320"/>
      <c r="M78" s="251"/>
      <c r="O78">
        <f t="shared" si="5"/>
        <v>67.52</v>
      </c>
      <c r="P78">
        <f t="shared" si="4"/>
        <v>33.76</v>
      </c>
      <c r="Q78">
        <f t="shared" si="4"/>
        <v>101.28</v>
      </c>
    </row>
    <row r="79" spans="2:17" ht="15" customHeight="1" x14ac:dyDescent="0.3">
      <c r="B79" s="206" t="s">
        <v>1086</v>
      </c>
      <c r="C79" s="167">
        <v>67.52</v>
      </c>
      <c r="D79" s="167">
        <v>33.76</v>
      </c>
      <c r="E79" s="167">
        <v>101.28</v>
      </c>
      <c r="F79" s="320"/>
      <c r="G79" s="251"/>
      <c r="I79" s="167">
        <v>87.73</v>
      </c>
      <c r="J79" s="167">
        <v>65.797499999999999</v>
      </c>
      <c r="K79" s="167">
        <v>109.66250000000001</v>
      </c>
      <c r="L79" s="320"/>
      <c r="M79" s="251"/>
      <c r="O79">
        <f t="shared" si="5"/>
        <v>67.52</v>
      </c>
      <c r="P79">
        <f t="shared" si="4"/>
        <v>33.76</v>
      </c>
      <c r="Q79">
        <f t="shared" si="4"/>
        <v>101.28</v>
      </c>
    </row>
    <row r="80" spans="2:17" ht="15" customHeight="1" x14ac:dyDescent="0.3">
      <c r="B80" s="206" t="s">
        <v>1087</v>
      </c>
      <c r="C80" s="167">
        <v>67.52</v>
      </c>
      <c r="D80" s="167">
        <v>33.76</v>
      </c>
      <c r="E80" s="167">
        <v>101.28</v>
      </c>
      <c r="F80" s="320"/>
      <c r="G80" s="251"/>
      <c r="I80" s="167">
        <v>87.73</v>
      </c>
      <c r="J80" s="167">
        <v>65.797499999999999</v>
      </c>
      <c r="K80" s="167">
        <v>109.66250000000001</v>
      </c>
      <c r="L80" s="320"/>
      <c r="M80" s="251"/>
      <c r="O80">
        <f t="shared" si="5"/>
        <v>67.52</v>
      </c>
      <c r="P80">
        <f t="shared" si="4"/>
        <v>33.76</v>
      </c>
      <c r="Q80">
        <f t="shared" si="4"/>
        <v>101.28</v>
      </c>
    </row>
    <row r="81" spans="1:17" ht="15" customHeight="1" x14ac:dyDescent="0.3">
      <c r="B81" s="206" t="s">
        <v>1443</v>
      </c>
      <c r="C81" s="167">
        <v>67.52</v>
      </c>
      <c r="D81" s="167">
        <v>33.76</v>
      </c>
      <c r="E81" s="167">
        <v>101.28</v>
      </c>
      <c r="F81" s="320"/>
      <c r="G81" s="251"/>
      <c r="I81" s="167">
        <v>87.73</v>
      </c>
      <c r="J81" s="167">
        <v>65.797499999999999</v>
      </c>
      <c r="K81" s="167">
        <v>109.66250000000001</v>
      </c>
      <c r="L81" s="320"/>
      <c r="M81" s="251"/>
      <c r="O81">
        <f t="shared" si="5"/>
        <v>67.52</v>
      </c>
      <c r="P81">
        <f t="shared" si="4"/>
        <v>33.76</v>
      </c>
      <c r="Q81">
        <f t="shared" si="4"/>
        <v>101.28</v>
      </c>
    </row>
    <row r="82" spans="1:17" ht="15" customHeight="1" x14ac:dyDescent="0.3">
      <c r="B82" s="205" t="s">
        <v>1435</v>
      </c>
      <c r="C82" s="320"/>
      <c r="D82" s="320"/>
      <c r="E82" s="320"/>
      <c r="F82" s="320"/>
      <c r="G82" s="251"/>
      <c r="I82" s="320"/>
      <c r="J82" s="320"/>
      <c r="K82" s="320"/>
      <c r="L82" s="320"/>
      <c r="M82" s="251"/>
      <c r="O82"/>
      <c r="P82"/>
      <c r="Q82"/>
    </row>
    <row r="83" spans="1:17" ht="15" customHeight="1" x14ac:dyDescent="0.3">
      <c r="B83" s="206" t="s">
        <v>1082</v>
      </c>
      <c r="C83" s="167">
        <v>67.52</v>
      </c>
      <c r="D83" s="167">
        <v>33.76</v>
      </c>
      <c r="E83" s="167">
        <v>101.28</v>
      </c>
      <c r="F83" s="320" t="s">
        <v>1613</v>
      </c>
      <c r="G83" s="251"/>
      <c r="I83" s="167">
        <v>87.73</v>
      </c>
      <c r="J83" s="167">
        <v>65.797499999999999</v>
      </c>
      <c r="K83" s="167">
        <v>109.66250000000001</v>
      </c>
      <c r="L83" s="320"/>
      <c r="M83" s="251"/>
      <c r="O83">
        <f t="shared" si="5"/>
        <v>67.52</v>
      </c>
      <c r="P83">
        <f t="shared" si="4"/>
        <v>33.76</v>
      </c>
      <c r="Q83">
        <f t="shared" si="4"/>
        <v>101.28</v>
      </c>
    </row>
    <row r="84" spans="1:17" ht="15" customHeight="1" x14ac:dyDescent="0.3">
      <c r="B84" s="206" t="s">
        <v>1083</v>
      </c>
      <c r="C84" s="167">
        <v>67.52</v>
      </c>
      <c r="D84" s="167">
        <v>33.76</v>
      </c>
      <c r="E84" s="167">
        <v>101.28</v>
      </c>
      <c r="F84" s="320"/>
      <c r="G84" s="251"/>
      <c r="I84" s="167">
        <v>87.73</v>
      </c>
      <c r="J84" s="167">
        <v>65.797499999999999</v>
      </c>
      <c r="K84" s="167">
        <v>109.66250000000001</v>
      </c>
      <c r="L84" s="320"/>
      <c r="M84" s="251"/>
      <c r="O84">
        <f t="shared" si="5"/>
        <v>67.52</v>
      </c>
      <c r="P84">
        <f t="shared" si="4"/>
        <v>33.76</v>
      </c>
      <c r="Q84">
        <f t="shared" si="4"/>
        <v>101.28</v>
      </c>
    </row>
    <row r="85" spans="1:17" ht="15" customHeight="1" x14ac:dyDescent="0.3">
      <c r="B85" s="206" t="s">
        <v>1084</v>
      </c>
      <c r="C85" s="167">
        <v>67.52</v>
      </c>
      <c r="D85" s="167">
        <v>33.76</v>
      </c>
      <c r="E85" s="167">
        <v>101.28</v>
      </c>
      <c r="F85" s="320"/>
      <c r="G85" s="251"/>
      <c r="I85" s="167">
        <v>87.73</v>
      </c>
      <c r="J85" s="167">
        <v>65.797499999999999</v>
      </c>
      <c r="K85" s="167">
        <v>109.66250000000001</v>
      </c>
      <c r="L85" s="320"/>
      <c r="M85" s="251"/>
      <c r="O85">
        <f t="shared" si="5"/>
        <v>67.52</v>
      </c>
      <c r="P85">
        <f t="shared" si="4"/>
        <v>33.76</v>
      </c>
      <c r="Q85">
        <f t="shared" si="4"/>
        <v>101.28</v>
      </c>
    </row>
    <row r="86" spans="1:17" ht="15" customHeight="1" x14ac:dyDescent="0.3">
      <c r="B86" s="206" t="s">
        <v>1085</v>
      </c>
      <c r="C86" s="167">
        <v>67.52</v>
      </c>
      <c r="D86" s="167">
        <v>33.76</v>
      </c>
      <c r="E86" s="167">
        <v>101.28</v>
      </c>
      <c r="F86" s="320"/>
      <c r="G86" s="251"/>
      <c r="I86" s="167">
        <v>87.73</v>
      </c>
      <c r="J86" s="167">
        <v>65.797499999999999</v>
      </c>
      <c r="K86" s="167">
        <v>109.66250000000001</v>
      </c>
      <c r="L86" s="320"/>
      <c r="M86" s="251"/>
      <c r="O86">
        <f t="shared" si="5"/>
        <v>67.52</v>
      </c>
      <c r="P86">
        <f t="shared" si="4"/>
        <v>33.76</v>
      </c>
      <c r="Q86">
        <f t="shared" si="4"/>
        <v>101.28</v>
      </c>
    </row>
    <row r="87" spans="1:17" ht="15" customHeight="1" x14ac:dyDescent="0.3">
      <c r="B87" s="206" t="s">
        <v>1086</v>
      </c>
      <c r="C87" s="167">
        <v>67.52</v>
      </c>
      <c r="D87" s="167">
        <v>33.76</v>
      </c>
      <c r="E87" s="167">
        <v>101.28</v>
      </c>
      <c r="F87" s="320"/>
      <c r="G87" s="251"/>
      <c r="I87" s="167">
        <v>87.73</v>
      </c>
      <c r="J87" s="167">
        <v>65.797499999999999</v>
      </c>
      <c r="K87" s="167">
        <v>109.66250000000001</v>
      </c>
      <c r="L87" s="320"/>
      <c r="M87" s="251"/>
      <c r="O87">
        <f t="shared" si="5"/>
        <v>67.52</v>
      </c>
      <c r="P87">
        <f t="shared" si="4"/>
        <v>33.76</v>
      </c>
      <c r="Q87">
        <f t="shared" si="4"/>
        <v>101.28</v>
      </c>
    </row>
    <row r="88" spans="1:17" ht="15" customHeight="1" x14ac:dyDescent="0.3">
      <c r="B88" s="206" t="s">
        <v>1087</v>
      </c>
      <c r="C88" s="167">
        <v>67.52</v>
      </c>
      <c r="D88" s="167">
        <v>33.76</v>
      </c>
      <c r="E88" s="167">
        <v>101.28</v>
      </c>
      <c r="F88" s="320"/>
      <c r="G88" s="251"/>
      <c r="I88" s="167">
        <v>87.73</v>
      </c>
      <c r="J88" s="167">
        <v>65.797499999999999</v>
      </c>
      <c r="K88" s="167">
        <v>109.66250000000001</v>
      </c>
      <c r="L88" s="320"/>
      <c r="M88" s="251"/>
      <c r="O88">
        <f t="shared" si="5"/>
        <v>67.52</v>
      </c>
      <c r="P88">
        <f t="shared" si="4"/>
        <v>33.76</v>
      </c>
      <c r="Q88">
        <f t="shared" si="4"/>
        <v>101.28</v>
      </c>
    </row>
    <row r="89" spans="1:17" ht="15" customHeight="1" x14ac:dyDescent="0.3">
      <c r="B89" s="206" t="s">
        <v>1443</v>
      </c>
      <c r="C89" s="167">
        <v>67.52</v>
      </c>
      <c r="D89" s="167">
        <v>33.76</v>
      </c>
      <c r="E89" s="167">
        <v>101.28</v>
      </c>
      <c r="F89" s="320"/>
      <c r="G89" s="251"/>
      <c r="I89" s="167">
        <v>87.73</v>
      </c>
      <c r="J89" s="167">
        <v>65.797499999999999</v>
      </c>
      <c r="K89" s="167">
        <v>109.66250000000001</v>
      </c>
      <c r="L89" s="320"/>
      <c r="M89" s="251"/>
      <c r="O89">
        <f t="shared" si="5"/>
        <v>67.52</v>
      </c>
      <c r="P89">
        <f t="shared" si="4"/>
        <v>33.76</v>
      </c>
      <c r="Q89">
        <f t="shared" si="4"/>
        <v>101.28</v>
      </c>
    </row>
    <row r="90" spans="1:17" ht="15" customHeight="1" x14ac:dyDescent="0.3">
      <c r="B90" s="207" t="s">
        <v>227</v>
      </c>
      <c r="G90" s="251"/>
      <c r="M90" s="251"/>
      <c r="O90"/>
      <c r="P90"/>
      <c r="Q90"/>
    </row>
    <row r="91" spans="1:17" ht="15" customHeight="1" x14ac:dyDescent="0.3">
      <c r="B91" s="206" t="s">
        <v>1437</v>
      </c>
      <c r="C91" s="167">
        <v>67.52</v>
      </c>
      <c r="D91" s="167">
        <v>33.76</v>
      </c>
      <c r="E91" s="167">
        <v>101.28</v>
      </c>
      <c r="F91" s="320"/>
      <c r="G91" s="251"/>
      <c r="I91" s="167">
        <v>87.73</v>
      </c>
      <c r="J91" s="167">
        <v>65.797499999999999</v>
      </c>
      <c r="K91" s="167">
        <v>109.66250000000001</v>
      </c>
      <c r="L91" s="320"/>
      <c r="M91" s="251"/>
      <c r="O91">
        <f t="shared" si="5"/>
        <v>67.52</v>
      </c>
      <c r="P91">
        <f t="shared" si="4"/>
        <v>33.76</v>
      </c>
      <c r="Q91">
        <f t="shared" si="4"/>
        <v>101.28</v>
      </c>
    </row>
    <row r="92" spans="1:17" ht="15" customHeight="1" x14ac:dyDescent="0.3">
      <c r="A92" s="204" t="s">
        <v>1044</v>
      </c>
      <c r="B92" s="206" t="s">
        <v>1438</v>
      </c>
      <c r="C92" s="167">
        <v>67.52</v>
      </c>
      <c r="D92" s="167">
        <v>33.76</v>
      </c>
      <c r="E92" s="167">
        <v>101.28</v>
      </c>
      <c r="F92" s="320"/>
      <c r="G92" s="251"/>
      <c r="I92" s="167">
        <v>87.73</v>
      </c>
      <c r="J92" s="167">
        <v>65.797499999999999</v>
      </c>
      <c r="K92" s="167">
        <v>109.66250000000001</v>
      </c>
      <c r="L92" s="320"/>
      <c r="M92" s="251"/>
      <c r="O92">
        <f t="shared" si="5"/>
        <v>67.52</v>
      </c>
      <c r="P92">
        <f t="shared" si="4"/>
        <v>33.76</v>
      </c>
      <c r="Q92">
        <f t="shared" si="4"/>
        <v>101.28</v>
      </c>
    </row>
    <row r="93" spans="1:17" ht="15" customHeight="1" x14ac:dyDescent="0.3">
      <c r="B93" s="206" t="s">
        <v>1441</v>
      </c>
      <c r="C93" s="167">
        <v>67.52</v>
      </c>
      <c r="D93" s="167">
        <v>33.76</v>
      </c>
      <c r="E93" s="167">
        <v>101.28</v>
      </c>
      <c r="F93" s="320"/>
      <c r="G93" s="251"/>
      <c r="I93" s="167">
        <v>87.73</v>
      </c>
      <c r="J93" s="167">
        <v>65.797499999999999</v>
      </c>
      <c r="K93" s="167">
        <v>109.66250000000001</v>
      </c>
      <c r="L93" s="320"/>
      <c r="M93" s="251"/>
      <c r="O93">
        <f t="shared" si="5"/>
        <v>67.52</v>
      </c>
      <c r="P93">
        <f t="shared" si="4"/>
        <v>33.76</v>
      </c>
      <c r="Q93">
        <f t="shared" si="4"/>
        <v>101.28</v>
      </c>
    </row>
    <row r="94" spans="1:17" ht="15" customHeight="1" x14ac:dyDescent="0.3">
      <c r="A94" s="204" t="s">
        <v>1044</v>
      </c>
      <c r="B94" s="206" t="s">
        <v>1442</v>
      </c>
      <c r="C94" s="167">
        <v>67.52</v>
      </c>
      <c r="D94" s="167">
        <v>33.76</v>
      </c>
      <c r="E94" s="167">
        <v>101.28</v>
      </c>
      <c r="F94" s="320"/>
      <c r="G94" s="251"/>
      <c r="I94" s="167">
        <v>87.73</v>
      </c>
      <c r="J94" s="167">
        <v>65.797499999999999</v>
      </c>
      <c r="K94" s="167">
        <v>109.66250000000001</v>
      </c>
      <c r="L94" s="320"/>
      <c r="M94" s="251"/>
      <c r="O94">
        <f t="shared" si="5"/>
        <v>67.52</v>
      </c>
      <c r="P94">
        <f t="shared" si="4"/>
        <v>33.76</v>
      </c>
      <c r="Q94">
        <f t="shared" si="4"/>
        <v>101.28</v>
      </c>
    </row>
    <row r="95" spans="1:17" ht="15" customHeight="1" x14ac:dyDescent="0.3">
      <c r="B95" s="207" t="s">
        <v>920</v>
      </c>
      <c r="C95" s="320"/>
      <c r="D95" s="320"/>
      <c r="E95" s="320"/>
      <c r="F95" s="320"/>
      <c r="G95" s="251"/>
      <c r="I95" s="320"/>
      <c r="J95" s="320"/>
      <c r="K95" s="320"/>
      <c r="L95" s="320"/>
      <c r="M95" s="251"/>
      <c r="O95"/>
      <c r="P95"/>
      <c r="Q95"/>
    </row>
    <row r="96" spans="1:17" ht="15" customHeight="1" x14ac:dyDescent="0.3">
      <c r="B96" s="206" t="s">
        <v>920</v>
      </c>
      <c r="C96" s="167">
        <v>67.52</v>
      </c>
      <c r="D96" s="167">
        <v>33.76</v>
      </c>
      <c r="E96" s="167">
        <v>101.28</v>
      </c>
      <c r="F96" s="320"/>
      <c r="G96" s="251"/>
      <c r="I96" s="167">
        <v>87.73</v>
      </c>
      <c r="J96" s="167">
        <v>65.797499999999999</v>
      </c>
      <c r="K96" s="167">
        <v>109.66250000000001</v>
      </c>
      <c r="L96" s="320"/>
      <c r="M96" s="251"/>
      <c r="O96">
        <f t="shared" si="5"/>
        <v>67.52</v>
      </c>
      <c r="P96">
        <f t="shared" si="4"/>
        <v>33.76</v>
      </c>
      <c r="Q96">
        <f t="shared" si="4"/>
        <v>101.28</v>
      </c>
    </row>
    <row r="97" spans="1:17" ht="15" customHeight="1" x14ac:dyDescent="0.3">
      <c r="A97" s="204" t="s">
        <v>1044</v>
      </c>
      <c r="B97" s="206" t="s">
        <v>980</v>
      </c>
      <c r="C97" s="167">
        <v>67.52</v>
      </c>
      <c r="D97" s="167">
        <v>33.76</v>
      </c>
      <c r="E97" s="167">
        <v>101.28</v>
      </c>
      <c r="F97" s="320"/>
      <c r="G97" s="251"/>
      <c r="I97" s="167">
        <v>87.73</v>
      </c>
      <c r="J97" s="167">
        <v>65.797499999999999</v>
      </c>
      <c r="K97" s="167">
        <v>109.66250000000001</v>
      </c>
      <c r="L97" s="320"/>
      <c r="M97" s="251"/>
      <c r="O97">
        <f t="shared" si="5"/>
        <v>67.52</v>
      </c>
      <c r="P97">
        <f t="shared" si="4"/>
        <v>33.76</v>
      </c>
      <c r="Q97">
        <f t="shared" si="4"/>
        <v>101.28</v>
      </c>
    </row>
    <row r="98" spans="1:17" ht="15" customHeight="1" x14ac:dyDescent="0.3">
      <c r="B98" s="206"/>
      <c r="C98" s="275"/>
      <c r="D98" s="275"/>
      <c r="E98" s="275"/>
      <c r="F98" s="320"/>
      <c r="G98" s="251"/>
      <c r="I98" s="275"/>
      <c r="J98" s="275"/>
      <c r="K98" s="275"/>
      <c r="L98" s="320"/>
      <c r="M98" s="251"/>
    </row>
    <row r="99" spans="1:17" ht="15" customHeight="1" x14ac:dyDescent="0.3">
      <c r="B99" s="206"/>
      <c r="C99" s="275"/>
      <c r="D99" s="275"/>
      <c r="E99" s="275"/>
      <c r="F99" s="320"/>
      <c r="G99" s="251"/>
      <c r="I99" s="275"/>
      <c r="J99" s="275"/>
      <c r="K99" s="275"/>
      <c r="L99" s="320"/>
      <c r="M99" s="251"/>
    </row>
    <row r="100" spans="1:17" ht="15" customHeight="1" thickBot="1" x14ac:dyDescent="0.4">
      <c r="B100" s="206"/>
      <c r="C100" s="788" t="s">
        <v>1078</v>
      </c>
      <c r="D100" s="788"/>
      <c r="E100" s="788"/>
      <c r="F100" s="788"/>
      <c r="G100" s="788"/>
      <c r="I100" s="788" t="s">
        <v>1078</v>
      </c>
      <c r="J100" s="788"/>
      <c r="K100" s="788"/>
      <c r="L100" s="788"/>
      <c r="M100" s="788"/>
    </row>
    <row r="101" spans="1:17" ht="15" customHeight="1" x14ac:dyDescent="0.3">
      <c r="B101" s="286"/>
      <c r="C101" s="214" t="s">
        <v>563</v>
      </c>
      <c r="D101" s="214" t="s">
        <v>985</v>
      </c>
      <c r="E101" s="214" t="s">
        <v>986</v>
      </c>
      <c r="F101" s="319" t="s">
        <v>592</v>
      </c>
      <c r="G101" s="215" t="s">
        <v>591</v>
      </c>
      <c r="I101" s="214" t="s">
        <v>563</v>
      </c>
      <c r="J101" s="214" t="s">
        <v>985</v>
      </c>
      <c r="K101" s="214" t="s">
        <v>986</v>
      </c>
      <c r="L101" s="319" t="s">
        <v>592</v>
      </c>
      <c r="M101" s="215" t="s">
        <v>591</v>
      </c>
      <c r="O101" s="214" t="s">
        <v>563</v>
      </c>
      <c r="P101" s="214" t="s">
        <v>985</v>
      </c>
      <c r="Q101" s="214" t="s">
        <v>986</v>
      </c>
    </row>
    <row r="102" spans="1:17" ht="15" customHeight="1" x14ac:dyDescent="0.3">
      <c r="B102" s="205" t="s">
        <v>1434</v>
      </c>
      <c r="C102" s="22"/>
      <c r="D102" s="214"/>
      <c r="E102" s="214"/>
      <c r="F102" s="320"/>
      <c r="G102" s="251"/>
      <c r="I102" s="22"/>
      <c r="J102" s="214"/>
      <c r="K102" s="214"/>
      <c r="L102" s="320"/>
      <c r="M102" s="251"/>
    </row>
    <row r="103" spans="1:17" ht="15" customHeight="1" x14ac:dyDescent="0.3">
      <c r="B103" s="206" t="s">
        <v>1082</v>
      </c>
      <c r="C103" s="167">
        <v>67.52</v>
      </c>
      <c r="D103" s="167">
        <v>33.76</v>
      </c>
      <c r="E103" s="167">
        <v>101.28</v>
      </c>
      <c r="F103" s="320" t="s">
        <v>1613</v>
      </c>
      <c r="G103" s="251"/>
      <c r="I103" s="167">
        <v>87.73</v>
      </c>
      <c r="J103" s="167">
        <v>65.797499999999999</v>
      </c>
      <c r="K103" s="167">
        <v>109.66250000000001</v>
      </c>
      <c r="L103" s="320"/>
      <c r="M103" s="251"/>
      <c r="O103">
        <f>IF(ISBLANK(C103),I103,C103)</f>
        <v>67.52</v>
      </c>
      <c r="P103">
        <f t="shared" ref="P103:Q125" si="6">IF(ISBLANK(D103),J103,D103)</f>
        <v>33.76</v>
      </c>
      <c r="Q103">
        <f t="shared" si="6"/>
        <v>101.28</v>
      </c>
    </row>
    <row r="104" spans="1:17" ht="15" customHeight="1" x14ac:dyDescent="0.3">
      <c r="B104" s="206" t="s">
        <v>1083</v>
      </c>
      <c r="C104" s="167">
        <v>67.52</v>
      </c>
      <c r="D104" s="167">
        <v>33.76</v>
      </c>
      <c r="E104" s="167">
        <v>101.28</v>
      </c>
      <c r="F104" s="320"/>
      <c r="G104" s="251"/>
      <c r="I104" s="167">
        <v>87.73</v>
      </c>
      <c r="J104" s="167">
        <v>65.797499999999999</v>
      </c>
      <c r="K104" s="167">
        <v>109.66250000000001</v>
      </c>
      <c r="L104" s="320"/>
      <c r="M104" s="251"/>
      <c r="O104">
        <f t="shared" ref="O104:O125" si="7">IF(ISBLANK(C104),I104,C104)</f>
        <v>67.52</v>
      </c>
      <c r="P104">
        <f t="shared" si="6"/>
        <v>33.76</v>
      </c>
      <c r="Q104">
        <f t="shared" si="6"/>
        <v>101.28</v>
      </c>
    </row>
    <row r="105" spans="1:17" ht="15" customHeight="1" x14ac:dyDescent="0.3">
      <c r="B105" s="206" t="s">
        <v>1084</v>
      </c>
      <c r="C105" s="167">
        <v>67.52</v>
      </c>
      <c r="D105" s="167">
        <v>33.76</v>
      </c>
      <c r="E105" s="167">
        <v>101.28</v>
      </c>
      <c r="F105" s="320"/>
      <c r="G105" s="251"/>
      <c r="I105" s="167">
        <v>87.73</v>
      </c>
      <c r="J105" s="167">
        <v>65.797499999999999</v>
      </c>
      <c r="K105" s="167">
        <v>109.66250000000001</v>
      </c>
      <c r="L105" s="320"/>
      <c r="M105" s="251"/>
      <c r="O105">
        <f t="shared" si="7"/>
        <v>67.52</v>
      </c>
      <c r="P105">
        <f t="shared" si="6"/>
        <v>33.76</v>
      </c>
      <c r="Q105">
        <f t="shared" si="6"/>
        <v>101.28</v>
      </c>
    </row>
    <row r="106" spans="1:17" ht="15" customHeight="1" x14ac:dyDescent="0.3">
      <c r="B106" s="206" t="s">
        <v>1085</v>
      </c>
      <c r="C106" s="167">
        <v>67.52</v>
      </c>
      <c r="D106" s="167">
        <v>33.76</v>
      </c>
      <c r="E106" s="167">
        <v>101.28</v>
      </c>
      <c r="F106" s="320"/>
      <c r="G106" s="251"/>
      <c r="I106" s="167">
        <v>87.73</v>
      </c>
      <c r="J106" s="167">
        <v>65.797499999999999</v>
      </c>
      <c r="K106" s="167">
        <v>109.66250000000001</v>
      </c>
      <c r="L106" s="320"/>
      <c r="M106" s="251"/>
      <c r="O106">
        <f t="shared" si="7"/>
        <v>67.52</v>
      </c>
      <c r="P106">
        <f t="shared" si="6"/>
        <v>33.76</v>
      </c>
      <c r="Q106">
        <f t="shared" si="6"/>
        <v>101.28</v>
      </c>
    </row>
    <row r="107" spans="1:17" ht="15" customHeight="1" x14ac:dyDescent="0.3">
      <c r="B107" s="206" t="s">
        <v>1086</v>
      </c>
      <c r="C107" s="167">
        <v>67.52</v>
      </c>
      <c r="D107" s="167">
        <v>33.76</v>
      </c>
      <c r="E107" s="167">
        <v>101.28</v>
      </c>
      <c r="F107" s="320"/>
      <c r="G107" s="251"/>
      <c r="I107" s="167">
        <v>87.73</v>
      </c>
      <c r="J107" s="167">
        <v>65.797499999999999</v>
      </c>
      <c r="K107" s="167">
        <v>109.66250000000001</v>
      </c>
      <c r="L107" s="320"/>
      <c r="M107" s="251"/>
      <c r="O107">
        <f t="shared" si="7"/>
        <v>67.52</v>
      </c>
      <c r="P107">
        <f t="shared" si="6"/>
        <v>33.76</v>
      </c>
      <c r="Q107">
        <f t="shared" si="6"/>
        <v>101.28</v>
      </c>
    </row>
    <row r="108" spans="1:17" ht="15" customHeight="1" x14ac:dyDescent="0.3">
      <c r="B108" s="206" t="s">
        <v>1087</v>
      </c>
      <c r="C108" s="167">
        <v>67.52</v>
      </c>
      <c r="D108" s="167">
        <v>33.76</v>
      </c>
      <c r="E108" s="167">
        <v>101.28</v>
      </c>
      <c r="F108" s="320"/>
      <c r="G108" s="251"/>
      <c r="I108" s="167">
        <v>87.73</v>
      </c>
      <c r="J108" s="167">
        <v>65.797499999999999</v>
      </c>
      <c r="K108" s="167">
        <v>109.66250000000001</v>
      </c>
      <c r="L108" s="320"/>
      <c r="M108" s="251"/>
      <c r="O108">
        <f t="shared" si="7"/>
        <v>67.52</v>
      </c>
      <c r="P108">
        <f t="shared" si="6"/>
        <v>33.76</v>
      </c>
      <c r="Q108">
        <f t="shared" si="6"/>
        <v>101.28</v>
      </c>
    </row>
    <row r="109" spans="1:17" ht="15" customHeight="1" x14ac:dyDescent="0.3">
      <c r="B109" s="206" t="s">
        <v>1443</v>
      </c>
      <c r="C109" s="167">
        <v>67.52</v>
      </c>
      <c r="D109" s="167">
        <v>33.76</v>
      </c>
      <c r="E109" s="167">
        <v>101.28</v>
      </c>
      <c r="F109" s="320"/>
      <c r="G109" s="251"/>
      <c r="I109" s="167">
        <v>87.73</v>
      </c>
      <c r="J109" s="167">
        <v>65.797499999999999</v>
      </c>
      <c r="K109" s="167">
        <v>109.66250000000001</v>
      </c>
      <c r="L109" s="320"/>
      <c r="M109" s="251"/>
      <c r="O109">
        <f t="shared" si="7"/>
        <v>67.52</v>
      </c>
      <c r="P109">
        <f t="shared" si="6"/>
        <v>33.76</v>
      </c>
      <c r="Q109">
        <f t="shared" si="6"/>
        <v>101.28</v>
      </c>
    </row>
    <row r="110" spans="1:17" ht="15" customHeight="1" x14ac:dyDescent="0.3">
      <c r="B110" s="205" t="s">
        <v>1435</v>
      </c>
      <c r="C110" s="320"/>
      <c r="D110" s="320"/>
      <c r="E110" s="320"/>
      <c r="F110" s="320"/>
      <c r="G110" s="251"/>
      <c r="I110" s="320"/>
      <c r="J110" s="320"/>
      <c r="K110" s="320"/>
      <c r="L110" s="320"/>
      <c r="M110" s="251"/>
      <c r="O110"/>
      <c r="P110"/>
      <c r="Q110"/>
    </row>
    <row r="111" spans="1:17" ht="15" customHeight="1" x14ac:dyDescent="0.3">
      <c r="B111" s="206" t="s">
        <v>1082</v>
      </c>
      <c r="C111" s="167">
        <v>67.52</v>
      </c>
      <c r="D111" s="167">
        <v>33.76</v>
      </c>
      <c r="E111" s="167">
        <v>101.28</v>
      </c>
      <c r="F111" s="320" t="s">
        <v>1613</v>
      </c>
      <c r="G111" s="251"/>
      <c r="I111" s="167">
        <v>87.73</v>
      </c>
      <c r="J111" s="167">
        <v>65.797499999999999</v>
      </c>
      <c r="K111" s="167">
        <v>109.66250000000001</v>
      </c>
      <c r="L111" s="320"/>
      <c r="M111" s="251"/>
      <c r="O111">
        <f t="shared" si="7"/>
        <v>67.52</v>
      </c>
      <c r="P111">
        <f t="shared" si="6"/>
        <v>33.76</v>
      </c>
      <c r="Q111">
        <f t="shared" si="6"/>
        <v>101.28</v>
      </c>
    </row>
    <row r="112" spans="1:17" ht="15" customHeight="1" x14ac:dyDescent="0.3">
      <c r="B112" s="206" t="s">
        <v>1083</v>
      </c>
      <c r="C112" s="167">
        <v>67.52</v>
      </c>
      <c r="D112" s="167">
        <v>33.76</v>
      </c>
      <c r="E112" s="167">
        <v>101.28</v>
      </c>
      <c r="F112" s="320"/>
      <c r="G112" s="251"/>
      <c r="I112" s="167">
        <v>87.73</v>
      </c>
      <c r="J112" s="167">
        <v>65.797499999999999</v>
      </c>
      <c r="K112" s="167">
        <v>109.66250000000001</v>
      </c>
      <c r="L112" s="320"/>
      <c r="M112" s="251"/>
      <c r="O112">
        <f t="shared" si="7"/>
        <v>67.52</v>
      </c>
      <c r="P112">
        <f t="shared" si="6"/>
        <v>33.76</v>
      </c>
      <c r="Q112">
        <f t="shared" si="6"/>
        <v>101.28</v>
      </c>
    </row>
    <row r="113" spans="2:17" ht="15" customHeight="1" x14ac:dyDescent="0.3">
      <c r="B113" s="206" t="s">
        <v>1084</v>
      </c>
      <c r="C113" s="167">
        <v>67.52</v>
      </c>
      <c r="D113" s="167">
        <v>33.76</v>
      </c>
      <c r="E113" s="167">
        <v>101.28</v>
      </c>
      <c r="F113" s="320"/>
      <c r="G113" s="251"/>
      <c r="I113" s="167">
        <v>87.73</v>
      </c>
      <c r="J113" s="167">
        <v>65.797499999999999</v>
      </c>
      <c r="K113" s="167">
        <v>109.66250000000001</v>
      </c>
      <c r="L113" s="320"/>
      <c r="M113" s="251"/>
      <c r="O113">
        <f t="shared" si="7"/>
        <v>67.52</v>
      </c>
      <c r="P113">
        <f t="shared" si="6"/>
        <v>33.76</v>
      </c>
      <c r="Q113">
        <f t="shared" si="6"/>
        <v>101.28</v>
      </c>
    </row>
    <row r="114" spans="2:17" ht="15" customHeight="1" x14ac:dyDescent="0.3">
      <c r="B114" s="206" t="s">
        <v>1085</v>
      </c>
      <c r="C114" s="167">
        <v>67.52</v>
      </c>
      <c r="D114" s="167">
        <v>33.76</v>
      </c>
      <c r="E114" s="167">
        <v>101.28</v>
      </c>
      <c r="F114" s="320"/>
      <c r="G114" s="251"/>
      <c r="I114" s="167">
        <v>87.73</v>
      </c>
      <c r="J114" s="167">
        <v>65.797499999999999</v>
      </c>
      <c r="K114" s="167">
        <v>109.66250000000001</v>
      </c>
      <c r="L114" s="320"/>
      <c r="M114" s="251"/>
      <c r="O114">
        <f t="shared" si="7"/>
        <v>67.52</v>
      </c>
      <c r="P114">
        <f t="shared" si="6"/>
        <v>33.76</v>
      </c>
      <c r="Q114">
        <f t="shared" si="6"/>
        <v>101.28</v>
      </c>
    </row>
    <row r="115" spans="2:17" ht="15" customHeight="1" x14ac:dyDescent="0.3">
      <c r="B115" s="206" t="s">
        <v>1086</v>
      </c>
      <c r="C115" s="167">
        <v>67.52</v>
      </c>
      <c r="D115" s="167">
        <v>33.76</v>
      </c>
      <c r="E115" s="167">
        <v>101.28</v>
      </c>
      <c r="F115" s="320"/>
      <c r="G115" s="251"/>
      <c r="I115" s="167">
        <v>87.73</v>
      </c>
      <c r="J115" s="167">
        <v>65.797499999999999</v>
      </c>
      <c r="K115" s="167">
        <v>109.66250000000001</v>
      </c>
      <c r="L115" s="320"/>
      <c r="M115" s="251"/>
      <c r="O115">
        <f t="shared" si="7"/>
        <v>67.52</v>
      </c>
      <c r="P115">
        <f t="shared" si="6"/>
        <v>33.76</v>
      </c>
      <c r="Q115">
        <f t="shared" si="6"/>
        <v>101.28</v>
      </c>
    </row>
    <row r="116" spans="2:17" ht="15" customHeight="1" x14ac:dyDescent="0.3">
      <c r="B116" s="206" t="s">
        <v>1087</v>
      </c>
      <c r="C116" s="167">
        <v>67.52</v>
      </c>
      <c r="D116" s="167">
        <v>33.76</v>
      </c>
      <c r="E116" s="167">
        <v>101.28</v>
      </c>
      <c r="F116" s="320"/>
      <c r="G116" s="251"/>
      <c r="I116" s="167">
        <v>87.73</v>
      </c>
      <c r="J116" s="167">
        <v>65.797499999999999</v>
      </c>
      <c r="K116" s="167">
        <v>109.66250000000001</v>
      </c>
      <c r="L116" s="320"/>
      <c r="M116" s="251"/>
      <c r="O116">
        <f t="shared" si="7"/>
        <v>67.52</v>
      </c>
      <c r="P116">
        <f t="shared" si="6"/>
        <v>33.76</v>
      </c>
      <c r="Q116">
        <f t="shared" si="6"/>
        <v>101.28</v>
      </c>
    </row>
    <row r="117" spans="2:17" ht="15" customHeight="1" x14ac:dyDescent="0.3">
      <c r="B117" s="206" t="s">
        <v>1443</v>
      </c>
      <c r="C117" s="167">
        <v>67.52</v>
      </c>
      <c r="D117" s="167">
        <v>33.76</v>
      </c>
      <c r="E117" s="167">
        <v>101.28</v>
      </c>
      <c r="F117" s="320"/>
      <c r="G117" s="251"/>
      <c r="I117" s="167">
        <v>87.73</v>
      </c>
      <c r="J117" s="167">
        <v>65.797499999999999</v>
      </c>
      <c r="K117" s="167">
        <v>109.66250000000001</v>
      </c>
      <c r="L117" s="320"/>
      <c r="M117" s="251"/>
      <c r="O117">
        <f t="shared" si="7"/>
        <v>67.52</v>
      </c>
      <c r="P117">
        <f t="shared" si="6"/>
        <v>33.76</v>
      </c>
      <c r="Q117">
        <f t="shared" si="6"/>
        <v>101.28</v>
      </c>
    </row>
    <row r="118" spans="2:17" ht="15" customHeight="1" x14ac:dyDescent="0.3">
      <c r="B118" s="207" t="s">
        <v>227</v>
      </c>
      <c r="F118" s="320"/>
      <c r="G118" s="251"/>
      <c r="L118" s="320"/>
      <c r="M118" s="251"/>
      <c r="O118"/>
      <c r="P118"/>
      <c r="Q118"/>
    </row>
    <row r="119" spans="2:17" ht="15" customHeight="1" x14ac:dyDescent="0.3">
      <c r="B119" s="206" t="s">
        <v>1437</v>
      </c>
      <c r="C119" s="167">
        <v>67.52</v>
      </c>
      <c r="D119" s="167">
        <v>33.76</v>
      </c>
      <c r="E119" s="167">
        <v>101.28</v>
      </c>
      <c r="F119" s="320"/>
      <c r="G119" s="251"/>
      <c r="I119" s="167">
        <v>87.73</v>
      </c>
      <c r="J119" s="167">
        <v>65.797499999999999</v>
      </c>
      <c r="K119" s="167">
        <v>109.66250000000001</v>
      </c>
      <c r="L119" s="320"/>
      <c r="M119" s="251"/>
      <c r="O119">
        <f t="shared" si="7"/>
        <v>67.52</v>
      </c>
      <c r="P119">
        <f t="shared" si="6"/>
        <v>33.76</v>
      </c>
      <c r="Q119">
        <f t="shared" si="6"/>
        <v>101.28</v>
      </c>
    </row>
    <row r="120" spans="2:17" ht="15" customHeight="1" x14ac:dyDescent="0.3">
      <c r="B120" s="206" t="s">
        <v>1438</v>
      </c>
      <c r="C120" s="167">
        <v>67.52</v>
      </c>
      <c r="D120" s="167">
        <v>33.76</v>
      </c>
      <c r="E120" s="167">
        <v>101.28</v>
      </c>
      <c r="F120" s="320"/>
      <c r="G120" s="251"/>
      <c r="I120" s="167">
        <v>87.73</v>
      </c>
      <c r="J120" s="167">
        <v>65.797499999999999</v>
      </c>
      <c r="K120" s="167">
        <v>109.66250000000001</v>
      </c>
      <c r="L120" s="320"/>
      <c r="M120" s="251"/>
      <c r="O120">
        <f t="shared" si="7"/>
        <v>67.52</v>
      </c>
      <c r="P120">
        <f t="shared" si="6"/>
        <v>33.76</v>
      </c>
      <c r="Q120">
        <f t="shared" si="6"/>
        <v>101.28</v>
      </c>
    </row>
    <row r="121" spans="2:17" ht="15" customHeight="1" x14ac:dyDescent="0.3">
      <c r="B121" s="206" t="s">
        <v>1441</v>
      </c>
      <c r="C121" s="167">
        <v>67.52</v>
      </c>
      <c r="D121" s="167">
        <v>33.76</v>
      </c>
      <c r="E121" s="167">
        <v>101.28</v>
      </c>
      <c r="F121" s="320"/>
      <c r="G121" s="251"/>
      <c r="I121" s="167">
        <v>87.73</v>
      </c>
      <c r="J121" s="167">
        <v>65.797499999999999</v>
      </c>
      <c r="K121" s="167">
        <v>109.66250000000001</v>
      </c>
      <c r="L121" s="320"/>
      <c r="M121" s="251"/>
      <c r="O121">
        <f t="shared" si="7"/>
        <v>67.52</v>
      </c>
      <c r="P121">
        <f t="shared" si="6"/>
        <v>33.76</v>
      </c>
      <c r="Q121">
        <f t="shared" si="6"/>
        <v>101.28</v>
      </c>
    </row>
    <row r="122" spans="2:17" ht="15" customHeight="1" x14ac:dyDescent="0.3">
      <c r="B122" s="206" t="s">
        <v>1442</v>
      </c>
      <c r="C122" s="167">
        <v>67.52</v>
      </c>
      <c r="D122" s="167">
        <v>33.76</v>
      </c>
      <c r="E122" s="167">
        <v>101.28</v>
      </c>
      <c r="F122" s="320"/>
      <c r="G122" s="251"/>
      <c r="I122" s="167">
        <v>87.73</v>
      </c>
      <c r="J122" s="167">
        <v>65.797499999999999</v>
      </c>
      <c r="K122" s="167">
        <v>109.66250000000001</v>
      </c>
      <c r="L122" s="320"/>
      <c r="M122" s="251"/>
      <c r="O122">
        <f t="shared" si="7"/>
        <v>67.52</v>
      </c>
      <c r="P122">
        <f t="shared" si="6"/>
        <v>33.76</v>
      </c>
      <c r="Q122">
        <f t="shared" si="6"/>
        <v>101.28</v>
      </c>
    </row>
    <row r="123" spans="2:17" ht="15" customHeight="1" x14ac:dyDescent="0.3">
      <c r="B123" s="207" t="s">
        <v>920</v>
      </c>
      <c r="C123" s="320"/>
      <c r="D123" s="320"/>
      <c r="E123" s="320"/>
      <c r="F123" s="320"/>
      <c r="G123" s="251"/>
      <c r="I123" s="320"/>
      <c r="J123" s="320"/>
      <c r="K123" s="320"/>
      <c r="L123" s="320"/>
      <c r="M123" s="251"/>
      <c r="O123"/>
      <c r="P123"/>
      <c r="Q123"/>
    </row>
    <row r="124" spans="2:17" ht="15" customHeight="1" x14ac:dyDescent="0.3">
      <c r="B124" s="206" t="s">
        <v>920</v>
      </c>
      <c r="C124" s="167">
        <v>67.52</v>
      </c>
      <c r="D124" s="167">
        <v>33.76</v>
      </c>
      <c r="E124" s="167">
        <v>101.28</v>
      </c>
      <c r="F124" s="320"/>
      <c r="G124" s="251"/>
      <c r="I124" s="167">
        <v>87.73</v>
      </c>
      <c r="J124" s="167">
        <v>65.797499999999999</v>
      </c>
      <c r="K124" s="167">
        <v>109.66250000000001</v>
      </c>
      <c r="L124" s="320"/>
      <c r="M124" s="251"/>
      <c r="O124">
        <f t="shared" si="7"/>
        <v>67.52</v>
      </c>
      <c r="P124">
        <f t="shared" si="6"/>
        <v>33.76</v>
      </c>
      <c r="Q124">
        <f t="shared" si="6"/>
        <v>101.28</v>
      </c>
    </row>
    <row r="125" spans="2:17" ht="15" customHeight="1" x14ac:dyDescent="0.3">
      <c r="B125" s="206" t="s">
        <v>980</v>
      </c>
      <c r="C125" s="167">
        <v>67.52</v>
      </c>
      <c r="D125" s="167">
        <v>33.76</v>
      </c>
      <c r="E125" s="167">
        <v>101.28</v>
      </c>
      <c r="F125" s="320"/>
      <c r="G125" s="251"/>
      <c r="I125" s="167">
        <v>87.73</v>
      </c>
      <c r="J125" s="167">
        <v>65.797499999999999</v>
      </c>
      <c r="K125" s="167">
        <v>109.66250000000001</v>
      </c>
      <c r="L125" s="320"/>
      <c r="M125" s="251"/>
      <c r="O125">
        <f t="shared" si="7"/>
        <v>67.52</v>
      </c>
      <c r="P125">
        <f t="shared" si="6"/>
        <v>33.76</v>
      </c>
      <c r="Q125">
        <f t="shared" si="6"/>
        <v>101.28</v>
      </c>
    </row>
    <row r="126" spans="2:17" ht="15" customHeight="1" x14ac:dyDescent="0.3">
      <c r="B126" s="206"/>
      <c r="C126" s="275"/>
      <c r="D126" s="275"/>
      <c r="E126" s="275"/>
      <c r="F126" s="320"/>
      <c r="G126" s="251"/>
      <c r="I126" s="275"/>
      <c r="J126" s="275"/>
      <c r="K126" s="275"/>
      <c r="L126" s="320"/>
      <c r="M126" s="251"/>
    </row>
    <row r="127" spans="2:17" ht="15" customHeight="1" x14ac:dyDescent="0.3">
      <c r="B127" s="206"/>
      <c r="C127" s="275"/>
      <c r="D127" s="275"/>
      <c r="E127" s="275"/>
      <c r="F127" s="320"/>
      <c r="G127" s="251"/>
      <c r="I127" s="275"/>
      <c r="J127" s="275"/>
      <c r="K127" s="275"/>
      <c r="L127" s="320"/>
      <c r="M127" s="251"/>
    </row>
    <row r="128" spans="2:17" ht="15" customHeight="1" x14ac:dyDescent="0.3">
      <c r="B128" s="236" t="s">
        <v>1359</v>
      </c>
      <c r="C128" s="275"/>
      <c r="D128" s="275"/>
      <c r="E128" s="275"/>
      <c r="F128" s="320"/>
      <c r="G128" s="251"/>
      <c r="I128" s="275"/>
      <c r="J128" s="275"/>
      <c r="K128" s="275"/>
      <c r="L128" s="320"/>
      <c r="M128" s="251"/>
    </row>
    <row r="129" spans="2:18" ht="15" customHeight="1" x14ac:dyDescent="0.3">
      <c r="B129" s="236"/>
      <c r="C129" s="275"/>
      <c r="D129" s="275"/>
      <c r="E129" s="275"/>
      <c r="F129" s="320"/>
      <c r="G129" s="251"/>
      <c r="I129" s="275"/>
      <c r="J129" s="275"/>
      <c r="K129" s="275"/>
      <c r="L129" s="320"/>
      <c r="M129" s="251"/>
    </row>
    <row r="130" spans="2:18" ht="15" customHeight="1" x14ac:dyDescent="0.3">
      <c r="B130" s="781" t="s">
        <v>1095</v>
      </c>
      <c r="C130" s="781"/>
      <c r="D130" s="781"/>
      <c r="E130" s="781"/>
      <c r="F130" s="781"/>
      <c r="G130" s="781"/>
      <c r="I130" s="787" t="s">
        <v>1096</v>
      </c>
      <c r="J130" s="787"/>
      <c r="K130" s="787"/>
      <c r="L130" s="787"/>
      <c r="M130" s="787"/>
      <c r="O130" s="204" t="s">
        <v>1097</v>
      </c>
    </row>
    <row r="131" spans="2:18" ht="18.600000000000001" thickBot="1" x14ac:dyDescent="0.4">
      <c r="B131" s="206"/>
      <c r="C131" s="788" t="s">
        <v>1076</v>
      </c>
      <c r="D131" s="788"/>
      <c r="E131" s="788" t="b">
        <v>1</v>
      </c>
      <c r="F131" s="788"/>
      <c r="G131" s="788"/>
      <c r="I131" s="788" t="s">
        <v>1076</v>
      </c>
      <c r="J131" s="788"/>
      <c r="K131" s="788" t="b">
        <v>1</v>
      </c>
      <c r="L131" s="788"/>
      <c r="M131" s="788"/>
      <c r="O131" s="206"/>
      <c r="P131" s="461"/>
    </row>
    <row r="132" spans="2:18" x14ac:dyDescent="0.3">
      <c r="B132" s="286"/>
      <c r="C132" s="214" t="s">
        <v>563</v>
      </c>
      <c r="D132" s="214" t="s">
        <v>985</v>
      </c>
      <c r="E132" s="214" t="s">
        <v>986</v>
      </c>
      <c r="F132" s="319" t="s">
        <v>592</v>
      </c>
      <c r="G132" s="215" t="s">
        <v>591</v>
      </c>
      <c r="H132" s="272"/>
      <c r="I132" s="214" t="s">
        <v>563</v>
      </c>
      <c r="J132" s="214" t="s">
        <v>985</v>
      </c>
      <c r="K132" s="214" t="s">
        <v>986</v>
      </c>
      <c r="L132" s="319" t="s">
        <v>592</v>
      </c>
      <c r="M132" s="215" t="s">
        <v>591</v>
      </c>
      <c r="N132" s="279"/>
      <c r="O132" s="214" t="s">
        <v>563</v>
      </c>
      <c r="P132" s="214" t="s">
        <v>985</v>
      </c>
      <c r="Q132" s="214" t="s">
        <v>986</v>
      </c>
    </row>
    <row r="133" spans="2:18" x14ac:dyDescent="0.3">
      <c r="B133" s="205" t="s">
        <v>1434</v>
      </c>
      <c r="F133" s="320"/>
      <c r="G133" s="251"/>
      <c r="H133" s="275"/>
      <c r="L133" s="320"/>
      <c r="M133" s="251"/>
      <c r="N133" s="275"/>
      <c r="R133" s="282"/>
    </row>
    <row r="134" spans="2:18" x14ac:dyDescent="0.3">
      <c r="B134" s="206" t="s">
        <v>1082</v>
      </c>
      <c r="C134" s="167">
        <v>326.21217391304344</v>
      </c>
      <c r="D134" s="167">
        <v>212.08478260869566</v>
      </c>
      <c r="E134" s="167">
        <v>440.45673913043476</v>
      </c>
      <c r="F134" s="320" t="s">
        <v>1452</v>
      </c>
      <c r="G134" s="251"/>
      <c r="I134" s="167">
        <v>278.39999999999998</v>
      </c>
      <c r="J134" s="167">
        <v>181</v>
      </c>
      <c r="K134" s="167">
        <v>375.9</v>
      </c>
      <c r="L134" s="320"/>
      <c r="M134" s="251"/>
      <c r="O134">
        <f>IF(ISBLANK(C134),I134,C134)</f>
        <v>326.21217391304344</v>
      </c>
      <c r="P134">
        <f t="shared" ref="P134:Q156" si="8">IF(ISBLANK(D134),J134,D134)</f>
        <v>212.08478260869566</v>
      </c>
      <c r="Q134">
        <f t="shared" si="8"/>
        <v>440.45673913043476</v>
      </c>
      <c r="R134" s="282"/>
    </row>
    <row r="135" spans="2:18" x14ac:dyDescent="0.3">
      <c r="B135" s="206" t="s">
        <v>1083</v>
      </c>
      <c r="C135" s="167">
        <v>326.21217391304344</v>
      </c>
      <c r="D135" s="167">
        <v>212.08478260869566</v>
      </c>
      <c r="E135" s="167">
        <v>440.45673913043476</v>
      </c>
      <c r="F135" s="320"/>
      <c r="G135" s="251"/>
      <c r="H135" s="275"/>
      <c r="I135" s="167">
        <v>278.39999999999998</v>
      </c>
      <c r="J135" s="167">
        <v>181</v>
      </c>
      <c r="K135" s="167">
        <v>375.9</v>
      </c>
      <c r="L135" s="320"/>
      <c r="M135" s="251"/>
      <c r="N135" s="275"/>
      <c r="O135">
        <f t="shared" ref="O135:O156" si="9">IF(ISBLANK(C135),I135,C135)</f>
        <v>326.21217391304344</v>
      </c>
      <c r="P135">
        <f t="shared" si="8"/>
        <v>212.08478260869566</v>
      </c>
      <c r="Q135">
        <f t="shared" si="8"/>
        <v>440.45673913043476</v>
      </c>
      <c r="R135" s="282"/>
    </row>
    <row r="136" spans="2:18" x14ac:dyDescent="0.3">
      <c r="B136" s="206" t="s">
        <v>1084</v>
      </c>
      <c r="C136" s="167">
        <v>326.21217391304344</v>
      </c>
      <c r="D136" s="167">
        <v>212.08478260869566</v>
      </c>
      <c r="E136" s="167">
        <v>440.45673913043476</v>
      </c>
      <c r="F136" s="320"/>
      <c r="G136" s="251"/>
      <c r="H136" s="275"/>
      <c r="I136" s="167">
        <v>278.39999999999998</v>
      </c>
      <c r="J136" s="167">
        <v>181</v>
      </c>
      <c r="K136" s="167">
        <v>375.9</v>
      </c>
      <c r="L136" s="320"/>
      <c r="M136" s="251"/>
      <c r="N136" s="275"/>
      <c r="O136">
        <f t="shared" si="9"/>
        <v>326.21217391304344</v>
      </c>
      <c r="P136">
        <f t="shared" si="8"/>
        <v>212.08478260869566</v>
      </c>
      <c r="Q136">
        <f t="shared" si="8"/>
        <v>440.45673913043476</v>
      </c>
      <c r="R136" s="282"/>
    </row>
    <row r="137" spans="2:18" x14ac:dyDescent="0.3">
      <c r="B137" s="206" t="s">
        <v>1085</v>
      </c>
      <c r="C137" s="167">
        <v>328.32130434782607</v>
      </c>
      <c r="D137" s="167">
        <v>194.04</v>
      </c>
      <c r="E137" s="167">
        <v>463.65717391304349</v>
      </c>
      <c r="F137" s="320"/>
      <c r="G137" s="251"/>
      <c r="H137" s="275"/>
      <c r="I137" s="167">
        <v>280.2</v>
      </c>
      <c r="J137" s="167">
        <v>165.6</v>
      </c>
      <c r="K137" s="167">
        <v>395.7</v>
      </c>
      <c r="L137" s="320"/>
      <c r="M137" s="251"/>
      <c r="N137" s="275"/>
      <c r="O137">
        <f t="shared" si="9"/>
        <v>328.32130434782607</v>
      </c>
      <c r="P137">
        <f t="shared" si="8"/>
        <v>194.04</v>
      </c>
      <c r="Q137">
        <f t="shared" si="8"/>
        <v>463.65717391304349</v>
      </c>
      <c r="R137" s="282"/>
    </row>
    <row r="138" spans="2:18" x14ac:dyDescent="0.3">
      <c r="B138" s="206" t="s">
        <v>1086</v>
      </c>
      <c r="C138" s="167">
        <v>328.32130434782607</v>
      </c>
      <c r="D138" s="167">
        <v>194.04</v>
      </c>
      <c r="E138" s="167">
        <v>463.65717391304349</v>
      </c>
      <c r="F138" s="320"/>
      <c r="G138" s="251"/>
      <c r="H138" s="275"/>
      <c r="I138" s="167">
        <v>280.2</v>
      </c>
      <c r="J138" s="167">
        <v>165.6</v>
      </c>
      <c r="K138" s="167">
        <v>395.7</v>
      </c>
      <c r="L138" s="320"/>
      <c r="M138" s="251"/>
      <c r="N138" s="275"/>
      <c r="O138">
        <f t="shared" si="9"/>
        <v>328.32130434782607</v>
      </c>
      <c r="P138">
        <f t="shared" si="8"/>
        <v>194.04</v>
      </c>
      <c r="Q138">
        <f t="shared" si="8"/>
        <v>463.65717391304349</v>
      </c>
      <c r="R138" s="282"/>
    </row>
    <row r="139" spans="2:18" x14ac:dyDescent="0.3">
      <c r="B139" s="206" t="s">
        <v>1087</v>
      </c>
      <c r="C139" s="167">
        <v>328.32130434782607</v>
      </c>
      <c r="D139" s="167">
        <v>194.04</v>
      </c>
      <c r="E139" s="167">
        <v>463.65717391304349</v>
      </c>
      <c r="F139" s="320"/>
      <c r="G139" s="251"/>
      <c r="H139" s="275"/>
      <c r="I139" s="167">
        <v>280.2</v>
      </c>
      <c r="J139" s="167">
        <v>165.6</v>
      </c>
      <c r="K139" s="167">
        <v>395.7</v>
      </c>
      <c r="L139" s="320"/>
      <c r="M139" s="251"/>
      <c r="N139" s="275"/>
      <c r="O139">
        <f t="shared" si="9"/>
        <v>328.32130434782607</v>
      </c>
      <c r="P139">
        <f t="shared" si="8"/>
        <v>194.04</v>
      </c>
      <c r="Q139">
        <f t="shared" si="8"/>
        <v>463.65717391304349</v>
      </c>
      <c r="R139" s="282"/>
    </row>
    <row r="140" spans="2:18" x14ac:dyDescent="0.3">
      <c r="B140" s="206" t="s">
        <v>1443</v>
      </c>
      <c r="C140" s="167">
        <v>328.4384782608696</v>
      </c>
      <c r="D140" s="167">
        <v>203.64826086956523</v>
      </c>
      <c r="E140" s="167">
        <v>453.22869565217394</v>
      </c>
      <c r="F140" s="320"/>
      <c r="G140" s="251"/>
      <c r="H140" s="275"/>
      <c r="I140" s="167">
        <v>280.3</v>
      </c>
      <c r="J140" s="167">
        <v>173.8</v>
      </c>
      <c r="K140" s="167">
        <v>386.8</v>
      </c>
      <c r="L140" s="320"/>
      <c r="M140" s="251"/>
      <c r="N140" s="280"/>
      <c r="O140">
        <f t="shared" si="9"/>
        <v>328.4384782608696</v>
      </c>
      <c r="P140">
        <f t="shared" si="8"/>
        <v>203.64826086956523</v>
      </c>
      <c r="Q140">
        <f t="shared" si="8"/>
        <v>453.22869565217394</v>
      </c>
      <c r="R140" s="282"/>
    </row>
    <row r="141" spans="2:18" x14ac:dyDescent="0.3">
      <c r="B141" s="205" t="s">
        <v>1435</v>
      </c>
      <c r="F141" s="320"/>
      <c r="G141" s="251"/>
      <c r="H141" s="275"/>
      <c r="L141" s="320"/>
      <c r="M141" s="251"/>
      <c r="N141" s="275"/>
      <c r="O141"/>
      <c r="P141"/>
      <c r="Q141"/>
      <c r="R141" s="282"/>
    </row>
    <row r="142" spans="2:18" x14ac:dyDescent="0.3">
      <c r="B142" s="206" t="s">
        <v>1082</v>
      </c>
      <c r="C142" s="167">
        <v>330.89913043478259</v>
      </c>
      <c r="D142" s="167">
        <v>201.87913280652174</v>
      </c>
      <c r="E142" s="167">
        <v>460.01966328043483</v>
      </c>
      <c r="F142" s="320" t="s">
        <v>1452</v>
      </c>
      <c r="G142" s="251"/>
      <c r="I142" s="167">
        <v>282.39999999999998</v>
      </c>
      <c r="J142" s="167">
        <v>172.29016899999999</v>
      </c>
      <c r="K142" s="167">
        <v>392.59563100000003</v>
      </c>
      <c r="L142" s="320"/>
      <c r="M142" s="251"/>
      <c r="O142">
        <f t="shared" si="9"/>
        <v>330.89913043478259</v>
      </c>
      <c r="P142">
        <f t="shared" si="8"/>
        <v>201.87913280652174</v>
      </c>
      <c r="Q142">
        <f t="shared" si="8"/>
        <v>460.01966328043483</v>
      </c>
      <c r="R142" s="282"/>
    </row>
    <row r="143" spans="2:18" x14ac:dyDescent="0.3">
      <c r="B143" s="206" t="s">
        <v>1083</v>
      </c>
      <c r="C143" s="167">
        <v>330.89913043478259</v>
      </c>
      <c r="D143" s="167">
        <v>201.87913280652174</v>
      </c>
      <c r="E143" s="167">
        <v>460.01966328043483</v>
      </c>
      <c r="F143" s="320"/>
      <c r="G143" s="251"/>
      <c r="H143" s="275"/>
      <c r="I143" s="167">
        <v>282.39999999999998</v>
      </c>
      <c r="J143" s="167">
        <v>172.29016899999999</v>
      </c>
      <c r="K143" s="167">
        <v>392.59563100000003</v>
      </c>
      <c r="L143" s="320"/>
      <c r="M143" s="251"/>
      <c r="N143" s="275"/>
      <c r="O143">
        <f t="shared" si="9"/>
        <v>330.89913043478259</v>
      </c>
      <c r="P143">
        <f t="shared" si="8"/>
        <v>201.87913280652174</v>
      </c>
      <c r="Q143">
        <f t="shared" si="8"/>
        <v>460.01966328043483</v>
      </c>
      <c r="R143" s="282"/>
    </row>
    <row r="144" spans="2:18" x14ac:dyDescent="0.3">
      <c r="B144" s="206" t="s">
        <v>1084</v>
      </c>
      <c r="C144" s="167">
        <v>330.89913043478259</v>
      </c>
      <c r="D144" s="167">
        <v>201.87913280652174</v>
      </c>
      <c r="E144" s="167">
        <v>460.01966328043483</v>
      </c>
      <c r="F144" s="320"/>
      <c r="G144" s="251"/>
      <c r="H144" s="275"/>
      <c r="I144" s="167">
        <v>282.39999999999998</v>
      </c>
      <c r="J144" s="167">
        <v>172.29016899999999</v>
      </c>
      <c r="K144" s="167">
        <v>392.59563100000003</v>
      </c>
      <c r="L144" s="320"/>
      <c r="M144" s="251"/>
      <c r="N144" s="275"/>
      <c r="O144">
        <f t="shared" si="9"/>
        <v>330.89913043478259</v>
      </c>
      <c r="P144">
        <f t="shared" si="8"/>
        <v>201.87913280652174</v>
      </c>
      <c r="Q144">
        <f t="shared" si="8"/>
        <v>460.01966328043483</v>
      </c>
      <c r="R144" s="282"/>
    </row>
    <row r="145" spans="2:18" x14ac:dyDescent="0.3">
      <c r="B145" s="206" t="s">
        <v>1085</v>
      </c>
      <c r="C145" s="167">
        <v>330.89913043478259</v>
      </c>
      <c r="D145" s="167">
        <v>201.87913280652174</v>
      </c>
      <c r="E145" s="167">
        <v>460.01966328043483</v>
      </c>
      <c r="F145" s="320"/>
      <c r="G145" s="251"/>
      <c r="H145" s="275"/>
      <c r="I145" s="167">
        <v>282.39999999999998</v>
      </c>
      <c r="J145" s="167">
        <v>172.29016899999999</v>
      </c>
      <c r="K145" s="167">
        <v>392.59563100000003</v>
      </c>
      <c r="L145" s="320"/>
      <c r="M145" s="251"/>
      <c r="N145" s="275"/>
      <c r="O145">
        <f t="shared" si="9"/>
        <v>330.89913043478259</v>
      </c>
      <c r="P145">
        <f t="shared" si="8"/>
        <v>201.87913280652174</v>
      </c>
      <c r="Q145">
        <f t="shared" si="8"/>
        <v>460.01966328043483</v>
      </c>
      <c r="R145" s="282"/>
    </row>
    <row r="146" spans="2:18" x14ac:dyDescent="0.3">
      <c r="B146" s="206" t="s">
        <v>1086</v>
      </c>
      <c r="C146" s="167">
        <v>330.89913043478259</v>
      </c>
      <c r="D146" s="167">
        <v>201.87913280652174</v>
      </c>
      <c r="E146" s="167">
        <v>460.01966328043483</v>
      </c>
      <c r="F146" s="320"/>
      <c r="G146" s="251"/>
      <c r="H146" s="275"/>
      <c r="I146" s="167">
        <v>282.39999999999998</v>
      </c>
      <c r="J146" s="167">
        <v>172.29016899999999</v>
      </c>
      <c r="K146" s="167">
        <v>392.59563100000003</v>
      </c>
      <c r="L146" s="320"/>
      <c r="M146" s="251"/>
      <c r="N146" s="275"/>
      <c r="O146">
        <f t="shared" si="9"/>
        <v>330.89913043478259</v>
      </c>
      <c r="P146">
        <f t="shared" si="8"/>
        <v>201.87913280652174</v>
      </c>
      <c r="Q146">
        <f t="shared" si="8"/>
        <v>460.01966328043483</v>
      </c>
      <c r="R146" s="282"/>
    </row>
    <row r="147" spans="2:18" x14ac:dyDescent="0.3">
      <c r="B147" s="206" t="s">
        <v>1087</v>
      </c>
      <c r="C147" s="167">
        <v>330.89913043478259</v>
      </c>
      <c r="D147" s="167">
        <v>201.87913280652174</v>
      </c>
      <c r="E147" s="167">
        <v>460.01966328043483</v>
      </c>
      <c r="F147" s="320"/>
      <c r="G147" s="251"/>
      <c r="H147" s="275"/>
      <c r="I147" s="167">
        <v>282.39999999999998</v>
      </c>
      <c r="J147" s="167">
        <v>172.29016899999999</v>
      </c>
      <c r="K147" s="167">
        <v>392.59563100000003</v>
      </c>
      <c r="L147" s="320"/>
      <c r="M147" s="251"/>
      <c r="N147" s="275"/>
      <c r="O147">
        <f t="shared" si="9"/>
        <v>330.89913043478259</v>
      </c>
      <c r="P147">
        <f t="shared" si="8"/>
        <v>201.87913280652174</v>
      </c>
      <c r="Q147">
        <f t="shared" si="8"/>
        <v>460.01966328043483</v>
      </c>
      <c r="R147" s="282"/>
    </row>
    <row r="148" spans="2:18" x14ac:dyDescent="0.3">
      <c r="B148" s="206" t="s">
        <v>1443</v>
      </c>
      <c r="C148" s="167">
        <v>330.89913043478259</v>
      </c>
      <c r="D148" s="167">
        <v>201.87913280652174</v>
      </c>
      <c r="E148" s="167">
        <v>460.01966328043483</v>
      </c>
      <c r="F148" s="320"/>
      <c r="G148" s="251"/>
      <c r="H148" s="275"/>
      <c r="I148" s="167">
        <v>282.39999999999998</v>
      </c>
      <c r="J148" s="167">
        <v>172.29016899999999</v>
      </c>
      <c r="K148" s="167">
        <v>392.59563100000003</v>
      </c>
      <c r="L148" s="320"/>
      <c r="M148" s="251"/>
      <c r="N148" s="280"/>
      <c r="O148">
        <f t="shared" si="9"/>
        <v>330.89913043478259</v>
      </c>
      <c r="P148">
        <f t="shared" si="8"/>
        <v>201.87913280652174</v>
      </c>
      <c r="Q148">
        <f t="shared" si="8"/>
        <v>460.01966328043483</v>
      </c>
      <c r="R148" s="282"/>
    </row>
    <row r="149" spans="2:18" x14ac:dyDescent="0.3">
      <c r="B149" s="207" t="s">
        <v>227</v>
      </c>
      <c r="C149" s="275"/>
      <c r="D149" s="275"/>
      <c r="E149" s="275"/>
      <c r="F149" s="320"/>
      <c r="G149" s="251"/>
      <c r="H149" s="275"/>
      <c r="I149" s="275"/>
      <c r="J149" s="275"/>
      <c r="K149" s="275"/>
      <c r="L149" s="320"/>
      <c r="M149" s="251"/>
      <c r="N149" s="280"/>
      <c r="O149"/>
      <c r="P149"/>
      <c r="Q149"/>
      <c r="R149" s="282"/>
    </row>
    <row r="150" spans="2:18" x14ac:dyDescent="0.3">
      <c r="B150" s="206" t="s">
        <v>1437</v>
      </c>
      <c r="C150" s="167">
        <v>320.00195652173915</v>
      </c>
      <c r="D150" s="167">
        <v>137.61111980000001</v>
      </c>
      <c r="E150" s="167">
        <v>502.44060020000001</v>
      </c>
      <c r="F150" s="320"/>
      <c r="G150" s="251"/>
      <c r="H150" s="275"/>
      <c r="I150" s="167">
        <v>273.10000000000002</v>
      </c>
      <c r="J150" s="167">
        <v>117.44177200000001</v>
      </c>
      <c r="K150" s="167">
        <v>428.79902800000002</v>
      </c>
      <c r="L150" s="320"/>
      <c r="M150" s="251"/>
      <c r="N150" s="280"/>
      <c r="O150">
        <f t="shared" si="9"/>
        <v>320.00195652173915</v>
      </c>
      <c r="P150">
        <f t="shared" si="8"/>
        <v>137.61111980000001</v>
      </c>
      <c r="Q150">
        <f t="shared" si="8"/>
        <v>502.44060020000001</v>
      </c>
      <c r="R150" s="282"/>
    </row>
    <row r="151" spans="2:18" x14ac:dyDescent="0.3">
      <c r="B151" s="206" t="s">
        <v>1438</v>
      </c>
      <c r="C151" s="167">
        <v>320.00195652173915</v>
      </c>
      <c r="D151" s="167">
        <v>137.61111980000001</v>
      </c>
      <c r="E151" s="167">
        <v>502.44060020000001</v>
      </c>
      <c r="F151" s="320"/>
      <c r="G151" s="251"/>
      <c r="H151" s="275"/>
      <c r="I151" s="167">
        <v>273.10000000000002</v>
      </c>
      <c r="J151" s="167">
        <v>117.44177200000001</v>
      </c>
      <c r="K151" s="167">
        <v>428.79902800000002</v>
      </c>
      <c r="L151" s="320"/>
      <c r="M151" s="251"/>
      <c r="N151" s="280"/>
      <c r="O151">
        <f t="shared" si="9"/>
        <v>320.00195652173915</v>
      </c>
      <c r="P151">
        <f t="shared" si="8"/>
        <v>137.61111980000001</v>
      </c>
      <c r="Q151">
        <f t="shared" si="8"/>
        <v>502.44060020000001</v>
      </c>
      <c r="R151" s="282"/>
    </row>
    <row r="152" spans="2:18" x14ac:dyDescent="0.3">
      <c r="B152" s="206" t="s">
        <v>1441</v>
      </c>
      <c r="C152" s="167">
        <v>328.67282608695655</v>
      </c>
      <c r="D152" s="167">
        <v>174.19877140217392</v>
      </c>
      <c r="E152" s="167">
        <v>483.15508294565217</v>
      </c>
      <c r="F152" s="320"/>
      <c r="G152" s="251"/>
      <c r="H152" s="275"/>
      <c r="I152" s="167">
        <v>280.5</v>
      </c>
      <c r="J152" s="167">
        <v>148.666855</v>
      </c>
      <c r="K152" s="167">
        <v>412.34014499999995</v>
      </c>
      <c r="L152" s="320"/>
      <c r="M152" s="251"/>
      <c r="N152" s="280"/>
      <c r="O152">
        <f t="shared" si="9"/>
        <v>328.67282608695655</v>
      </c>
      <c r="P152">
        <f t="shared" si="8"/>
        <v>174.19877140217392</v>
      </c>
      <c r="Q152">
        <f t="shared" si="8"/>
        <v>483.15508294565217</v>
      </c>
      <c r="R152" s="282"/>
    </row>
    <row r="153" spans="2:18" x14ac:dyDescent="0.3">
      <c r="B153" s="206" t="s">
        <v>1442</v>
      </c>
      <c r="C153" s="167">
        <v>328.67282608695655</v>
      </c>
      <c r="D153" s="167">
        <v>174.19877140217392</v>
      </c>
      <c r="E153" s="167">
        <v>483.15508294565217</v>
      </c>
      <c r="F153" s="320"/>
      <c r="G153" s="251"/>
      <c r="H153" s="275"/>
      <c r="I153" s="167">
        <v>282.39999999999998</v>
      </c>
      <c r="J153" s="167">
        <v>148.666855</v>
      </c>
      <c r="K153" s="167">
        <v>412.34014499999995</v>
      </c>
      <c r="L153" s="320"/>
      <c r="M153" s="251"/>
      <c r="N153" s="280"/>
      <c r="O153">
        <f t="shared" si="9"/>
        <v>328.67282608695655</v>
      </c>
      <c r="P153">
        <f t="shared" si="8"/>
        <v>174.19877140217392</v>
      </c>
      <c r="Q153">
        <f t="shared" si="8"/>
        <v>483.15508294565217</v>
      </c>
      <c r="R153" s="282"/>
    </row>
    <row r="154" spans="2:18" x14ac:dyDescent="0.3">
      <c r="B154" s="207" t="s">
        <v>920</v>
      </c>
      <c r="C154" s="275"/>
      <c r="D154" s="275"/>
      <c r="E154" s="275"/>
      <c r="F154" s="320"/>
      <c r="G154" s="251"/>
      <c r="H154" s="275"/>
      <c r="I154" s="275"/>
      <c r="J154" s="275"/>
      <c r="K154" s="275"/>
      <c r="L154" s="320"/>
      <c r="M154" s="251"/>
      <c r="N154" s="280"/>
      <c r="O154"/>
      <c r="P154"/>
      <c r="Q154"/>
      <c r="R154" s="282"/>
    </row>
    <row r="155" spans="2:18" x14ac:dyDescent="0.3">
      <c r="B155" s="206" t="s">
        <v>920</v>
      </c>
      <c r="C155" s="167">
        <v>328.32130434782607</v>
      </c>
      <c r="D155" s="167">
        <v>194.04</v>
      </c>
      <c r="E155" s="167">
        <v>463.65717391304349</v>
      </c>
      <c r="F155" s="320" t="s">
        <v>1453</v>
      </c>
      <c r="G155" s="251"/>
      <c r="H155" s="275"/>
      <c r="I155" s="167">
        <v>280.2</v>
      </c>
      <c r="J155" s="167">
        <v>165.6</v>
      </c>
      <c r="K155" s="167">
        <v>395.7</v>
      </c>
      <c r="L155" s="320"/>
      <c r="M155" s="251"/>
      <c r="N155" s="280"/>
      <c r="O155">
        <f t="shared" si="9"/>
        <v>328.32130434782607</v>
      </c>
      <c r="P155">
        <f t="shared" si="8"/>
        <v>194.04</v>
      </c>
      <c r="Q155">
        <f t="shared" si="8"/>
        <v>463.65717391304349</v>
      </c>
      <c r="R155" s="282"/>
    </row>
    <row r="156" spans="2:18" x14ac:dyDescent="0.3">
      <c r="B156" s="206" t="s">
        <v>980</v>
      </c>
      <c r="C156" s="167">
        <v>328.32130434782607</v>
      </c>
      <c r="D156" s="167">
        <v>194.04</v>
      </c>
      <c r="E156" s="167">
        <v>463.65717391304349</v>
      </c>
      <c r="F156" s="320"/>
      <c r="G156" s="251"/>
      <c r="H156" s="275"/>
      <c r="I156" s="167">
        <v>280.2</v>
      </c>
      <c r="J156" s="167">
        <v>165.6</v>
      </c>
      <c r="K156" s="167">
        <v>395.7</v>
      </c>
      <c r="L156" s="320"/>
      <c r="M156" s="251"/>
      <c r="N156" s="280"/>
      <c r="O156">
        <f t="shared" si="9"/>
        <v>328.32130434782607</v>
      </c>
      <c r="P156">
        <f t="shared" si="8"/>
        <v>194.04</v>
      </c>
      <c r="Q156">
        <f t="shared" si="8"/>
        <v>463.65717391304349</v>
      </c>
      <c r="R156" s="282"/>
    </row>
    <row r="157" spans="2:18" x14ac:dyDescent="0.3">
      <c r="F157" s="320"/>
      <c r="G157" s="251"/>
      <c r="L157" s="320"/>
      <c r="M157" s="251"/>
      <c r="O157" s="206"/>
      <c r="P157" s="461"/>
    </row>
    <row r="158" spans="2:18" x14ac:dyDescent="0.3">
      <c r="F158" s="320"/>
      <c r="G158" s="251"/>
      <c r="L158" s="320"/>
      <c r="M158" s="251"/>
      <c r="O158" s="206"/>
      <c r="P158" s="461"/>
    </row>
    <row r="159" spans="2:18" x14ac:dyDescent="0.3">
      <c r="B159" s="236" t="s">
        <v>1360</v>
      </c>
      <c r="F159" s="320"/>
      <c r="G159" s="251"/>
      <c r="L159" s="320"/>
      <c r="M159" s="251"/>
      <c r="O159" s="206"/>
      <c r="P159" s="461"/>
    </row>
    <row r="160" spans="2:18" x14ac:dyDescent="0.3">
      <c r="B160" s="236" t="s">
        <v>1349</v>
      </c>
      <c r="F160" s="320"/>
      <c r="G160" s="251"/>
      <c r="L160" s="320"/>
      <c r="M160" s="251"/>
      <c r="O160" s="206"/>
      <c r="P160" s="461"/>
    </row>
    <row r="161" spans="2:17" x14ac:dyDescent="0.3">
      <c r="B161" s="781" t="s">
        <v>1095</v>
      </c>
      <c r="C161" s="781"/>
      <c r="D161" s="781"/>
      <c r="E161" s="781"/>
      <c r="F161" s="781"/>
      <c r="G161" s="781"/>
      <c r="I161" s="787" t="s">
        <v>1096</v>
      </c>
      <c r="J161" s="787"/>
      <c r="K161" s="787"/>
      <c r="L161" s="787"/>
      <c r="M161" s="787"/>
      <c r="O161" s="204" t="s">
        <v>1097</v>
      </c>
    </row>
    <row r="162" spans="2:17" ht="18.600000000000001" thickBot="1" x14ac:dyDescent="0.4">
      <c r="B162" s="215"/>
      <c r="C162" s="786" t="s">
        <v>1348</v>
      </c>
      <c r="D162" s="786"/>
      <c r="E162" s="786"/>
      <c r="F162" s="786"/>
      <c r="G162" s="786"/>
      <c r="I162" s="786" t="s">
        <v>1348</v>
      </c>
      <c r="J162" s="786"/>
      <c r="K162" s="786"/>
      <c r="L162" s="786"/>
      <c r="M162" s="786"/>
      <c r="O162" s="206"/>
      <c r="P162" s="461"/>
    </row>
    <row r="163" spans="2:17" x14ac:dyDescent="0.3">
      <c r="B163" s="233"/>
      <c r="C163" s="214" t="s">
        <v>865</v>
      </c>
      <c r="D163" s="214" t="s">
        <v>985</v>
      </c>
      <c r="E163" s="214" t="s">
        <v>986</v>
      </c>
      <c r="F163" s="319" t="s">
        <v>592</v>
      </c>
      <c r="G163" s="215" t="s">
        <v>591</v>
      </c>
      <c r="I163" s="214" t="s">
        <v>865</v>
      </c>
      <c r="J163" s="214" t="s">
        <v>985</v>
      </c>
      <c r="K163" s="214" t="s">
        <v>986</v>
      </c>
      <c r="L163" s="319" t="s">
        <v>592</v>
      </c>
      <c r="M163" s="215" t="s">
        <v>591</v>
      </c>
      <c r="O163" s="214" t="s">
        <v>563</v>
      </c>
      <c r="P163" s="214" t="s">
        <v>985</v>
      </c>
      <c r="Q163" s="214" t="s">
        <v>986</v>
      </c>
    </row>
    <row r="164" spans="2:17" x14ac:dyDescent="0.3">
      <c r="B164" s="205" t="s">
        <v>1434</v>
      </c>
      <c r="F164" s="320"/>
      <c r="G164" s="251"/>
      <c r="L164" s="320"/>
      <c r="M164" s="251"/>
    </row>
    <row r="165" spans="2:17" x14ac:dyDescent="0.3">
      <c r="B165" s="206" t="s">
        <v>1082</v>
      </c>
      <c r="C165" s="167">
        <v>4.5999999999999996</v>
      </c>
      <c r="D165" s="167">
        <v>3.4499999999999997</v>
      </c>
      <c r="E165" s="167">
        <v>5.75</v>
      </c>
      <c r="F165" s="320" t="s">
        <v>1452</v>
      </c>
      <c r="G165" s="251"/>
      <c r="I165" s="167">
        <v>4.5999999999999996</v>
      </c>
      <c r="J165" s="167">
        <v>3.4499999999999997</v>
      </c>
      <c r="K165" s="167">
        <v>5.75</v>
      </c>
      <c r="L165" s="320"/>
      <c r="M165" s="251"/>
      <c r="O165">
        <f>IF(ISBLANK(C165),I165,C165)</f>
        <v>4.5999999999999996</v>
      </c>
      <c r="P165">
        <f t="shared" ref="P165:Q187" si="10">IF(ISBLANK(D165),J165,D165)</f>
        <v>3.4499999999999997</v>
      </c>
      <c r="Q165">
        <f t="shared" si="10"/>
        <v>5.75</v>
      </c>
    </row>
    <row r="166" spans="2:17" x14ac:dyDescent="0.3">
      <c r="B166" s="206" t="s">
        <v>1083</v>
      </c>
      <c r="C166" s="167">
        <v>4.5999999999999996</v>
      </c>
      <c r="D166" s="167">
        <v>3.4499999999999997</v>
      </c>
      <c r="E166" s="167">
        <v>5.75</v>
      </c>
      <c r="F166" s="320"/>
      <c r="G166" s="251"/>
      <c r="I166" s="167">
        <v>4.5999999999999996</v>
      </c>
      <c r="J166" s="167">
        <v>3.4499999999999997</v>
      </c>
      <c r="K166" s="167">
        <v>5.75</v>
      </c>
      <c r="L166" s="320"/>
      <c r="M166" s="251"/>
      <c r="O166">
        <f t="shared" ref="O166:O187" si="11">IF(ISBLANK(C166),I166,C166)</f>
        <v>4.5999999999999996</v>
      </c>
      <c r="P166">
        <f t="shared" si="10"/>
        <v>3.4499999999999997</v>
      </c>
      <c r="Q166">
        <f t="shared" si="10"/>
        <v>5.75</v>
      </c>
    </row>
    <row r="167" spans="2:17" x14ac:dyDescent="0.3">
      <c r="B167" s="206" t="s">
        <v>1084</v>
      </c>
      <c r="C167" s="167">
        <v>4.5999999999999996</v>
      </c>
      <c r="D167" s="167">
        <v>3.4499999999999997</v>
      </c>
      <c r="E167" s="167">
        <v>5.75</v>
      </c>
      <c r="F167" s="320"/>
      <c r="G167" s="251"/>
      <c r="I167" s="167">
        <v>4.5999999999999996</v>
      </c>
      <c r="J167" s="167">
        <v>3.4499999999999997</v>
      </c>
      <c r="K167" s="167">
        <v>5.75</v>
      </c>
      <c r="L167" s="320"/>
      <c r="M167" s="251"/>
      <c r="O167">
        <f t="shared" si="11"/>
        <v>4.5999999999999996</v>
      </c>
      <c r="P167">
        <f t="shared" si="10"/>
        <v>3.4499999999999997</v>
      </c>
      <c r="Q167">
        <f t="shared" si="10"/>
        <v>5.75</v>
      </c>
    </row>
    <row r="168" spans="2:17" x14ac:dyDescent="0.3">
      <c r="B168" s="206" t="s">
        <v>1085</v>
      </c>
      <c r="C168" s="167">
        <v>6.8</v>
      </c>
      <c r="D168" s="167">
        <v>5.0999999999999996</v>
      </c>
      <c r="E168" s="167">
        <v>8.5</v>
      </c>
      <c r="F168" s="320"/>
      <c r="G168" s="251"/>
      <c r="I168" s="167">
        <v>6.8</v>
      </c>
      <c r="J168" s="167">
        <v>5.0999999999999996</v>
      </c>
      <c r="K168" s="167">
        <v>8.5</v>
      </c>
      <c r="L168" s="320"/>
      <c r="M168" s="251"/>
      <c r="O168">
        <f t="shared" si="11"/>
        <v>6.8</v>
      </c>
      <c r="P168">
        <f t="shared" si="10"/>
        <v>5.0999999999999996</v>
      </c>
      <c r="Q168">
        <f t="shared" si="10"/>
        <v>8.5</v>
      </c>
    </row>
    <row r="169" spans="2:17" x14ac:dyDescent="0.3">
      <c r="B169" s="206" t="s">
        <v>1086</v>
      </c>
      <c r="C169" s="167">
        <v>6.8</v>
      </c>
      <c r="D169" s="167">
        <v>5.0999999999999996</v>
      </c>
      <c r="E169" s="167">
        <v>8.5</v>
      </c>
      <c r="F169"/>
      <c r="G169"/>
      <c r="I169" s="167">
        <v>6.8</v>
      </c>
      <c r="J169" s="167">
        <v>5.0999999999999996</v>
      </c>
      <c r="K169" s="167">
        <v>8.5</v>
      </c>
      <c r="L169" s="320"/>
      <c r="M169" s="251"/>
      <c r="O169">
        <f t="shared" si="11"/>
        <v>6.8</v>
      </c>
      <c r="P169">
        <f t="shared" si="10"/>
        <v>5.0999999999999996</v>
      </c>
      <c r="Q169">
        <f t="shared" si="10"/>
        <v>8.5</v>
      </c>
    </row>
    <row r="170" spans="2:17" x14ac:dyDescent="0.3">
      <c r="B170" s="206" t="s">
        <v>1087</v>
      </c>
      <c r="C170" s="167">
        <v>6.8</v>
      </c>
      <c r="D170" s="167">
        <v>5.0999999999999996</v>
      </c>
      <c r="E170" s="167">
        <v>8.5</v>
      </c>
      <c r="F170" s="320"/>
      <c r="G170" s="251"/>
      <c r="I170" s="167">
        <v>6.8</v>
      </c>
      <c r="J170" s="167">
        <v>5.0999999999999996</v>
      </c>
      <c r="K170" s="167">
        <v>8.5</v>
      </c>
      <c r="L170" s="320"/>
      <c r="M170" s="251"/>
      <c r="O170">
        <f t="shared" si="11"/>
        <v>6.8</v>
      </c>
      <c r="P170">
        <f t="shared" si="10"/>
        <v>5.0999999999999996</v>
      </c>
      <c r="Q170">
        <f t="shared" si="10"/>
        <v>8.5</v>
      </c>
    </row>
    <row r="171" spans="2:17" x14ac:dyDescent="0.3">
      <c r="B171" s="206" t="s">
        <v>1443</v>
      </c>
      <c r="C171" s="167">
        <v>7</v>
      </c>
      <c r="D171" s="167">
        <v>5.25</v>
      </c>
      <c r="E171" s="167">
        <v>8.75</v>
      </c>
      <c r="F171" s="320"/>
      <c r="G171" s="251"/>
      <c r="I171" s="167">
        <v>7</v>
      </c>
      <c r="J171" s="167">
        <v>5.25</v>
      </c>
      <c r="K171" s="167">
        <v>8.75</v>
      </c>
      <c r="L171" s="320"/>
      <c r="M171" s="251"/>
      <c r="O171">
        <f t="shared" si="11"/>
        <v>7</v>
      </c>
      <c r="P171">
        <f t="shared" si="10"/>
        <v>5.25</v>
      </c>
      <c r="Q171">
        <f t="shared" si="10"/>
        <v>8.75</v>
      </c>
    </row>
    <row r="172" spans="2:17" x14ac:dyDescent="0.3">
      <c r="B172" s="205" t="s">
        <v>1435</v>
      </c>
      <c r="F172" s="320"/>
      <c r="G172" s="251"/>
      <c r="L172" s="320"/>
      <c r="M172" s="251"/>
      <c r="O172"/>
      <c r="P172"/>
      <c r="Q172"/>
    </row>
    <row r="173" spans="2:17" x14ac:dyDescent="0.3">
      <c r="B173" s="206" t="s">
        <v>1082</v>
      </c>
      <c r="C173" s="167">
        <v>7.1</v>
      </c>
      <c r="D173" s="167">
        <v>5.3249999999999993</v>
      </c>
      <c r="E173" s="167">
        <v>8.875</v>
      </c>
      <c r="F173" s="320" t="s">
        <v>1452</v>
      </c>
      <c r="G173" s="251"/>
      <c r="I173" s="167">
        <v>7.1</v>
      </c>
      <c r="J173" s="167">
        <v>5.3249999999999993</v>
      </c>
      <c r="K173" s="167">
        <v>8.875</v>
      </c>
      <c r="L173" s="320"/>
      <c r="M173" s="251"/>
      <c r="O173">
        <f t="shared" si="11"/>
        <v>7.1</v>
      </c>
      <c r="P173">
        <f t="shared" si="10"/>
        <v>5.3249999999999993</v>
      </c>
      <c r="Q173">
        <f t="shared" si="10"/>
        <v>8.875</v>
      </c>
    </row>
    <row r="174" spans="2:17" x14ac:dyDescent="0.3">
      <c r="B174" s="206" t="s">
        <v>1083</v>
      </c>
      <c r="C174" s="167">
        <v>7.1</v>
      </c>
      <c r="D174" s="167">
        <v>5.3249999999999993</v>
      </c>
      <c r="E174" s="167">
        <v>8.875</v>
      </c>
      <c r="F174" s="320"/>
      <c r="G174" s="251"/>
      <c r="I174" s="167">
        <v>7.1</v>
      </c>
      <c r="J174" s="167">
        <v>5.3249999999999993</v>
      </c>
      <c r="K174" s="167">
        <v>8.875</v>
      </c>
      <c r="L174" s="320"/>
      <c r="M174" s="251"/>
      <c r="O174">
        <f t="shared" si="11"/>
        <v>7.1</v>
      </c>
      <c r="P174">
        <f t="shared" si="10"/>
        <v>5.3249999999999993</v>
      </c>
      <c r="Q174">
        <f t="shared" si="10"/>
        <v>8.875</v>
      </c>
    </row>
    <row r="175" spans="2:17" x14ac:dyDescent="0.3">
      <c r="B175" s="206" t="s">
        <v>1084</v>
      </c>
      <c r="C175" s="167">
        <v>7.1</v>
      </c>
      <c r="D175" s="167">
        <v>5.3249999999999993</v>
      </c>
      <c r="E175" s="167">
        <v>8.875</v>
      </c>
      <c r="F175" s="320"/>
      <c r="G175" s="251"/>
      <c r="I175" s="167">
        <v>7.1</v>
      </c>
      <c r="J175" s="167">
        <v>5.3249999999999993</v>
      </c>
      <c r="K175" s="167">
        <v>8.875</v>
      </c>
      <c r="L175" s="320"/>
      <c r="M175" s="251"/>
      <c r="O175">
        <f t="shared" si="11"/>
        <v>7.1</v>
      </c>
      <c r="P175">
        <f t="shared" si="10"/>
        <v>5.3249999999999993</v>
      </c>
      <c r="Q175">
        <f t="shared" si="10"/>
        <v>8.875</v>
      </c>
    </row>
    <row r="176" spans="2:17" x14ac:dyDescent="0.3">
      <c r="B176" s="206" t="s">
        <v>1085</v>
      </c>
      <c r="C176" s="167">
        <v>7.1</v>
      </c>
      <c r="D176" s="167">
        <v>5.3249999999999993</v>
      </c>
      <c r="E176" s="167">
        <v>8.875</v>
      </c>
      <c r="F176" s="320"/>
      <c r="G176" s="251"/>
      <c r="I176" s="167">
        <v>7.1</v>
      </c>
      <c r="J176" s="167">
        <v>5.3249999999999993</v>
      </c>
      <c r="K176" s="167">
        <v>8.875</v>
      </c>
      <c r="L176" s="320"/>
      <c r="M176" s="251"/>
      <c r="O176">
        <f t="shared" si="11"/>
        <v>7.1</v>
      </c>
      <c r="P176">
        <f t="shared" si="10"/>
        <v>5.3249999999999993</v>
      </c>
      <c r="Q176">
        <f t="shared" si="10"/>
        <v>8.875</v>
      </c>
    </row>
    <row r="177" spans="2:18" x14ac:dyDescent="0.3">
      <c r="B177" s="206" t="s">
        <v>1086</v>
      </c>
      <c r="C177" s="167">
        <v>7.1</v>
      </c>
      <c r="D177" s="167">
        <v>5.3249999999999993</v>
      </c>
      <c r="E177" s="167">
        <v>8.875</v>
      </c>
      <c r="F177"/>
      <c r="G177"/>
      <c r="I177" s="167">
        <v>7.1</v>
      </c>
      <c r="J177" s="167">
        <v>5.3249999999999993</v>
      </c>
      <c r="K177" s="167">
        <v>8.875</v>
      </c>
      <c r="L177" s="320"/>
      <c r="M177" s="251"/>
      <c r="O177">
        <f t="shared" si="11"/>
        <v>7.1</v>
      </c>
      <c r="P177">
        <f t="shared" si="10"/>
        <v>5.3249999999999993</v>
      </c>
      <c r="Q177">
        <f t="shared" si="10"/>
        <v>8.875</v>
      </c>
    </row>
    <row r="178" spans="2:18" x14ac:dyDescent="0.3">
      <c r="B178" s="206" t="s">
        <v>1087</v>
      </c>
      <c r="C178" s="167">
        <v>7.1</v>
      </c>
      <c r="D178" s="167">
        <v>5.3249999999999993</v>
      </c>
      <c r="E178" s="167">
        <v>8.875</v>
      </c>
      <c r="F178" s="320"/>
      <c r="G178" s="251"/>
      <c r="I178" s="167">
        <v>7.1</v>
      </c>
      <c r="J178" s="167">
        <v>5.3249999999999993</v>
      </c>
      <c r="K178" s="167">
        <v>8.875</v>
      </c>
      <c r="L178" s="320"/>
      <c r="M178" s="251"/>
      <c r="O178">
        <f t="shared" si="11"/>
        <v>7.1</v>
      </c>
      <c r="P178">
        <f t="shared" si="10"/>
        <v>5.3249999999999993</v>
      </c>
      <c r="Q178">
        <f t="shared" si="10"/>
        <v>8.875</v>
      </c>
    </row>
    <row r="179" spans="2:18" x14ac:dyDescent="0.3">
      <c r="B179" s="206" t="s">
        <v>1443</v>
      </c>
      <c r="C179" s="167">
        <v>7.1</v>
      </c>
      <c r="D179" s="167">
        <v>5.3249999999999993</v>
      </c>
      <c r="E179" s="167">
        <v>8.875</v>
      </c>
      <c r="F179" s="320"/>
      <c r="G179" s="251"/>
      <c r="I179" s="167">
        <v>7.1</v>
      </c>
      <c r="J179" s="167">
        <v>5.3249999999999993</v>
      </c>
      <c r="K179" s="167">
        <v>8.875</v>
      </c>
      <c r="L179" s="320"/>
      <c r="M179" s="251"/>
      <c r="O179">
        <f t="shared" si="11"/>
        <v>7.1</v>
      </c>
      <c r="P179">
        <f t="shared" si="10"/>
        <v>5.3249999999999993</v>
      </c>
      <c r="Q179">
        <f t="shared" si="10"/>
        <v>8.875</v>
      </c>
    </row>
    <row r="180" spans="2:18" x14ac:dyDescent="0.3">
      <c r="B180" s="207" t="s">
        <v>227</v>
      </c>
      <c r="C180" s="275"/>
      <c r="D180" s="275"/>
      <c r="E180" s="275"/>
      <c r="F180" s="320"/>
      <c r="G180" s="251"/>
      <c r="I180" s="275"/>
      <c r="J180" s="275"/>
      <c r="K180" s="275"/>
      <c r="L180" s="320"/>
      <c r="M180" s="251"/>
      <c r="O180"/>
      <c r="P180"/>
      <c r="Q180"/>
    </row>
    <row r="181" spans="2:18" x14ac:dyDescent="0.3">
      <c r="B181" s="206" t="s">
        <v>1437</v>
      </c>
      <c r="C181" s="167">
        <v>7.9</v>
      </c>
      <c r="D181" s="167">
        <v>5.9250000000000007</v>
      </c>
      <c r="E181" s="167">
        <v>9.875</v>
      </c>
      <c r="F181" s="320"/>
      <c r="G181" s="251"/>
      <c r="I181" s="167">
        <v>7.9</v>
      </c>
      <c r="J181" s="167">
        <v>5.9250000000000007</v>
      </c>
      <c r="K181" s="167">
        <v>9.875</v>
      </c>
      <c r="L181" s="320"/>
      <c r="M181" s="251"/>
      <c r="O181">
        <f t="shared" si="11"/>
        <v>7.9</v>
      </c>
      <c r="P181">
        <f t="shared" si="10"/>
        <v>5.9250000000000007</v>
      </c>
      <c r="Q181">
        <f t="shared" si="10"/>
        <v>9.875</v>
      </c>
    </row>
    <row r="182" spans="2:18" x14ac:dyDescent="0.3">
      <c r="B182" s="206" t="s">
        <v>1438</v>
      </c>
      <c r="C182" s="167">
        <v>7.9</v>
      </c>
      <c r="D182" s="167">
        <v>5.9250000000000007</v>
      </c>
      <c r="E182" s="167">
        <v>9.875</v>
      </c>
      <c r="F182" s="320"/>
      <c r="G182" s="251"/>
      <c r="I182" s="167">
        <v>7.9</v>
      </c>
      <c r="J182" s="167">
        <v>5.9250000000000007</v>
      </c>
      <c r="K182" s="167">
        <v>9.875</v>
      </c>
      <c r="L182" s="320"/>
      <c r="M182" s="251"/>
      <c r="O182">
        <f t="shared" si="11"/>
        <v>7.9</v>
      </c>
      <c r="P182">
        <f t="shared" si="10"/>
        <v>5.9250000000000007</v>
      </c>
      <c r="Q182">
        <f t="shared" si="10"/>
        <v>9.875</v>
      </c>
    </row>
    <row r="183" spans="2:18" x14ac:dyDescent="0.3">
      <c r="B183" s="206" t="s">
        <v>1441</v>
      </c>
      <c r="C183" s="167">
        <v>4.9000000000000004</v>
      </c>
      <c r="D183" s="167">
        <v>3.6750000000000003</v>
      </c>
      <c r="E183" s="167">
        <v>6.125</v>
      </c>
      <c r="F183" s="320"/>
      <c r="G183" s="251"/>
      <c r="I183" s="167">
        <v>4.9000000000000004</v>
      </c>
      <c r="J183" s="167">
        <v>3.6750000000000003</v>
      </c>
      <c r="K183" s="167">
        <v>6.125</v>
      </c>
      <c r="L183" s="320"/>
      <c r="M183" s="251"/>
      <c r="O183">
        <f t="shared" si="11"/>
        <v>4.9000000000000004</v>
      </c>
      <c r="P183">
        <f t="shared" si="10"/>
        <v>3.6750000000000003</v>
      </c>
      <c r="Q183">
        <f t="shared" si="10"/>
        <v>6.125</v>
      </c>
    </row>
    <row r="184" spans="2:18" x14ac:dyDescent="0.3">
      <c r="B184" s="206" t="s">
        <v>1442</v>
      </c>
      <c r="C184" s="167">
        <v>4.9000000000000004</v>
      </c>
      <c r="D184" s="167">
        <v>3.6750000000000003</v>
      </c>
      <c r="E184" s="167">
        <v>6.125</v>
      </c>
      <c r="F184" s="320"/>
      <c r="G184" s="251"/>
      <c r="I184" s="167">
        <v>7.1</v>
      </c>
      <c r="J184" s="167">
        <v>5.3249999999999993</v>
      </c>
      <c r="K184" s="167">
        <v>8.875</v>
      </c>
      <c r="L184" s="320"/>
      <c r="M184" s="251"/>
      <c r="O184">
        <f t="shared" si="11"/>
        <v>4.9000000000000004</v>
      </c>
      <c r="P184">
        <f t="shared" si="10"/>
        <v>3.6750000000000003</v>
      </c>
      <c r="Q184">
        <f t="shared" si="10"/>
        <v>6.125</v>
      </c>
    </row>
    <row r="185" spans="2:18" x14ac:dyDescent="0.3">
      <c r="B185" s="207" t="s">
        <v>920</v>
      </c>
      <c r="C185" s="275"/>
      <c r="D185" s="275"/>
      <c r="E185" s="275"/>
      <c r="F185" s="320"/>
      <c r="G185" s="251"/>
      <c r="I185" s="275"/>
      <c r="J185" s="275"/>
      <c r="K185" s="275"/>
      <c r="L185" s="320"/>
      <c r="M185" s="251"/>
      <c r="O185"/>
      <c r="P185"/>
      <c r="Q185"/>
    </row>
    <row r="186" spans="2:18" x14ac:dyDescent="0.3">
      <c r="B186" s="206" t="s">
        <v>920</v>
      </c>
      <c r="C186" s="167">
        <v>7</v>
      </c>
      <c r="D186" s="167">
        <v>5.25</v>
      </c>
      <c r="E186" s="167">
        <v>8.75</v>
      </c>
      <c r="F186" s="320" t="s">
        <v>869</v>
      </c>
      <c r="G186" s="251"/>
      <c r="I186" s="167">
        <v>7</v>
      </c>
      <c r="J186" s="167">
        <v>5.25</v>
      </c>
      <c r="K186" s="167">
        <v>8.75</v>
      </c>
      <c r="L186" s="320"/>
      <c r="M186" s="251"/>
      <c r="O186">
        <f t="shared" si="11"/>
        <v>7</v>
      </c>
      <c r="P186">
        <f t="shared" si="10"/>
        <v>5.25</v>
      </c>
      <c r="Q186">
        <f t="shared" si="10"/>
        <v>8.75</v>
      </c>
    </row>
    <row r="187" spans="2:18" x14ac:dyDescent="0.3">
      <c r="B187" s="206" t="s">
        <v>980</v>
      </c>
      <c r="C187" s="167">
        <v>7</v>
      </c>
      <c r="D187" s="167">
        <v>5.25</v>
      </c>
      <c r="E187" s="167">
        <v>8.75</v>
      </c>
      <c r="F187" s="320"/>
      <c r="G187" s="251"/>
      <c r="I187" s="167">
        <v>7</v>
      </c>
      <c r="J187" s="167">
        <v>5.25</v>
      </c>
      <c r="K187" s="167">
        <v>8.75</v>
      </c>
      <c r="L187" s="320"/>
      <c r="M187" s="251"/>
      <c r="O187">
        <f t="shared" si="11"/>
        <v>7</v>
      </c>
      <c r="P187">
        <f t="shared" si="10"/>
        <v>5.25</v>
      </c>
      <c r="Q187">
        <f t="shared" si="10"/>
        <v>8.75</v>
      </c>
    </row>
    <row r="188" spans="2:18" x14ac:dyDescent="0.3">
      <c r="B188" s="236"/>
      <c r="F188" s="320"/>
      <c r="G188" s="251"/>
      <c r="L188" s="320"/>
      <c r="M188" s="251"/>
      <c r="O188" s="206"/>
      <c r="P188" s="461"/>
    </row>
    <row r="189" spans="2:18" ht="18.600000000000001" thickBot="1" x14ac:dyDescent="0.4">
      <c r="B189" s="215"/>
      <c r="C189" s="786" t="s">
        <v>1347</v>
      </c>
      <c r="D189" s="786"/>
      <c r="E189" s="786"/>
      <c r="F189" s="786"/>
      <c r="G189" s="786"/>
      <c r="I189" s="786" t="s">
        <v>1347</v>
      </c>
      <c r="J189" s="786"/>
      <c r="K189" s="786"/>
      <c r="L189" s="786"/>
      <c r="M189" s="786"/>
      <c r="O189" s="206"/>
      <c r="P189" s="461"/>
    </row>
    <row r="190" spans="2:18" x14ac:dyDescent="0.3">
      <c r="B190" s="233"/>
      <c r="C190" s="214" t="s">
        <v>563</v>
      </c>
      <c r="D190" s="214" t="s">
        <v>985</v>
      </c>
      <c r="E190" s="214" t="s">
        <v>986</v>
      </c>
      <c r="F190" s="319" t="s">
        <v>592</v>
      </c>
      <c r="G190" s="215" t="s">
        <v>591</v>
      </c>
      <c r="I190" s="214" t="s">
        <v>563</v>
      </c>
      <c r="J190" s="214" t="s">
        <v>985</v>
      </c>
      <c r="K190" s="214" t="s">
        <v>986</v>
      </c>
      <c r="L190" s="319" t="s">
        <v>592</v>
      </c>
      <c r="M190" s="215" t="s">
        <v>591</v>
      </c>
      <c r="O190" s="214" t="s">
        <v>563</v>
      </c>
      <c r="P190" s="214" t="s">
        <v>985</v>
      </c>
      <c r="Q190" s="214" t="s">
        <v>986</v>
      </c>
      <c r="R190" s="215"/>
    </row>
    <row r="191" spans="2:18" x14ac:dyDescent="0.3">
      <c r="B191" s="205" t="s">
        <v>1434</v>
      </c>
      <c r="F191" s="320"/>
      <c r="G191" s="251"/>
      <c r="L191" s="320"/>
      <c r="M191" s="251"/>
    </row>
    <row r="192" spans="2:18" x14ac:dyDescent="0.3">
      <c r="B192" s="206" t="s">
        <v>1082</v>
      </c>
      <c r="C192" s="167">
        <v>1738.3921739130433</v>
      </c>
      <c r="D192" s="167">
        <v>1129.9279513260869</v>
      </c>
      <c r="E192" s="167">
        <v>2346.7734373695653</v>
      </c>
      <c r="F192" s="320" t="s">
        <v>1452</v>
      </c>
      <c r="G192" s="251"/>
      <c r="I192" s="167"/>
      <c r="J192" s="167"/>
      <c r="K192" s="167"/>
      <c r="L192" s="320"/>
      <c r="M192" s="251"/>
      <c r="O192">
        <f>IF(ISBLANK(C192),I192,C192)</f>
        <v>1738.3921739130433</v>
      </c>
      <c r="P192">
        <f t="shared" ref="P192:Q214" si="12">IF(ISBLANK(D192),J192,D192)</f>
        <v>1129.9279513260869</v>
      </c>
      <c r="Q192">
        <f t="shared" si="12"/>
        <v>2346.7734373695653</v>
      </c>
    </row>
    <row r="193" spans="2:17" x14ac:dyDescent="0.3">
      <c r="B193" s="206" t="s">
        <v>1083</v>
      </c>
      <c r="C193" s="167">
        <v>1738.3921739130433</v>
      </c>
      <c r="D193" s="167">
        <v>1129.9279513260869</v>
      </c>
      <c r="E193" s="167">
        <v>2346.7734373695653</v>
      </c>
      <c r="F193" s="320"/>
      <c r="G193" s="251"/>
      <c r="I193" s="167"/>
      <c r="J193" s="167"/>
      <c r="K193" s="167"/>
      <c r="L193" s="320"/>
      <c r="M193" s="251"/>
      <c r="O193">
        <f t="shared" ref="O193:O214" si="13">IF(ISBLANK(C193),I193,C193)</f>
        <v>1738.3921739130433</v>
      </c>
      <c r="P193">
        <f t="shared" si="12"/>
        <v>1129.9279513260869</v>
      </c>
      <c r="Q193">
        <f t="shared" si="12"/>
        <v>2346.7734373695653</v>
      </c>
    </row>
    <row r="194" spans="2:17" x14ac:dyDescent="0.3">
      <c r="B194" s="206" t="s">
        <v>1084</v>
      </c>
      <c r="C194" s="167">
        <v>1738.3921739130433</v>
      </c>
      <c r="D194" s="167">
        <v>1129.9279513260869</v>
      </c>
      <c r="E194" s="167">
        <v>2346.7734373695653</v>
      </c>
      <c r="F194" s="320"/>
      <c r="G194" s="251"/>
      <c r="I194" s="167"/>
      <c r="J194" s="167"/>
      <c r="K194" s="167"/>
      <c r="L194" s="320"/>
      <c r="M194" s="251"/>
      <c r="O194">
        <f t="shared" si="13"/>
        <v>1738.3921739130433</v>
      </c>
      <c r="P194">
        <f t="shared" si="12"/>
        <v>1129.9279513260869</v>
      </c>
      <c r="Q194">
        <f t="shared" si="12"/>
        <v>2346.7734373695653</v>
      </c>
    </row>
    <row r="195" spans="2:17" x14ac:dyDescent="0.3">
      <c r="B195" s="206" t="s">
        <v>1085</v>
      </c>
      <c r="C195" s="167">
        <v>1626.8426086956522</v>
      </c>
      <c r="D195" s="167">
        <v>1041.1502699867015</v>
      </c>
      <c r="E195" s="167">
        <v>2212.4443237217392</v>
      </c>
      <c r="F195" s="320"/>
      <c r="G195" s="251"/>
      <c r="I195" s="167"/>
      <c r="J195" s="167"/>
      <c r="K195" s="167"/>
      <c r="L195" s="320"/>
      <c r="M195" s="251"/>
      <c r="O195">
        <f t="shared" si="13"/>
        <v>1626.8426086956522</v>
      </c>
      <c r="P195">
        <f t="shared" si="12"/>
        <v>1041.1502699867015</v>
      </c>
      <c r="Q195">
        <f t="shared" si="12"/>
        <v>2212.4443237217392</v>
      </c>
    </row>
    <row r="196" spans="2:17" x14ac:dyDescent="0.3">
      <c r="B196" s="206" t="s">
        <v>1086</v>
      </c>
      <c r="C196" s="167">
        <v>1626.8426086956522</v>
      </c>
      <c r="D196" s="167">
        <v>1041.1502699867015</v>
      </c>
      <c r="E196" s="167">
        <v>2212.4443237217392</v>
      </c>
      <c r="F196"/>
      <c r="G196"/>
      <c r="I196" s="167"/>
      <c r="J196" s="167"/>
      <c r="K196" s="167"/>
      <c r="L196" s="320"/>
      <c r="M196" s="251"/>
      <c r="O196">
        <f t="shared" si="13"/>
        <v>1626.8426086956522</v>
      </c>
      <c r="P196">
        <f t="shared" si="12"/>
        <v>1041.1502699867015</v>
      </c>
      <c r="Q196">
        <f t="shared" si="12"/>
        <v>2212.4443237217392</v>
      </c>
    </row>
    <row r="197" spans="2:17" x14ac:dyDescent="0.3">
      <c r="B197" s="206" t="s">
        <v>1087</v>
      </c>
      <c r="C197" s="167">
        <v>1626.8426086956522</v>
      </c>
      <c r="D197" s="167">
        <v>1041.1502699867015</v>
      </c>
      <c r="E197" s="167">
        <v>2212.4443237217392</v>
      </c>
      <c r="F197" s="320"/>
      <c r="G197" s="251"/>
      <c r="I197" s="167"/>
      <c r="J197" s="167"/>
      <c r="K197" s="167"/>
      <c r="L197" s="320"/>
      <c r="M197" s="251"/>
      <c r="O197">
        <f t="shared" si="13"/>
        <v>1626.8426086956522</v>
      </c>
      <c r="P197">
        <f t="shared" si="12"/>
        <v>1041.1502699867015</v>
      </c>
      <c r="Q197">
        <f t="shared" si="12"/>
        <v>2212.4443237217392</v>
      </c>
    </row>
    <row r="198" spans="2:17" x14ac:dyDescent="0.3">
      <c r="B198" s="206" t="s">
        <v>1443</v>
      </c>
      <c r="C198" s="167">
        <v>1637.1539130434783</v>
      </c>
      <c r="D198" s="167">
        <v>1015.0252450130432</v>
      </c>
      <c r="E198" s="167">
        <v>1928.1166602857134</v>
      </c>
      <c r="F198" s="320"/>
      <c r="G198" s="251"/>
      <c r="I198" s="167"/>
      <c r="J198" s="167"/>
      <c r="K198" s="167"/>
      <c r="L198" s="320"/>
      <c r="M198" s="251"/>
      <c r="O198">
        <f t="shared" si="13"/>
        <v>1637.1539130434783</v>
      </c>
      <c r="P198">
        <f t="shared" si="12"/>
        <v>1015.0252450130432</v>
      </c>
      <c r="Q198">
        <f t="shared" si="12"/>
        <v>1928.1166602857134</v>
      </c>
    </row>
    <row r="199" spans="2:17" x14ac:dyDescent="0.3">
      <c r="B199" s="205" t="s">
        <v>1435</v>
      </c>
      <c r="F199" s="320"/>
      <c r="G199" s="251"/>
      <c r="L199" s="320"/>
      <c r="M199" s="251"/>
      <c r="O199"/>
      <c r="P199"/>
      <c r="Q199"/>
    </row>
    <row r="200" spans="2:17" x14ac:dyDescent="0.3">
      <c r="B200" s="206" t="s">
        <v>1082</v>
      </c>
      <c r="C200" s="167">
        <v>1656.4876086956522</v>
      </c>
      <c r="D200" s="167">
        <v>1010.4607110836495</v>
      </c>
      <c r="E200" s="167">
        <v>2302.5252268955255</v>
      </c>
      <c r="F200" s="320" t="s">
        <v>1452</v>
      </c>
      <c r="G200" s="251"/>
      <c r="I200" s="167"/>
      <c r="J200" s="167"/>
      <c r="K200" s="167"/>
      <c r="L200" s="320"/>
      <c r="M200" s="251"/>
      <c r="O200">
        <f t="shared" si="13"/>
        <v>1656.4876086956522</v>
      </c>
      <c r="P200">
        <f t="shared" si="12"/>
        <v>1010.4607110836495</v>
      </c>
      <c r="Q200">
        <f t="shared" si="12"/>
        <v>2302.5252268955255</v>
      </c>
    </row>
    <row r="201" spans="2:17" x14ac:dyDescent="0.3">
      <c r="B201" s="206" t="s">
        <v>1083</v>
      </c>
      <c r="C201" s="167">
        <v>1656.4876086956522</v>
      </c>
      <c r="D201" s="167">
        <v>1010.4607110836495</v>
      </c>
      <c r="E201" s="167">
        <v>2302.5252268955255</v>
      </c>
      <c r="F201" s="320"/>
      <c r="G201" s="251"/>
      <c r="I201" s="167"/>
      <c r="J201" s="167"/>
      <c r="K201" s="167"/>
      <c r="L201" s="320"/>
      <c r="M201" s="251"/>
      <c r="O201">
        <f t="shared" si="13"/>
        <v>1656.4876086956522</v>
      </c>
      <c r="P201">
        <f t="shared" si="12"/>
        <v>1010.4607110836495</v>
      </c>
      <c r="Q201">
        <f t="shared" si="12"/>
        <v>2302.5252268955255</v>
      </c>
    </row>
    <row r="202" spans="2:17" x14ac:dyDescent="0.3">
      <c r="B202" s="206" t="s">
        <v>1084</v>
      </c>
      <c r="C202" s="167">
        <v>1656.4876086956522</v>
      </c>
      <c r="D202" s="167">
        <v>1010.4607110836495</v>
      </c>
      <c r="E202" s="167">
        <v>2302.5252268955255</v>
      </c>
      <c r="F202" s="320"/>
      <c r="G202" s="251"/>
      <c r="I202" s="167"/>
      <c r="J202" s="167"/>
      <c r="K202" s="167"/>
      <c r="L202" s="320"/>
      <c r="M202" s="251"/>
      <c r="O202">
        <f t="shared" si="13"/>
        <v>1656.4876086956522</v>
      </c>
      <c r="P202">
        <f t="shared" si="12"/>
        <v>1010.4607110836495</v>
      </c>
      <c r="Q202">
        <f t="shared" si="12"/>
        <v>2302.5252268955255</v>
      </c>
    </row>
    <row r="203" spans="2:17" x14ac:dyDescent="0.3">
      <c r="B203" s="206" t="s">
        <v>1085</v>
      </c>
      <c r="C203" s="167">
        <v>1656.4876086956522</v>
      </c>
      <c r="D203" s="167">
        <v>1010.4607110836495</v>
      </c>
      <c r="E203" s="167">
        <v>2302.5252268955255</v>
      </c>
      <c r="F203" s="320"/>
      <c r="G203" s="251"/>
      <c r="I203" s="167"/>
      <c r="J203" s="167"/>
      <c r="K203" s="167"/>
      <c r="L203" s="320"/>
      <c r="M203" s="251"/>
      <c r="O203">
        <f t="shared" si="13"/>
        <v>1656.4876086956522</v>
      </c>
      <c r="P203">
        <f t="shared" si="12"/>
        <v>1010.4607110836495</v>
      </c>
      <c r="Q203">
        <f t="shared" si="12"/>
        <v>2302.5252268955255</v>
      </c>
    </row>
    <row r="204" spans="2:17" x14ac:dyDescent="0.3">
      <c r="B204" s="206" t="s">
        <v>1086</v>
      </c>
      <c r="C204" s="167">
        <v>1656.4876086956522</v>
      </c>
      <c r="D204" s="167">
        <v>1010.4607110836495</v>
      </c>
      <c r="E204" s="167">
        <v>2302.5252268955255</v>
      </c>
      <c r="F204"/>
      <c r="G204"/>
      <c r="I204" s="167"/>
      <c r="J204" s="167"/>
      <c r="K204" s="167"/>
      <c r="L204" s="320"/>
      <c r="M204" s="251"/>
      <c r="O204">
        <f t="shared" si="13"/>
        <v>1656.4876086956522</v>
      </c>
      <c r="P204">
        <f t="shared" si="12"/>
        <v>1010.4607110836495</v>
      </c>
      <c r="Q204">
        <f t="shared" si="12"/>
        <v>2302.5252268955255</v>
      </c>
    </row>
    <row r="205" spans="2:17" x14ac:dyDescent="0.3">
      <c r="B205" s="206" t="s">
        <v>1087</v>
      </c>
      <c r="C205" s="167">
        <v>1656.4876086956522</v>
      </c>
      <c r="D205" s="167">
        <v>1010.4607110836495</v>
      </c>
      <c r="E205" s="167">
        <v>2302.5252268955255</v>
      </c>
      <c r="F205" s="320"/>
      <c r="G205" s="251"/>
      <c r="I205" s="167"/>
      <c r="J205" s="167"/>
      <c r="K205" s="167"/>
      <c r="L205" s="320"/>
      <c r="M205" s="251"/>
      <c r="O205">
        <f t="shared" si="13"/>
        <v>1656.4876086956522</v>
      </c>
      <c r="P205">
        <f t="shared" si="12"/>
        <v>1010.4607110836495</v>
      </c>
      <c r="Q205">
        <f t="shared" si="12"/>
        <v>2302.5252268955255</v>
      </c>
    </row>
    <row r="206" spans="2:17" x14ac:dyDescent="0.3">
      <c r="B206" s="206" t="s">
        <v>1443</v>
      </c>
      <c r="C206" s="167">
        <v>1656.4876086956522</v>
      </c>
      <c r="D206" s="167">
        <v>1010.4607110836495</v>
      </c>
      <c r="E206" s="167">
        <v>2302.5252268955255</v>
      </c>
      <c r="F206" s="320"/>
      <c r="G206" s="251"/>
      <c r="I206" s="167"/>
      <c r="J206" s="167"/>
      <c r="K206" s="167"/>
      <c r="L206" s="320"/>
      <c r="M206" s="251"/>
      <c r="O206">
        <f t="shared" si="13"/>
        <v>1656.4876086956522</v>
      </c>
      <c r="P206">
        <f t="shared" si="12"/>
        <v>1010.4607110836495</v>
      </c>
      <c r="Q206">
        <f t="shared" si="12"/>
        <v>2302.5252268955255</v>
      </c>
    </row>
    <row r="207" spans="2:17" x14ac:dyDescent="0.3">
      <c r="B207" s="207" t="s">
        <v>227</v>
      </c>
      <c r="C207" s="275"/>
      <c r="D207" s="275"/>
      <c r="E207" s="275"/>
      <c r="F207" s="320"/>
      <c r="G207" s="251"/>
      <c r="I207" s="275"/>
      <c r="J207" s="275"/>
      <c r="K207" s="275"/>
      <c r="L207" s="320"/>
      <c r="M207" s="251"/>
      <c r="O207"/>
      <c r="P207"/>
      <c r="Q207"/>
    </row>
    <row r="208" spans="2:17" x14ac:dyDescent="0.3">
      <c r="B208" s="206" t="s">
        <v>1437</v>
      </c>
      <c r="C208" s="167">
        <v>1585.2458695652176</v>
      </c>
      <c r="D208" s="167">
        <v>681.64383565547587</v>
      </c>
      <c r="E208" s="167">
        <v>2488.7926092537182</v>
      </c>
      <c r="F208" s="320"/>
      <c r="G208" s="251"/>
      <c r="I208" s="167"/>
      <c r="J208" s="167"/>
      <c r="K208" s="167"/>
      <c r="L208" s="320"/>
      <c r="M208" s="251"/>
      <c r="O208">
        <f t="shared" si="13"/>
        <v>1585.2458695652176</v>
      </c>
      <c r="P208">
        <f t="shared" si="12"/>
        <v>681.64383565547587</v>
      </c>
      <c r="Q208">
        <f t="shared" si="12"/>
        <v>2488.7926092537182</v>
      </c>
    </row>
    <row r="209" spans="2:17" x14ac:dyDescent="0.3">
      <c r="B209" s="206" t="s">
        <v>1438</v>
      </c>
      <c r="C209" s="167">
        <v>1585.2458695652176</v>
      </c>
      <c r="D209" s="167">
        <v>681.64383565547587</v>
      </c>
      <c r="E209" s="167">
        <v>2488.7926092537182</v>
      </c>
      <c r="F209" s="320"/>
      <c r="G209" s="251"/>
      <c r="I209" s="167"/>
      <c r="J209" s="167"/>
      <c r="K209" s="167"/>
      <c r="L209" s="320"/>
      <c r="M209" s="251"/>
      <c r="O209">
        <f t="shared" si="13"/>
        <v>1585.2458695652176</v>
      </c>
      <c r="P209">
        <f t="shared" si="12"/>
        <v>681.64383565547587</v>
      </c>
      <c r="Q209">
        <f t="shared" si="12"/>
        <v>2488.7926092537182</v>
      </c>
    </row>
    <row r="210" spans="2:17" x14ac:dyDescent="0.3">
      <c r="B210" s="206" t="s">
        <v>1441</v>
      </c>
      <c r="C210" s="167">
        <v>1754.2106521739129</v>
      </c>
      <c r="D210" s="167">
        <v>929.70064019130496</v>
      </c>
      <c r="E210" s="167">
        <v>2578.6036624173912</v>
      </c>
      <c r="F210" s="320"/>
      <c r="G210" s="251"/>
      <c r="I210" s="167"/>
      <c r="J210" s="167"/>
      <c r="K210" s="167"/>
      <c r="L210" s="320"/>
      <c r="M210" s="251"/>
      <c r="O210">
        <f t="shared" si="13"/>
        <v>1754.2106521739129</v>
      </c>
      <c r="P210">
        <f t="shared" si="12"/>
        <v>929.70064019130496</v>
      </c>
      <c r="Q210">
        <f t="shared" si="12"/>
        <v>2578.6036624173912</v>
      </c>
    </row>
    <row r="211" spans="2:17" x14ac:dyDescent="0.3">
      <c r="B211" s="206" t="s">
        <v>1442</v>
      </c>
      <c r="C211" s="167">
        <v>1754.2106521739129</v>
      </c>
      <c r="D211" s="167">
        <v>929.70064019130496</v>
      </c>
      <c r="E211" s="167">
        <v>2578.6036624173912</v>
      </c>
      <c r="F211" s="320"/>
      <c r="G211" s="251"/>
      <c r="I211" s="167"/>
      <c r="J211" s="167"/>
      <c r="K211" s="167"/>
      <c r="L211" s="320"/>
      <c r="M211" s="251"/>
      <c r="O211">
        <f t="shared" si="13"/>
        <v>1754.2106521739129</v>
      </c>
      <c r="P211">
        <f t="shared" si="12"/>
        <v>929.70064019130496</v>
      </c>
      <c r="Q211">
        <f t="shared" si="12"/>
        <v>2578.6036624173912</v>
      </c>
    </row>
    <row r="212" spans="2:17" x14ac:dyDescent="0.3">
      <c r="B212" s="207" t="s">
        <v>920</v>
      </c>
      <c r="C212" s="275"/>
      <c r="D212" s="275"/>
      <c r="E212" s="275"/>
      <c r="F212" s="320"/>
      <c r="G212" s="251"/>
      <c r="I212" s="275"/>
      <c r="J212" s="275"/>
      <c r="K212" s="275"/>
      <c r="L212" s="320"/>
      <c r="M212" s="251"/>
      <c r="O212"/>
      <c r="P212"/>
      <c r="Q212"/>
    </row>
    <row r="213" spans="2:17" x14ac:dyDescent="0.3">
      <c r="B213" s="206" t="s">
        <v>920</v>
      </c>
      <c r="C213" s="167">
        <v>1626.8426086956522</v>
      </c>
      <c r="D213" s="167">
        <v>1041.1502699867015</v>
      </c>
      <c r="E213" s="167">
        <v>2212.4443237217392</v>
      </c>
      <c r="F213" s="320" t="s">
        <v>1454</v>
      </c>
      <c r="G213" s="251"/>
      <c r="I213" s="167"/>
      <c r="J213" s="167"/>
      <c r="K213" s="167"/>
      <c r="L213" s="320"/>
      <c r="M213" s="251"/>
      <c r="O213">
        <f t="shared" si="13"/>
        <v>1626.8426086956522</v>
      </c>
      <c r="P213">
        <f t="shared" si="12"/>
        <v>1041.1502699867015</v>
      </c>
      <c r="Q213">
        <f t="shared" si="12"/>
        <v>2212.4443237217392</v>
      </c>
    </row>
    <row r="214" spans="2:17" x14ac:dyDescent="0.3">
      <c r="B214" s="206" t="s">
        <v>980</v>
      </c>
      <c r="C214" s="167">
        <v>1626.8426086956522</v>
      </c>
      <c r="D214" s="167">
        <v>1041.1502699867015</v>
      </c>
      <c r="E214" s="167">
        <v>2212.4443237217392</v>
      </c>
      <c r="F214" s="320"/>
      <c r="G214" s="251"/>
      <c r="I214" s="167"/>
      <c r="J214" s="167"/>
      <c r="K214" s="167"/>
      <c r="L214" s="320"/>
      <c r="M214" s="251"/>
      <c r="O214">
        <f t="shared" si="13"/>
        <v>1626.8426086956522</v>
      </c>
      <c r="P214">
        <f t="shared" si="12"/>
        <v>1041.1502699867015</v>
      </c>
      <c r="Q214">
        <f t="shared" si="12"/>
        <v>2212.4443237217392</v>
      </c>
    </row>
    <row r="215" spans="2:17" x14ac:dyDescent="0.3">
      <c r="B215" s="206"/>
      <c r="C215" s="275"/>
      <c r="D215" s="275"/>
      <c r="E215" s="275"/>
      <c r="F215" s="320"/>
      <c r="G215" s="251"/>
      <c r="I215" s="275"/>
      <c r="J215" s="275"/>
      <c r="K215" s="275"/>
      <c r="L215" s="320"/>
      <c r="M215" s="251"/>
    </row>
    <row r="216" spans="2:17" x14ac:dyDescent="0.3">
      <c r="B216" s="236" t="s">
        <v>1534</v>
      </c>
      <c r="F216" s="320"/>
      <c r="G216" s="251"/>
      <c r="L216" s="320"/>
      <c r="M216" s="251"/>
      <c r="O216" s="206"/>
      <c r="P216" s="461"/>
    </row>
    <row r="217" spans="2:17" x14ac:dyDescent="0.3">
      <c r="B217" s="236"/>
      <c r="F217" s="320"/>
      <c r="G217" s="251"/>
      <c r="L217" s="320"/>
      <c r="M217" s="251"/>
      <c r="O217" s="206"/>
      <c r="P217" s="461"/>
    </row>
    <row r="218" spans="2:17" ht="18" x14ac:dyDescent="0.3">
      <c r="B218" s="612" t="s">
        <v>1535</v>
      </c>
      <c r="C218" s="275"/>
      <c r="D218" s="275"/>
      <c r="E218" s="275"/>
      <c r="F218" s="320"/>
      <c r="I218" s="280"/>
      <c r="J218" s="280"/>
      <c r="K218" s="280"/>
      <c r="L218" s="320"/>
      <c r="M218" s="251"/>
      <c r="O218" s="206"/>
      <c r="P218" s="461"/>
    </row>
    <row r="219" spans="2:17" s="312" customFormat="1" ht="15" customHeight="1" x14ac:dyDescent="0.3">
      <c r="B219" s="294" t="s">
        <v>1446</v>
      </c>
      <c r="C219" s="305"/>
      <c r="D219" s="305"/>
      <c r="E219" s="305"/>
      <c r="F219" s="305"/>
      <c r="G219" s="305"/>
    </row>
    <row r="220" spans="2:17" s="312" customFormat="1" ht="15" customHeight="1" x14ac:dyDescent="0.3">
      <c r="B220" s="583" t="s">
        <v>950</v>
      </c>
      <c r="C220" s="214" t="s">
        <v>995</v>
      </c>
      <c r="D220" s="214" t="s">
        <v>985</v>
      </c>
      <c r="E220" s="214" t="s">
        <v>986</v>
      </c>
      <c r="F220" s="319"/>
      <c r="G220" s="215"/>
      <c r="H220" s="204"/>
      <c r="I220" s="214"/>
      <c r="J220" s="214"/>
      <c r="K220" s="214"/>
      <c r="L220" s="319"/>
      <c r="M220" s="215"/>
      <c r="N220" s="204"/>
      <c r="O220" s="214"/>
      <c r="P220" s="214"/>
      <c r="Q220" s="214"/>
    </row>
    <row r="221" spans="2:17" s="312" customFormat="1" ht="15" customHeight="1" x14ac:dyDescent="0.3">
      <c r="B221" s="315" t="s">
        <v>1445</v>
      </c>
      <c r="C221" s="204"/>
      <c r="D221" s="204"/>
      <c r="E221" s="204"/>
      <c r="F221" s="320"/>
      <c r="G221" s="251"/>
      <c r="H221" s="204"/>
      <c r="I221" s="204"/>
      <c r="J221" s="204"/>
      <c r="K221" s="204"/>
      <c r="L221" s="320"/>
      <c r="M221" s="251"/>
      <c r="N221" s="204"/>
      <c r="O221" s="204"/>
      <c r="P221" s="204"/>
      <c r="Q221" s="204"/>
    </row>
    <row r="222" spans="2:17" s="312" customFormat="1" ht="15" customHeight="1" x14ac:dyDescent="0.3">
      <c r="B222" s="313" t="s">
        <v>2</v>
      </c>
      <c r="C222" s="167">
        <v>32.621217391304349</v>
      </c>
      <c r="D222" s="167">
        <v>21.208478260869569</v>
      </c>
      <c r="E222" s="167">
        <v>44.04567391304348</v>
      </c>
      <c r="F222" s="320"/>
      <c r="G222" s="251" t="s">
        <v>1506</v>
      </c>
      <c r="H222" s="204"/>
      <c r="I222" s="167"/>
      <c r="J222" s="167"/>
      <c r="K222" s="167"/>
      <c r="L222" s="320"/>
      <c r="M222" s="251"/>
      <c r="N222" s="204"/>
      <c r="O222">
        <f>IF(ISBLANK(C222),I222,C222)</f>
        <v>32.621217391304349</v>
      </c>
      <c r="P222">
        <f t="shared" ref="P222:Q244" si="14">IF(ISBLANK(D222),J222,D222)</f>
        <v>21.208478260869569</v>
      </c>
      <c r="Q222">
        <f t="shared" si="14"/>
        <v>44.04567391304348</v>
      </c>
    </row>
    <row r="223" spans="2:17" s="312" customFormat="1" ht="15" customHeight="1" x14ac:dyDescent="0.3">
      <c r="B223" s="313" t="s">
        <v>3</v>
      </c>
      <c r="C223" s="167">
        <v>32.621217391304349</v>
      </c>
      <c r="D223" s="167">
        <v>21.208478260869569</v>
      </c>
      <c r="E223" s="167">
        <v>44.04567391304348</v>
      </c>
      <c r="F223" s="320"/>
      <c r="G223" s="251" t="s">
        <v>1571</v>
      </c>
      <c r="H223" s="204"/>
      <c r="I223" s="167"/>
      <c r="J223" s="167"/>
      <c r="K223" s="167"/>
      <c r="L223" s="320"/>
      <c r="M223" s="251"/>
      <c r="N223" s="204"/>
      <c r="O223">
        <f t="shared" ref="O223:O244" si="15">IF(ISBLANK(C223),I223,C223)</f>
        <v>32.621217391304349</v>
      </c>
      <c r="P223">
        <f t="shared" si="14"/>
        <v>21.208478260869569</v>
      </c>
      <c r="Q223">
        <f t="shared" si="14"/>
        <v>44.04567391304348</v>
      </c>
    </row>
    <row r="224" spans="2:17" s="312" customFormat="1" ht="15" customHeight="1" x14ac:dyDescent="0.3">
      <c r="B224" s="313" t="s">
        <v>4</v>
      </c>
      <c r="C224" s="167">
        <v>32.621217391304349</v>
      </c>
      <c r="D224" s="167">
        <v>21.208478260869569</v>
      </c>
      <c r="E224" s="167">
        <v>44.04567391304348</v>
      </c>
      <c r="F224" s="320"/>
      <c r="G224" s="251"/>
      <c r="H224" s="204"/>
      <c r="I224" s="167"/>
      <c r="J224" s="167"/>
      <c r="K224" s="167"/>
      <c r="L224" s="320"/>
      <c r="M224" s="251"/>
      <c r="N224" s="204"/>
      <c r="O224">
        <f t="shared" si="15"/>
        <v>32.621217391304349</v>
      </c>
      <c r="P224">
        <f t="shared" si="14"/>
        <v>21.208478260869569</v>
      </c>
      <c r="Q224">
        <f t="shared" si="14"/>
        <v>44.04567391304348</v>
      </c>
    </row>
    <row r="225" spans="2:17" s="312" customFormat="1" ht="15" customHeight="1" x14ac:dyDescent="0.3">
      <c r="B225" s="313" t="s">
        <v>5</v>
      </c>
      <c r="C225" s="167">
        <v>32.832130434782606</v>
      </c>
      <c r="D225" s="167">
        <v>19.404</v>
      </c>
      <c r="E225" s="167">
        <v>46.365717391304351</v>
      </c>
      <c r="F225" s="320"/>
      <c r="G225" s="251"/>
      <c r="H225" s="204"/>
      <c r="I225" s="167"/>
      <c r="J225" s="167"/>
      <c r="K225" s="167"/>
      <c r="L225" s="320"/>
      <c r="M225" s="251"/>
      <c r="N225" s="204"/>
      <c r="O225">
        <f t="shared" si="15"/>
        <v>32.832130434782606</v>
      </c>
      <c r="P225">
        <f t="shared" si="14"/>
        <v>19.404</v>
      </c>
      <c r="Q225">
        <f t="shared" si="14"/>
        <v>46.365717391304351</v>
      </c>
    </row>
    <row r="226" spans="2:17" s="312" customFormat="1" ht="15" customHeight="1" x14ac:dyDescent="0.3">
      <c r="B226" s="313" t="s">
        <v>6</v>
      </c>
      <c r="C226" s="167">
        <v>32.832130434782606</v>
      </c>
      <c r="D226" s="167">
        <v>19.404</v>
      </c>
      <c r="E226" s="167">
        <v>46.365717391304351</v>
      </c>
      <c r="F226"/>
      <c r="G226"/>
      <c r="H226" s="204"/>
      <c r="I226" s="167"/>
      <c r="J226" s="167"/>
      <c r="K226" s="167"/>
      <c r="L226" s="320"/>
      <c r="M226" s="251"/>
      <c r="N226" s="204"/>
      <c r="O226">
        <f t="shared" si="15"/>
        <v>32.832130434782606</v>
      </c>
      <c r="P226">
        <f t="shared" si="14"/>
        <v>19.404</v>
      </c>
      <c r="Q226">
        <f t="shared" si="14"/>
        <v>46.365717391304351</v>
      </c>
    </row>
    <row r="227" spans="2:17" s="312" customFormat="1" ht="15" customHeight="1" x14ac:dyDescent="0.3">
      <c r="B227" s="313" t="s">
        <v>7</v>
      </c>
      <c r="C227" s="167">
        <v>32.832130434782606</v>
      </c>
      <c r="D227" s="167">
        <v>19.404</v>
      </c>
      <c r="E227" s="167">
        <v>46.365717391304351</v>
      </c>
      <c r="F227" s="320"/>
      <c r="G227" s="251"/>
      <c r="H227" s="204"/>
      <c r="I227" s="167"/>
      <c r="J227" s="167"/>
      <c r="K227" s="167"/>
      <c r="L227" s="320"/>
      <c r="M227" s="251"/>
      <c r="N227" s="204"/>
      <c r="O227">
        <f t="shared" si="15"/>
        <v>32.832130434782606</v>
      </c>
      <c r="P227">
        <f t="shared" si="14"/>
        <v>19.404</v>
      </c>
      <c r="Q227">
        <f t="shared" si="14"/>
        <v>46.365717391304351</v>
      </c>
    </row>
    <row r="228" spans="2:17" s="312" customFormat="1" ht="15" customHeight="1" x14ac:dyDescent="0.3">
      <c r="B228" s="313" t="s">
        <v>11</v>
      </c>
      <c r="C228" s="167">
        <v>32.843847826086964</v>
      </c>
      <c r="D228" s="167">
        <v>20.364826086956526</v>
      </c>
      <c r="E228" s="167">
        <v>45.322869565217395</v>
      </c>
      <c r="F228" s="320"/>
      <c r="G228" s="251"/>
      <c r="H228" s="204"/>
      <c r="I228" s="167"/>
      <c r="J228" s="167"/>
      <c r="K228" s="167"/>
      <c r="L228" s="320"/>
      <c r="M228" s="251"/>
      <c r="N228" s="204"/>
      <c r="O228">
        <f t="shared" si="15"/>
        <v>32.843847826086964</v>
      </c>
      <c r="P228">
        <f t="shared" si="14"/>
        <v>20.364826086956526</v>
      </c>
      <c r="Q228">
        <f t="shared" si="14"/>
        <v>45.322869565217395</v>
      </c>
    </row>
    <row r="229" spans="2:17" s="312" customFormat="1" x14ac:dyDescent="0.3">
      <c r="B229" s="315" t="s">
        <v>1444</v>
      </c>
      <c r="C229" s="204"/>
      <c r="D229" s="204"/>
      <c r="E229" s="204"/>
      <c r="F229" s="320"/>
      <c r="G229" s="251"/>
      <c r="H229" s="204"/>
      <c r="I229" s="204"/>
      <c r="J229" s="204"/>
      <c r="K229" s="204"/>
      <c r="L229" s="320"/>
      <c r="M229" s="251"/>
      <c r="N229" s="204"/>
      <c r="O229"/>
      <c r="P229"/>
      <c r="Q229"/>
    </row>
    <row r="230" spans="2:17" s="312" customFormat="1" x14ac:dyDescent="0.3">
      <c r="B230" s="313" t="s">
        <v>2</v>
      </c>
      <c r="C230" s="167">
        <v>33.089913043478262</v>
      </c>
      <c r="D230" s="167">
        <v>20.187913280652175</v>
      </c>
      <c r="E230" s="167">
        <v>46.001966328043487</v>
      </c>
      <c r="F230" s="320"/>
      <c r="G230" s="251"/>
      <c r="H230" s="204"/>
      <c r="I230" s="167"/>
      <c r="J230" s="167"/>
      <c r="K230" s="167"/>
      <c r="L230" s="320"/>
      <c r="M230" s="251"/>
      <c r="N230" s="204"/>
      <c r="O230">
        <f t="shared" si="15"/>
        <v>33.089913043478262</v>
      </c>
      <c r="P230">
        <f t="shared" si="14"/>
        <v>20.187913280652175</v>
      </c>
      <c r="Q230">
        <f t="shared" si="14"/>
        <v>46.001966328043487</v>
      </c>
    </row>
    <row r="231" spans="2:17" s="312" customFormat="1" x14ac:dyDescent="0.3">
      <c r="B231" s="313" t="s">
        <v>3</v>
      </c>
      <c r="C231" s="167">
        <v>33.089913043478262</v>
      </c>
      <c r="D231" s="167">
        <v>20.187913280652175</v>
      </c>
      <c r="E231" s="167">
        <v>46.001966328043487</v>
      </c>
      <c r="F231" s="320"/>
      <c r="G231" s="251"/>
      <c r="H231" s="204"/>
      <c r="I231" s="167"/>
      <c r="J231" s="167"/>
      <c r="K231" s="167"/>
      <c r="L231" s="320"/>
      <c r="M231" s="251"/>
      <c r="N231" s="204"/>
      <c r="O231">
        <f t="shared" si="15"/>
        <v>33.089913043478262</v>
      </c>
      <c r="P231">
        <f t="shared" si="14"/>
        <v>20.187913280652175</v>
      </c>
      <c r="Q231">
        <f t="shared" si="14"/>
        <v>46.001966328043487</v>
      </c>
    </row>
    <row r="232" spans="2:17" s="312" customFormat="1" x14ac:dyDescent="0.3">
      <c r="B232" s="313" t="s">
        <v>4</v>
      </c>
      <c r="C232" s="167">
        <v>33.089913043478262</v>
      </c>
      <c r="D232" s="167">
        <v>20.187913280652175</v>
      </c>
      <c r="E232" s="167">
        <v>46.001966328043487</v>
      </c>
      <c r="F232" s="320"/>
      <c r="G232" s="251"/>
      <c r="H232" s="204"/>
      <c r="I232" s="167"/>
      <c r="J232" s="167"/>
      <c r="K232" s="167"/>
      <c r="L232" s="320"/>
      <c r="M232" s="251"/>
      <c r="N232" s="204"/>
      <c r="O232">
        <f t="shared" si="15"/>
        <v>33.089913043478262</v>
      </c>
      <c r="P232">
        <f t="shared" si="14"/>
        <v>20.187913280652175</v>
      </c>
      <c r="Q232">
        <f t="shared" si="14"/>
        <v>46.001966328043487</v>
      </c>
    </row>
    <row r="233" spans="2:17" s="312" customFormat="1" x14ac:dyDescent="0.3">
      <c r="B233" s="313" t="s">
        <v>5</v>
      </c>
      <c r="C233" s="167">
        <v>33.089913043478262</v>
      </c>
      <c r="D233" s="167">
        <v>20.187913280652175</v>
      </c>
      <c r="E233" s="167">
        <v>46.001966328043487</v>
      </c>
      <c r="F233" s="320"/>
      <c r="G233" s="251"/>
      <c r="H233" s="204"/>
      <c r="I233" s="167"/>
      <c r="J233" s="167"/>
      <c r="K233" s="167"/>
      <c r="L233" s="320"/>
      <c r="M233" s="251"/>
      <c r="N233" s="204"/>
      <c r="O233">
        <f t="shared" si="15"/>
        <v>33.089913043478262</v>
      </c>
      <c r="P233">
        <f t="shared" si="14"/>
        <v>20.187913280652175</v>
      </c>
      <c r="Q233">
        <f t="shared" si="14"/>
        <v>46.001966328043487</v>
      </c>
    </row>
    <row r="234" spans="2:17" s="312" customFormat="1" x14ac:dyDescent="0.3">
      <c r="B234" s="313" t="s">
        <v>6</v>
      </c>
      <c r="C234" s="167">
        <v>33.089913043478262</v>
      </c>
      <c r="D234" s="167">
        <v>20.187913280652175</v>
      </c>
      <c r="E234" s="167">
        <v>46.001966328043487</v>
      </c>
      <c r="F234"/>
      <c r="G234"/>
      <c r="H234" s="204"/>
      <c r="I234" s="167"/>
      <c r="J234" s="167"/>
      <c r="K234" s="167"/>
      <c r="L234" s="320"/>
      <c r="M234" s="251"/>
      <c r="N234" s="204"/>
      <c r="O234">
        <f t="shared" si="15"/>
        <v>33.089913043478262</v>
      </c>
      <c r="P234">
        <f t="shared" si="14"/>
        <v>20.187913280652175</v>
      </c>
      <c r="Q234">
        <f t="shared" si="14"/>
        <v>46.001966328043487</v>
      </c>
    </row>
    <row r="235" spans="2:17" s="312" customFormat="1" x14ac:dyDescent="0.3">
      <c r="B235" s="313" t="s">
        <v>7</v>
      </c>
      <c r="C235" s="167">
        <v>33.089913043478262</v>
      </c>
      <c r="D235" s="167">
        <v>20.187913280652175</v>
      </c>
      <c r="E235" s="167">
        <v>46.001966328043487</v>
      </c>
      <c r="F235" s="320"/>
      <c r="G235" s="251"/>
      <c r="H235" s="204"/>
      <c r="I235" s="167"/>
      <c r="J235" s="167"/>
      <c r="K235" s="167"/>
      <c r="L235" s="320"/>
      <c r="M235" s="251"/>
      <c r="N235" s="204"/>
      <c r="O235">
        <f t="shared" si="15"/>
        <v>33.089913043478262</v>
      </c>
      <c r="P235">
        <f t="shared" si="14"/>
        <v>20.187913280652175</v>
      </c>
      <c r="Q235">
        <f t="shared" si="14"/>
        <v>46.001966328043487</v>
      </c>
    </row>
    <row r="236" spans="2:17" s="312" customFormat="1" x14ac:dyDescent="0.3">
      <c r="B236" s="313" t="s">
        <v>11</v>
      </c>
      <c r="C236" s="167">
        <v>33.089913043478262</v>
      </c>
      <c r="D236" s="167">
        <v>20.187913280652175</v>
      </c>
      <c r="E236" s="167">
        <v>46.001966328043487</v>
      </c>
      <c r="F236" s="320"/>
      <c r="G236" s="251"/>
      <c r="H236" s="204"/>
      <c r="I236" s="167"/>
      <c r="J236" s="167"/>
      <c r="K236" s="167"/>
      <c r="L236" s="320"/>
      <c r="M236" s="251"/>
      <c r="N236" s="204"/>
      <c r="O236">
        <f t="shared" si="15"/>
        <v>33.089913043478262</v>
      </c>
      <c r="P236">
        <f t="shared" si="14"/>
        <v>20.187913280652175</v>
      </c>
      <c r="Q236">
        <f t="shared" si="14"/>
        <v>46.001966328043487</v>
      </c>
    </row>
    <row r="237" spans="2:17" s="312" customFormat="1" ht="15" customHeight="1" x14ac:dyDescent="0.3">
      <c r="B237" s="207" t="s">
        <v>227</v>
      </c>
      <c r="C237" s="275"/>
      <c r="D237" s="275"/>
      <c r="E237" s="275"/>
      <c r="F237" s="320"/>
      <c r="G237" s="251"/>
      <c r="H237" s="204"/>
      <c r="I237" s="275"/>
      <c r="J237" s="275"/>
      <c r="K237" s="275"/>
      <c r="L237" s="320"/>
      <c r="M237" s="251"/>
      <c r="N237" s="204"/>
      <c r="O237"/>
      <c r="P237"/>
      <c r="Q237"/>
    </row>
    <row r="238" spans="2:17" s="312" customFormat="1" ht="15" customHeight="1" x14ac:dyDescent="0.3">
      <c r="B238" s="206" t="s">
        <v>1437</v>
      </c>
      <c r="C238" s="167">
        <v>32.000195652173915</v>
      </c>
      <c r="D238" s="167">
        <v>13.761111980000003</v>
      </c>
      <c r="E238" s="167">
        <v>50.244060020000006</v>
      </c>
      <c r="F238" s="320"/>
      <c r="G238" s="251"/>
      <c r="H238" s="204"/>
      <c r="I238" s="167"/>
      <c r="J238" s="167"/>
      <c r="K238" s="167"/>
      <c r="L238" s="320"/>
      <c r="M238" s="251"/>
      <c r="N238" s="204"/>
      <c r="O238">
        <f t="shared" si="15"/>
        <v>32.000195652173915</v>
      </c>
      <c r="P238">
        <f t="shared" si="14"/>
        <v>13.761111980000003</v>
      </c>
      <c r="Q238">
        <f t="shared" si="14"/>
        <v>50.244060020000006</v>
      </c>
    </row>
    <row r="239" spans="2:17" s="312" customFormat="1" ht="15" customHeight="1" x14ac:dyDescent="0.3">
      <c r="B239" s="206" t="s">
        <v>1438</v>
      </c>
      <c r="C239" s="167">
        <v>32.000195652173915</v>
      </c>
      <c r="D239" s="167">
        <v>13.761111980000003</v>
      </c>
      <c r="E239" s="167">
        <v>50.244060020000006</v>
      </c>
      <c r="F239" s="320"/>
      <c r="G239" s="251"/>
      <c r="H239" s="204"/>
      <c r="I239" s="167"/>
      <c r="J239" s="167"/>
      <c r="K239" s="167"/>
      <c r="L239" s="320"/>
      <c r="M239" s="251"/>
      <c r="N239" s="204"/>
      <c r="O239">
        <f t="shared" si="15"/>
        <v>32.000195652173915</v>
      </c>
      <c r="P239">
        <f t="shared" si="14"/>
        <v>13.761111980000003</v>
      </c>
      <c r="Q239">
        <f t="shared" si="14"/>
        <v>50.244060020000006</v>
      </c>
    </row>
    <row r="240" spans="2:17" s="312" customFormat="1" ht="15" customHeight="1" x14ac:dyDescent="0.3">
      <c r="B240" s="206" t="s">
        <v>1441</v>
      </c>
      <c r="C240" s="167">
        <v>32.867282608695653</v>
      </c>
      <c r="D240" s="167">
        <v>17.419877140217391</v>
      </c>
      <c r="E240" s="167">
        <v>48.31550829456522</v>
      </c>
      <c r="F240" s="320"/>
      <c r="G240" s="251"/>
      <c r="H240" s="204"/>
      <c r="I240" s="167"/>
      <c r="J240" s="167"/>
      <c r="K240" s="167"/>
      <c r="L240" s="320"/>
      <c r="M240" s="251"/>
      <c r="N240" s="204"/>
      <c r="O240">
        <f t="shared" si="15"/>
        <v>32.867282608695653</v>
      </c>
      <c r="P240">
        <f t="shared" si="14"/>
        <v>17.419877140217391</v>
      </c>
      <c r="Q240">
        <f t="shared" si="14"/>
        <v>48.31550829456522</v>
      </c>
    </row>
    <row r="241" spans="2:17" s="312" customFormat="1" ht="15" customHeight="1" x14ac:dyDescent="0.3">
      <c r="B241" s="206" t="s">
        <v>1442</v>
      </c>
      <c r="C241" s="167">
        <v>32.867282608695653</v>
      </c>
      <c r="D241" s="167">
        <v>17.419877140217391</v>
      </c>
      <c r="E241" s="167">
        <v>48.31550829456522</v>
      </c>
      <c r="F241" s="320"/>
      <c r="G241" s="251"/>
      <c r="H241" s="204"/>
      <c r="I241" s="167"/>
      <c r="J241" s="167"/>
      <c r="K241" s="167"/>
      <c r="L241" s="320"/>
      <c r="M241" s="251"/>
      <c r="N241" s="204"/>
      <c r="O241">
        <f t="shared" si="15"/>
        <v>32.867282608695653</v>
      </c>
      <c r="P241">
        <f t="shared" si="14"/>
        <v>17.419877140217391</v>
      </c>
      <c r="Q241">
        <f t="shared" si="14"/>
        <v>48.31550829456522</v>
      </c>
    </row>
    <row r="242" spans="2:17" s="312" customFormat="1" ht="15" customHeight="1" x14ac:dyDescent="0.3">
      <c r="B242" s="207" t="s">
        <v>920</v>
      </c>
      <c r="C242" s="275"/>
      <c r="D242" s="275"/>
      <c r="E242" s="275"/>
      <c r="F242" s="320"/>
      <c r="G242" s="251"/>
      <c r="H242" s="204"/>
      <c r="I242" s="275"/>
      <c r="J242" s="275"/>
      <c r="K242" s="275"/>
      <c r="L242" s="320"/>
      <c r="M242" s="251"/>
      <c r="N242" s="204"/>
      <c r="O242"/>
      <c r="P242"/>
      <c r="Q242"/>
    </row>
    <row r="243" spans="2:17" s="312" customFormat="1" ht="15" customHeight="1" x14ac:dyDescent="0.3">
      <c r="B243" s="206" t="s">
        <v>920</v>
      </c>
      <c r="C243" s="167">
        <v>32.832130434782606</v>
      </c>
      <c r="D243" s="167">
        <v>19.404</v>
      </c>
      <c r="E243" s="167">
        <v>46.365717391304351</v>
      </c>
      <c r="F243" s="320"/>
      <c r="G243" s="251"/>
      <c r="H243" s="204"/>
      <c r="I243" s="167"/>
      <c r="J243" s="167"/>
      <c r="K243" s="167"/>
      <c r="L243" s="320"/>
      <c r="M243" s="251"/>
      <c r="N243" s="204"/>
      <c r="O243">
        <f t="shared" si="15"/>
        <v>32.832130434782606</v>
      </c>
      <c r="P243">
        <f t="shared" si="14"/>
        <v>19.404</v>
      </c>
      <c r="Q243">
        <f t="shared" si="14"/>
        <v>46.365717391304351</v>
      </c>
    </row>
    <row r="244" spans="2:17" s="312" customFormat="1" ht="15" customHeight="1" x14ac:dyDescent="0.3">
      <c r="B244" s="206" t="s">
        <v>980</v>
      </c>
      <c r="C244" s="167">
        <v>32.832130434782606</v>
      </c>
      <c r="D244" s="167">
        <v>19.404</v>
      </c>
      <c r="E244" s="167">
        <v>46.365717391304351</v>
      </c>
      <c r="F244" s="320"/>
      <c r="G244" s="251"/>
      <c r="H244" s="204"/>
      <c r="I244" s="167"/>
      <c r="J244" s="167"/>
      <c r="K244" s="167"/>
      <c r="L244" s="320"/>
      <c r="M244" s="251"/>
      <c r="N244" s="204"/>
      <c r="O244">
        <f t="shared" si="15"/>
        <v>32.832130434782606</v>
      </c>
      <c r="P244">
        <f t="shared" si="14"/>
        <v>19.404</v>
      </c>
      <c r="Q244">
        <f t="shared" si="14"/>
        <v>46.365717391304351</v>
      </c>
    </row>
    <row r="245" spans="2:17" s="312" customFormat="1" ht="15" customHeight="1" x14ac:dyDescent="0.3">
      <c r="B245" s="584"/>
      <c r="C245" s="584"/>
      <c r="D245" s="584"/>
      <c r="E245" s="584"/>
      <c r="I245" s="466"/>
    </row>
    <row r="246" spans="2:17" s="312" customFormat="1" ht="15" customHeight="1" x14ac:dyDescent="0.3">
      <c r="B246" s="294" t="s">
        <v>1447</v>
      </c>
      <c r="C246" s="305"/>
      <c r="D246" s="305"/>
      <c r="E246" s="305"/>
      <c r="F246" s="305"/>
      <c r="G246" s="305"/>
    </row>
    <row r="247" spans="2:17" s="312" customFormat="1" ht="15" customHeight="1" x14ac:dyDescent="0.3">
      <c r="B247" s="583" t="s">
        <v>950</v>
      </c>
      <c r="C247" s="214" t="s">
        <v>995</v>
      </c>
      <c r="D247" s="214" t="s">
        <v>985</v>
      </c>
      <c r="E247" s="319" t="s">
        <v>986</v>
      </c>
      <c r="F247" s="215"/>
      <c r="G247" s="215"/>
      <c r="H247" s="204"/>
      <c r="I247" s="214"/>
      <c r="J247" s="214"/>
      <c r="K247" s="214"/>
      <c r="L247" s="319"/>
      <c r="M247" s="215"/>
      <c r="N247" s="204"/>
      <c r="O247" s="214"/>
      <c r="P247" s="214"/>
      <c r="Q247" s="214"/>
    </row>
    <row r="248" spans="2:17" s="312" customFormat="1" ht="15" customHeight="1" x14ac:dyDescent="0.3">
      <c r="B248" s="315" t="s">
        <v>1445</v>
      </c>
      <c r="C248" s="204"/>
      <c r="D248" s="204"/>
      <c r="E248" s="204"/>
      <c r="F248" s="320"/>
      <c r="G248" s="251"/>
      <c r="H248" s="204"/>
      <c r="I248" s="204"/>
      <c r="J248" s="204"/>
      <c r="K248" s="204"/>
      <c r="L248" s="320"/>
      <c r="M248" s="251"/>
      <c r="N248" s="204"/>
      <c r="O248" s="204"/>
      <c r="P248" s="204"/>
      <c r="Q248" s="204"/>
    </row>
    <row r="249" spans="2:17" s="312" customFormat="1" ht="15" customHeight="1" x14ac:dyDescent="0.3">
      <c r="B249" s="313" t="s">
        <v>2</v>
      </c>
      <c r="C249" s="167">
        <v>7996.6039999999985</v>
      </c>
      <c r="D249" s="167">
        <v>3898.2514320749997</v>
      </c>
      <c r="E249" s="167">
        <v>13493.947264875</v>
      </c>
      <c r="F249" s="320"/>
      <c r="G249" s="251"/>
      <c r="H249" s="204" t="s">
        <v>1508</v>
      </c>
      <c r="I249" s="167"/>
      <c r="J249" s="167"/>
      <c r="K249" s="167"/>
      <c r="L249" s="320"/>
      <c r="M249" s="251"/>
      <c r="N249" s="204"/>
      <c r="O249">
        <f>IF(ISBLANK(C249),I249,C249)</f>
        <v>7996.6039999999985</v>
      </c>
      <c r="P249">
        <f t="shared" ref="P249:Q271" si="16">IF(ISBLANK(D249),J249,D249)</f>
        <v>3898.2514320749997</v>
      </c>
      <c r="Q249">
        <f t="shared" si="16"/>
        <v>13493.947264875</v>
      </c>
    </row>
    <row r="250" spans="2:17" s="312" customFormat="1" ht="15" customHeight="1" x14ac:dyDescent="0.3">
      <c r="B250" s="313" t="s">
        <v>3</v>
      </c>
      <c r="C250" s="167">
        <v>7996.6039999999985</v>
      </c>
      <c r="D250" s="167">
        <v>3898.2514320749997</v>
      </c>
      <c r="E250" s="167">
        <v>13493.947264875</v>
      </c>
      <c r="F250" s="320"/>
      <c r="G250" s="251"/>
      <c r="H250" s="204"/>
      <c r="I250" s="167"/>
      <c r="J250" s="167"/>
      <c r="K250" s="167"/>
      <c r="L250" s="320"/>
      <c r="M250" s="251"/>
      <c r="N250" s="204"/>
      <c r="O250">
        <f t="shared" ref="O250:O271" si="17">IF(ISBLANK(C250),I250,C250)</f>
        <v>7996.6039999999985</v>
      </c>
      <c r="P250">
        <f t="shared" si="16"/>
        <v>3898.2514320749997</v>
      </c>
      <c r="Q250">
        <f t="shared" si="16"/>
        <v>13493.947264875</v>
      </c>
    </row>
    <row r="251" spans="2:17" s="312" customFormat="1" ht="15" customHeight="1" x14ac:dyDescent="0.3">
      <c r="B251" s="313" t="s">
        <v>4</v>
      </c>
      <c r="C251" s="167">
        <v>7996.6039999999985</v>
      </c>
      <c r="D251" s="167">
        <v>3898.2514320749997</v>
      </c>
      <c r="E251" s="167">
        <v>13493.947264875</v>
      </c>
      <c r="F251" s="320"/>
      <c r="G251" s="251"/>
      <c r="H251" s="204"/>
      <c r="I251" s="167"/>
      <c r="J251" s="167"/>
      <c r="K251" s="167"/>
      <c r="L251" s="320"/>
      <c r="M251" s="251"/>
      <c r="N251" s="204"/>
      <c r="O251">
        <f t="shared" si="17"/>
        <v>7996.6039999999985</v>
      </c>
      <c r="P251">
        <f t="shared" si="16"/>
        <v>3898.2514320749997</v>
      </c>
      <c r="Q251">
        <f t="shared" si="16"/>
        <v>13493.947264875</v>
      </c>
    </row>
    <row r="252" spans="2:17" s="312" customFormat="1" ht="15" customHeight="1" x14ac:dyDescent="0.3">
      <c r="B252" s="313" t="s">
        <v>5</v>
      </c>
      <c r="C252" s="167">
        <v>11062.529739130434</v>
      </c>
      <c r="D252" s="167">
        <v>5309.8663769321774</v>
      </c>
      <c r="E252" s="167">
        <v>18805.776751634785</v>
      </c>
      <c r="F252" s="320"/>
      <c r="G252" s="251"/>
      <c r="H252" s="204"/>
      <c r="I252" s="167"/>
      <c r="J252" s="167"/>
      <c r="K252" s="167"/>
      <c r="L252" s="320"/>
      <c r="M252" s="251"/>
      <c r="N252" s="204"/>
      <c r="O252">
        <f t="shared" si="17"/>
        <v>11062.529739130434</v>
      </c>
      <c r="P252">
        <f t="shared" si="16"/>
        <v>5309.8663769321774</v>
      </c>
      <c r="Q252">
        <f t="shared" si="16"/>
        <v>18805.776751634785</v>
      </c>
    </row>
    <row r="253" spans="2:17" s="312" customFormat="1" ht="15" customHeight="1" x14ac:dyDescent="0.3">
      <c r="B253" s="313" t="s">
        <v>6</v>
      </c>
      <c r="C253" s="167">
        <v>11062.529739130434</v>
      </c>
      <c r="D253" s="167">
        <v>5309.8663769321774</v>
      </c>
      <c r="E253" s="167">
        <v>18805.776751634785</v>
      </c>
      <c r="F253"/>
      <c r="G253"/>
      <c r="H253" s="204"/>
      <c r="I253" s="167"/>
      <c r="J253" s="167"/>
      <c r="K253" s="167"/>
      <c r="L253" s="320"/>
      <c r="M253" s="251"/>
      <c r="N253" s="204"/>
      <c r="O253">
        <f t="shared" si="17"/>
        <v>11062.529739130434</v>
      </c>
      <c r="P253">
        <f t="shared" si="16"/>
        <v>5309.8663769321774</v>
      </c>
      <c r="Q253">
        <f t="shared" si="16"/>
        <v>18805.776751634785</v>
      </c>
    </row>
    <row r="254" spans="2:17" s="312" customFormat="1" ht="15" customHeight="1" x14ac:dyDescent="0.3">
      <c r="B254" s="313" t="s">
        <v>7</v>
      </c>
      <c r="C254" s="167">
        <v>11062.529739130434</v>
      </c>
      <c r="D254" s="167">
        <v>5309.8663769321774</v>
      </c>
      <c r="E254" s="167">
        <v>18805.776751634785</v>
      </c>
      <c r="F254" s="320"/>
      <c r="G254" s="251"/>
      <c r="H254" s="204"/>
      <c r="I254" s="167"/>
      <c r="J254" s="167"/>
      <c r="K254" s="167"/>
      <c r="L254" s="320"/>
      <c r="M254" s="251"/>
      <c r="N254" s="204"/>
      <c r="O254">
        <f t="shared" si="17"/>
        <v>11062.529739130434</v>
      </c>
      <c r="P254">
        <f t="shared" si="16"/>
        <v>5309.8663769321774</v>
      </c>
      <c r="Q254">
        <f t="shared" si="16"/>
        <v>18805.776751634785</v>
      </c>
    </row>
    <row r="255" spans="2:17" s="312" customFormat="1" ht="15" customHeight="1" x14ac:dyDescent="0.3">
      <c r="B255" s="313" t="s">
        <v>11</v>
      </c>
      <c r="C255" s="167">
        <v>11460.077391304349</v>
      </c>
      <c r="D255" s="167">
        <v>5328.8825363184769</v>
      </c>
      <c r="E255" s="167">
        <v>16871.020777499991</v>
      </c>
      <c r="F255" s="320"/>
      <c r="G255" s="251"/>
      <c r="H255" s="204"/>
      <c r="I255" s="167"/>
      <c r="J255" s="167"/>
      <c r="K255" s="167"/>
      <c r="L255" s="320"/>
      <c r="M255" s="251"/>
      <c r="N255" s="204"/>
      <c r="O255">
        <f t="shared" si="17"/>
        <v>11460.077391304349</v>
      </c>
      <c r="P255">
        <f t="shared" si="16"/>
        <v>5328.8825363184769</v>
      </c>
      <c r="Q255">
        <f t="shared" si="16"/>
        <v>16871.020777499991</v>
      </c>
    </row>
    <row r="256" spans="2:17" s="312" customFormat="1" x14ac:dyDescent="0.3">
      <c r="B256" s="315" t="s">
        <v>1444</v>
      </c>
      <c r="C256" s="320"/>
      <c r="D256" s="320"/>
      <c r="E256" s="320"/>
      <c r="F256" s="320"/>
      <c r="G256" s="251"/>
      <c r="H256" s="204"/>
      <c r="I256" s="204"/>
      <c r="J256" s="204"/>
      <c r="K256" s="204"/>
      <c r="L256" s="320"/>
      <c r="M256" s="251"/>
      <c r="N256" s="204"/>
      <c r="O256"/>
      <c r="P256"/>
      <c r="Q256"/>
    </row>
    <row r="257" spans="2:17" s="312" customFormat="1" x14ac:dyDescent="0.3">
      <c r="B257" s="313" t="s">
        <v>2</v>
      </c>
      <c r="C257" s="167">
        <v>11761.06202173913</v>
      </c>
      <c r="D257" s="167">
        <v>5380.7032865204328</v>
      </c>
      <c r="E257" s="167">
        <v>20434.91138869779</v>
      </c>
      <c r="F257" s="320"/>
      <c r="G257" s="251"/>
      <c r="H257" s="204"/>
      <c r="I257" s="167"/>
      <c r="J257" s="167"/>
      <c r="K257" s="167"/>
      <c r="L257" s="320"/>
      <c r="M257" s="251"/>
      <c r="N257" s="204"/>
      <c r="O257">
        <f t="shared" si="17"/>
        <v>11761.06202173913</v>
      </c>
      <c r="P257">
        <f t="shared" si="16"/>
        <v>5380.7032865204328</v>
      </c>
      <c r="Q257">
        <f t="shared" si="16"/>
        <v>20434.91138869779</v>
      </c>
    </row>
    <row r="258" spans="2:17" s="312" customFormat="1" x14ac:dyDescent="0.3">
      <c r="B258" s="313" t="s">
        <v>3</v>
      </c>
      <c r="C258" s="167">
        <v>11761.06202173913</v>
      </c>
      <c r="D258" s="167">
        <v>5380.7032865204328</v>
      </c>
      <c r="E258" s="167">
        <v>20434.91138869779</v>
      </c>
      <c r="F258" s="320"/>
      <c r="G258" s="251"/>
      <c r="H258" s="204"/>
      <c r="I258" s="167"/>
      <c r="J258" s="167"/>
      <c r="K258" s="167"/>
      <c r="L258" s="320"/>
      <c r="M258" s="251"/>
      <c r="N258" s="204"/>
      <c r="O258">
        <f t="shared" si="17"/>
        <v>11761.06202173913</v>
      </c>
      <c r="P258">
        <f t="shared" si="16"/>
        <v>5380.7032865204328</v>
      </c>
      <c r="Q258">
        <f t="shared" si="16"/>
        <v>20434.91138869779</v>
      </c>
    </row>
    <row r="259" spans="2:17" s="312" customFormat="1" x14ac:dyDescent="0.3">
      <c r="B259" s="313" t="s">
        <v>4</v>
      </c>
      <c r="C259" s="167">
        <v>11761.06202173913</v>
      </c>
      <c r="D259" s="167">
        <v>5380.7032865204328</v>
      </c>
      <c r="E259" s="167">
        <v>20434.91138869779</v>
      </c>
      <c r="F259" s="320"/>
      <c r="G259" s="251"/>
      <c r="H259" s="204"/>
      <c r="I259" s="167"/>
      <c r="J259" s="167"/>
      <c r="K259" s="167"/>
      <c r="L259" s="320"/>
      <c r="M259" s="251"/>
      <c r="N259" s="204"/>
      <c r="O259">
        <f t="shared" si="17"/>
        <v>11761.06202173913</v>
      </c>
      <c r="P259">
        <f t="shared" si="16"/>
        <v>5380.7032865204328</v>
      </c>
      <c r="Q259">
        <f t="shared" si="16"/>
        <v>20434.91138869779</v>
      </c>
    </row>
    <row r="260" spans="2:17" s="312" customFormat="1" x14ac:dyDescent="0.3">
      <c r="B260" s="313" t="s">
        <v>5</v>
      </c>
      <c r="C260" s="167">
        <v>11761.06202173913</v>
      </c>
      <c r="D260" s="167">
        <v>5380.7032865204328</v>
      </c>
      <c r="E260" s="167">
        <v>20434.91138869779</v>
      </c>
      <c r="F260" s="320"/>
      <c r="G260" s="251"/>
      <c r="H260" s="204"/>
      <c r="I260" s="167"/>
      <c r="J260" s="167"/>
      <c r="K260" s="167"/>
      <c r="L260" s="320"/>
      <c r="M260" s="251"/>
      <c r="N260" s="204"/>
      <c r="O260">
        <f t="shared" si="17"/>
        <v>11761.06202173913</v>
      </c>
      <c r="P260">
        <f t="shared" si="16"/>
        <v>5380.7032865204328</v>
      </c>
      <c r="Q260">
        <f t="shared" si="16"/>
        <v>20434.91138869779</v>
      </c>
    </row>
    <row r="261" spans="2:17" s="312" customFormat="1" x14ac:dyDescent="0.3">
      <c r="B261" s="313" t="s">
        <v>6</v>
      </c>
      <c r="C261" s="167">
        <v>11761.06202173913</v>
      </c>
      <c r="D261" s="167">
        <v>5380.7032865204328</v>
      </c>
      <c r="E261" s="167">
        <v>20434.91138869779</v>
      </c>
      <c r="F261"/>
      <c r="G261"/>
      <c r="H261" s="204"/>
      <c r="I261" s="167"/>
      <c r="J261" s="167"/>
      <c r="K261" s="167"/>
      <c r="L261" s="320"/>
      <c r="M261" s="251"/>
      <c r="N261" s="204"/>
      <c r="O261">
        <f t="shared" si="17"/>
        <v>11761.06202173913</v>
      </c>
      <c r="P261">
        <f t="shared" si="16"/>
        <v>5380.7032865204328</v>
      </c>
      <c r="Q261">
        <f t="shared" si="16"/>
        <v>20434.91138869779</v>
      </c>
    </row>
    <row r="262" spans="2:17" s="312" customFormat="1" x14ac:dyDescent="0.3">
      <c r="B262" s="313" t="s">
        <v>7</v>
      </c>
      <c r="C262" s="167">
        <v>11761.06202173913</v>
      </c>
      <c r="D262" s="167">
        <v>5380.7032865204328</v>
      </c>
      <c r="E262" s="167">
        <v>20434.91138869779</v>
      </c>
      <c r="F262" s="320"/>
      <c r="G262" s="251"/>
      <c r="H262" s="204"/>
      <c r="I262" s="167"/>
      <c r="J262" s="167"/>
      <c r="K262" s="167"/>
      <c r="L262" s="320"/>
      <c r="M262" s="251"/>
      <c r="N262" s="204"/>
      <c r="O262">
        <f t="shared" si="17"/>
        <v>11761.06202173913</v>
      </c>
      <c r="P262">
        <f t="shared" si="16"/>
        <v>5380.7032865204328</v>
      </c>
      <c r="Q262">
        <f t="shared" si="16"/>
        <v>20434.91138869779</v>
      </c>
    </row>
    <row r="263" spans="2:17" s="312" customFormat="1" x14ac:dyDescent="0.3">
      <c r="B263" s="313" t="s">
        <v>11</v>
      </c>
      <c r="C263" s="167">
        <v>11761.06202173913</v>
      </c>
      <c r="D263" s="167">
        <v>5380.7032865204328</v>
      </c>
      <c r="E263" s="167">
        <v>20434.91138869779</v>
      </c>
      <c r="F263" s="320"/>
      <c r="G263" s="251"/>
      <c r="H263" s="204"/>
      <c r="I263" s="167"/>
      <c r="J263" s="167"/>
      <c r="K263" s="167"/>
      <c r="L263" s="320"/>
      <c r="M263" s="251"/>
      <c r="N263" s="204"/>
      <c r="O263">
        <f t="shared" si="17"/>
        <v>11761.06202173913</v>
      </c>
      <c r="P263">
        <f t="shared" si="16"/>
        <v>5380.7032865204328</v>
      </c>
      <c r="Q263">
        <f t="shared" si="16"/>
        <v>20434.91138869779</v>
      </c>
    </row>
    <row r="264" spans="2:17" s="312" customFormat="1" ht="15" customHeight="1" x14ac:dyDescent="0.3">
      <c r="B264" s="207" t="s">
        <v>227</v>
      </c>
      <c r="C264" s="320"/>
      <c r="D264" s="320"/>
      <c r="E264" s="320"/>
      <c r="F264" s="320"/>
      <c r="G264" s="251"/>
      <c r="H264" s="204"/>
      <c r="I264" s="275"/>
      <c r="J264" s="275"/>
      <c r="K264" s="275"/>
      <c r="L264" s="320"/>
      <c r="M264" s="251"/>
      <c r="N264" s="204"/>
      <c r="O264"/>
      <c r="P264"/>
      <c r="Q264"/>
    </row>
    <row r="265" spans="2:17" s="312" customFormat="1" ht="15" customHeight="1" x14ac:dyDescent="0.3">
      <c r="B265" s="206" t="s">
        <v>1437</v>
      </c>
      <c r="C265" s="167">
        <v>12523.44236956522</v>
      </c>
      <c r="D265" s="167">
        <v>4038.7397262586951</v>
      </c>
      <c r="E265" s="167">
        <v>24576.827016380466</v>
      </c>
      <c r="F265" s="320"/>
      <c r="G265" s="251"/>
      <c r="H265" s="204"/>
      <c r="I265" s="167"/>
      <c r="J265" s="167"/>
      <c r="K265" s="167"/>
      <c r="L265" s="320"/>
      <c r="M265" s="251"/>
      <c r="N265" s="204"/>
      <c r="O265">
        <f t="shared" si="17"/>
        <v>12523.44236956522</v>
      </c>
      <c r="P265">
        <f t="shared" si="16"/>
        <v>4038.7397262586951</v>
      </c>
      <c r="Q265">
        <f t="shared" si="16"/>
        <v>24576.827016380466</v>
      </c>
    </row>
    <row r="266" spans="2:17" s="312" customFormat="1" ht="15" customHeight="1" x14ac:dyDescent="0.3">
      <c r="B266" s="206" t="s">
        <v>1438</v>
      </c>
      <c r="C266" s="167">
        <v>12523.44236956522</v>
      </c>
      <c r="D266" s="167">
        <v>4038.7397262586951</v>
      </c>
      <c r="E266" s="167">
        <v>24576.827016380466</v>
      </c>
      <c r="F266" s="320"/>
      <c r="G266" s="251"/>
      <c r="H266" s="204"/>
      <c r="I266" s="167"/>
      <c r="J266" s="167"/>
      <c r="K266" s="167"/>
      <c r="L266" s="320"/>
      <c r="M266" s="251"/>
      <c r="N266" s="204"/>
      <c r="O266">
        <f t="shared" si="17"/>
        <v>12523.44236956522</v>
      </c>
      <c r="P266">
        <f t="shared" si="16"/>
        <v>4038.7397262586951</v>
      </c>
      <c r="Q266">
        <f t="shared" si="16"/>
        <v>24576.827016380466</v>
      </c>
    </row>
    <row r="267" spans="2:17" s="312" customFormat="1" ht="15" customHeight="1" x14ac:dyDescent="0.3">
      <c r="B267" s="206" t="s">
        <v>1441</v>
      </c>
      <c r="C267" s="167">
        <v>8595.6321956521733</v>
      </c>
      <c r="D267" s="167">
        <v>3416.6498527030458</v>
      </c>
      <c r="E267" s="167">
        <v>15793.947432306521</v>
      </c>
      <c r="F267" s="320"/>
      <c r="G267" s="251"/>
      <c r="H267" s="204"/>
      <c r="I267" s="167"/>
      <c r="J267" s="167"/>
      <c r="K267" s="167"/>
      <c r="L267" s="320"/>
      <c r="M267" s="251"/>
      <c r="N267" s="204"/>
      <c r="O267">
        <f t="shared" si="17"/>
        <v>8595.6321956521733</v>
      </c>
      <c r="P267">
        <f t="shared" si="16"/>
        <v>3416.6498527030458</v>
      </c>
      <c r="Q267">
        <f t="shared" si="16"/>
        <v>15793.947432306521</v>
      </c>
    </row>
    <row r="268" spans="2:17" s="312" customFormat="1" ht="15" customHeight="1" x14ac:dyDescent="0.3">
      <c r="B268" s="206" t="s">
        <v>1442</v>
      </c>
      <c r="C268" s="167">
        <v>8595.6321956521733</v>
      </c>
      <c r="D268" s="167">
        <v>3416.6498527030458</v>
      </c>
      <c r="E268" s="167">
        <v>15793.947432306521</v>
      </c>
      <c r="F268" s="320"/>
      <c r="G268" s="251"/>
      <c r="H268" s="204"/>
      <c r="I268" s="167"/>
      <c r="J268" s="167"/>
      <c r="K268" s="167"/>
      <c r="L268" s="320"/>
      <c r="M268" s="251"/>
      <c r="N268" s="204"/>
      <c r="O268">
        <f t="shared" si="17"/>
        <v>8595.6321956521733</v>
      </c>
      <c r="P268">
        <f t="shared" si="16"/>
        <v>3416.6498527030458</v>
      </c>
      <c r="Q268">
        <f t="shared" si="16"/>
        <v>15793.947432306521</v>
      </c>
    </row>
    <row r="269" spans="2:17" s="312" customFormat="1" ht="15" customHeight="1" x14ac:dyDescent="0.3">
      <c r="B269" s="207" t="s">
        <v>920</v>
      </c>
      <c r="C269" s="320"/>
      <c r="D269" s="320"/>
      <c r="E269" s="320"/>
      <c r="F269" s="320"/>
      <c r="G269" s="251"/>
      <c r="H269" s="204"/>
      <c r="I269" s="275"/>
      <c r="J269" s="275"/>
      <c r="K269" s="275"/>
      <c r="L269" s="320"/>
      <c r="M269" s="251"/>
      <c r="N269" s="204"/>
      <c r="O269"/>
      <c r="P269"/>
      <c r="Q269"/>
    </row>
    <row r="270" spans="2:17" s="312" customFormat="1" ht="15" customHeight="1" x14ac:dyDescent="0.3">
      <c r="B270" s="206" t="s">
        <v>920</v>
      </c>
      <c r="C270" s="167">
        <v>11387.898260869566</v>
      </c>
      <c r="D270" s="167">
        <v>5466.0389174301827</v>
      </c>
      <c r="E270" s="167">
        <v>19358.887832565219</v>
      </c>
      <c r="F270" s="320"/>
      <c r="G270" s="251"/>
      <c r="H270" s="204"/>
      <c r="I270" s="167"/>
      <c r="J270" s="167"/>
      <c r="K270" s="167"/>
      <c r="L270" s="320"/>
      <c r="M270" s="251"/>
      <c r="N270" s="204"/>
      <c r="O270">
        <f t="shared" si="17"/>
        <v>11387.898260869566</v>
      </c>
      <c r="P270">
        <f t="shared" si="16"/>
        <v>5466.0389174301827</v>
      </c>
      <c r="Q270">
        <f t="shared" si="16"/>
        <v>19358.887832565219</v>
      </c>
    </row>
    <row r="271" spans="2:17" s="312" customFormat="1" ht="15" customHeight="1" x14ac:dyDescent="0.3">
      <c r="B271" s="206" t="s">
        <v>980</v>
      </c>
      <c r="C271" s="167">
        <v>11387.898260869566</v>
      </c>
      <c r="D271" s="167">
        <v>5466.0389174301827</v>
      </c>
      <c r="E271" s="167">
        <v>19358.887832565219</v>
      </c>
      <c r="F271" s="320"/>
      <c r="G271" s="251"/>
      <c r="H271" s="204"/>
      <c r="I271" s="167"/>
      <c r="J271" s="167"/>
      <c r="K271" s="167"/>
      <c r="L271" s="320"/>
      <c r="M271" s="251"/>
      <c r="N271" s="204"/>
      <c r="O271">
        <f t="shared" si="17"/>
        <v>11387.898260869566</v>
      </c>
      <c r="P271">
        <f t="shared" si="16"/>
        <v>5466.0389174301827</v>
      </c>
      <c r="Q271">
        <f t="shared" si="16"/>
        <v>19358.887832565219</v>
      </c>
    </row>
    <row r="272" spans="2:17" x14ac:dyDescent="0.3">
      <c r="B272" s="215"/>
      <c r="C272" s="215"/>
      <c r="D272" s="215"/>
      <c r="E272" s="215"/>
    </row>
    <row r="273" spans="2:17" ht="18" x14ac:dyDescent="0.3">
      <c r="B273" s="612" t="s">
        <v>1497</v>
      </c>
      <c r="C273" s="275"/>
      <c r="D273" s="275"/>
      <c r="E273" s="275"/>
      <c r="F273" s="320"/>
      <c r="I273" s="280"/>
      <c r="J273" s="280"/>
      <c r="K273" s="280"/>
      <c r="L273" s="320"/>
      <c r="M273" s="251"/>
      <c r="O273" s="206"/>
      <c r="P273" s="461"/>
    </row>
    <row r="274" spans="2:17" s="312" customFormat="1" ht="15" customHeight="1" x14ac:dyDescent="0.3">
      <c r="B274" s="294" t="s">
        <v>1446</v>
      </c>
      <c r="C274" s="305"/>
      <c r="D274" s="305"/>
      <c r="E274" s="305"/>
      <c r="F274" s="305"/>
      <c r="G274" s="305"/>
    </row>
    <row r="275" spans="2:17" s="312" customFormat="1" ht="15" customHeight="1" x14ac:dyDescent="0.3">
      <c r="B275" s="583" t="s">
        <v>950</v>
      </c>
      <c r="C275" s="214" t="s">
        <v>995</v>
      </c>
      <c r="D275" s="214" t="s">
        <v>985</v>
      </c>
      <c r="E275" s="214" t="s">
        <v>986</v>
      </c>
      <c r="F275" s="319"/>
      <c r="G275" s="215"/>
      <c r="H275" s="204"/>
      <c r="I275" s="214"/>
      <c r="J275" s="214"/>
      <c r="K275" s="214"/>
      <c r="L275" s="319"/>
      <c r="M275" s="215"/>
      <c r="N275" s="204"/>
      <c r="O275" s="214"/>
      <c r="P275" s="214"/>
      <c r="Q275" s="214"/>
    </row>
    <row r="276" spans="2:17" s="312" customFormat="1" ht="15" customHeight="1" x14ac:dyDescent="0.3">
      <c r="B276" s="315" t="s">
        <v>1445</v>
      </c>
      <c r="C276" s="204"/>
      <c r="D276" s="204"/>
      <c r="E276" s="204"/>
      <c r="F276" s="320"/>
      <c r="G276" s="251"/>
      <c r="H276" s="204"/>
      <c r="I276" s="204"/>
      <c r="J276" s="204"/>
      <c r="K276" s="204"/>
      <c r="L276" s="320"/>
      <c r="M276" s="251"/>
      <c r="N276" s="204"/>
      <c r="O276" s="204"/>
      <c r="P276" s="204"/>
      <c r="Q276" s="204"/>
    </row>
    <row r="277" spans="2:17" s="312" customFormat="1" ht="15" customHeight="1" x14ac:dyDescent="0.3">
      <c r="B277" s="313" t="s">
        <v>2</v>
      </c>
      <c r="C277" s="167">
        <v>32.621217391304349</v>
      </c>
      <c r="D277" s="167">
        <v>21.208478260869569</v>
      </c>
      <c r="E277" s="167">
        <v>44.04567391304348</v>
      </c>
      <c r="F277" s="320"/>
      <c r="G277" s="251" t="s">
        <v>1506</v>
      </c>
      <c r="H277" s="204"/>
      <c r="I277" s="167"/>
      <c r="J277" s="167"/>
      <c r="K277" s="167"/>
      <c r="L277" s="320"/>
      <c r="M277" s="251"/>
      <c r="N277" s="204"/>
      <c r="O277">
        <f>IF(ISBLANK(C277),I277,C277)</f>
        <v>32.621217391304349</v>
      </c>
      <c r="P277">
        <f t="shared" ref="P277:Q294" si="18">IF(ISBLANK(D277),J277,D277)</f>
        <v>21.208478260869569</v>
      </c>
      <c r="Q277">
        <f t="shared" si="18"/>
        <v>44.04567391304348</v>
      </c>
    </row>
    <row r="278" spans="2:17" s="312" customFormat="1" ht="15" customHeight="1" x14ac:dyDescent="0.3">
      <c r="B278" s="313" t="s">
        <v>3</v>
      </c>
      <c r="C278" s="167">
        <v>32.621217391304349</v>
      </c>
      <c r="D278" s="167">
        <v>21.208478260869569</v>
      </c>
      <c r="E278" s="167">
        <v>44.04567391304348</v>
      </c>
      <c r="F278" s="320"/>
      <c r="G278" s="251" t="s">
        <v>1507</v>
      </c>
      <c r="H278" s="204"/>
      <c r="I278" s="167"/>
      <c r="J278" s="167"/>
      <c r="K278" s="167"/>
      <c r="L278" s="320"/>
      <c r="M278" s="251"/>
      <c r="N278" s="204"/>
      <c r="O278">
        <f t="shared" ref="O278:O294" si="19">IF(ISBLANK(C278),I278,C278)</f>
        <v>32.621217391304349</v>
      </c>
      <c r="P278">
        <f t="shared" si="18"/>
        <v>21.208478260869569</v>
      </c>
      <c r="Q278">
        <f t="shared" si="18"/>
        <v>44.04567391304348</v>
      </c>
    </row>
    <row r="279" spans="2:17" s="312" customFormat="1" ht="15" customHeight="1" x14ac:dyDescent="0.3">
      <c r="B279" s="313" t="s">
        <v>4</v>
      </c>
      <c r="C279" s="167">
        <v>32.621217391304349</v>
      </c>
      <c r="D279" s="167">
        <v>21.208478260869569</v>
      </c>
      <c r="E279" s="167">
        <v>44.04567391304348</v>
      </c>
      <c r="F279" s="320"/>
      <c r="G279" s="251"/>
      <c r="H279" s="204"/>
      <c r="I279" s="167"/>
      <c r="J279" s="167"/>
      <c r="K279" s="167"/>
      <c r="L279" s="320"/>
      <c r="M279" s="251"/>
      <c r="N279" s="204"/>
      <c r="O279">
        <f t="shared" si="19"/>
        <v>32.621217391304349</v>
      </c>
      <c r="P279">
        <f t="shared" si="18"/>
        <v>21.208478260869569</v>
      </c>
      <c r="Q279">
        <f t="shared" si="18"/>
        <v>44.04567391304348</v>
      </c>
    </row>
    <row r="280" spans="2:17" s="312" customFormat="1" ht="15" customHeight="1" x14ac:dyDescent="0.3">
      <c r="B280" s="313" t="s">
        <v>5</v>
      </c>
      <c r="C280" s="167">
        <v>32.832130434782606</v>
      </c>
      <c r="D280" s="167">
        <v>19.404</v>
      </c>
      <c r="E280" s="167">
        <v>46.365717391304351</v>
      </c>
      <c r="F280" s="320"/>
      <c r="G280" s="251"/>
      <c r="H280" s="204"/>
      <c r="I280" s="167"/>
      <c r="J280" s="167"/>
      <c r="K280" s="167"/>
      <c r="L280" s="320"/>
      <c r="M280" s="251"/>
      <c r="N280" s="204"/>
      <c r="O280">
        <f t="shared" si="19"/>
        <v>32.832130434782606</v>
      </c>
      <c r="P280">
        <f t="shared" si="18"/>
        <v>19.404</v>
      </c>
      <c r="Q280">
        <f t="shared" si="18"/>
        <v>46.365717391304351</v>
      </c>
    </row>
    <row r="281" spans="2:17" s="312" customFormat="1" ht="15" customHeight="1" x14ac:dyDescent="0.3">
      <c r="B281" s="313" t="s">
        <v>6</v>
      </c>
      <c r="C281" s="167">
        <v>32.832130434782606</v>
      </c>
      <c r="D281" s="167">
        <v>19.404</v>
      </c>
      <c r="E281" s="167">
        <v>46.365717391304351</v>
      </c>
      <c r="F281"/>
      <c r="G281"/>
      <c r="H281" s="204"/>
      <c r="I281" s="167"/>
      <c r="J281" s="167"/>
      <c r="K281" s="167"/>
      <c r="L281" s="320"/>
      <c r="M281" s="251"/>
      <c r="N281" s="204"/>
      <c r="O281">
        <f t="shared" si="19"/>
        <v>32.832130434782606</v>
      </c>
      <c r="P281">
        <f t="shared" si="18"/>
        <v>19.404</v>
      </c>
      <c r="Q281">
        <f t="shared" si="18"/>
        <v>46.365717391304351</v>
      </c>
    </row>
    <row r="282" spans="2:17" s="312" customFormat="1" ht="15" customHeight="1" x14ac:dyDescent="0.3">
      <c r="B282" s="313" t="s">
        <v>7</v>
      </c>
      <c r="C282" s="167">
        <v>32.832130434782606</v>
      </c>
      <c r="D282" s="167">
        <v>19.404</v>
      </c>
      <c r="E282" s="167">
        <v>46.365717391304351</v>
      </c>
      <c r="F282" s="320"/>
      <c r="G282" s="251"/>
      <c r="H282" s="204"/>
      <c r="I282" s="167"/>
      <c r="J282" s="167"/>
      <c r="K282" s="167"/>
      <c r="L282" s="320"/>
      <c r="M282" s="251"/>
      <c r="N282" s="204"/>
      <c r="O282">
        <f t="shared" si="19"/>
        <v>32.832130434782606</v>
      </c>
      <c r="P282">
        <f t="shared" si="18"/>
        <v>19.404</v>
      </c>
      <c r="Q282">
        <f t="shared" si="18"/>
        <v>46.365717391304351</v>
      </c>
    </row>
    <row r="283" spans="2:17" s="312" customFormat="1" ht="15" customHeight="1" x14ac:dyDescent="0.3">
      <c r="B283" s="313" t="s">
        <v>11</v>
      </c>
      <c r="C283" s="167">
        <v>32.843847826086964</v>
      </c>
      <c r="D283" s="167">
        <v>20.364826086956526</v>
      </c>
      <c r="E283" s="167">
        <v>45.322869565217395</v>
      </c>
      <c r="F283" s="320"/>
      <c r="G283" s="251"/>
      <c r="H283" s="204"/>
      <c r="I283" s="167"/>
      <c r="J283" s="167"/>
      <c r="K283" s="167"/>
      <c r="L283" s="320"/>
      <c r="M283" s="251"/>
      <c r="N283" s="204"/>
      <c r="O283">
        <f t="shared" si="19"/>
        <v>32.843847826086964</v>
      </c>
      <c r="P283">
        <f t="shared" si="18"/>
        <v>20.364826086956526</v>
      </c>
      <c r="Q283">
        <f t="shared" si="18"/>
        <v>45.322869565217395</v>
      </c>
    </row>
    <row r="284" spans="2:17" s="312" customFormat="1" x14ac:dyDescent="0.3">
      <c r="B284" s="315" t="s">
        <v>1444</v>
      </c>
      <c r="C284" s="204"/>
      <c r="D284" s="204"/>
      <c r="E284" s="204"/>
      <c r="F284" s="320"/>
      <c r="G284" s="251"/>
      <c r="H284" s="204"/>
      <c r="I284" s="204"/>
      <c r="J284" s="204"/>
      <c r="K284" s="204"/>
      <c r="L284" s="320"/>
      <c r="M284" s="251"/>
      <c r="N284" s="204"/>
      <c r="O284"/>
      <c r="P284"/>
      <c r="Q284"/>
    </row>
    <row r="285" spans="2:17" s="312" customFormat="1" x14ac:dyDescent="0.3">
      <c r="B285" s="313" t="s">
        <v>2</v>
      </c>
      <c r="C285" s="167">
        <v>33.089913043478262</v>
      </c>
      <c r="D285" s="167">
        <v>20.187913280652175</v>
      </c>
      <c r="E285" s="167">
        <v>46.001966328043487</v>
      </c>
      <c r="F285" s="320"/>
      <c r="G285" s="251"/>
      <c r="H285" s="204"/>
      <c r="I285" s="167"/>
      <c r="J285" s="167"/>
      <c r="K285" s="167"/>
      <c r="L285" s="320"/>
      <c r="M285" s="251"/>
      <c r="N285" s="204"/>
      <c r="O285">
        <f t="shared" si="19"/>
        <v>33.089913043478262</v>
      </c>
      <c r="P285">
        <f t="shared" si="18"/>
        <v>20.187913280652175</v>
      </c>
      <c r="Q285">
        <f t="shared" si="18"/>
        <v>46.001966328043487</v>
      </c>
    </row>
    <row r="286" spans="2:17" s="312" customFormat="1" x14ac:dyDescent="0.3">
      <c r="B286" s="313" t="s">
        <v>3</v>
      </c>
      <c r="C286" s="167">
        <v>33.089913043478262</v>
      </c>
      <c r="D286" s="167">
        <v>20.187913280652175</v>
      </c>
      <c r="E286" s="167">
        <v>46.001966328043487</v>
      </c>
      <c r="F286" s="320"/>
      <c r="G286" s="251"/>
      <c r="H286" s="204"/>
      <c r="I286" s="167"/>
      <c r="J286" s="167"/>
      <c r="K286" s="167"/>
      <c r="L286" s="320"/>
      <c r="M286" s="251"/>
      <c r="N286" s="204"/>
      <c r="O286">
        <f t="shared" si="19"/>
        <v>33.089913043478262</v>
      </c>
      <c r="P286">
        <f t="shared" si="18"/>
        <v>20.187913280652175</v>
      </c>
      <c r="Q286">
        <f t="shared" si="18"/>
        <v>46.001966328043487</v>
      </c>
    </row>
    <row r="287" spans="2:17" s="312" customFormat="1" x14ac:dyDescent="0.3">
      <c r="B287" s="313" t="s">
        <v>4</v>
      </c>
      <c r="C287" s="167">
        <v>33.089913043478262</v>
      </c>
      <c r="D287" s="167">
        <v>20.187913280652175</v>
      </c>
      <c r="E287" s="167">
        <v>46.001966328043487</v>
      </c>
      <c r="F287" s="320"/>
      <c r="G287" s="251"/>
      <c r="H287" s="204"/>
      <c r="I287" s="167"/>
      <c r="J287" s="167"/>
      <c r="K287" s="167"/>
      <c r="L287" s="320"/>
      <c r="M287" s="251"/>
      <c r="N287" s="204"/>
      <c r="O287">
        <f t="shared" si="19"/>
        <v>33.089913043478262</v>
      </c>
      <c r="P287">
        <f t="shared" si="18"/>
        <v>20.187913280652175</v>
      </c>
      <c r="Q287">
        <f t="shared" si="18"/>
        <v>46.001966328043487</v>
      </c>
    </row>
    <row r="288" spans="2:17" s="312" customFormat="1" x14ac:dyDescent="0.3">
      <c r="B288" s="313" t="s">
        <v>5</v>
      </c>
      <c r="C288" s="167">
        <v>33.089913043478262</v>
      </c>
      <c r="D288" s="167">
        <v>20.187913280652175</v>
      </c>
      <c r="E288" s="167">
        <v>46.001966328043487</v>
      </c>
      <c r="F288" s="320"/>
      <c r="G288" s="251"/>
      <c r="H288" s="204"/>
      <c r="I288" s="167"/>
      <c r="J288" s="167"/>
      <c r="K288" s="167"/>
      <c r="L288" s="320"/>
      <c r="M288" s="251"/>
      <c r="N288" s="204"/>
      <c r="O288">
        <f t="shared" si="19"/>
        <v>33.089913043478262</v>
      </c>
      <c r="P288">
        <f t="shared" si="18"/>
        <v>20.187913280652175</v>
      </c>
      <c r="Q288">
        <f t="shared" si="18"/>
        <v>46.001966328043487</v>
      </c>
    </row>
    <row r="289" spans="2:17" s="312" customFormat="1" x14ac:dyDescent="0.3">
      <c r="B289" s="313" t="s">
        <v>6</v>
      </c>
      <c r="C289" s="167">
        <v>33.089913043478262</v>
      </c>
      <c r="D289" s="167">
        <v>20.187913280652175</v>
      </c>
      <c r="E289" s="167">
        <v>46.001966328043487</v>
      </c>
      <c r="F289"/>
      <c r="G289"/>
      <c r="H289" s="204"/>
      <c r="I289" s="167"/>
      <c r="J289" s="167"/>
      <c r="K289" s="167"/>
      <c r="L289" s="320"/>
      <c r="M289" s="251"/>
      <c r="N289" s="204"/>
      <c r="O289">
        <f t="shared" si="19"/>
        <v>33.089913043478262</v>
      </c>
      <c r="P289">
        <f t="shared" si="18"/>
        <v>20.187913280652175</v>
      </c>
      <c r="Q289">
        <f t="shared" si="18"/>
        <v>46.001966328043487</v>
      </c>
    </row>
    <row r="290" spans="2:17" s="312" customFormat="1" x14ac:dyDescent="0.3">
      <c r="B290" s="313" t="s">
        <v>7</v>
      </c>
      <c r="C290" s="167">
        <v>33.089913043478262</v>
      </c>
      <c r="D290" s="167">
        <v>20.187913280652175</v>
      </c>
      <c r="E290" s="167">
        <v>46.001966328043487</v>
      </c>
      <c r="F290" s="320"/>
      <c r="G290" s="251"/>
      <c r="H290" s="204"/>
      <c r="I290" s="167"/>
      <c r="J290" s="167"/>
      <c r="K290" s="167"/>
      <c r="L290" s="320"/>
      <c r="M290" s="251"/>
      <c r="N290" s="204"/>
      <c r="O290">
        <f t="shared" si="19"/>
        <v>33.089913043478262</v>
      </c>
      <c r="P290">
        <f t="shared" si="18"/>
        <v>20.187913280652175</v>
      </c>
      <c r="Q290">
        <f t="shared" si="18"/>
        <v>46.001966328043487</v>
      </c>
    </row>
    <row r="291" spans="2:17" s="312" customFormat="1" x14ac:dyDescent="0.3">
      <c r="B291" s="313" t="s">
        <v>11</v>
      </c>
      <c r="C291" s="167">
        <v>33.089913043478262</v>
      </c>
      <c r="D291" s="167">
        <v>20.187913280652175</v>
      </c>
      <c r="E291" s="167">
        <v>46.001966328043487</v>
      </c>
      <c r="F291" s="320"/>
      <c r="G291" s="251"/>
      <c r="H291" s="204"/>
      <c r="I291" s="167"/>
      <c r="J291" s="167"/>
      <c r="K291" s="167"/>
      <c r="L291" s="320"/>
      <c r="M291" s="251"/>
      <c r="N291" s="204"/>
      <c r="O291">
        <f t="shared" si="19"/>
        <v>33.089913043478262</v>
      </c>
      <c r="P291">
        <f t="shared" si="18"/>
        <v>20.187913280652175</v>
      </c>
      <c r="Q291">
        <f t="shared" si="18"/>
        <v>46.001966328043487</v>
      </c>
    </row>
    <row r="292" spans="2:17" s="312" customFormat="1" ht="15" customHeight="1" x14ac:dyDescent="0.3">
      <c r="B292" s="207" t="s">
        <v>227</v>
      </c>
      <c r="C292" s="275"/>
      <c r="D292" s="275"/>
      <c r="E292" s="275"/>
      <c r="F292" s="320"/>
      <c r="G292" s="251"/>
      <c r="H292" s="204"/>
      <c r="I292" s="275"/>
      <c r="J292" s="275"/>
      <c r="K292" s="275"/>
      <c r="L292" s="320"/>
      <c r="M292" s="251"/>
      <c r="N292" s="204"/>
      <c r="O292"/>
      <c r="P292"/>
      <c r="Q292"/>
    </row>
    <row r="293" spans="2:17" s="312" customFormat="1" ht="15" customHeight="1" x14ac:dyDescent="0.3">
      <c r="B293" s="206" t="s">
        <v>1437</v>
      </c>
      <c r="C293" s="167">
        <v>32.000195652173915</v>
      </c>
      <c r="D293" s="167">
        <v>13.761111980000003</v>
      </c>
      <c r="E293" s="167">
        <v>50.244060020000006</v>
      </c>
      <c r="F293" s="320"/>
      <c r="G293" s="251"/>
      <c r="H293" s="204"/>
      <c r="I293" s="167"/>
      <c r="J293" s="167"/>
      <c r="K293" s="167"/>
      <c r="L293" s="320"/>
      <c r="M293" s="251"/>
      <c r="N293" s="204"/>
      <c r="O293">
        <f t="shared" si="19"/>
        <v>32.000195652173915</v>
      </c>
      <c r="P293">
        <f t="shared" si="18"/>
        <v>13.761111980000003</v>
      </c>
      <c r="Q293">
        <f t="shared" si="18"/>
        <v>50.244060020000006</v>
      </c>
    </row>
    <row r="294" spans="2:17" s="312" customFormat="1" ht="15" customHeight="1" x14ac:dyDescent="0.3">
      <c r="B294" s="206" t="s">
        <v>1438</v>
      </c>
      <c r="C294" s="167">
        <v>32.000195652173915</v>
      </c>
      <c r="D294" s="167">
        <v>13.761111980000003</v>
      </c>
      <c r="E294" s="167">
        <v>50.244060020000006</v>
      </c>
      <c r="F294" s="320"/>
      <c r="G294" s="251"/>
      <c r="H294" s="204"/>
      <c r="I294" s="167"/>
      <c r="J294" s="167"/>
      <c r="K294" s="167"/>
      <c r="L294" s="320"/>
      <c r="M294" s="251"/>
      <c r="N294" s="204"/>
      <c r="O294">
        <f t="shared" si="19"/>
        <v>32.000195652173915</v>
      </c>
      <c r="P294">
        <f t="shared" si="18"/>
        <v>13.761111980000003</v>
      </c>
      <c r="Q294">
        <f t="shared" si="18"/>
        <v>50.244060020000006</v>
      </c>
    </row>
    <row r="295" spans="2:17" s="312" customFormat="1" ht="15" customHeight="1" x14ac:dyDescent="0.3">
      <c r="B295" s="206" t="s">
        <v>1441</v>
      </c>
      <c r="C295" s="167">
        <v>32.867282608695653</v>
      </c>
      <c r="D295" s="167">
        <v>17.419877140217391</v>
      </c>
      <c r="E295" s="167">
        <v>48.31550829456522</v>
      </c>
      <c r="F295" s="320"/>
      <c r="G295" s="251"/>
      <c r="H295" s="204"/>
      <c r="I295" s="167"/>
      <c r="J295" s="167"/>
      <c r="K295" s="167"/>
      <c r="L295" s="320"/>
      <c r="M295" s="251"/>
      <c r="N295" s="204"/>
      <c r="O295">
        <f t="shared" ref="O295:Q296" si="20">IF(ISBLANK(C295),I295,C295)</f>
        <v>32.867282608695653</v>
      </c>
      <c r="P295">
        <f t="shared" si="20"/>
        <v>17.419877140217391</v>
      </c>
      <c r="Q295">
        <f t="shared" si="20"/>
        <v>48.31550829456522</v>
      </c>
    </row>
    <row r="296" spans="2:17" s="312" customFormat="1" ht="15" customHeight="1" x14ac:dyDescent="0.3">
      <c r="B296" s="206" t="s">
        <v>1442</v>
      </c>
      <c r="C296" s="167">
        <v>32.867282608695653</v>
      </c>
      <c r="D296" s="167">
        <v>17.419877140217391</v>
      </c>
      <c r="E296" s="167">
        <v>48.31550829456522</v>
      </c>
      <c r="F296" s="320"/>
      <c r="G296" s="251"/>
      <c r="H296" s="204"/>
      <c r="I296" s="167"/>
      <c r="J296" s="167"/>
      <c r="K296" s="167"/>
      <c r="L296" s="320"/>
      <c r="M296" s="251"/>
      <c r="N296" s="204"/>
      <c r="O296">
        <f t="shared" si="20"/>
        <v>32.867282608695653</v>
      </c>
      <c r="P296">
        <f t="shared" si="20"/>
        <v>17.419877140217391</v>
      </c>
      <c r="Q296">
        <f t="shared" si="20"/>
        <v>48.31550829456522</v>
      </c>
    </row>
    <row r="297" spans="2:17" s="312" customFormat="1" ht="15" customHeight="1" x14ac:dyDescent="0.3">
      <c r="B297" s="207" t="s">
        <v>920</v>
      </c>
      <c r="C297" s="275"/>
      <c r="D297" s="275"/>
      <c r="E297" s="275"/>
      <c r="F297" s="320"/>
      <c r="G297" s="251"/>
      <c r="H297" s="204"/>
      <c r="I297" s="275"/>
      <c r="J297" s="275"/>
      <c r="K297" s="275"/>
      <c r="L297" s="320"/>
      <c r="M297" s="251"/>
      <c r="N297" s="204"/>
      <c r="O297"/>
      <c r="P297"/>
      <c r="Q297"/>
    </row>
    <row r="298" spans="2:17" s="312" customFormat="1" ht="15" customHeight="1" x14ac:dyDescent="0.3">
      <c r="B298" s="206" t="s">
        <v>920</v>
      </c>
      <c r="C298" s="167">
        <v>32.832130434782606</v>
      </c>
      <c r="D298" s="167">
        <v>19.404</v>
      </c>
      <c r="E298" s="167">
        <v>46.365717391304351</v>
      </c>
      <c r="F298" s="320"/>
      <c r="G298" s="251"/>
      <c r="H298" s="204"/>
      <c r="I298" s="167"/>
      <c r="J298" s="167"/>
      <c r="K298" s="167"/>
      <c r="L298" s="320"/>
      <c r="M298" s="251"/>
      <c r="N298" s="204"/>
      <c r="O298">
        <f t="shared" ref="O298:Q299" si="21">IF(ISBLANK(C298),I298,C298)</f>
        <v>32.832130434782606</v>
      </c>
      <c r="P298">
        <f t="shared" si="21"/>
        <v>19.404</v>
      </c>
      <c r="Q298">
        <f t="shared" si="21"/>
        <v>46.365717391304351</v>
      </c>
    </row>
    <row r="299" spans="2:17" s="312" customFormat="1" ht="15" customHeight="1" x14ac:dyDescent="0.3">
      <c r="B299" s="206" t="s">
        <v>980</v>
      </c>
      <c r="C299" s="167">
        <v>32.832130434782606</v>
      </c>
      <c r="D299" s="167">
        <v>19.404</v>
      </c>
      <c r="E299" s="167">
        <v>46.365717391304351</v>
      </c>
      <c r="F299" s="320"/>
      <c r="G299" s="251"/>
      <c r="H299" s="204"/>
      <c r="I299" s="167"/>
      <c r="J299" s="167"/>
      <c r="K299" s="167"/>
      <c r="L299" s="320"/>
      <c r="M299" s="251"/>
      <c r="N299" s="204"/>
      <c r="O299">
        <f t="shared" si="21"/>
        <v>32.832130434782606</v>
      </c>
      <c r="P299">
        <f t="shared" si="21"/>
        <v>19.404</v>
      </c>
      <c r="Q299">
        <f t="shared" si="21"/>
        <v>46.365717391304351</v>
      </c>
    </row>
    <row r="300" spans="2:17" s="312" customFormat="1" ht="15" customHeight="1" x14ac:dyDescent="0.3">
      <c r="B300" s="584"/>
      <c r="C300" s="584"/>
      <c r="D300" s="584"/>
      <c r="E300" s="584"/>
      <c r="I300" s="466"/>
    </row>
    <row r="301" spans="2:17" s="312" customFormat="1" ht="15" customHeight="1" x14ac:dyDescent="0.3">
      <c r="B301" s="294" t="s">
        <v>1447</v>
      </c>
      <c r="C301" s="305"/>
      <c r="D301" s="305"/>
      <c r="E301" s="305"/>
      <c r="F301" s="305"/>
      <c r="G301" s="305"/>
    </row>
    <row r="302" spans="2:17" s="312" customFormat="1" ht="15" customHeight="1" x14ac:dyDescent="0.3">
      <c r="B302" s="583" t="s">
        <v>950</v>
      </c>
      <c r="C302" s="214" t="s">
        <v>995</v>
      </c>
      <c r="D302" s="214" t="s">
        <v>985</v>
      </c>
      <c r="E302" s="319" t="s">
        <v>986</v>
      </c>
      <c r="F302" s="215"/>
      <c r="G302" s="215"/>
      <c r="H302" s="204"/>
      <c r="I302" s="214"/>
      <c r="J302" s="214"/>
      <c r="K302" s="214"/>
      <c r="L302" s="319"/>
      <c r="M302" s="215"/>
      <c r="N302" s="204"/>
      <c r="O302" s="214"/>
      <c r="P302" s="214"/>
      <c r="Q302" s="214"/>
    </row>
    <row r="303" spans="2:17" s="312" customFormat="1" ht="15" customHeight="1" x14ac:dyDescent="0.3">
      <c r="B303" s="315" t="s">
        <v>1445</v>
      </c>
      <c r="C303" s="204"/>
      <c r="D303" s="204"/>
      <c r="E303" s="204"/>
      <c r="F303" s="320"/>
      <c r="G303" s="251"/>
      <c r="H303" s="204"/>
      <c r="I303" s="204"/>
      <c r="J303" s="204"/>
      <c r="K303" s="204"/>
      <c r="L303" s="320"/>
      <c r="M303" s="251"/>
      <c r="N303" s="204"/>
      <c r="O303" s="204"/>
      <c r="P303" s="204"/>
      <c r="Q303" s="204"/>
    </row>
    <row r="304" spans="2:17" s="312" customFormat="1" ht="15" customHeight="1" x14ac:dyDescent="0.3">
      <c r="B304" s="313" t="s">
        <v>2</v>
      </c>
      <c r="C304" s="167">
        <v>7996.6039999999985</v>
      </c>
      <c r="D304" s="167">
        <v>3898.2514320749997</v>
      </c>
      <c r="E304" s="167">
        <v>13493.947264875</v>
      </c>
      <c r="F304" s="320"/>
      <c r="G304" s="251"/>
      <c r="H304" s="204" t="s">
        <v>1508</v>
      </c>
      <c r="I304" s="167"/>
      <c r="J304" s="167"/>
      <c r="K304" s="167"/>
      <c r="L304" s="320"/>
      <c r="M304" s="251"/>
      <c r="N304" s="204"/>
      <c r="O304">
        <f>IF(ISBLANK(C304),I304,C304)</f>
        <v>7996.6039999999985</v>
      </c>
      <c r="P304">
        <f t="shared" ref="P304:Q326" si="22">IF(ISBLANK(D304),J304,D304)</f>
        <v>3898.2514320749997</v>
      </c>
      <c r="Q304">
        <f t="shared" si="22"/>
        <v>13493.947264875</v>
      </c>
    </row>
    <row r="305" spans="2:17" s="312" customFormat="1" ht="15" customHeight="1" x14ac:dyDescent="0.3">
      <c r="B305" s="313" t="s">
        <v>3</v>
      </c>
      <c r="C305" s="167">
        <v>7996.6039999999985</v>
      </c>
      <c r="D305" s="167">
        <v>3898.2514320749997</v>
      </c>
      <c r="E305" s="167">
        <v>13493.947264875</v>
      </c>
      <c r="F305" s="320"/>
      <c r="G305" s="251"/>
      <c r="H305" s="204"/>
      <c r="I305" s="167"/>
      <c r="J305" s="167"/>
      <c r="K305" s="167"/>
      <c r="L305" s="320"/>
      <c r="M305" s="251"/>
      <c r="N305" s="204"/>
      <c r="O305">
        <f t="shared" ref="O305:O326" si="23">IF(ISBLANK(C305),I305,C305)</f>
        <v>7996.6039999999985</v>
      </c>
      <c r="P305">
        <f t="shared" si="22"/>
        <v>3898.2514320749997</v>
      </c>
      <c r="Q305">
        <f t="shared" si="22"/>
        <v>13493.947264875</v>
      </c>
    </row>
    <row r="306" spans="2:17" s="312" customFormat="1" ht="15" customHeight="1" x14ac:dyDescent="0.3">
      <c r="B306" s="313" t="s">
        <v>4</v>
      </c>
      <c r="C306" s="167">
        <v>7996.6039999999985</v>
      </c>
      <c r="D306" s="167">
        <v>3898.2514320749997</v>
      </c>
      <c r="E306" s="167">
        <v>13493.947264875</v>
      </c>
      <c r="F306" s="320"/>
      <c r="G306" s="251"/>
      <c r="H306" s="204"/>
      <c r="I306" s="167"/>
      <c r="J306" s="167"/>
      <c r="K306" s="167"/>
      <c r="L306" s="320"/>
      <c r="M306" s="251"/>
      <c r="N306" s="204"/>
      <c r="O306">
        <f t="shared" si="23"/>
        <v>7996.6039999999985</v>
      </c>
      <c r="P306">
        <f t="shared" si="22"/>
        <v>3898.2514320749997</v>
      </c>
      <c r="Q306">
        <f t="shared" si="22"/>
        <v>13493.947264875</v>
      </c>
    </row>
    <row r="307" spans="2:17" s="312" customFormat="1" ht="15" customHeight="1" x14ac:dyDescent="0.3">
      <c r="B307" s="313" t="s">
        <v>5</v>
      </c>
      <c r="C307" s="167">
        <v>11062.529739130434</v>
      </c>
      <c r="D307" s="167">
        <v>5309.8663769321774</v>
      </c>
      <c r="E307" s="167">
        <v>18805.776751634785</v>
      </c>
      <c r="F307" s="320"/>
      <c r="G307" s="251"/>
      <c r="H307" s="204"/>
      <c r="I307" s="167"/>
      <c r="J307" s="167"/>
      <c r="K307" s="167"/>
      <c r="L307" s="320"/>
      <c r="M307" s="251"/>
      <c r="N307" s="204"/>
      <c r="O307">
        <f t="shared" si="23"/>
        <v>11062.529739130434</v>
      </c>
      <c r="P307">
        <f t="shared" si="22"/>
        <v>5309.8663769321774</v>
      </c>
      <c r="Q307">
        <f t="shared" si="22"/>
        <v>18805.776751634785</v>
      </c>
    </row>
    <row r="308" spans="2:17" s="312" customFormat="1" ht="15" customHeight="1" x14ac:dyDescent="0.3">
      <c r="B308" s="313" t="s">
        <v>6</v>
      </c>
      <c r="C308" s="167">
        <v>11062.529739130434</v>
      </c>
      <c r="D308" s="167">
        <v>5309.8663769321774</v>
      </c>
      <c r="E308" s="167">
        <v>18805.776751634785</v>
      </c>
      <c r="F308"/>
      <c r="G308"/>
      <c r="H308" s="204"/>
      <c r="I308" s="167"/>
      <c r="J308" s="167"/>
      <c r="K308" s="167"/>
      <c r="L308" s="320"/>
      <c r="M308" s="251"/>
      <c r="N308" s="204"/>
      <c r="O308">
        <f t="shared" si="23"/>
        <v>11062.529739130434</v>
      </c>
      <c r="P308">
        <f t="shared" si="22"/>
        <v>5309.8663769321774</v>
      </c>
      <c r="Q308">
        <f t="shared" si="22"/>
        <v>18805.776751634785</v>
      </c>
    </row>
    <row r="309" spans="2:17" s="312" customFormat="1" ht="15" customHeight="1" x14ac:dyDescent="0.3">
      <c r="B309" s="313" t="s">
        <v>7</v>
      </c>
      <c r="C309" s="167">
        <v>11062.529739130434</v>
      </c>
      <c r="D309" s="167">
        <v>5309.8663769321774</v>
      </c>
      <c r="E309" s="167">
        <v>18805.776751634785</v>
      </c>
      <c r="F309" s="320"/>
      <c r="G309" s="251"/>
      <c r="H309" s="204"/>
      <c r="I309" s="167"/>
      <c r="J309" s="167"/>
      <c r="K309" s="167"/>
      <c r="L309" s="320"/>
      <c r="M309" s="251"/>
      <c r="N309" s="204"/>
      <c r="O309">
        <f t="shared" si="23"/>
        <v>11062.529739130434</v>
      </c>
      <c r="P309">
        <f t="shared" si="22"/>
        <v>5309.8663769321774</v>
      </c>
      <c r="Q309">
        <f t="shared" si="22"/>
        <v>18805.776751634785</v>
      </c>
    </row>
    <row r="310" spans="2:17" s="312" customFormat="1" ht="15" customHeight="1" x14ac:dyDescent="0.3">
      <c r="B310" s="313" t="s">
        <v>11</v>
      </c>
      <c r="C310" s="167">
        <v>11460.077391304349</v>
      </c>
      <c r="D310" s="167">
        <v>5328.8825363184769</v>
      </c>
      <c r="E310" s="167">
        <v>16871.020777499991</v>
      </c>
      <c r="F310" s="320"/>
      <c r="G310" s="251"/>
      <c r="H310" s="204"/>
      <c r="I310" s="167"/>
      <c r="J310" s="167"/>
      <c r="K310" s="167"/>
      <c r="L310" s="320"/>
      <c r="M310" s="251"/>
      <c r="N310" s="204"/>
      <c r="O310">
        <f t="shared" si="23"/>
        <v>11460.077391304349</v>
      </c>
      <c r="P310">
        <f t="shared" si="22"/>
        <v>5328.8825363184769</v>
      </c>
      <c r="Q310">
        <f t="shared" si="22"/>
        <v>16871.020777499991</v>
      </c>
    </row>
    <row r="311" spans="2:17" s="312" customFormat="1" x14ac:dyDescent="0.3">
      <c r="B311" s="315" t="s">
        <v>1444</v>
      </c>
      <c r="C311" s="320"/>
      <c r="D311" s="320"/>
      <c r="E311" s="320"/>
      <c r="F311" s="320"/>
      <c r="G311" s="251"/>
      <c r="H311" s="204"/>
      <c r="I311" s="204"/>
      <c r="J311" s="204"/>
      <c r="K311" s="204"/>
      <c r="L311" s="320"/>
      <c r="M311" s="251"/>
      <c r="N311" s="204"/>
      <c r="O311"/>
      <c r="P311"/>
      <c r="Q311"/>
    </row>
    <row r="312" spans="2:17" s="312" customFormat="1" x14ac:dyDescent="0.3">
      <c r="B312" s="313" t="s">
        <v>2</v>
      </c>
      <c r="C312" s="167">
        <v>11761.06202173913</v>
      </c>
      <c r="D312" s="167">
        <v>5380.7032865204328</v>
      </c>
      <c r="E312" s="167">
        <v>20434.91138869779</v>
      </c>
      <c r="F312" s="320"/>
      <c r="G312" s="251"/>
      <c r="H312" s="204"/>
      <c r="I312" s="167"/>
      <c r="J312" s="167"/>
      <c r="K312" s="167"/>
      <c r="L312" s="320"/>
      <c r="M312" s="251"/>
      <c r="N312" s="204"/>
      <c r="O312">
        <f t="shared" si="23"/>
        <v>11761.06202173913</v>
      </c>
      <c r="P312">
        <f t="shared" si="22"/>
        <v>5380.7032865204328</v>
      </c>
      <c r="Q312">
        <f t="shared" si="22"/>
        <v>20434.91138869779</v>
      </c>
    </row>
    <row r="313" spans="2:17" s="312" customFormat="1" x14ac:dyDescent="0.3">
      <c r="B313" s="313" t="s">
        <v>3</v>
      </c>
      <c r="C313" s="167">
        <v>11761.06202173913</v>
      </c>
      <c r="D313" s="167">
        <v>5380.7032865204328</v>
      </c>
      <c r="E313" s="167">
        <v>20434.91138869779</v>
      </c>
      <c r="F313" s="320"/>
      <c r="G313" s="251"/>
      <c r="H313" s="204"/>
      <c r="I313" s="167"/>
      <c r="J313" s="167"/>
      <c r="K313" s="167"/>
      <c r="L313" s="320"/>
      <c r="M313" s="251"/>
      <c r="N313" s="204"/>
      <c r="O313">
        <f t="shared" si="23"/>
        <v>11761.06202173913</v>
      </c>
      <c r="P313">
        <f t="shared" si="22"/>
        <v>5380.7032865204328</v>
      </c>
      <c r="Q313">
        <f t="shared" si="22"/>
        <v>20434.91138869779</v>
      </c>
    </row>
    <row r="314" spans="2:17" s="312" customFormat="1" x14ac:dyDescent="0.3">
      <c r="B314" s="313" t="s">
        <v>4</v>
      </c>
      <c r="C314" s="167">
        <v>11761.06202173913</v>
      </c>
      <c r="D314" s="167">
        <v>5380.7032865204328</v>
      </c>
      <c r="E314" s="167">
        <v>20434.91138869779</v>
      </c>
      <c r="F314" s="320"/>
      <c r="G314" s="251"/>
      <c r="H314" s="204"/>
      <c r="I314" s="167"/>
      <c r="J314" s="167"/>
      <c r="K314" s="167"/>
      <c r="L314" s="320"/>
      <c r="M314" s="251"/>
      <c r="N314" s="204"/>
      <c r="O314">
        <f t="shared" si="23"/>
        <v>11761.06202173913</v>
      </c>
      <c r="P314">
        <f t="shared" si="22"/>
        <v>5380.7032865204328</v>
      </c>
      <c r="Q314">
        <f t="shared" si="22"/>
        <v>20434.91138869779</v>
      </c>
    </row>
    <row r="315" spans="2:17" s="312" customFormat="1" x14ac:dyDescent="0.3">
      <c r="B315" s="313" t="s">
        <v>5</v>
      </c>
      <c r="C315" s="167">
        <v>11761.06202173913</v>
      </c>
      <c r="D315" s="167">
        <v>5380.7032865204328</v>
      </c>
      <c r="E315" s="167">
        <v>20434.91138869779</v>
      </c>
      <c r="F315" s="320"/>
      <c r="G315" s="251"/>
      <c r="H315" s="204"/>
      <c r="I315" s="167"/>
      <c r="J315" s="167"/>
      <c r="K315" s="167"/>
      <c r="L315" s="320"/>
      <c r="M315" s="251"/>
      <c r="N315" s="204"/>
      <c r="O315">
        <f t="shared" si="23"/>
        <v>11761.06202173913</v>
      </c>
      <c r="P315">
        <f t="shared" si="22"/>
        <v>5380.7032865204328</v>
      </c>
      <c r="Q315">
        <f t="shared" si="22"/>
        <v>20434.91138869779</v>
      </c>
    </row>
    <row r="316" spans="2:17" s="312" customFormat="1" x14ac:dyDescent="0.3">
      <c r="B316" s="313" t="s">
        <v>6</v>
      </c>
      <c r="C316" s="167">
        <v>11761.06202173913</v>
      </c>
      <c r="D316" s="167">
        <v>5380.7032865204328</v>
      </c>
      <c r="E316" s="167">
        <v>20434.91138869779</v>
      </c>
      <c r="F316"/>
      <c r="G316"/>
      <c r="H316" s="204"/>
      <c r="I316" s="167"/>
      <c r="J316" s="167"/>
      <c r="K316" s="167"/>
      <c r="L316" s="320"/>
      <c r="M316" s="251"/>
      <c r="N316" s="204"/>
      <c r="O316">
        <f t="shared" si="23"/>
        <v>11761.06202173913</v>
      </c>
      <c r="P316">
        <f t="shared" si="22"/>
        <v>5380.7032865204328</v>
      </c>
      <c r="Q316">
        <f t="shared" si="22"/>
        <v>20434.91138869779</v>
      </c>
    </row>
    <row r="317" spans="2:17" s="312" customFormat="1" x14ac:dyDescent="0.3">
      <c r="B317" s="313" t="s">
        <v>7</v>
      </c>
      <c r="C317" s="167">
        <v>11761.06202173913</v>
      </c>
      <c r="D317" s="167">
        <v>5380.7032865204328</v>
      </c>
      <c r="E317" s="167">
        <v>20434.91138869779</v>
      </c>
      <c r="F317" s="320"/>
      <c r="G317" s="251"/>
      <c r="H317" s="204"/>
      <c r="I317" s="167"/>
      <c r="J317" s="167"/>
      <c r="K317" s="167"/>
      <c r="L317" s="320"/>
      <c r="M317" s="251"/>
      <c r="N317" s="204"/>
      <c r="O317">
        <f t="shared" si="23"/>
        <v>11761.06202173913</v>
      </c>
      <c r="P317">
        <f t="shared" si="22"/>
        <v>5380.7032865204328</v>
      </c>
      <c r="Q317">
        <f t="shared" si="22"/>
        <v>20434.91138869779</v>
      </c>
    </row>
    <row r="318" spans="2:17" s="312" customFormat="1" x14ac:dyDescent="0.3">
      <c r="B318" s="313" t="s">
        <v>11</v>
      </c>
      <c r="C318" s="167">
        <v>11761.06202173913</v>
      </c>
      <c r="D318" s="167">
        <v>5380.7032865204328</v>
      </c>
      <c r="E318" s="167">
        <v>20434.91138869779</v>
      </c>
      <c r="F318" s="320"/>
      <c r="G318" s="251"/>
      <c r="H318" s="204"/>
      <c r="I318" s="167"/>
      <c r="J318" s="167"/>
      <c r="K318" s="167"/>
      <c r="L318" s="320"/>
      <c r="M318" s="251"/>
      <c r="N318" s="204"/>
      <c r="O318">
        <f t="shared" si="23"/>
        <v>11761.06202173913</v>
      </c>
      <c r="P318">
        <f t="shared" si="22"/>
        <v>5380.7032865204328</v>
      </c>
      <c r="Q318">
        <f t="shared" si="22"/>
        <v>20434.91138869779</v>
      </c>
    </row>
    <row r="319" spans="2:17" s="312" customFormat="1" ht="15" customHeight="1" x14ac:dyDescent="0.3">
      <c r="B319" s="207" t="s">
        <v>227</v>
      </c>
      <c r="C319" s="320"/>
      <c r="D319" s="320"/>
      <c r="E319" s="320"/>
      <c r="F319" s="320"/>
      <c r="G319" s="251"/>
      <c r="H319" s="204"/>
      <c r="I319" s="275"/>
      <c r="J319" s="275"/>
      <c r="K319" s="275"/>
      <c r="L319" s="320"/>
      <c r="M319" s="251"/>
      <c r="N319" s="204"/>
      <c r="O319"/>
      <c r="P319"/>
      <c r="Q319"/>
    </row>
    <row r="320" spans="2:17" s="312" customFormat="1" ht="15" customHeight="1" x14ac:dyDescent="0.3">
      <c r="B320" s="206" t="s">
        <v>1437</v>
      </c>
      <c r="C320" s="167">
        <v>12523.44236956522</v>
      </c>
      <c r="D320" s="167">
        <v>4038.7397262586951</v>
      </c>
      <c r="E320" s="167">
        <v>24576.827016380466</v>
      </c>
      <c r="F320" s="320"/>
      <c r="G320" s="251"/>
      <c r="H320" s="204"/>
      <c r="I320" s="167"/>
      <c r="J320" s="167"/>
      <c r="K320" s="167"/>
      <c r="L320" s="320"/>
      <c r="M320" s="251"/>
      <c r="N320" s="204"/>
      <c r="O320">
        <f t="shared" si="23"/>
        <v>12523.44236956522</v>
      </c>
      <c r="P320">
        <f t="shared" si="22"/>
        <v>4038.7397262586951</v>
      </c>
      <c r="Q320">
        <f t="shared" si="22"/>
        <v>24576.827016380466</v>
      </c>
    </row>
    <row r="321" spans="2:17" s="312" customFormat="1" ht="15" customHeight="1" x14ac:dyDescent="0.3">
      <c r="B321" s="206" t="s">
        <v>1438</v>
      </c>
      <c r="C321" s="167">
        <v>12523.44236956522</v>
      </c>
      <c r="D321" s="167">
        <v>4038.7397262586951</v>
      </c>
      <c r="E321" s="167">
        <v>24576.827016380466</v>
      </c>
      <c r="F321" s="320"/>
      <c r="G321" s="251"/>
      <c r="H321" s="204"/>
      <c r="I321" s="167"/>
      <c r="J321" s="167"/>
      <c r="K321" s="167"/>
      <c r="L321" s="320"/>
      <c r="M321" s="251"/>
      <c r="N321" s="204"/>
      <c r="O321">
        <f t="shared" si="23"/>
        <v>12523.44236956522</v>
      </c>
      <c r="P321">
        <f t="shared" si="22"/>
        <v>4038.7397262586951</v>
      </c>
      <c r="Q321">
        <f t="shared" si="22"/>
        <v>24576.827016380466</v>
      </c>
    </row>
    <row r="322" spans="2:17" s="312" customFormat="1" ht="15" customHeight="1" x14ac:dyDescent="0.3">
      <c r="B322" s="206" t="s">
        <v>1441</v>
      </c>
      <c r="C322" s="167">
        <v>8595.6321956521733</v>
      </c>
      <c r="D322" s="167">
        <v>3416.6498527030458</v>
      </c>
      <c r="E322" s="167">
        <v>15793.947432306521</v>
      </c>
      <c r="F322" s="320"/>
      <c r="G322" s="251"/>
      <c r="H322" s="204"/>
      <c r="I322" s="167"/>
      <c r="J322" s="167"/>
      <c r="K322" s="167"/>
      <c r="L322" s="320"/>
      <c r="M322" s="251"/>
      <c r="N322" s="204"/>
      <c r="O322">
        <f t="shared" si="23"/>
        <v>8595.6321956521733</v>
      </c>
      <c r="P322">
        <f t="shared" si="22"/>
        <v>3416.6498527030458</v>
      </c>
      <c r="Q322">
        <f t="shared" si="22"/>
        <v>15793.947432306521</v>
      </c>
    </row>
    <row r="323" spans="2:17" s="312" customFormat="1" ht="15" customHeight="1" x14ac:dyDescent="0.3">
      <c r="B323" s="206" t="s">
        <v>1442</v>
      </c>
      <c r="C323" s="167">
        <v>8595.6321956521733</v>
      </c>
      <c r="D323" s="167">
        <v>3416.6498527030458</v>
      </c>
      <c r="E323" s="167">
        <v>15793.947432306521</v>
      </c>
      <c r="F323" s="320"/>
      <c r="G323" s="251"/>
      <c r="H323" s="204"/>
      <c r="I323" s="167"/>
      <c r="J323" s="167"/>
      <c r="K323" s="167"/>
      <c r="L323" s="320"/>
      <c r="M323" s="251"/>
      <c r="N323" s="204"/>
      <c r="O323">
        <f t="shared" si="23"/>
        <v>8595.6321956521733</v>
      </c>
      <c r="P323">
        <f t="shared" si="22"/>
        <v>3416.6498527030458</v>
      </c>
      <c r="Q323">
        <f t="shared" si="22"/>
        <v>15793.947432306521</v>
      </c>
    </row>
    <row r="324" spans="2:17" s="312" customFormat="1" ht="15" customHeight="1" x14ac:dyDescent="0.3">
      <c r="B324" s="207" t="s">
        <v>920</v>
      </c>
      <c r="C324" s="320"/>
      <c r="D324" s="320"/>
      <c r="E324" s="320"/>
      <c r="F324" s="320"/>
      <c r="G324" s="251"/>
      <c r="H324" s="204"/>
      <c r="I324" s="275"/>
      <c r="J324" s="275"/>
      <c r="K324" s="275"/>
      <c r="L324" s="320"/>
      <c r="M324" s="251"/>
      <c r="N324" s="204"/>
      <c r="O324"/>
      <c r="P324"/>
      <c r="Q324"/>
    </row>
    <row r="325" spans="2:17" s="312" customFormat="1" ht="15" customHeight="1" x14ac:dyDescent="0.3">
      <c r="B325" s="206" t="s">
        <v>920</v>
      </c>
      <c r="C325" s="167">
        <v>11387.898260869566</v>
      </c>
      <c r="D325" s="167">
        <v>5466.0389174301827</v>
      </c>
      <c r="E325" s="167">
        <v>19358.887832565219</v>
      </c>
      <c r="F325" s="320"/>
      <c r="G325" s="251"/>
      <c r="H325" s="204"/>
      <c r="I325" s="167"/>
      <c r="J325" s="167"/>
      <c r="K325" s="167"/>
      <c r="L325" s="320"/>
      <c r="M325" s="251"/>
      <c r="N325" s="204"/>
      <c r="O325">
        <f t="shared" si="23"/>
        <v>11387.898260869566</v>
      </c>
      <c r="P325">
        <f t="shared" si="22"/>
        <v>5466.0389174301827</v>
      </c>
      <c r="Q325">
        <f t="shared" si="22"/>
        <v>19358.887832565219</v>
      </c>
    </row>
    <row r="326" spans="2:17" s="312" customFormat="1" ht="15" customHeight="1" x14ac:dyDescent="0.3">
      <c r="B326" s="206" t="s">
        <v>980</v>
      </c>
      <c r="C326" s="167">
        <v>11387.898260869566</v>
      </c>
      <c r="D326" s="167">
        <v>5466.0389174301827</v>
      </c>
      <c r="E326" s="167">
        <v>19358.887832565219</v>
      </c>
      <c r="F326" s="320"/>
      <c r="G326" s="251"/>
      <c r="H326" s="204"/>
      <c r="I326" s="167"/>
      <c r="J326" s="167"/>
      <c r="K326" s="167"/>
      <c r="L326" s="320"/>
      <c r="M326" s="251"/>
      <c r="N326" s="204"/>
      <c r="O326">
        <f t="shared" si="23"/>
        <v>11387.898260869566</v>
      </c>
      <c r="P326">
        <f t="shared" si="22"/>
        <v>5466.0389174301827</v>
      </c>
      <c r="Q326">
        <f t="shared" si="22"/>
        <v>19358.887832565219</v>
      </c>
    </row>
    <row r="327" spans="2:17" s="312" customFormat="1" ht="15" customHeight="1" x14ac:dyDescent="0.3">
      <c r="B327" s="206"/>
      <c r="C327" s="275"/>
      <c r="D327" s="275"/>
      <c r="E327" s="275"/>
      <c r="F327" s="320"/>
      <c r="G327" s="251"/>
      <c r="H327" s="204"/>
      <c r="I327" s="275"/>
      <c r="J327" s="275"/>
      <c r="K327" s="275"/>
      <c r="L327" s="320"/>
      <c r="M327" s="251"/>
      <c r="N327" s="204"/>
      <c r="O327" s="232"/>
      <c r="P327" s="232"/>
      <c r="Q327" s="232"/>
    </row>
    <row r="328" spans="2:17" ht="23.4" x14ac:dyDescent="0.45">
      <c r="B328" s="380" t="s">
        <v>1364</v>
      </c>
      <c r="D328" s="210"/>
      <c r="E328" s="281"/>
    </row>
    <row r="329" spans="2:17" x14ac:dyDescent="0.3">
      <c r="B329"/>
      <c r="D329" s="210"/>
      <c r="E329" s="281"/>
    </row>
    <row r="330" spans="2:17" ht="21" x14ac:dyDescent="0.4">
      <c r="B330" s="236" t="s">
        <v>1481</v>
      </c>
      <c r="C330" s="274"/>
      <c r="D330" s="274"/>
      <c r="E330" s="274"/>
      <c r="G330" s="251"/>
      <c r="M330" s="251"/>
    </row>
    <row r="331" spans="2:17" ht="21" x14ac:dyDescent="0.4">
      <c r="B331" s="236"/>
      <c r="C331" s="274"/>
      <c r="D331" s="274"/>
      <c r="E331" s="274"/>
      <c r="G331" s="251"/>
      <c r="M331" s="251"/>
    </row>
    <row r="332" spans="2:17" x14ac:dyDescent="0.3">
      <c r="B332" s="781" t="s">
        <v>1095</v>
      </c>
      <c r="C332" s="781"/>
      <c r="D332" s="781"/>
      <c r="E332" s="781"/>
      <c r="F332" s="781"/>
      <c r="G332" s="781"/>
      <c r="I332" s="787" t="s">
        <v>1096</v>
      </c>
      <c r="J332" s="787"/>
      <c r="K332" s="787"/>
      <c r="L332" s="787"/>
      <c r="M332" s="787"/>
      <c r="O332" s="204" t="s">
        <v>1097</v>
      </c>
    </row>
    <row r="333" spans="2:17" ht="19.5" customHeight="1" thickBot="1" x14ac:dyDescent="0.4">
      <c r="B333" s="205"/>
      <c r="C333" s="786" t="s">
        <v>1365</v>
      </c>
      <c r="D333" s="786"/>
      <c r="E333" s="786"/>
      <c r="F333" s="786"/>
      <c r="G333" s="786"/>
      <c r="I333" s="786" t="s">
        <v>1365</v>
      </c>
      <c r="J333" s="786"/>
      <c r="K333" s="786"/>
      <c r="L333" s="786"/>
      <c r="M333" s="786"/>
    </row>
    <row r="334" spans="2:17" x14ac:dyDescent="0.3">
      <c r="B334" s="286"/>
      <c r="C334" s="214" t="s">
        <v>563</v>
      </c>
      <c r="D334" s="214" t="s">
        <v>985</v>
      </c>
      <c r="E334" s="214" t="s">
        <v>986</v>
      </c>
      <c r="F334" s="319" t="s">
        <v>592</v>
      </c>
      <c r="G334" s="215" t="s">
        <v>591</v>
      </c>
      <c r="I334" s="214" t="s">
        <v>563</v>
      </c>
      <c r="J334" s="214" t="s">
        <v>985</v>
      </c>
      <c r="K334" s="214" t="s">
        <v>986</v>
      </c>
      <c r="L334" s="319" t="s">
        <v>592</v>
      </c>
      <c r="M334" s="215" t="s">
        <v>591</v>
      </c>
      <c r="O334" s="214" t="s">
        <v>563</v>
      </c>
      <c r="P334" s="214" t="s">
        <v>985</v>
      </c>
      <c r="Q334" s="214" t="s">
        <v>986</v>
      </c>
    </row>
    <row r="335" spans="2:17" x14ac:dyDescent="0.3">
      <c r="B335" s="205" t="s">
        <v>1445</v>
      </c>
      <c r="F335" s="320"/>
      <c r="G335" s="251"/>
      <c r="L335" s="320"/>
      <c r="M335" s="251"/>
    </row>
    <row r="336" spans="2:17" x14ac:dyDescent="0.3">
      <c r="B336" s="206" t="s">
        <v>1082</v>
      </c>
      <c r="C336" s="167">
        <v>0</v>
      </c>
      <c r="D336" s="167">
        <v>0</v>
      </c>
      <c r="E336" s="167">
        <v>0</v>
      </c>
      <c r="F336" s="320"/>
      <c r="G336" s="251"/>
      <c r="I336" s="167"/>
      <c r="J336" s="167"/>
      <c r="K336" s="167"/>
      <c r="L336" s="320"/>
      <c r="M336" s="251"/>
      <c r="O336">
        <f>IF(ISBLANK(C336),I336,C336)</f>
        <v>0</v>
      </c>
      <c r="P336">
        <f t="shared" ref="P336:Q358" si="24">IF(ISBLANK(D336),J336,D336)</f>
        <v>0</v>
      </c>
      <c r="Q336">
        <f t="shared" si="24"/>
        <v>0</v>
      </c>
    </row>
    <row r="337" spans="2:17" x14ac:dyDescent="0.3">
      <c r="B337" s="206" t="s">
        <v>1083</v>
      </c>
      <c r="C337" s="167">
        <v>0</v>
      </c>
      <c r="D337" s="167">
        <v>0</v>
      </c>
      <c r="E337" s="167">
        <v>0</v>
      </c>
      <c r="F337" s="320"/>
      <c r="G337" s="251"/>
      <c r="I337" s="167"/>
      <c r="J337" s="167"/>
      <c r="K337" s="167"/>
      <c r="L337" s="320"/>
      <c r="M337" s="251"/>
      <c r="O337">
        <f t="shared" ref="O337:O358" si="25">IF(ISBLANK(C337),I337,C337)</f>
        <v>0</v>
      </c>
      <c r="P337">
        <f t="shared" si="24"/>
        <v>0</v>
      </c>
      <c r="Q337">
        <f t="shared" si="24"/>
        <v>0</v>
      </c>
    </row>
    <row r="338" spans="2:17" x14ac:dyDescent="0.3">
      <c r="B338" s="206" t="s">
        <v>1084</v>
      </c>
      <c r="C338" s="167">
        <v>0</v>
      </c>
      <c r="D338" s="167">
        <v>0</v>
      </c>
      <c r="E338" s="167">
        <v>0</v>
      </c>
      <c r="F338" s="320"/>
      <c r="G338" s="251"/>
      <c r="I338" s="167"/>
      <c r="J338" s="167"/>
      <c r="K338" s="167"/>
      <c r="L338" s="320"/>
      <c r="M338" s="251"/>
      <c r="O338">
        <f t="shared" si="25"/>
        <v>0</v>
      </c>
      <c r="P338">
        <f t="shared" si="24"/>
        <v>0</v>
      </c>
      <c r="Q338">
        <f t="shared" si="24"/>
        <v>0</v>
      </c>
    </row>
    <row r="339" spans="2:17" x14ac:dyDescent="0.3">
      <c r="B339" s="206" t="s">
        <v>1085</v>
      </c>
      <c r="C339" s="167">
        <v>0</v>
      </c>
      <c r="D339" s="167">
        <v>0</v>
      </c>
      <c r="E339" s="167">
        <v>0</v>
      </c>
      <c r="F339" s="320"/>
      <c r="G339" s="251"/>
      <c r="I339" s="167"/>
      <c r="J339" s="167"/>
      <c r="K339" s="167"/>
      <c r="L339" s="320"/>
      <c r="M339" s="251"/>
      <c r="O339">
        <f t="shared" si="25"/>
        <v>0</v>
      </c>
      <c r="P339">
        <f t="shared" si="24"/>
        <v>0</v>
      </c>
      <c r="Q339">
        <f t="shared" si="24"/>
        <v>0</v>
      </c>
    </row>
    <row r="340" spans="2:17" x14ac:dyDescent="0.3">
      <c r="B340" s="206" t="s">
        <v>1086</v>
      </c>
      <c r="C340" s="167">
        <v>0</v>
      </c>
      <c r="D340" s="167">
        <v>0</v>
      </c>
      <c r="E340" s="167">
        <v>0</v>
      </c>
      <c r="F340" s="320"/>
      <c r="G340" s="251"/>
      <c r="I340" s="167"/>
      <c r="J340" s="167"/>
      <c r="K340" s="167"/>
      <c r="L340" s="320"/>
      <c r="M340" s="251"/>
      <c r="O340">
        <f t="shared" si="25"/>
        <v>0</v>
      </c>
      <c r="P340">
        <f t="shared" si="24"/>
        <v>0</v>
      </c>
      <c r="Q340">
        <f t="shared" si="24"/>
        <v>0</v>
      </c>
    </row>
    <row r="341" spans="2:17" x14ac:dyDescent="0.3">
      <c r="B341" s="206" t="s">
        <v>1087</v>
      </c>
      <c r="C341" s="167">
        <v>0</v>
      </c>
      <c r="D341" s="167">
        <v>0</v>
      </c>
      <c r="E341" s="167">
        <v>0</v>
      </c>
      <c r="F341" s="320"/>
      <c r="G341" s="251"/>
      <c r="I341" s="167"/>
      <c r="J341" s="167"/>
      <c r="K341" s="167"/>
      <c r="L341" s="320"/>
      <c r="M341" s="251"/>
      <c r="O341">
        <f t="shared" si="25"/>
        <v>0</v>
      </c>
      <c r="P341">
        <f t="shared" si="24"/>
        <v>0</v>
      </c>
      <c r="Q341">
        <f t="shared" si="24"/>
        <v>0</v>
      </c>
    </row>
    <row r="342" spans="2:17" x14ac:dyDescent="0.3">
      <c r="B342" s="206" t="s">
        <v>1443</v>
      </c>
      <c r="C342" s="167">
        <v>0</v>
      </c>
      <c r="D342" s="167">
        <v>0</v>
      </c>
      <c r="E342" s="167">
        <v>0</v>
      </c>
      <c r="F342" s="320"/>
      <c r="G342" s="251"/>
      <c r="I342" s="167"/>
      <c r="J342" s="167"/>
      <c r="K342" s="167"/>
      <c r="L342" s="320"/>
      <c r="M342" s="251"/>
      <c r="O342">
        <f t="shared" si="25"/>
        <v>0</v>
      </c>
      <c r="P342">
        <f t="shared" si="24"/>
        <v>0</v>
      </c>
      <c r="Q342">
        <f t="shared" si="24"/>
        <v>0</v>
      </c>
    </row>
    <row r="343" spans="2:17" x14ac:dyDescent="0.3">
      <c r="B343" s="205" t="s">
        <v>1444</v>
      </c>
      <c r="C343" s="320"/>
      <c r="D343" s="320"/>
      <c r="E343" s="320"/>
      <c r="F343" s="320"/>
      <c r="G343" s="251"/>
      <c r="I343" s="320"/>
      <c r="J343" s="320"/>
      <c r="K343" s="320"/>
      <c r="L343" s="320"/>
      <c r="M343" s="251"/>
      <c r="O343"/>
      <c r="P343"/>
      <c r="Q343"/>
    </row>
    <row r="344" spans="2:17" x14ac:dyDescent="0.3">
      <c r="B344" s="206" t="s">
        <v>1082</v>
      </c>
      <c r="C344" s="167">
        <v>0</v>
      </c>
      <c r="D344" s="167">
        <v>0</v>
      </c>
      <c r="E344" s="167">
        <v>0</v>
      </c>
      <c r="F344" s="320"/>
      <c r="G344" s="251"/>
      <c r="I344" s="167"/>
      <c r="J344" s="167"/>
      <c r="K344" s="167"/>
      <c r="L344" s="320"/>
      <c r="M344" s="251"/>
      <c r="O344">
        <f t="shared" si="25"/>
        <v>0</v>
      </c>
      <c r="P344">
        <f t="shared" si="24"/>
        <v>0</v>
      </c>
      <c r="Q344">
        <f t="shared" si="24"/>
        <v>0</v>
      </c>
    </row>
    <row r="345" spans="2:17" x14ac:dyDescent="0.3">
      <c r="B345" s="206" t="s">
        <v>1083</v>
      </c>
      <c r="C345" s="167">
        <v>0</v>
      </c>
      <c r="D345" s="167">
        <v>0</v>
      </c>
      <c r="E345" s="167">
        <v>0</v>
      </c>
      <c r="F345" s="320"/>
      <c r="G345" s="251"/>
      <c r="I345" s="167"/>
      <c r="J345" s="167"/>
      <c r="K345" s="167"/>
      <c r="L345" s="320"/>
      <c r="M345" s="251"/>
      <c r="O345">
        <f t="shared" si="25"/>
        <v>0</v>
      </c>
      <c r="P345">
        <f t="shared" si="24"/>
        <v>0</v>
      </c>
      <c r="Q345">
        <f t="shared" si="24"/>
        <v>0</v>
      </c>
    </row>
    <row r="346" spans="2:17" x14ac:dyDescent="0.3">
      <c r="B346" s="206" t="s">
        <v>1084</v>
      </c>
      <c r="C346" s="167">
        <v>0</v>
      </c>
      <c r="D346" s="167">
        <v>0</v>
      </c>
      <c r="E346" s="167">
        <v>0</v>
      </c>
      <c r="F346" s="320"/>
      <c r="G346" s="251"/>
      <c r="I346" s="167"/>
      <c r="J346" s="167"/>
      <c r="K346" s="167"/>
      <c r="L346" s="320"/>
      <c r="M346" s="251"/>
      <c r="O346">
        <f t="shared" si="25"/>
        <v>0</v>
      </c>
      <c r="P346">
        <f t="shared" si="24"/>
        <v>0</v>
      </c>
      <c r="Q346">
        <f t="shared" si="24"/>
        <v>0</v>
      </c>
    </row>
    <row r="347" spans="2:17" x14ac:dyDescent="0.3">
      <c r="B347" s="206" t="s">
        <v>1085</v>
      </c>
      <c r="C347" s="167">
        <v>0</v>
      </c>
      <c r="D347" s="167">
        <v>0</v>
      </c>
      <c r="E347" s="167">
        <v>0</v>
      </c>
      <c r="F347" s="320"/>
      <c r="G347" s="251"/>
      <c r="I347" s="167"/>
      <c r="J347" s="167"/>
      <c r="K347" s="167"/>
      <c r="L347" s="320"/>
      <c r="M347" s="251"/>
      <c r="O347">
        <f t="shared" si="25"/>
        <v>0</v>
      </c>
      <c r="P347">
        <f t="shared" si="24"/>
        <v>0</v>
      </c>
      <c r="Q347">
        <f t="shared" si="24"/>
        <v>0</v>
      </c>
    </row>
    <row r="348" spans="2:17" x14ac:dyDescent="0.3">
      <c r="B348" s="206" t="s">
        <v>1086</v>
      </c>
      <c r="C348" s="167">
        <v>0</v>
      </c>
      <c r="D348" s="167">
        <v>0</v>
      </c>
      <c r="E348" s="167">
        <v>0</v>
      </c>
      <c r="F348" s="320"/>
      <c r="G348" s="251"/>
      <c r="I348" s="167"/>
      <c r="J348" s="167"/>
      <c r="K348" s="167"/>
      <c r="L348" s="320"/>
      <c r="M348" s="251"/>
      <c r="O348">
        <f t="shared" si="25"/>
        <v>0</v>
      </c>
      <c r="P348">
        <f t="shared" si="24"/>
        <v>0</v>
      </c>
      <c r="Q348">
        <f t="shared" si="24"/>
        <v>0</v>
      </c>
    </row>
    <row r="349" spans="2:17" x14ac:dyDescent="0.3">
      <c r="B349" s="206" t="s">
        <v>1087</v>
      </c>
      <c r="C349" s="167">
        <v>0</v>
      </c>
      <c r="D349" s="167">
        <v>0</v>
      </c>
      <c r="E349" s="167">
        <v>0</v>
      </c>
      <c r="F349" s="320"/>
      <c r="G349" s="251"/>
      <c r="I349" s="167"/>
      <c r="J349" s="167"/>
      <c r="K349" s="167"/>
      <c r="L349" s="320"/>
      <c r="M349" s="251"/>
      <c r="O349">
        <f t="shared" si="25"/>
        <v>0</v>
      </c>
      <c r="P349">
        <f t="shared" si="24"/>
        <v>0</v>
      </c>
      <c r="Q349">
        <f t="shared" si="24"/>
        <v>0</v>
      </c>
    </row>
    <row r="350" spans="2:17" x14ac:dyDescent="0.3">
      <c r="B350" s="206" t="s">
        <v>1443</v>
      </c>
      <c r="C350" s="167">
        <v>0</v>
      </c>
      <c r="D350" s="167">
        <v>0</v>
      </c>
      <c r="E350" s="167">
        <v>0</v>
      </c>
      <c r="F350" s="320"/>
      <c r="G350" s="251"/>
      <c r="I350" s="167"/>
      <c r="J350" s="167"/>
      <c r="K350" s="167"/>
      <c r="L350" s="320"/>
      <c r="M350" s="251"/>
      <c r="O350">
        <f t="shared" si="25"/>
        <v>0</v>
      </c>
      <c r="P350">
        <f t="shared" si="24"/>
        <v>0</v>
      </c>
      <c r="Q350">
        <f t="shared" si="24"/>
        <v>0</v>
      </c>
    </row>
    <row r="351" spans="2:17" x14ac:dyDescent="0.3">
      <c r="B351" s="207" t="s">
        <v>227</v>
      </c>
      <c r="G351" s="251"/>
      <c r="M351" s="251"/>
      <c r="O351"/>
      <c r="P351"/>
      <c r="Q351"/>
    </row>
    <row r="352" spans="2:17" x14ac:dyDescent="0.3">
      <c r="B352" s="206" t="s">
        <v>1437</v>
      </c>
      <c r="C352" s="167">
        <v>0</v>
      </c>
      <c r="D352" s="167">
        <v>0</v>
      </c>
      <c r="E352" s="167">
        <v>0</v>
      </c>
      <c r="F352" s="320"/>
      <c r="G352" s="251"/>
      <c r="I352" s="167"/>
      <c r="J352" s="167"/>
      <c r="K352" s="167"/>
      <c r="L352" s="320"/>
      <c r="M352" s="251"/>
      <c r="O352">
        <f t="shared" si="25"/>
        <v>0</v>
      </c>
      <c r="P352">
        <f t="shared" si="24"/>
        <v>0</v>
      </c>
      <c r="Q352">
        <f t="shared" si="24"/>
        <v>0</v>
      </c>
    </row>
    <row r="353" spans="2:17" x14ac:dyDescent="0.3">
      <c r="B353" s="206" t="s">
        <v>1438</v>
      </c>
      <c r="C353" s="167">
        <v>0</v>
      </c>
      <c r="D353" s="167">
        <v>0</v>
      </c>
      <c r="E353" s="167">
        <v>0</v>
      </c>
      <c r="F353" s="320"/>
      <c r="G353" s="251"/>
      <c r="I353" s="167"/>
      <c r="J353" s="167"/>
      <c r="K353" s="167"/>
      <c r="L353" s="320"/>
      <c r="M353" s="251"/>
      <c r="O353">
        <f t="shared" si="25"/>
        <v>0</v>
      </c>
      <c r="P353">
        <f t="shared" si="24"/>
        <v>0</v>
      </c>
      <c r="Q353">
        <f t="shared" si="24"/>
        <v>0</v>
      </c>
    </row>
    <row r="354" spans="2:17" x14ac:dyDescent="0.3">
      <c r="B354" s="206" t="s">
        <v>1441</v>
      </c>
      <c r="C354" s="167">
        <v>0</v>
      </c>
      <c r="D354" s="167">
        <v>0</v>
      </c>
      <c r="E354" s="167">
        <v>0</v>
      </c>
      <c r="F354" s="320"/>
      <c r="G354" s="251"/>
      <c r="I354" s="167"/>
      <c r="J354" s="167"/>
      <c r="K354" s="167"/>
      <c r="L354" s="320"/>
      <c r="M354" s="251"/>
      <c r="O354">
        <f t="shared" si="25"/>
        <v>0</v>
      </c>
      <c r="P354">
        <f t="shared" si="24"/>
        <v>0</v>
      </c>
      <c r="Q354">
        <f t="shared" si="24"/>
        <v>0</v>
      </c>
    </row>
    <row r="355" spans="2:17" x14ac:dyDescent="0.3">
      <c r="B355" s="206" t="s">
        <v>1442</v>
      </c>
      <c r="C355" s="167">
        <v>0</v>
      </c>
      <c r="D355" s="167">
        <v>0</v>
      </c>
      <c r="E355" s="167">
        <v>0</v>
      </c>
      <c r="F355" s="320"/>
      <c r="G355" s="251"/>
      <c r="I355" s="167"/>
      <c r="J355" s="167"/>
      <c r="K355" s="167"/>
      <c r="L355" s="320"/>
      <c r="M355" s="251"/>
      <c r="O355">
        <f t="shared" si="25"/>
        <v>0</v>
      </c>
      <c r="P355">
        <f t="shared" si="24"/>
        <v>0</v>
      </c>
      <c r="Q355">
        <f t="shared" si="24"/>
        <v>0</v>
      </c>
    </row>
    <row r="356" spans="2:17" x14ac:dyDescent="0.3">
      <c r="B356" s="207" t="s">
        <v>920</v>
      </c>
      <c r="C356" s="320"/>
      <c r="D356" s="320"/>
      <c r="E356" s="320"/>
      <c r="F356" s="320"/>
      <c r="G356" s="251"/>
      <c r="I356" s="320"/>
      <c r="J356" s="320"/>
      <c r="K356" s="320"/>
      <c r="L356" s="320"/>
      <c r="M356" s="251"/>
      <c r="O356"/>
      <c r="P356"/>
      <c r="Q356"/>
    </row>
    <row r="357" spans="2:17" x14ac:dyDescent="0.3">
      <c r="B357" s="206" t="s">
        <v>920</v>
      </c>
      <c r="C357" s="167">
        <v>0</v>
      </c>
      <c r="D357" s="167">
        <v>0</v>
      </c>
      <c r="E357" s="167">
        <v>0</v>
      </c>
      <c r="F357" s="320"/>
      <c r="G357" s="251"/>
      <c r="I357" s="167"/>
      <c r="J357" s="167"/>
      <c r="K357" s="167"/>
      <c r="L357" s="320"/>
      <c r="M357" s="251"/>
      <c r="O357">
        <f t="shared" si="25"/>
        <v>0</v>
      </c>
      <c r="P357">
        <f t="shared" si="24"/>
        <v>0</v>
      </c>
      <c r="Q357">
        <f t="shared" si="24"/>
        <v>0</v>
      </c>
    </row>
    <row r="358" spans="2:17" x14ac:dyDescent="0.3">
      <c r="B358" s="206" t="s">
        <v>980</v>
      </c>
      <c r="C358" s="167">
        <v>0</v>
      </c>
      <c r="D358" s="167">
        <v>0</v>
      </c>
      <c r="E358" s="167">
        <v>0</v>
      </c>
      <c r="F358" s="320"/>
      <c r="G358" s="251"/>
      <c r="I358" s="167"/>
      <c r="J358" s="167"/>
      <c r="K358" s="167"/>
      <c r="L358" s="320"/>
      <c r="M358" s="251"/>
      <c r="O358">
        <f t="shared" si="25"/>
        <v>0</v>
      </c>
      <c r="P358">
        <f t="shared" si="24"/>
        <v>0</v>
      </c>
      <c r="Q358">
        <f t="shared" si="24"/>
        <v>0</v>
      </c>
    </row>
    <row r="359" spans="2:17" x14ac:dyDescent="0.3">
      <c r="B359" s="206"/>
      <c r="C359" s="275"/>
      <c r="D359" s="275"/>
      <c r="E359" s="275"/>
      <c r="F359" s="320"/>
      <c r="G359" s="251"/>
      <c r="I359" s="275"/>
      <c r="J359" s="275"/>
      <c r="K359" s="275"/>
      <c r="L359" s="320"/>
      <c r="M359" s="251"/>
    </row>
    <row r="360" spans="2:17" ht="19.5" customHeight="1" thickBot="1" x14ac:dyDescent="0.4">
      <c r="B360" s="206"/>
      <c r="C360" s="786" t="s">
        <v>1366</v>
      </c>
      <c r="D360" s="786"/>
      <c r="E360" s="786"/>
      <c r="F360" s="786"/>
      <c r="G360" s="786"/>
      <c r="I360" s="786" t="s">
        <v>1366</v>
      </c>
      <c r="J360" s="786"/>
      <c r="K360" s="786"/>
      <c r="L360" s="786"/>
      <c r="M360" s="786"/>
    </row>
    <row r="361" spans="2:17" x14ac:dyDescent="0.3">
      <c r="B361" s="286"/>
      <c r="C361" s="214" t="s">
        <v>563</v>
      </c>
      <c r="D361" s="214" t="s">
        <v>985</v>
      </c>
      <c r="E361" s="214" t="s">
        <v>986</v>
      </c>
      <c r="F361" s="319" t="s">
        <v>592</v>
      </c>
      <c r="G361" s="215" t="s">
        <v>591</v>
      </c>
      <c r="I361" s="214" t="s">
        <v>563</v>
      </c>
      <c r="J361" s="214" t="s">
        <v>985</v>
      </c>
      <c r="K361" s="214" t="s">
        <v>986</v>
      </c>
      <c r="L361" s="319" t="s">
        <v>592</v>
      </c>
      <c r="M361" s="215" t="s">
        <v>591</v>
      </c>
      <c r="O361" s="214" t="s">
        <v>563</v>
      </c>
      <c r="P361" s="214" t="s">
        <v>985</v>
      </c>
      <c r="Q361" s="214" t="s">
        <v>986</v>
      </c>
    </row>
    <row r="362" spans="2:17" x14ac:dyDescent="0.3">
      <c r="B362" s="205" t="s">
        <v>1450</v>
      </c>
      <c r="C362" s="22"/>
      <c r="D362" s="214"/>
      <c r="E362" s="214"/>
      <c r="F362" s="320"/>
      <c r="G362" s="251"/>
      <c r="I362" s="22"/>
      <c r="J362" s="214"/>
      <c r="K362" s="214"/>
      <c r="L362" s="320"/>
      <c r="M362" s="251"/>
    </row>
    <row r="363" spans="2:17" x14ac:dyDescent="0.3">
      <c r="B363" s="206" t="s">
        <v>1082</v>
      </c>
      <c r="C363" s="167">
        <v>0</v>
      </c>
      <c r="D363" s="167">
        <v>0</v>
      </c>
      <c r="E363" s="167">
        <v>0</v>
      </c>
      <c r="F363" s="320"/>
      <c r="G363" s="251"/>
      <c r="I363" s="167"/>
      <c r="J363" s="167"/>
      <c r="K363" s="167"/>
      <c r="L363" s="320"/>
      <c r="M363" s="251"/>
      <c r="O363">
        <f>IF(ISBLANK(C363),I363,C363)</f>
        <v>0</v>
      </c>
      <c r="P363">
        <f t="shared" ref="P363:Q385" si="26">IF(ISBLANK(D363),J363,D363)</f>
        <v>0</v>
      </c>
      <c r="Q363">
        <f t="shared" si="26"/>
        <v>0</v>
      </c>
    </row>
    <row r="364" spans="2:17" x14ac:dyDescent="0.3">
      <c r="B364" s="206" t="s">
        <v>1083</v>
      </c>
      <c r="C364" s="167">
        <v>0</v>
      </c>
      <c r="D364" s="167">
        <v>0</v>
      </c>
      <c r="E364" s="167">
        <v>0</v>
      </c>
      <c r="F364" s="320"/>
      <c r="G364" s="251"/>
      <c r="I364" s="167"/>
      <c r="J364" s="167"/>
      <c r="K364" s="167"/>
      <c r="L364" s="320"/>
      <c r="M364" s="251"/>
      <c r="O364">
        <f t="shared" ref="O364:O385" si="27">IF(ISBLANK(C364),I364,C364)</f>
        <v>0</v>
      </c>
      <c r="P364">
        <f t="shared" si="26"/>
        <v>0</v>
      </c>
      <c r="Q364">
        <f t="shared" si="26"/>
        <v>0</v>
      </c>
    </row>
    <row r="365" spans="2:17" x14ac:dyDescent="0.3">
      <c r="B365" s="206" t="s">
        <v>1084</v>
      </c>
      <c r="C365" s="167">
        <v>0</v>
      </c>
      <c r="D365" s="167">
        <v>0</v>
      </c>
      <c r="E365" s="167">
        <v>0</v>
      </c>
      <c r="F365" s="320"/>
      <c r="G365" s="251"/>
      <c r="I365" s="167"/>
      <c r="J365" s="167"/>
      <c r="K365" s="167"/>
      <c r="L365" s="320"/>
      <c r="M365" s="251"/>
      <c r="O365">
        <f t="shared" si="27"/>
        <v>0</v>
      </c>
      <c r="P365">
        <f t="shared" si="26"/>
        <v>0</v>
      </c>
      <c r="Q365">
        <f t="shared" si="26"/>
        <v>0</v>
      </c>
    </row>
    <row r="366" spans="2:17" x14ac:dyDescent="0.3">
      <c r="B366" s="206" t="s">
        <v>1085</v>
      </c>
      <c r="C366" s="167">
        <v>0</v>
      </c>
      <c r="D366" s="167">
        <v>0</v>
      </c>
      <c r="E366" s="167">
        <v>0</v>
      </c>
      <c r="F366" s="320"/>
      <c r="G366" s="251"/>
      <c r="I366" s="167"/>
      <c r="J366" s="167"/>
      <c r="K366" s="167"/>
      <c r="L366" s="320"/>
      <c r="M366" s="251"/>
      <c r="O366">
        <f t="shared" si="27"/>
        <v>0</v>
      </c>
      <c r="P366">
        <f t="shared" si="26"/>
        <v>0</v>
      </c>
      <c r="Q366">
        <f t="shared" si="26"/>
        <v>0</v>
      </c>
    </row>
    <row r="367" spans="2:17" x14ac:dyDescent="0.3">
      <c r="B367" s="206" t="s">
        <v>1086</v>
      </c>
      <c r="C367" s="167">
        <v>0</v>
      </c>
      <c r="D367" s="167">
        <v>0</v>
      </c>
      <c r="E367" s="167">
        <v>0</v>
      </c>
      <c r="F367" s="320"/>
      <c r="G367" s="251"/>
      <c r="I367" s="167"/>
      <c r="J367" s="167"/>
      <c r="K367" s="167"/>
      <c r="L367" s="320"/>
      <c r="M367" s="251"/>
      <c r="O367">
        <f t="shared" si="27"/>
        <v>0</v>
      </c>
      <c r="P367">
        <f t="shared" si="26"/>
        <v>0</v>
      </c>
      <c r="Q367">
        <f t="shared" si="26"/>
        <v>0</v>
      </c>
    </row>
    <row r="368" spans="2:17" x14ac:dyDescent="0.3">
      <c r="B368" s="206" t="s">
        <v>1087</v>
      </c>
      <c r="C368" s="167">
        <v>0</v>
      </c>
      <c r="D368" s="167">
        <v>0</v>
      </c>
      <c r="E368" s="167">
        <v>0</v>
      </c>
      <c r="F368" s="320"/>
      <c r="G368" s="251"/>
      <c r="I368" s="167"/>
      <c r="J368" s="167"/>
      <c r="K368" s="167"/>
      <c r="L368" s="320"/>
      <c r="M368" s="251"/>
      <c r="O368">
        <f t="shared" si="27"/>
        <v>0</v>
      </c>
      <c r="P368">
        <f t="shared" si="26"/>
        <v>0</v>
      </c>
      <c r="Q368">
        <f t="shared" si="26"/>
        <v>0</v>
      </c>
    </row>
    <row r="369" spans="2:17" x14ac:dyDescent="0.3">
      <c r="B369" s="206" t="s">
        <v>1443</v>
      </c>
      <c r="C369" s="167">
        <v>0</v>
      </c>
      <c r="D369" s="167">
        <v>0</v>
      </c>
      <c r="E369" s="167">
        <v>0</v>
      </c>
      <c r="F369" s="320"/>
      <c r="G369" s="251"/>
      <c r="I369" s="167"/>
      <c r="J369" s="167"/>
      <c r="K369" s="167"/>
      <c r="L369" s="320"/>
      <c r="M369" s="251"/>
      <c r="O369">
        <f t="shared" si="27"/>
        <v>0</v>
      </c>
      <c r="P369">
        <f t="shared" si="26"/>
        <v>0</v>
      </c>
      <c r="Q369">
        <f t="shared" si="26"/>
        <v>0</v>
      </c>
    </row>
    <row r="370" spans="2:17" x14ac:dyDescent="0.3">
      <c r="B370" s="205" t="s">
        <v>1444</v>
      </c>
      <c r="C370" s="320"/>
      <c r="D370" s="320"/>
      <c r="E370" s="320"/>
      <c r="F370" s="320"/>
      <c r="G370" s="251"/>
      <c r="I370" s="320"/>
      <c r="J370" s="320"/>
      <c r="K370" s="320"/>
      <c r="L370" s="320"/>
      <c r="M370" s="251"/>
      <c r="O370"/>
      <c r="P370"/>
      <c r="Q370"/>
    </row>
    <row r="371" spans="2:17" x14ac:dyDescent="0.3">
      <c r="B371" s="206" t="s">
        <v>1082</v>
      </c>
      <c r="C371" s="167">
        <v>0</v>
      </c>
      <c r="D371" s="167">
        <v>0</v>
      </c>
      <c r="E371" s="167">
        <v>0</v>
      </c>
      <c r="F371" s="320"/>
      <c r="G371" s="251"/>
      <c r="I371" s="167"/>
      <c r="J371" s="167"/>
      <c r="K371" s="167"/>
      <c r="L371" s="320"/>
      <c r="M371" s="251"/>
      <c r="O371">
        <f t="shared" si="27"/>
        <v>0</v>
      </c>
      <c r="P371">
        <f t="shared" si="26"/>
        <v>0</v>
      </c>
      <c r="Q371">
        <f t="shared" si="26"/>
        <v>0</v>
      </c>
    </row>
    <row r="372" spans="2:17" x14ac:dyDescent="0.3">
      <c r="B372" s="206" t="s">
        <v>1083</v>
      </c>
      <c r="C372" s="167">
        <v>0</v>
      </c>
      <c r="D372" s="167">
        <v>0</v>
      </c>
      <c r="E372" s="167">
        <v>0</v>
      </c>
      <c r="F372" s="320"/>
      <c r="G372" s="251"/>
      <c r="I372" s="167"/>
      <c r="J372" s="167"/>
      <c r="K372" s="167"/>
      <c r="L372" s="320"/>
      <c r="M372" s="251"/>
      <c r="O372">
        <f t="shared" si="27"/>
        <v>0</v>
      </c>
      <c r="P372">
        <f t="shared" si="26"/>
        <v>0</v>
      </c>
      <c r="Q372">
        <f t="shared" si="26"/>
        <v>0</v>
      </c>
    </row>
    <row r="373" spans="2:17" x14ac:dyDescent="0.3">
      <c r="B373" s="206" t="s">
        <v>1084</v>
      </c>
      <c r="C373" s="167">
        <v>0</v>
      </c>
      <c r="D373" s="167">
        <v>0</v>
      </c>
      <c r="E373" s="167">
        <v>0</v>
      </c>
      <c r="F373" s="320"/>
      <c r="G373" s="251"/>
      <c r="I373" s="167"/>
      <c r="J373" s="167"/>
      <c r="K373" s="167"/>
      <c r="L373" s="320"/>
      <c r="M373" s="251"/>
      <c r="O373">
        <f t="shared" si="27"/>
        <v>0</v>
      </c>
      <c r="P373">
        <f t="shared" si="26"/>
        <v>0</v>
      </c>
      <c r="Q373">
        <f t="shared" si="26"/>
        <v>0</v>
      </c>
    </row>
    <row r="374" spans="2:17" x14ac:dyDescent="0.3">
      <c r="B374" s="206" t="s">
        <v>1085</v>
      </c>
      <c r="C374" s="167">
        <v>0</v>
      </c>
      <c r="D374" s="167">
        <v>0</v>
      </c>
      <c r="E374" s="167">
        <v>0</v>
      </c>
      <c r="F374" s="320"/>
      <c r="G374" s="251"/>
      <c r="I374" s="167"/>
      <c r="J374" s="167"/>
      <c r="K374" s="167"/>
      <c r="L374" s="320"/>
      <c r="M374" s="251"/>
      <c r="O374">
        <f t="shared" si="27"/>
        <v>0</v>
      </c>
      <c r="P374">
        <f t="shared" si="26"/>
        <v>0</v>
      </c>
      <c r="Q374">
        <f t="shared" si="26"/>
        <v>0</v>
      </c>
    </row>
    <row r="375" spans="2:17" x14ac:dyDescent="0.3">
      <c r="B375" s="206" t="s">
        <v>1086</v>
      </c>
      <c r="C375" s="167">
        <v>0</v>
      </c>
      <c r="D375" s="167">
        <v>0</v>
      </c>
      <c r="E375" s="167">
        <v>0</v>
      </c>
      <c r="F375" s="320"/>
      <c r="G375" s="251"/>
      <c r="I375" s="167"/>
      <c r="J375" s="167"/>
      <c r="K375" s="167"/>
      <c r="L375" s="320"/>
      <c r="M375" s="251"/>
      <c r="O375">
        <f t="shared" si="27"/>
        <v>0</v>
      </c>
      <c r="P375">
        <f t="shared" si="26"/>
        <v>0</v>
      </c>
      <c r="Q375">
        <f t="shared" si="26"/>
        <v>0</v>
      </c>
    </row>
    <row r="376" spans="2:17" x14ac:dyDescent="0.3">
      <c r="B376" s="206" t="s">
        <v>1087</v>
      </c>
      <c r="C376" s="167">
        <v>0</v>
      </c>
      <c r="D376" s="167">
        <v>0</v>
      </c>
      <c r="E376" s="167">
        <v>0</v>
      </c>
      <c r="F376" s="320"/>
      <c r="G376" s="251"/>
      <c r="I376" s="167"/>
      <c r="J376" s="167"/>
      <c r="K376" s="167"/>
      <c r="L376" s="320"/>
      <c r="M376" s="251"/>
      <c r="O376">
        <f t="shared" si="27"/>
        <v>0</v>
      </c>
      <c r="P376">
        <f t="shared" si="26"/>
        <v>0</v>
      </c>
      <c r="Q376">
        <f t="shared" si="26"/>
        <v>0</v>
      </c>
    </row>
    <row r="377" spans="2:17" x14ac:dyDescent="0.3">
      <c r="B377" s="206" t="s">
        <v>1443</v>
      </c>
      <c r="C377" s="167">
        <v>0</v>
      </c>
      <c r="D377" s="167">
        <v>0</v>
      </c>
      <c r="E377" s="167">
        <v>0</v>
      </c>
      <c r="F377" s="320"/>
      <c r="G377" s="251"/>
      <c r="I377" s="167"/>
      <c r="J377" s="167"/>
      <c r="K377" s="167"/>
      <c r="L377" s="320"/>
      <c r="M377" s="251"/>
      <c r="O377">
        <f t="shared" si="27"/>
        <v>0</v>
      </c>
      <c r="P377">
        <f t="shared" si="26"/>
        <v>0</v>
      </c>
      <c r="Q377">
        <f t="shared" si="26"/>
        <v>0</v>
      </c>
    </row>
    <row r="378" spans="2:17" x14ac:dyDescent="0.3">
      <c r="B378" s="207" t="s">
        <v>227</v>
      </c>
      <c r="G378" s="251"/>
      <c r="L378" s="320"/>
      <c r="M378" s="251"/>
      <c r="O378"/>
      <c r="P378"/>
      <c r="Q378"/>
    </row>
    <row r="379" spans="2:17" x14ac:dyDescent="0.3">
      <c r="B379" s="206" t="s">
        <v>1437</v>
      </c>
      <c r="C379" s="167">
        <v>0</v>
      </c>
      <c r="D379" s="167">
        <v>0</v>
      </c>
      <c r="E379" s="167">
        <v>0</v>
      </c>
      <c r="F379" s="320"/>
      <c r="G379" s="251"/>
      <c r="I379" s="167"/>
      <c r="J379" s="167"/>
      <c r="K379" s="167"/>
      <c r="L379" s="320"/>
      <c r="M379" s="251"/>
      <c r="O379">
        <f t="shared" si="27"/>
        <v>0</v>
      </c>
      <c r="P379">
        <f t="shared" si="26"/>
        <v>0</v>
      </c>
      <c r="Q379">
        <f t="shared" si="26"/>
        <v>0</v>
      </c>
    </row>
    <row r="380" spans="2:17" x14ac:dyDescent="0.3">
      <c r="B380" s="206" t="s">
        <v>1438</v>
      </c>
      <c r="C380" s="167">
        <v>0</v>
      </c>
      <c r="D380" s="167">
        <v>0</v>
      </c>
      <c r="E380" s="167">
        <v>0</v>
      </c>
      <c r="F380" s="320"/>
      <c r="G380" s="251"/>
      <c r="I380" s="167"/>
      <c r="J380" s="167"/>
      <c r="K380" s="167"/>
      <c r="L380" s="320"/>
      <c r="M380" s="251"/>
      <c r="O380">
        <f t="shared" si="27"/>
        <v>0</v>
      </c>
      <c r="P380">
        <f t="shared" si="26"/>
        <v>0</v>
      </c>
      <c r="Q380">
        <f t="shared" si="26"/>
        <v>0</v>
      </c>
    </row>
    <row r="381" spans="2:17" x14ac:dyDescent="0.3">
      <c r="B381" s="206" t="s">
        <v>1441</v>
      </c>
      <c r="C381" s="167">
        <v>0</v>
      </c>
      <c r="D381" s="167">
        <v>0</v>
      </c>
      <c r="E381" s="167">
        <v>0</v>
      </c>
      <c r="F381" s="320"/>
      <c r="G381" s="251"/>
      <c r="I381" s="167"/>
      <c r="J381" s="167"/>
      <c r="K381" s="167"/>
      <c r="L381" s="320"/>
      <c r="M381" s="251"/>
      <c r="O381">
        <f t="shared" si="27"/>
        <v>0</v>
      </c>
      <c r="P381">
        <f t="shared" si="26"/>
        <v>0</v>
      </c>
      <c r="Q381">
        <f t="shared" si="26"/>
        <v>0</v>
      </c>
    </row>
    <row r="382" spans="2:17" x14ac:dyDescent="0.3">
      <c r="B382" s="206" t="s">
        <v>1442</v>
      </c>
      <c r="C382" s="167">
        <v>0</v>
      </c>
      <c r="D382" s="167">
        <v>0</v>
      </c>
      <c r="E382" s="167">
        <v>0</v>
      </c>
      <c r="F382" s="320"/>
      <c r="G382" s="251"/>
      <c r="I382" s="167"/>
      <c r="J382" s="167"/>
      <c r="K382" s="167"/>
      <c r="L382" s="320"/>
      <c r="M382" s="251"/>
      <c r="O382">
        <f t="shared" si="27"/>
        <v>0</v>
      </c>
      <c r="P382">
        <f t="shared" si="26"/>
        <v>0</v>
      </c>
      <c r="Q382">
        <f t="shared" si="26"/>
        <v>0</v>
      </c>
    </row>
    <row r="383" spans="2:17" x14ac:dyDescent="0.3">
      <c r="B383" s="207" t="s">
        <v>920</v>
      </c>
      <c r="C383" s="320"/>
      <c r="D383" s="320"/>
      <c r="E383" s="320"/>
      <c r="F383" s="320"/>
      <c r="G383" s="251"/>
      <c r="I383" s="320"/>
      <c r="J383" s="320"/>
      <c r="K383" s="320"/>
      <c r="L383" s="320"/>
      <c r="M383" s="251"/>
      <c r="O383"/>
      <c r="P383"/>
      <c r="Q383"/>
    </row>
    <row r="384" spans="2:17" x14ac:dyDescent="0.3">
      <c r="B384" s="206" t="s">
        <v>920</v>
      </c>
      <c r="C384" s="167">
        <v>0</v>
      </c>
      <c r="D384" s="167">
        <v>0</v>
      </c>
      <c r="E384" s="167">
        <v>0</v>
      </c>
      <c r="F384" s="320"/>
      <c r="G384" s="251"/>
      <c r="I384" s="167"/>
      <c r="J384" s="167"/>
      <c r="K384" s="167"/>
      <c r="L384" s="320"/>
      <c r="M384" s="251"/>
      <c r="O384">
        <f t="shared" si="27"/>
        <v>0</v>
      </c>
      <c r="P384">
        <f t="shared" si="26"/>
        <v>0</v>
      </c>
      <c r="Q384">
        <f t="shared" si="26"/>
        <v>0</v>
      </c>
    </row>
    <row r="385" spans="2:18" x14ac:dyDescent="0.3">
      <c r="B385" s="206" t="s">
        <v>980</v>
      </c>
      <c r="C385" s="167">
        <v>0</v>
      </c>
      <c r="D385" s="167">
        <v>0</v>
      </c>
      <c r="E385" s="167">
        <v>0</v>
      </c>
      <c r="F385" s="320"/>
      <c r="G385" s="251"/>
      <c r="I385" s="167"/>
      <c r="J385" s="167"/>
      <c r="K385" s="167"/>
      <c r="L385" s="320"/>
      <c r="M385" s="251"/>
      <c r="O385">
        <f t="shared" si="27"/>
        <v>0</v>
      </c>
      <c r="P385">
        <f t="shared" si="26"/>
        <v>0</v>
      </c>
      <c r="Q385">
        <f t="shared" si="26"/>
        <v>0</v>
      </c>
    </row>
    <row r="386" spans="2:18" x14ac:dyDescent="0.3">
      <c r="B386"/>
      <c r="D386" s="210"/>
      <c r="E386" s="281"/>
    </row>
    <row r="387" spans="2:18" x14ac:dyDescent="0.3">
      <c r="B387"/>
      <c r="D387" s="210"/>
      <c r="E387" s="281"/>
    </row>
    <row r="388" spans="2:18" x14ac:dyDescent="0.3">
      <c r="B388" s="236" t="s">
        <v>1482</v>
      </c>
      <c r="D388" s="210"/>
      <c r="E388" s="281"/>
    </row>
    <row r="389" spans="2:18" x14ac:dyDescent="0.3">
      <c r="B389" s="236"/>
      <c r="D389" s="210"/>
      <c r="E389" s="281"/>
    </row>
    <row r="390" spans="2:18" x14ac:dyDescent="0.3">
      <c r="B390" s="781" t="s">
        <v>1095</v>
      </c>
      <c r="C390" s="781"/>
      <c r="D390" s="781"/>
      <c r="E390" s="781"/>
      <c r="F390" s="781"/>
      <c r="G390" s="781"/>
      <c r="I390" s="787" t="s">
        <v>1096</v>
      </c>
      <c r="J390" s="787"/>
      <c r="K390" s="787"/>
      <c r="L390" s="787"/>
      <c r="M390" s="787"/>
      <c r="O390" s="204" t="s">
        <v>1097</v>
      </c>
    </row>
    <row r="391" spans="2:18" ht="19.5" customHeight="1" thickBot="1" x14ac:dyDescent="0.4">
      <c r="B391" s="215"/>
      <c r="C391" s="786" t="s">
        <v>1367</v>
      </c>
      <c r="D391" s="786"/>
      <c r="E391" s="786"/>
      <c r="F391" s="786"/>
      <c r="G391" s="786"/>
      <c r="I391" s="786" t="s">
        <v>1367</v>
      </c>
      <c r="J391" s="786"/>
      <c r="K391" s="786"/>
      <c r="L391" s="786"/>
      <c r="M391" s="786"/>
    </row>
    <row r="392" spans="2:18" x14ac:dyDescent="0.3">
      <c r="B392" s="215"/>
      <c r="C392" s="214" t="s">
        <v>563</v>
      </c>
      <c r="D392" s="214" t="s">
        <v>985</v>
      </c>
      <c r="E392" s="214" t="s">
        <v>986</v>
      </c>
      <c r="F392" s="319" t="s">
        <v>592</v>
      </c>
      <c r="G392" s="215" t="s">
        <v>591</v>
      </c>
      <c r="H392" s="272"/>
      <c r="I392" s="214" t="s">
        <v>563</v>
      </c>
      <c r="J392" s="214" t="s">
        <v>985</v>
      </c>
      <c r="K392" s="214" t="s">
        <v>986</v>
      </c>
      <c r="L392" s="319" t="s">
        <v>592</v>
      </c>
      <c r="M392" s="215" t="s">
        <v>591</v>
      </c>
      <c r="O392" s="214" t="s">
        <v>563</v>
      </c>
      <c r="P392" s="214" t="s">
        <v>985</v>
      </c>
      <c r="Q392" s="214" t="s">
        <v>986</v>
      </c>
      <c r="R392" s="215"/>
    </row>
    <row r="393" spans="2:18" x14ac:dyDescent="0.3">
      <c r="B393" s="205" t="s">
        <v>1450</v>
      </c>
      <c r="F393" s="320"/>
      <c r="G393" s="251"/>
      <c r="H393" s="275"/>
      <c r="L393" s="320"/>
      <c r="M393" s="251"/>
      <c r="R393" s="469"/>
    </row>
    <row r="394" spans="2:18" x14ac:dyDescent="0.3">
      <c r="B394" s="206" t="s">
        <v>1082</v>
      </c>
      <c r="C394" s="167">
        <f>5*'General input'!$C$17*'General input'!$G$17</f>
        <v>65.617391304347819</v>
      </c>
      <c r="D394" s="167">
        <f>4*'General input'!$C$17*'General input'!$G$17</f>
        <v>52.493913043478258</v>
      </c>
      <c r="E394" s="167">
        <f>6*'General input'!$C$17*'General input'!$G$17</f>
        <v>78.74086956521738</v>
      </c>
      <c r="F394" s="320" t="s">
        <v>1357</v>
      </c>
      <c r="G394" s="251"/>
      <c r="I394" s="167">
        <v>63.794654405822001</v>
      </c>
      <c r="J394" s="167">
        <v>47.845990804366501</v>
      </c>
      <c r="K394" s="167">
        <v>79.743318007277509</v>
      </c>
      <c r="L394" s="320"/>
      <c r="M394" s="251"/>
      <c r="O394">
        <f>IF(ISBLANK(C394),I394,C394)</f>
        <v>65.617391304347819</v>
      </c>
      <c r="P394">
        <f t="shared" ref="P394:Q416" si="28">IF(ISBLANK(D394),J394,D394)</f>
        <v>52.493913043478258</v>
      </c>
      <c r="Q394">
        <f t="shared" si="28"/>
        <v>78.74086956521738</v>
      </c>
      <c r="R394" s="469"/>
    </row>
    <row r="395" spans="2:18" x14ac:dyDescent="0.3">
      <c r="B395" s="206" t="s">
        <v>1083</v>
      </c>
      <c r="C395" s="167">
        <f>5*'General input'!$C$17*'General input'!$G$17</f>
        <v>65.617391304347819</v>
      </c>
      <c r="D395" s="167">
        <f>4*'General input'!$C$17*'General input'!$G$17</f>
        <v>52.493913043478258</v>
      </c>
      <c r="E395" s="167">
        <f>6*'General input'!$C$17*'General input'!$G$17</f>
        <v>78.74086956521738</v>
      </c>
      <c r="F395" s="320"/>
      <c r="G395" s="251"/>
      <c r="H395" s="275"/>
      <c r="I395" s="167">
        <v>63.794654405822001</v>
      </c>
      <c r="J395" s="167">
        <v>47.845990804366501</v>
      </c>
      <c r="K395" s="167">
        <v>79.743318007277509</v>
      </c>
      <c r="L395" s="320"/>
      <c r="M395" s="251"/>
      <c r="O395">
        <f t="shared" ref="O395:O416" si="29">IF(ISBLANK(C395),I395,C395)</f>
        <v>65.617391304347819</v>
      </c>
      <c r="P395">
        <f t="shared" si="28"/>
        <v>52.493913043478258</v>
      </c>
      <c r="Q395">
        <f t="shared" si="28"/>
        <v>78.74086956521738</v>
      </c>
      <c r="R395" s="469"/>
    </row>
    <row r="396" spans="2:18" x14ac:dyDescent="0.3">
      <c r="B396" s="206" t="s">
        <v>1084</v>
      </c>
      <c r="C396" s="167">
        <f>5*'General input'!$C$17*'General input'!$G$17</f>
        <v>65.617391304347819</v>
      </c>
      <c r="D396" s="167">
        <f>4*'General input'!$C$17*'General input'!$G$17</f>
        <v>52.493913043478258</v>
      </c>
      <c r="E396" s="167">
        <f>6*'General input'!$C$17*'General input'!$G$17</f>
        <v>78.74086956521738</v>
      </c>
      <c r="F396" s="320"/>
      <c r="G396" s="251"/>
      <c r="H396" s="275"/>
      <c r="I396" s="167">
        <v>63.794654405822001</v>
      </c>
      <c r="J396" s="167">
        <v>47.845990804366501</v>
      </c>
      <c r="K396" s="167">
        <v>79.743318007277509</v>
      </c>
      <c r="L396" s="320"/>
      <c r="M396" s="251"/>
      <c r="O396">
        <f t="shared" si="29"/>
        <v>65.617391304347819</v>
      </c>
      <c r="P396">
        <f t="shared" si="28"/>
        <v>52.493913043478258</v>
      </c>
      <c r="Q396">
        <f t="shared" si="28"/>
        <v>78.74086956521738</v>
      </c>
      <c r="R396" s="469"/>
    </row>
    <row r="397" spans="2:18" x14ac:dyDescent="0.3">
      <c r="B397" s="206" t="s">
        <v>1085</v>
      </c>
      <c r="C397" s="167">
        <f>5*'General input'!$C$17*'General input'!$G$17</f>
        <v>65.617391304347819</v>
      </c>
      <c r="D397" s="167">
        <f>4*'General input'!$C$17*'General input'!$G$17</f>
        <v>52.493913043478258</v>
      </c>
      <c r="E397" s="167">
        <f>6*'General input'!$C$17*'General input'!$G$17</f>
        <v>78.74086956521738</v>
      </c>
      <c r="F397" s="320"/>
      <c r="G397" s="251"/>
      <c r="H397" s="275"/>
      <c r="I397" s="167">
        <v>63.794654405822001</v>
      </c>
      <c r="J397" s="167">
        <v>47.845990804366501</v>
      </c>
      <c r="K397" s="167">
        <v>79.743318007277509</v>
      </c>
      <c r="L397" s="320"/>
      <c r="M397" s="251"/>
      <c r="O397">
        <f t="shared" si="29"/>
        <v>65.617391304347819</v>
      </c>
      <c r="P397">
        <f t="shared" si="28"/>
        <v>52.493913043478258</v>
      </c>
      <c r="Q397">
        <f t="shared" si="28"/>
        <v>78.74086956521738</v>
      </c>
      <c r="R397" s="469"/>
    </row>
    <row r="398" spans="2:18" x14ac:dyDescent="0.3">
      <c r="B398" s="206" t="s">
        <v>1086</v>
      </c>
      <c r="C398" s="167">
        <f>5*'General input'!$C$17*'General input'!$G$17</f>
        <v>65.617391304347819</v>
      </c>
      <c r="D398" s="167">
        <f>4*'General input'!$C$17*'General input'!$G$17</f>
        <v>52.493913043478258</v>
      </c>
      <c r="E398" s="167">
        <f>6*'General input'!$C$17*'General input'!$G$17</f>
        <v>78.74086956521738</v>
      </c>
      <c r="F398" s="320"/>
      <c r="G398" s="251"/>
      <c r="H398" s="275"/>
      <c r="I398" s="167">
        <v>63.794654405822001</v>
      </c>
      <c r="J398" s="167">
        <v>47.845990804366501</v>
      </c>
      <c r="K398" s="167">
        <v>79.743318007277509</v>
      </c>
      <c r="L398" s="320"/>
      <c r="M398" s="251"/>
      <c r="O398">
        <f t="shared" si="29"/>
        <v>65.617391304347819</v>
      </c>
      <c r="P398">
        <f t="shared" si="28"/>
        <v>52.493913043478258</v>
      </c>
      <c r="Q398">
        <f t="shared" si="28"/>
        <v>78.74086956521738</v>
      </c>
      <c r="R398" s="469"/>
    </row>
    <row r="399" spans="2:18" x14ac:dyDescent="0.3">
      <c r="B399" s="206" t="s">
        <v>1087</v>
      </c>
      <c r="C399" s="167">
        <f>5*'General input'!$C$17*'General input'!$G$17</f>
        <v>65.617391304347819</v>
      </c>
      <c r="D399" s="167">
        <f>4*'General input'!$C$17*'General input'!$G$17</f>
        <v>52.493913043478258</v>
      </c>
      <c r="E399" s="167">
        <f>6*'General input'!$C$17*'General input'!$G$17</f>
        <v>78.74086956521738</v>
      </c>
      <c r="F399" s="320"/>
      <c r="G399" s="251"/>
      <c r="H399" s="275"/>
      <c r="I399" s="167">
        <v>63.794654405822001</v>
      </c>
      <c r="J399" s="167">
        <v>47.845990804366501</v>
      </c>
      <c r="K399" s="167">
        <v>79.743318007277509</v>
      </c>
      <c r="L399" s="320"/>
      <c r="M399" s="251"/>
      <c r="O399">
        <f t="shared" si="29"/>
        <v>65.617391304347819</v>
      </c>
      <c r="P399">
        <f t="shared" si="28"/>
        <v>52.493913043478258</v>
      </c>
      <c r="Q399">
        <f t="shared" si="28"/>
        <v>78.74086956521738</v>
      </c>
      <c r="R399" s="469"/>
    </row>
    <row r="400" spans="2:18" x14ac:dyDescent="0.3">
      <c r="B400" s="206" t="s">
        <v>1443</v>
      </c>
      <c r="C400" s="167">
        <f>5*'General input'!$C$17*'General input'!$G$17</f>
        <v>65.617391304347819</v>
      </c>
      <c r="D400" s="167">
        <f>4*'General input'!$C$17*'General input'!$G$17</f>
        <v>52.493913043478258</v>
      </c>
      <c r="E400" s="167">
        <f>6*'General input'!$C$17*'General input'!$G$17</f>
        <v>78.74086956521738</v>
      </c>
      <c r="F400" s="320"/>
      <c r="G400" s="251"/>
      <c r="H400" s="275"/>
      <c r="I400" s="167">
        <v>63.794654405822001</v>
      </c>
      <c r="J400" s="167">
        <v>47.845990804366501</v>
      </c>
      <c r="K400" s="167">
        <v>79.743318007277509</v>
      </c>
      <c r="L400" s="320"/>
      <c r="M400" s="251"/>
      <c r="O400">
        <f t="shared" si="29"/>
        <v>65.617391304347819</v>
      </c>
      <c r="P400">
        <f t="shared" si="28"/>
        <v>52.493913043478258</v>
      </c>
      <c r="Q400">
        <f t="shared" si="28"/>
        <v>78.74086956521738</v>
      </c>
      <c r="R400" s="469"/>
    </row>
    <row r="401" spans="2:18" x14ac:dyDescent="0.3">
      <c r="B401" s="205" t="s">
        <v>1444</v>
      </c>
      <c r="C401" s="320"/>
      <c r="D401" s="320"/>
      <c r="E401" s="320"/>
      <c r="F401" s="320"/>
      <c r="G401" s="251"/>
      <c r="H401" s="275"/>
      <c r="L401" s="320"/>
      <c r="M401" s="251"/>
      <c r="O401"/>
      <c r="P401"/>
      <c r="Q401"/>
      <c r="R401" s="469"/>
    </row>
    <row r="402" spans="2:18" x14ac:dyDescent="0.3">
      <c r="B402" s="206" t="s">
        <v>1082</v>
      </c>
      <c r="C402" s="167">
        <f>3*'General input'!$C$17*'General input'!$G$17</f>
        <v>39.37043478260869</v>
      </c>
      <c r="D402" s="167">
        <f>4*'General input'!$C$17*'General input'!$G$17</f>
        <v>52.493913043478258</v>
      </c>
      <c r="E402" s="167">
        <f>5*'General input'!$C$17*'General input'!$G$17</f>
        <v>65.617391304347819</v>
      </c>
      <c r="F402" s="320" t="s">
        <v>1357</v>
      </c>
      <c r="G402" s="251"/>
      <c r="I402" s="167">
        <v>63.794654405822001</v>
      </c>
      <c r="J402" s="167">
        <v>47.845990804366501</v>
      </c>
      <c r="K402" s="167">
        <v>79.743318007277509</v>
      </c>
      <c r="L402" s="320"/>
      <c r="M402" s="251"/>
      <c r="O402">
        <f t="shared" si="29"/>
        <v>39.37043478260869</v>
      </c>
      <c r="P402">
        <f t="shared" si="28"/>
        <v>52.493913043478258</v>
      </c>
      <c r="Q402">
        <f t="shared" si="28"/>
        <v>65.617391304347819</v>
      </c>
      <c r="R402" s="469"/>
    </row>
    <row r="403" spans="2:18" x14ac:dyDescent="0.3">
      <c r="B403" s="206" t="s">
        <v>1083</v>
      </c>
      <c r="C403" s="167">
        <f>3*'General input'!$C$17*'General input'!$G$17</f>
        <v>39.37043478260869</v>
      </c>
      <c r="D403" s="167">
        <f>4*'General input'!$C$17*'General input'!$G$17</f>
        <v>52.493913043478258</v>
      </c>
      <c r="E403" s="167">
        <f>5*'General input'!$C$17*'General input'!$G$17</f>
        <v>65.617391304347819</v>
      </c>
      <c r="F403" s="320"/>
      <c r="G403" s="251"/>
      <c r="H403" s="275"/>
      <c r="I403" s="167">
        <v>63.794654405822001</v>
      </c>
      <c r="J403" s="167">
        <v>47.845990804366501</v>
      </c>
      <c r="K403" s="167">
        <v>79.743318007277509</v>
      </c>
      <c r="L403" s="320"/>
      <c r="M403" s="251"/>
      <c r="O403">
        <f t="shared" si="29"/>
        <v>39.37043478260869</v>
      </c>
      <c r="P403">
        <f t="shared" si="28"/>
        <v>52.493913043478258</v>
      </c>
      <c r="Q403">
        <f t="shared" si="28"/>
        <v>65.617391304347819</v>
      </c>
      <c r="R403" s="469"/>
    </row>
    <row r="404" spans="2:18" x14ac:dyDescent="0.3">
      <c r="B404" s="206" t="s">
        <v>1084</v>
      </c>
      <c r="C404" s="167">
        <f>3*'General input'!$C$17*'General input'!$G$17</f>
        <v>39.37043478260869</v>
      </c>
      <c r="D404" s="167">
        <f>4*'General input'!$C$17*'General input'!$G$17</f>
        <v>52.493913043478258</v>
      </c>
      <c r="E404" s="167">
        <f>5*'General input'!$C$17*'General input'!$G$17</f>
        <v>65.617391304347819</v>
      </c>
      <c r="F404" s="320"/>
      <c r="G404" s="251"/>
      <c r="H404" s="275"/>
      <c r="I404" s="167">
        <v>63.794654405822001</v>
      </c>
      <c r="J404" s="167">
        <v>47.845990804366501</v>
      </c>
      <c r="K404" s="167">
        <v>79.743318007277509</v>
      </c>
      <c r="L404" s="320"/>
      <c r="M404" s="251"/>
      <c r="O404">
        <f t="shared" si="29"/>
        <v>39.37043478260869</v>
      </c>
      <c r="P404">
        <f t="shared" si="28"/>
        <v>52.493913043478258</v>
      </c>
      <c r="Q404">
        <f t="shared" si="28"/>
        <v>65.617391304347819</v>
      </c>
      <c r="R404" s="469"/>
    </row>
    <row r="405" spans="2:18" x14ac:dyDescent="0.3">
      <c r="B405" s="206" t="s">
        <v>1085</v>
      </c>
      <c r="C405" s="167">
        <f>5*'General input'!$C$17*'General input'!$G$17</f>
        <v>65.617391304347819</v>
      </c>
      <c r="D405" s="167">
        <f>4*'General input'!$C$17*'General input'!$G$17</f>
        <v>52.493913043478258</v>
      </c>
      <c r="E405" s="167">
        <f>6*'General input'!$C$17*'General input'!$G$17</f>
        <v>78.74086956521738</v>
      </c>
      <c r="F405" s="320"/>
      <c r="G405" s="251"/>
      <c r="H405" s="275"/>
      <c r="I405" s="167">
        <v>63.794654405822001</v>
      </c>
      <c r="J405" s="167">
        <v>47.845990804366501</v>
      </c>
      <c r="K405" s="167">
        <v>79.743318007277509</v>
      </c>
      <c r="L405" s="320"/>
      <c r="M405" s="251"/>
      <c r="O405">
        <f t="shared" si="29"/>
        <v>65.617391304347819</v>
      </c>
      <c r="P405">
        <f t="shared" si="28"/>
        <v>52.493913043478258</v>
      </c>
      <c r="Q405">
        <f t="shared" si="28"/>
        <v>78.74086956521738</v>
      </c>
      <c r="R405" s="469"/>
    </row>
    <row r="406" spans="2:18" x14ac:dyDescent="0.3">
      <c r="B406" s="206" t="s">
        <v>1086</v>
      </c>
      <c r="C406" s="167">
        <f>5*'General input'!$C$17*'General input'!$G$17</f>
        <v>65.617391304347819</v>
      </c>
      <c r="D406" s="167">
        <f>4*'General input'!$C$17*'General input'!$G$17</f>
        <v>52.493913043478258</v>
      </c>
      <c r="E406" s="167">
        <f>6*'General input'!$C$17*'General input'!$G$17</f>
        <v>78.74086956521738</v>
      </c>
      <c r="F406" s="320"/>
      <c r="G406" s="251"/>
      <c r="H406" s="275"/>
      <c r="I406" s="167">
        <v>63.794654405822001</v>
      </c>
      <c r="J406" s="167">
        <v>47.845990804366501</v>
      </c>
      <c r="K406" s="167">
        <v>79.743318007277509</v>
      </c>
      <c r="L406" s="320"/>
      <c r="M406" s="251"/>
      <c r="O406">
        <f t="shared" si="29"/>
        <v>65.617391304347819</v>
      </c>
      <c r="P406">
        <f t="shared" si="28"/>
        <v>52.493913043478258</v>
      </c>
      <c r="Q406">
        <f t="shared" si="28"/>
        <v>78.74086956521738</v>
      </c>
      <c r="R406" s="469"/>
    </row>
    <row r="407" spans="2:18" x14ac:dyDescent="0.3">
      <c r="B407" s="206" t="s">
        <v>1087</v>
      </c>
      <c r="C407" s="167">
        <f>5*'General input'!$C$17*'General input'!$G$17</f>
        <v>65.617391304347819</v>
      </c>
      <c r="D407" s="167">
        <f>4*'General input'!$C$17*'General input'!$G$17</f>
        <v>52.493913043478258</v>
      </c>
      <c r="E407" s="167">
        <f>6*'General input'!$C$17*'General input'!$G$17</f>
        <v>78.74086956521738</v>
      </c>
      <c r="F407" s="320"/>
      <c r="G407" s="251"/>
      <c r="H407" s="275"/>
      <c r="I407" s="167">
        <v>63.794654405822001</v>
      </c>
      <c r="J407" s="167">
        <v>47.845990804366501</v>
      </c>
      <c r="K407" s="167">
        <v>79.743318007277509</v>
      </c>
      <c r="L407" s="320"/>
      <c r="M407" s="251"/>
      <c r="O407">
        <f t="shared" si="29"/>
        <v>65.617391304347819</v>
      </c>
      <c r="P407">
        <f t="shared" si="28"/>
        <v>52.493913043478258</v>
      </c>
      <c r="Q407">
        <f t="shared" si="28"/>
        <v>78.74086956521738</v>
      </c>
      <c r="R407" s="469"/>
    </row>
    <row r="408" spans="2:18" x14ac:dyDescent="0.3">
      <c r="B408" s="206" t="s">
        <v>1443</v>
      </c>
      <c r="C408" s="167">
        <f>5*'General input'!$C$17*'General input'!$G$17</f>
        <v>65.617391304347819</v>
      </c>
      <c r="D408" s="167">
        <f>4*'General input'!$C$17*'General input'!$G$17</f>
        <v>52.493913043478258</v>
      </c>
      <c r="E408" s="167">
        <f>6*'General input'!$C$17*'General input'!$G$17</f>
        <v>78.74086956521738</v>
      </c>
      <c r="F408" s="320"/>
      <c r="G408" s="251"/>
      <c r="H408" s="275"/>
      <c r="I408" s="167">
        <v>63.794654405822001</v>
      </c>
      <c r="J408" s="167">
        <v>47.845990804366501</v>
      </c>
      <c r="K408" s="167">
        <v>79.743318007277509</v>
      </c>
      <c r="L408" s="320"/>
      <c r="M408" s="251"/>
      <c r="O408">
        <f t="shared" si="29"/>
        <v>65.617391304347819</v>
      </c>
      <c r="P408">
        <f t="shared" si="28"/>
        <v>52.493913043478258</v>
      </c>
      <c r="Q408">
        <f t="shared" si="28"/>
        <v>78.74086956521738</v>
      </c>
      <c r="R408" s="469"/>
    </row>
    <row r="409" spans="2:18" x14ac:dyDescent="0.3">
      <c r="B409" s="207" t="s">
        <v>227</v>
      </c>
      <c r="C409" s="320"/>
      <c r="D409" s="320"/>
      <c r="E409" s="320"/>
      <c r="F409" s="320"/>
      <c r="G409" s="251"/>
      <c r="H409" s="275"/>
      <c r="I409" s="275"/>
      <c r="J409" s="275"/>
      <c r="K409" s="275"/>
      <c r="L409" s="320"/>
      <c r="M409" s="251"/>
      <c r="O409"/>
      <c r="P409"/>
      <c r="Q409"/>
      <c r="R409" s="469"/>
    </row>
    <row r="410" spans="2:18" x14ac:dyDescent="0.3">
      <c r="B410" s="206" t="s">
        <v>1437</v>
      </c>
      <c r="C410" s="167">
        <f>5*'General input'!$C$17*'General input'!$G$17</f>
        <v>65.617391304347819</v>
      </c>
      <c r="D410" s="167">
        <f>4*'General input'!$C$17*'General input'!$G$17</f>
        <v>52.493913043478258</v>
      </c>
      <c r="E410" s="167">
        <f>6*'General input'!$C$17*'General input'!$G$17</f>
        <v>78.74086956521738</v>
      </c>
      <c r="F410" s="320"/>
      <c r="G410" s="251"/>
      <c r="H410" s="275"/>
      <c r="I410" s="167">
        <v>63.794654405822001</v>
      </c>
      <c r="J410" s="167">
        <v>47.845990804366501</v>
      </c>
      <c r="K410" s="167">
        <v>79.743318007277509</v>
      </c>
      <c r="L410" s="320"/>
      <c r="M410" s="251"/>
      <c r="O410">
        <f t="shared" si="29"/>
        <v>65.617391304347819</v>
      </c>
      <c r="P410">
        <f t="shared" si="28"/>
        <v>52.493913043478258</v>
      </c>
      <c r="Q410">
        <f t="shared" si="28"/>
        <v>78.74086956521738</v>
      </c>
      <c r="R410" s="469"/>
    </row>
    <row r="411" spans="2:18" x14ac:dyDescent="0.3">
      <c r="B411" s="206" t="s">
        <v>1438</v>
      </c>
      <c r="C411" s="167">
        <f>5*'General input'!$C$17*'General input'!$G$17</f>
        <v>65.617391304347819</v>
      </c>
      <c r="D411" s="167">
        <f>4*'General input'!$C$17*'General input'!$G$17</f>
        <v>52.493913043478258</v>
      </c>
      <c r="E411" s="167">
        <f>6*'General input'!$C$17*'General input'!$G$17</f>
        <v>78.74086956521738</v>
      </c>
      <c r="F411" s="320"/>
      <c r="G411" s="251"/>
      <c r="H411" s="275"/>
      <c r="I411" s="167">
        <v>63.794654405822001</v>
      </c>
      <c r="J411" s="167">
        <v>47.845990804366501</v>
      </c>
      <c r="K411" s="167">
        <v>79.743318007277509</v>
      </c>
      <c r="L411" s="320"/>
      <c r="M411" s="251"/>
      <c r="O411">
        <f t="shared" si="29"/>
        <v>65.617391304347819</v>
      </c>
      <c r="P411">
        <f t="shared" si="28"/>
        <v>52.493913043478258</v>
      </c>
      <c r="Q411">
        <f t="shared" si="28"/>
        <v>78.74086956521738</v>
      </c>
      <c r="R411" s="469"/>
    </row>
    <row r="412" spans="2:18" x14ac:dyDescent="0.3">
      <c r="B412" s="206" t="s">
        <v>1441</v>
      </c>
      <c r="C412" s="167">
        <f>5*'General input'!$C$17*'General input'!$G$17</f>
        <v>65.617391304347819</v>
      </c>
      <c r="D412" s="167">
        <f>4*'General input'!$C$17*'General input'!$G$17</f>
        <v>52.493913043478258</v>
      </c>
      <c r="E412" s="167">
        <f>6*'General input'!$C$17*'General input'!$G$17</f>
        <v>78.74086956521738</v>
      </c>
      <c r="F412" s="251"/>
      <c r="G412" s="251"/>
      <c r="H412" s="275"/>
      <c r="I412" s="167">
        <v>63.794654405822001</v>
      </c>
      <c r="J412" s="167">
        <v>47.845990804366501</v>
      </c>
      <c r="K412" s="167">
        <v>79.743318007277509</v>
      </c>
      <c r="L412" s="320"/>
      <c r="M412" s="251"/>
      <c r="O412">
        <f t="shared" si="29"/>
        <v>65.617391304347819</v>
      </c>
      <c r="P412">
        <f t="shared" si="28"/>
        <v>52.493913043478258</v>
      </c>
      <c r="Q412">
        <f t="shared" si="28"/>
        <v>78.74086956521738</v>
      </c>
      <c r="R412" s="469"/>
    </row>
    <row r="413" spans="2:18" x14ac:dyDescent="0.3">
      <c r="B413" s="206" t="s">
        <v>1442</v>
      </c>
      <c r="C413" s="167">
        <f>5*'General input'!$C$17*'General input'!$G$17</f>
        <v>65.617391304347819</v>
      </c>
      <c r="D413" s="167">
        <f>4*'General input'!$C$17*'General input'!$G$17</f>
        <v>52.493913043478258</v>
      </c>
      <c r="E413" s="167">
        <f>6*'General input'!$C$17*'General input'!$G$17</f>
        <v>78.74086956521738</v>
      </c>
      <c r="F413" s="320"/>
      <c r="G413" s="251"/>
      <c r="H413" s="275"/>
      <c r="I413" s="167">
        <v>63.794654405822001</v>
      </c>
      <c r="J413" s="167">
        <v>47.845990804366501</v>
      </c>
      <c r="K413" s="167">
        <v>79.743318007277509</v>
      </c>
      <c r="L413" s="320"/>
      <c r="M413" s="251"/>
      <c r="O413">
        <f t="shared" si="29"/>
        <v>65.617391304347819</v>
      </c>
      <c r="P413">
        <f t="shared" si="28"/>
        <v>52.493913043478258</v>
      </c>
      <c r="Q413">
        <f t="shared" si="28"/>
        <v>78.74086956521738</v>
      </c>
      <c r="R413" s="469"/>
    </row>
    <row r="414" spans="2:18" x14ac:dyDescent="0.3">
      <c r="B414" s="207" t="s">
        <v>920</v>
      </c>
      <c r="C414" s="320"/>
      <c r="D414" s="320"/>
      <c r="E414" s="320"/>
      <c r="F414" s="320"/>
      <c r="G414" s="251"/>
      <c r="H414" s="275"/>
      <c r="I414" s="275"/>
      <c r="J414" s="275"/>
      <c r="K414" s="275"/>
      <c r="L414" s="320"/>
      <c r="M414" s="251"/>
      <c r="O414"/>
      <c r="P414"/>
      <c r="Q414"/>
      <c r="R414" s="469"/>
    </row>
    <row r="415" spans="2:18" x14ac:dyDescent="0.3">
      <c r="B415" s="206" t="s">
        <v>920</v>
      </c>
      <c r="C415" s="167">
        <f>5*'General input'!$C$17*'General input'!$G$17</f>
        <v>65.617391304347819</v>
      </c>
      <c r="D415" s="167">
        <f>4*'General input'!$C$17*'General input'!$G$17</f>
        <v>52.493913043478258</v>
      </c>
      <c r="E415" s="167">
        <f>6*'General input'!$C$17*'General input'!$G$17</f>
        <v>78.74086956521738</v>
      </c>
      <c r="F415" s="320"/>
      <c r="G415" s="251"/>
      <c r="H415" s="275"/>
      <c r="I415" s="167">
        <v>63.794654405822001</v>
      </c>
      <c r="J415" s="167">
        <v>47.845990804366501</v>
      </c>
      <c r="K415" s="167">
        <v>79.743318007277509</v>
      </c>
      <c r="L415" s="320"/>
      <c r="M415" s="251"/>
      <c r="O415">
        <f t="shared" si="29"/>
        <v>65.617391304347819</v>
      </c>
      <c r="P415">
        <f t="shared" si="28"/>
        <v>52.493913043478258</v>
      </c>
      <c r="Q415">
        <f t="shared" si="28"/>
        <v>78.74086956521738</v>
      </c>
      <c r="R415" s="469"/>
    </row>
    <row r="416" spans="2:18" x14ac:dyDescent="0.3">
      <c r="B416" s="206" t="s">
        <v>980</v>
      </c>
      <c r="C416" s="167">
        <f>5*'General input'!$C$17*'General input'!$G$17</f>
        <v>65.617391304347819</v>
      </c>
      <c r="D416" s="167">
        <f>4*'General input'!$C$17*'General input'!$G$17</f>
        <v>52.493913043478258</v>
      </c>
      <c r="E416" s="167">
        <f>6*'General input'!$C$17*'General input'!$G$17</f>
        <v>78.74086956521738</v>
      </c>
      <c r="F416" s="320"/>
      <c r="G416" s="251"/>
      <c r="H416" s="275"/>
      <c r="I416" s="167">
        <v>63.794654405822001</v>
      </c>
      <c r="J416" s="167">
        <v>47.845990804366501</v>
      </c>
      <c r="K416" s="167">
        <v>79.743318007277509</v>
      </c>
      <c r="L416" s="320"/>
      <c r="M416" s="251"/>
      <c r="O416">
        <f t="shared" si="29"/>
        <v>65.617391304347819</v>
      </c>
      <c r="P416">
        <f t="shared" si="28"/>
        <v>52.493913043478258</v>
      </c>
      <c r="Q416">
        <f t="shared" si="28"/>
        <v>78.74086956521738</v>
      </c>
      <c r="R416" s="469"/>
    </row>
    <row r="417" spans="2:17" x14ac:dyDescent="0.3">
      <c r="F417" s="320"/>
      <c r="G417" s="251"/>
      <c r="L417" s="320"/>
      <c r="M417" s="251"/>
    </row>
    <row r="418" spans="2:17" x14ac:dyDescent="0.3">
      <c r="F418" s="320"/>
      <c r="G418" s="251"/>
      <c r="L418" s="320"/>
      <c r="M418" s="251"/>
    </row>
    <row r="419" spans="2:17" x14ac:dyDescent="0.3">
      <c r="B419" s="236" t="s">
        <v>1483</v>
      </c>
      <c r="D419" s="210"/>
      <c r="E419" s="281"/>
    </row>
    <row r="420" spans="2:17" x14ac:dyDescent="0.3">
      <c r="B420" s="236"/>
      <c r="D420" s="210"/>
      <c r="E420" s="281"/>
    </row>
    <row r="421" spans="2:17" x14ac:dyDescent="0.3">
      <c r="B421" s="781" t="s">
        <v>1095</v>
      </c>
      <c r="C421" s="781"/>
      <c r="D421" s="781"/>
      <c r="E421" s="781"/>
      <c r="F421" s="781"/>
      <c r="G421" s="781"/>
      <c r="I421" s="787" t="s">
        <v>1096</v>
      </c>
      <c r="J421" s="787"/>
      <c r="K421" s="787"/>
      <c r="L421" s="787"/>
      <c r="M421" s="787"/>
      <c r="O421" s="204" t="s">
        <v>1097</v>
      </c>
    </row>
    <row r="422" spans="2:17" ht="19.5" customHeight="1" thickBot="1" x14ac:dyDescent="0.4">
      <c r="B422" s="215"/>
      <c r="C422" s="786" t="s">
        <v>1368</v>
      </c>
      <c r="D422" s="786"/>
      <c r="E422" s="786"/>
      <c r="F422" s="786"/>
      <c r="G422" s="786"/>
      <c r="I422" s="786" t="s">
        <v>1368</v>
      </c>
      <c r="J422" s="786"/>
      <c r="K422" s="786"/>
      <c r="L422" s="786"/>
      <c r="M422" s="786"/>
    </row>
    <row r="423" spans="2:17" x14ac:dyDescent="0.3">
      <c r="B423" s="215"/>
      <c r="C423" s="214" t="s">
        <v>563</v>
      </c>
      <c r="D423" s="214" t="s">
        <v>985</v>
      </c>
      <c r="E423" s="214" t="s">
        <v>986</v>
      </c>
      <c r="F423" s="319" t="s">
        <v>592</v>
      </c>
      <c r="G423" s="215" t="s">
        <v>591</v>
      </c>
      <c r="H423" s="272"/>
      <c r="I423" s="214" t="s">
        <v>563</v>
      </c>
      <c r="J423" s="214" t="s">
        <v>985</v>
      </c>
      <c r="K423" s="214" t="s">
        <v>986</v>
      </c>
      <c r="L423" s="319" t="s">
        <v>592</v>
      </c>
      <c r="M423" s="215" t="s">
        <v>591</v>
      </c>
      <c r="O423" s="214" t="s">
        <v>563</v>
      </c>
      <c r="P423" s="214" t="s">
        <v>985</v>
      </c>
      <c r="Q423" s="214" t="s">
        <v>986</v>
      </c>
    </row>
    <row r="424" spans="2:17" x14ac:dyDescent="0.3">
      <c r="B424" s="205" t="s">
        <v>1450</v>
      </c>
      <c r="F424" s="320"/>
      <c r="G424" s="251"/>
      <c r="H424" s="275"/>
      <c r="L424" s="320"/>
      <c r="M424" s="251"/>
    </row>
    <row r="425" spans="2:17" x14ac:dyDescent="0.3">
      <c r="B425" s="206" t="s">
        <v>1082</v>
      </c>
      <c r="C425" s="167">
        <f>3*'General input'!$C$17*'General input'!$G$17</f>
        <v>39.37043478260869</v>
      </c>
      <c r="D425" s="167">
        <f>2*'General input'!$C$17*'General input'!$G$17</f>
        <v>26.246956521739129</v>
      </c>
      <c r="E425" s="167">
        <f>4*'General input'!$C$17*'General input'!$G$17</f>
        <v>52.493913043478258</v>
      </c>
      <c r="F425" s="320"/>
      <c r="G425" s="251"/>
      <c r="I425" s="167"/>
      <c r="J425" s="167"/>
      <c r="K425" s="167"/>
      <c r="L425" s="320"/>
      <c r="M425" s="251"/>
      <c r="O425">
        <f>IF(ISBLANK(C425),I425,C425)</f>
        <v>39.37043478260869</v>
      </c>
      <c r="P425">
        <f t="shared" ref="P425:Q447" si="30">IF(ISBLANK(D425),J425,D425)</f>
        <v>26.246956521739129</v>
      </c>
      <c r="Q425">
        <f t="shared" si="30"/>
        <v>52.493913043478258</v>
      </c>
    </row>
    <row r="426" spans="2:17" x14ac:dyDescent="0.3">
      <c r="B426" s="206" t="s">
        <v>1083</v>
      </c>
      <c r="C426" s="167">
        <f>3*'General input'!$C$17*'General input'!$G$17</f>
        <v>39.37043478260869</v>
      </c>
      <c r="D426" s="167">
        <f>2*'General input'!$C$17*'General input'!$G$17</f>
        <v>26.246956521739129</v>
      </c>
      <c r="E426" s="167">
        <f>4*'General input'!$C$17*'General input'!$G$17</f>
        <v>52.493913043478258</v>
      </c>
      <c r="F426" s="320"/>
      <c r="G426" s="251"/>
      <c r="H426" s="275"/>
      <c r="I426" s="167"/>
      <c r="J426" s="167"/>
      <c r="K426" s="167"/>
      <c r="L426" s="320"/>
      <c r="M426" s="251"/>
      <c r="O426">
        <f t="shared" ref="O426:O447" si="31">IF(ISBLANK(C426),I426,C426)</f>
        <v>39.37043478260869</v>
      </c>
      <c r="P426">
        <f t="shared" si="30"/>
        <v>26.246956521739129</v>
      </c>
      <c r="Q426">
        <f t="shared" si="30"/>
        <v>52.493913043478258</v>
      </c>
    </row>
    <row r="427" spans="2:17" x14ac:dyDescent="0.3">
      <c r="B427" s="206" t="s">
        <v>1084</v>
      </c>
      <c r="C427" s="167">
        <f>3*'General input'!$C$17*'General input'!$G$17</f>
        <v>39.37043478260869</v>
      </c>
      <c r="D427" s="167">
        <f>2*'General input'!$C$17*'General input'!$G$17</f>
        <v>26.246956521739129</v>
      </c>
      <c r="E427" s="167">
        <f>4*'General input'!$C$17*'General input'!$G$17</f>
        <v>52.493913043478258</v>
      </c>
      <c r="F427" s="320"/>
      <c r="G427" s="251"/>
      <c r="H427" s="275"/>
      <c r="I427" s="167"/>
      <c r="J427" s="167"/>
      <c r="K427" s="167"/>
      <c r="L427" s="320"/>
      <c r="M427" s="251"/>
      <c r="O427">
        <f t="shared" si="31"/>
        <v>39.37043478260869</v>
      </c>
      <c r="P427">
        <f t="shared" si="30"/>
        <v>26.246956521739129</v>
      </c>
      <c r="Q427">
        <f t="shared" si="30"/>
        <v>52.493913043478258</v>
      </c>
    </row>
    <row r="428" spans="2:17" x14ac:dyDescent="0.3">
      <c r="B428" s="206" t="s">
        <v>1085</v>
      </c>
      <c r="C428" s="167">
        <f>3*'General input'!$C$17*'General input'!$G$17</f>
        <v>39.37043478260869</v>
      </c>
      <c r="D428" s="167">
        <f>2*'General input'!$C$17*'General input'!$G$17</f>
        <v>26.246956521739129</v>
      </c>
      <c r="E428" s="167">
        <f>4*'General input'!$C$17*'General input'!$G$17</f>
        <v>52.493913043478258</v>
      </c>
      <c r="F428" s="320"/>
      <c r="G428" s="251"/>
      <c r="H428" s="275"/>
      <c r="I428" s="167"/>
      <c r="J428" s="167"/>
      <c r="K428" s="167"/>
      <c r="L428" s="320"/>
      <c r="M428" s="251"/>
      <c r="O428">
        <f t="shared" si="31"/>
        <v>39.37043478260869</v>
      </c>
      <c r="P428">
        <f t="shared" si="30"/>
        <v>26.246956521739129</v>
      </c>
      <c r="Q428">
        <f t="shared" si="30"/>
        <v>52.493913043478258</v>
      </c>
    </row>
    <row r="429" spans="2:17" x14ac:dyDescent="0.3">
      <c r="B429" s="206" t="s">
        <v>1086</v>
      </c>
      <c r="C429" s="167">
        <f>3*'General input'!$C$17*'General input'!$G$17</f>
        <v>39.37043478260869</v>
      </c>
      <c r="D429" s="167">
        <f>2*'General input'!$C$17*'General input'!$G$17</f>
        <v>26.246956521739129</v>
      </c>
      <c r="E429" s="167">
        <f>4*'General input'!$C$17*'General input'!$G$17</f>
        <v>52.493913043478258</v>
      </c>
      <c r="F429" s="320"/>
      <c r="G429" s="251"/>
      <c r="H429" s="275"/>
      <c r="I429" s="167"/>
      <c r="J429" s="167"/>
      <c r="K429" s="167"/>
      <c r="L429" s="320"/>
      <c r="M429" s="251"/>
      <c r="O429">
        <f t="shared" si="31"/>
        <v>39.37043478260869</v>
      </c>
      <c r="P429">
        <f t="shared" si="30"/>
        <v>26.246956521739129</v>
      </c>
      <c r="Q429">
        <f t="shared" si="30"/>
        <v>52.493913043478258</v>
      </c>
    </row>
    <row r="430" spans="2:17" x14ac:dyDescent="0.3">
      <c r="B430" s="206" t="s">
        <v>1087</v>
      </c>
      <c r="C430" s="167">
        <f>3*'General input'!$C$17*'General input'!$G$17</f>
        <v>39.37043478260869</v>
      </c>
      <c r="D430" s="167">
        <f>2*'General input'!$C$17*'General input'!$G$17</f>
        <v>26.246956521739129</v>
      </c>
      <c r="E430" s="167">
        <f>4*'General input'!$C$17*'General input'!$G$17</f>
        <v>52.493913043478258</v>
      </c>
      <c r="F430" s="320"/>
      <c r="G430" s="251"/>
      <c r="H430" s="275"/>
      <c r="I430" s="167"/>
      <c r="J430" s="167"/>
      <c r="K430" s="167"/>
      <c r="L430" s="320"/>
      <c r="M430" s="251"/>
      <c r="O430">
        <f t="shared" si="31"/>
        <v>39.37043478260869</v>
      </c>
      <c r="P430">
        <f t="shared" si="30"/>
        <v>26.246956521739129</v>
      </c>
      <c r="Q430">
        <f t="shared" si="30"/>
        <v>52.493913043478258</v>
      </c>
    </row>
    <row r="431" spans="2:17" x14ac:dyDescent="0.3">
      <c r="B431" s="206" t="s">
        <v>1443</v>
      </c>
      <c r="C431" s="167">
        <f>3*'General input'!$C$17*'General input'!$G$17</f>
        <v>39.37043478260869</v>
      </c>
      <c r="D431" s="167">
        <f>2*'General input'!$C$17*'General input'!$G$17</f>
        <v>26.246956521739129</v>
      </c>
      <c r="E431" s="167">
        <f>4*'General input'!$C$17*'General input'!$G$17</f>
        <v>52.493913043478258</v>
      </c>
      <c r="F431" s="320"/>
      <c r="G431" s="251"/>
      <c r="H431" s="275"/>
      <c r="I431" s="167"/>
      <c r="J431" s="167"/>
      <c r="K431" s="167"/>
      <c r="L431" s="320"/>
      <c r="M431" s="251"/>
      <c r="O431">
        <f t="shared" si="31"/>
        <v>39.37043478260869</v>
      </c>
      <c r="P431">
        <f t="shared" si="30"/>
        <v>26.246956521739129</v>
      </c>
      <c r="Q431">
        <f t="shared" si="30"/>
        <v>52.493913043478258</v>
      </c>
    </row>
    <row r="432" spans="2:17" x14ac:dyDescent="0.3">
      <c r="B432" s="205" t="s">
        <v>1444</v>
      </c>
      <c r="F432" s="320"/>
      <c r="G432" s="251"/>
      <c r="H432" s="275"/>
      <c r="L432" s="320"/>
      <c r="M432" s="251"/>
      <c r="O432"/>
      <c r="P432"/>
      <c r="Q432"/>
    </row>
    <row r="433" spans="2:17" x14ac:dyDescent="0.3">
      <c r="B433" s="206" t="s">
        <v>1082</v>
      </c>
      <c r="C433" s="167">
        <f>3*'General input'!$C$17*'General input'!$G$17</f>
        <v>39.37043478260869</v>
      </c>
      <c r="D433" s="167">
        <f>2*'General input'!$C$17*'General input'!$G$17</f>
        <v>26.246956521739129</v>
      </c>
      <c r="E433" s="167">
        <f>4*'General input'!$C$17*'General input'!$G$17</f>
        <v>52.493913043478258</v>
      </c>
      <c r="F433" s="320"/>
      <c r="G433" s="251"/>
      <c r="I433" s="167"/>
      <c r="J433" s="167"/>
      <c r="K433" s="167"/>
      <c r="L433" s="320"/>
      <c r="M433" s="251"/>
      <c r="O433">
        <f t="shared" si="31"/>
        <v>39.37043478260869</v>
      </c>
      <c r="P433">
        <f t="shared" si="30"/>
        <v>26.246956521739129</v>
      </c>
      <c r="Q433">
        <f t="shared" si="30"/>
        <v>52.493913043478258</v>
      </c>
    </row>
    <row r="434" spans="2:17" ht="19.5" customHeight="1" x14ac:dyDescent="0.3">
      <c r="B434" s="206" t="s">
        <v>1083</v>
      </c>
      <c r="C434" s="167">
        <f>3*'General input'!$C$17*'General input'!$G$17</f>
        <v>39.37043478260869</v>
      </c>
      <c r="D434" s="167">
        <f>2*'General input'!$C$17*'General input'!$G$17</f>
        <v>26.246956521739129</v>
      </c>
      <c r="E434" s="167">
        <f>4*'General input'!$C$17*'General input'!$G$17</f>
        <v>52.493913043478258</v>
      </c>
      <c r="F434" s="320"/>
      <c r="G434" s="251"/>
      <c r="H434" s="275"/>
      <c r="I434" s="167"/>
      <c r="J434" s="167"/>
      <c r="K434" s="167"/>
      <c r="L434" s="320"/>
      <c r="M434" s="251"/>
      <c r="O434">
        <f t="shared" si="31"/>
        <v>39.37043478260869</v>
      </c>
      <c r="P434">
        <f t="shared" si="30"/>
        <v>26.246956521739129</v>
      </c>
      <c r="Q434">
        <f t="shared" si="30"/>
        <v>52.493913043478258</v>
      </c>
    </row>
    <row r="435" spans="2:17" x14ac:dyDescent="0.3">
      <c r="B435" s="206" t="s">
        <v>1084</v>
      </c>
      <c r="C435" s="167">
        <f>3*'General input'!$C$17*'General input'!$G$17</f>
        <v>39.37043478260869</v>
      </c>
      <c r="D435" s="167">
        <f>2*'General input'!$C$17*'General input'!$G$17</f>
        <v>26.246956521739129</v>
      </c>
      <c r="E435" s="167">
        <f>4*'General input'!$C$17*'General input'!$G$17</f>
        <v>52.493913043478258</v>
      </c>
      <c r="F435" s="320"/>
      <c r="G435" s="251"/>
      <c r="H435" s="275"/>
      <c r="I435" s="167"/>
      <c r="J435" s="167"/>
      <c r="K435" s="167"/>
      <c r="L435" s="320"/>
      <c r="M435" s="251"/>
      <c r="O435">
        <f t="shared" si="31"/>
        <v>39.37043478260869</v>
      </c>
      <c r="P435">
        <f t="shared" si="30"/>
        <v>26.246956521739129</v>
      </c>
      <c r="Q435">
        <f t="shared" si="30"/>
        <v>52.493913043478258</v>
      </c>
    </row>
    <row r="436" spans="2:17" x14ac:dyDescent="0.3">
      <c r="B436" s="206" t="s">
        <v>1085</v>
      </c>
      <c r="C436" s="167">
        <f>3*'General input'!$C$17*'General input'!$G$17</f>
        <v>39.37043478260869</v>
      </c>
      <c r="D436" s="167">
        <f>2*'General input'!$C$17*'General input'!$G$17</f>
        <v>26.246956521739129</v>
      </c>
      <c r="E436" s="167">
        <f>4*'General input'!$C$17*'General input'!$G$17</f>
        <v>52.493913043478258</v>
      </c>
      <c r="F436" s="320"/>
      <c r="G436" s="251"/>
      <c r="H436" s="275"/>
      <c r="I436" s="167"/>
      <c r="J436" s="167"/>
      <c r="K436" s="167"/>
      <c r="L436" s="320"/>
      <c r="M436" s="251"/>
      <c r="O436">
        <f t="shared" si="31"/>
        <v>39.37043478260869</v>
      </c>
      <c r="P436">
        <f t="shared" si="30"/>
        <v>26.246956521739129</v>
      </c>
      <c r="Q436">
        <f t="shared" si="30"/>
        <v>52.493913043478258</v>
      </c>
    </row>
    <row r="437" spans="2:17" x14ac:dyDescent="0.3">
      <c r="B437" s="206" t="s">
        <v>1086</v>
      </c>
      <c r="C437" s="167">
        <f>3*'General input'!$C$17*'General input'!$G$17</f>
        <v>39.37043478260869</v>
      </c>
      <c r="D437" s="167">
        <f>2*'General input'!$C$17*'General input'!$G$17</f>
        <v>26.246956521739129</v>
      </c>
      <c r="E437" s="167">
        <f>4*'General input'!$C$17*'General input'!$G$17</f>
        <v>52.493913043478258</v>
      </c>
      <c r="F437" s="320"/>
      <c r="G437" s="251"/>
      <c r="H437" s="275"/>
      <c r="I437" s="167"/>
      <c r="J437" s="167"/>
      <c r="K437" s="167"/>
      <c r="L437" s="320"/>
      <c r="M437" s="251"/>
      <c r="O437">
        <f t="shared" si="31"/>
        <v>39.37043478260869</v>
      </c>
      <c r="P437">
        <f t="shared" si="30"/>
        <v>26.246956521739129</v>
      </c>
      <c r="Q437">
        <f t="shared" si="30"/>
        <v>52.493913043478258</v>
      </c>
    </row>
    <row r="438" spans="2:17" x14ac:dyDescent="0.3">
      <c r="B438" s="206" t="s">
        <v>1087</v>
      </c>
      <c r="C438" s="167">
        <f>3*'General input'!$C$17*'General input'!$G$17</f>
        <v>39.37043478260869</v>
      </c>
      <c r="D438" s="167">
        <f>2*'General input'!$C$17*'General input'!$G$17</f>
        <v>26.246956521739129</v>
      </c>
      <c r="E438" s="167">
        <f>4*'General input'!$C$17*'General input'!$G$17</f>
        <v>52.493913043478258</v>
      </c>
      <c r="F438" s="320"/>
      <c r="G438" s="251"/>
      <c r="H438" s="275"/>
      <c r="I438" s="167"/>
      <c r="J438" s="167"/>
      <c r="K438" s="167"/>
      <c r="L438" s="320"/>
      <c r="M438" s="251"/>
      <c r="O438">
        <f t="shared" si="31"/>
        <v>39.37043478260869</v>
      </c>
      <c r="P438">
        <f t="shared" si="30"/>
        <v>26.246956521739129</v>
      </c>
      <c r="Q438">
        <f t="shared" si="30"/>
        <v>52.493913043478258</v>
      </c>
    </row>
    <row r="439" spans="2:17" x14ac:dyDescent="0.3">
      <c r="B439" s="206" t="s">
        <v>1443</v>
      </c>
      <c r="C439" s="167">
        <f>3*'General input'!$C$17*'General input'!$G$17</f>
        <v>39.37043478260869</v>
      </c>
      <c r="D439" s="167">
        <f>2*'General input'!$C$17*'General input'!$G$17</f>
        <v>26.246956521739129</v>
      </c>
      <c r="E439" s="167">
        <f>4*'General input'!$C$17*'General input'!$G$17</f>
        <v>52.493913043478258</v>
      </c>
      <c r="F439" s="320"/>
      <c r="G439" s="251"/>
      <c r="H439" s="275"/>
      <c r="I439" s="167"/>
      <c r="J439" s="167"/>
      <c r="K439" s="167"/>
      <c r="L439" s="320"/>
      <c r="M439" s="251"/>
      <c r="O439">
        <f t="shared" si="31"/>
        <v>39.37043478260869</v>
      </c>
      <c r="P439">
        <f t="shared" si="30"/>
        <v>26.246956521739129</v>
      </c>
      <c r="Q439">
        <f t="shared" si="30"/>
        <v>52.493913043478258</v>
      </c>
    </row>
    <row r="440" spans="2:17" x14ac:dyDescent="0.3">
      <c r="B440" s="207" t="s">
        <v>227</v>
      </c>
      <c r="C440" s="275"/>
      <c r="D440" s="275"/>
      <c r="E440" s="275"/>
      <c r="F440" s="320"/>
      <c r="G440" s="251"/>
      <c r="H440" s="275"/>
      <c r="I440" s="275"/>
      <c r="J440" s="275"/>
      <c r="K440" s="275"/>
      <c r="L440" s="320"/>
      <c r="M440" s="251"/>
      <c r="O440"/>
      <c r="P440"/>
      <c r="Q440"/>
    </row>
    <row r="441" spans="2:17" x14ac:dyDescent="0.3">
      <c r="B441" s="206" t="s">
        <v>1437</v>
      </c>
      <c r="C441" s="167">
        <f>3*'General input'!$C$17*'General input'!$G$17</f>
        <v>39.37043478260869</v>
      </c>
      <c r="D441" s="167">
        <f>2*'General input'!$C$17*'General input'!$G$17</f>
        <v>26.246956521739129</v>
      </c>
      <c r="E441" s="167">
        <f>4*'General input'!$C$17*'General input'!$G$17</f>
        <v>52.493913043478258</v>
      </c>
      <c r="F441" s="320"/>
      <c r="G441" s="251"/>
      <c r="H441" s="275"/>
      <c r="I441" s="167"/>
      <c r="J441" s="167"/>
      <c r="K441" s="167"/>
      <c r="L441" s="320"/>
      <c r="M441" s="251"/>
      <c r="O441">
        <f t="shared" si="31"/>
        <v>39.37043478260869</v>
      </c>
      <c r="P441">
        <f t="shared" si="30"/>
        <v>26.246956521739129</v>
      </c>
      <c r="Q441">
        <f t="shared" si="30"/>
        <v>52.493913043478258</v>
      </c>
    </row>
    <row r="442" spans="2:17" x14ac:dyDescent="0.3">
      <c r="B442" s="206" t="s">
        <v>1438</v>
      </c>
      <c r="C442" s="167">
        <f>3*'General input'!$C$17*'General input'!$G$17</f>
        <v>39.37043478260869</v>
      </c>
      <c r="D442" s="167">
        <f>2*'General input'!$C$17*'General input'!$G$17</f>
        <v>26.246956521739129</v>
      </c>
      <c r="E442" s="167">
        <f>4*'General input'!$C$17*'General input'!$G$17</f>
        <v>52.493913043478258</v>
      </c>
      <c r="F442" s="320"/>
      <c r="G442" s="251"/>
      <c r="H442" s="275"/>
      <c r="I442" s="167"/>
      <c r="J442" s="167"/>
      <c r="K442" s="167"/>
      <c r="L442" s="320"/>
      <c r="M442" s="251"/>
      <c r="O442">
        <f t="shared" si="31"/>
        <v>39.37043478260869</v>
      </c>
      <c r="P442">
        <f t="shared" si="30"/>
        <v>26.246956521739129</v>
      </c>
      <c r="Q442">
        <f t="shared" si="30"/>
        <v>52.493913043478258</v>
      </c>
    </row>
    <row r="443" spans="2:17" x14ac:dyDescent="0.3">
      <c r="B443" s="206" t="s">
        <v>1441</v>
      </c>
      <c r="C443" s="167">
        <f>3*'General input'!$C$17*'General input'!$G$17</f>
        <v>39.37043478260869</v>
      </c>
      <c r="D443" s="167">
        <f>2*'General input'!$C$17*'General input'!$G$17</f>
        <v>26.246956521739129</v>
      </c>
      <c r="E443" s="167">
        <f>4*'General input'!$C$17*'General input'!$G$17</f>
        <v>52.493913043478258</v>
      </c>
      <c r="F443" s="320"/>
      <c r="G443" s="251"/>
      <c r="H443" s="275"/>
      <c r="I443" s="167"/>
      <c r="J443" s="167"/>
      <c r="K443" s="167"/>
      <c r="L443" s="320"/>
      <c r="M443" s="251"/>
      <c r="O443">
        <f t="shared" si="31"/>
        <v>39.37043478260869</v>
      </c>
      <c r="P443">
        <f t="shared" si="30"/>
        <v>26.246956521739129</v>
      </c>
      <c r="Q443">
        <f t="shared" si="30"/>
        <v>52.493913043478258</v>
      </c>
    </row>
    <row r="444" spans="2:17" x14ac:dyDescent="0.3">
      <c r="B444" s="206" t="s">
        <v>1442</v>
      </c>
      <c r="C444" s="167">
        <f>3*'General input'!$C$17*'General input'!$G$17</f>
        <v>39.37043478260869</v>
      </c>
      <c r="D444" s="167">
        <f>2*'General input'!$C$17*'General input'!$G$17</f>
        <v>26.246956521739129</v>
      </c>
      <c r="E444" s="167">
        <f>4*'General input'!$C$17*'General input'!$G$17</f>
        <v>52.493913043478258</v>
      </c>
      <c r="F444" s="320"/>
      <c r="G444" s="251"/>
      <c r="H444" s="275"/>
      <c r="I444" s="167"/>
      <c r="J444" s="167"/>
      <c r="K444" s="167"/>
      <c r="L444" s="320"/>
      <c r="M444" s="251"/>
      <c r="O444">
        <f t="shared" si="31"/>
        <v>39.37043478260869</v>
      </c>
      <c r="P444">
        <f t="shared" si="30"/>
        <v>26.246956521739129</v>
      </c>
      <c r="Q444">
        <f t="shared" si="30"/>
        <v>52.493913043478258</v>
      </c>
    </row>
    <row r="445" spans="2:17" x14ac:dyDescent="0.3">
      <c r="B445" s="207" t="s">
        <v>920</v>
      </c>
      <c r="C445" s="275"/>
      <c r="D445" s="275"/>
      <c r="E445" s="275"/>
      <c r="F445" s="320"/>
      <c r="G445" s="251"/>
      <c r="H445" s="275"/>
      <c r="I445" s="275"/>
      <c r="J445" s="275"/>
      <c r="K445" s="275"/>
      <c r="L445" s="320"/>
      <c r="M445" s="251"/>
      <c r="O445"/>
      <c r="P445"/>
      <c r="Q445"/>
    </row>
    <row r="446" spans="2:17" x14ac:dyDescent="0.3">
      <c r="B446" s="206" t="s">
        <v>920</v>
      </c>
      <c r="C446" s="167">
        <f>3*'General input'!$C$17*'General input'!$G$17</f>
        <v>39.37043478260869</v>
      </c>
      <c r="D446" s="167">
        <f>2*'General input'!$C$17*'General input'!$G$17</f>
        <v>26.246956521739129</v>
      </c>
      <c r="E446" s="167">
        <f>4*'General input'!$C$17*'General input'!$G$17</f>
        <v>52.493913043478258</v>
      </c>
      <c r="F446" s="320"/>
      <c r="G446" s="251"/>
      <c r="H446" s="275"/>
      <c r="I446" s="167"/>
      <c r="J446" s="167"/>
      <c r="K446" s="167"/>
      <c r="L446" s="320"/>
      <c r="M446" s="251"/>
      <c r="O446">
        <f t="shared" si="31"/>
        <v>39.37043478260869</v>
      </c>
      <c r="P446">
        <f t="shared" si="30"/>
        <v>26.246956521739129</v>
      </c>
      <c r="Q446">
        <f t="shared" si="30"/>
        <v>52.493913043478258</v>
      </c>
    </row>
    <row r="447" spans="2:17" x14ac:dyDescent="0.3">
      <c r="B447" s="206" t="s">
        <v>980</v>
      </c>
      <c r="C447" s="167">
        <f>3*'General input'!$C$17*'General input'!$G$17</f>
        <v>39.37043478260869</v>
      </c>
      <c r="D447" s="167">
        <f>2*'General input'!$C$17*'General input'!$G$17</f>
        <v>26.246956521739129</v>
      </c>
      <c r="E447" s="167">
        <f>4*'General input'!$C$17*'General input'!$G$17</f>
        <v>52.493913043478258</v>
      </c>
      <c r="F447" s="320"/>
      <c r="G447" s="251"/>
      <c r="H447" s="275"/>
      <c r="I447" s="167"/>
      <c r="J447" s="167"/>
      <c r="K447" s="167"/>
      <c r="L447" s="320"/>
      <c r="M447" s="251"/>
      <c r="O447">
        <f t="shared" si="31"/>
        <v>39.37043478260869</v>
      </c>
      <c r="P447">
        <f t="shared" si="30"/>
        <v>26.246956521739129</v>
      </c>
      <c r="Q447">
        <f t="shared" si="30"/>
        <v>52.493913043478258</v>
      </c>
    </row>
    <row r="448" spans="2:17" x14ac:dyDescent="0.3">
      <c r="B448" s="206"/>
      <c r="C448" s="275"/>
      <c r="D448" s="275"/>
      <c r="E448" s="275"/>
      <c r="F448" s="320"/>
      <c r="G448" s="251"/>
      <c r="H448" s="275"/>
      <c r="I448" s="275"/>
      <c r="J448" s="275"/>
      <c r="K448" s="275"/>
      <c r="L448" s="320"/>
      <c r="M448" s="251"/>
    </row>
    <row r="449" spans="2:17" x14ac:dyDescent="0.3">
      <c r="F449" s="320"/>
      <c r="G449" s="251"/>
    </row>
    <row r="450" spans="2:17" x14ac:dyDescent="0.3">
      <c r="B450" s="236" t="s">
        <v>1484</v>
      </c>
      <c r="F450" s="320"/>
      <c r="G450" s="251"/>
    </row>
    <row r="451" spans="2:17" x14ac:dyDescent="0.3">
      <c r="F451" s="320"/>
      <c r="G451" s="251"/>
    </row>
    <row r="452" spans="2:17" x14ac:dyDescent="0.3">
      <c r="B452" s="781" t="s">
        <v>1095</v>
      </c>
      <c r="C452" s="781"/>
      <c r="D452" s="781"/>
      <c r="E452" s="781"/>
      <c r="F452" s="781"/>
      <c r="G452" s="781"/>
      <c r="I452" s="787" t="s">
        <v>1096</v>
      </c>
      <c r="J452" s="787"/>
      <c r="K452" s="787"/>
      <c r="L452" s="787"/>
      <c r="M452" s="787"/>
      <c r="O452" s="204" t="s">
        <v>1097</v>
      </c>
    </row>
    <row r="453" spans="2:17" ht="19.5" customHeight="1" thickBot="1" x14ac:dyDescent="0.4">
      <c r="B453" s="215"/>
      <c r="C453" s="786" t="s">
        <v>1369</v>
      </c>
      <c r="D453" s="786"/>
      <c r="E453" s="786"/>
      <c r="F453" s="786"/>
      <c r="G453" s="786"/>
      <c r="I453" s="786" t="s">
        <v>1369</v>
      </c>
      <c r="J453" s="786"/>
      <c r="K453" s="786"/>
      <c r="L453" s="786"/>
      <c r="M453" s="786"/>
    </row>
    <row r="454" spans="2:17" x14ac:dyDescent="0.3">
      <c r="B454" s="233"/>
      <c r="C454" s="214" t="s">
        <v>563</v>
      </c>
      <c r="D454" s="214" t="s">
        <v>985</v>
      </c>
      <c r="E454" s="214" t="s">
        <v>986</v>
      </c>
      <c r="F454" s="319" t="s">
        <v>592</v>
      </c>
      <c r="G454" s="215" t="s">
        <v>591</v>
      </c>
      <c r="I454" s="214" t="s">
        <v>563</v>
      </c>
      <c r="J454" s="214" t="s">
        <v>985</v>
      </c>
      <c r="K454" s="214" t="s">
        <v>986</v>
      </c>
      <c r="L454" s="319" t="s">
        <v>592</v>
      </c>
      <c r="M454" s="215" t="s">
        <v>591</v>
      </c>
      <c r="O454" s="214" t="s">
        <v>563</v>
      </c>
      <c r="P454" s="214" t="s">
        <v>985</v>
      </c>
      <c r="Q454" s="214" t="s">
        <v>986</v>
      </c>
    </row>
    <row r="455" spans="2:17" x14ac:dyDescent="0.3">
      <c r="B455" s="205" t="s">
        <v>1450</v>
      </c>
      <c r="F455" s="320"/>
      <c r="G455" s="251"/>
      <c r="L455" s="320"/>
      <c r="M455" s="251"/>
    </row>
    <row r="456" spans="2:17" x14ac:dyDescent="0.3">
      <c r="B456" s="206" t="s">
        <v>1082</v>
      </c>
      <c r="C456" s="167">
        <f>14*'General input'!$C$17*'General input'!$G$17</f>
        <v>183.72869565217388</v>
      </c>
      <c r="D456" s="167">
        <f>9*'General input'!$C$17*'General input'!$G$17</f>
        <v>118.11130434782608</v>
      </c>
      <c r="E456" s="167">
        <f>19*'General input'!$C$17*'General input'!$G$17</f>
        <v>249.34608695652173</v>
      </c>
      <c r="F456" s="320"/>
      <c r="G456" s="251"/>
      <c r="I456" s="167"/>
      <c r="J456" s="167"/>
      <c r="K456" s="167"/>
      <c r="L456" s="320"/>
      <c r="M456" s="251"/>
      <c r="O456">
        <f>IF(ISBLANK(C456),I456,C456)</f>
        <v>183.72869565217388</v>
      </c>
      <c r="P456">
        <f t="shared" ref="P456:Q478" si="32">IF(ISBLANK(D456),J456,D456)</f>
        <v>118.11130434782608</v>
      </c>
      <c r="Q456">
        <f t="shared" si="32"/>
        <v>249.34608695652173</v>
      </c>
    </row>
    <row r="457" spans="2:17" x14ac:dyDescent="0.3">
      <c r="B457" s="206" t="s">
        <v>1083</v>
      </c>
      <c r="C457" s="167">
        <f>14*'General input'!$C$17*'General input'!$G$17</f>
        <v>183.72869565217388</v>
      </c>
      <c r="D457" s="167">
        <f>9*'General input'!$C$17*'General input'!$G$17</f>
        <v>118.11130434782608</v>
      </c>
      <c r="E457" s="167">
        <f>19*'General input'!$C$17*'General input'!$G$17</f>
        <v>249.34608695652173</v>
      </c>
      <c r="F457" s="320"/>
      <c r="G457" s="251"/>
      <c r="I457" s="167"/>
      <c r="J457" s="167"/>
      <c r="K457" s="167"/>
      <c r="L457" s="320"/>
      <c r="M457" s="251"/>
      <c r="O457">
        <f t="shared" ref="O457:O478" si="33">IF(ISBLANK(C457),I457,C457)</f>
        <v>183.72869565217388</v>
      </c>
      <c r="P457">
        <f t="shared" si="32"/>
        <v>118.11130434782608</v>
      </c>
      <c r="Q457">
        <f t="shared" si="32"/>
        <v>249.34608695652173</v>
      </c>
    </row>
    <row r="458" spans="2:17" x14ac:dyDescent="0.3">
      <c r="B458" s="206" t="s">
        <v>1084</v>
      </c>
      <c r="C458" s="167">
        <f>14*'General input'!$C$17*'General input'!$G$17</f>
        <v>183.72869565217388</v>
      </c>
      <c r="D458" s="167">
        <f>9*'General input'!$C$17*'General input'!$G$17</f>
        <v>118.11130434782608</v>
      </c>
      <c r="E458" s="167">
        <f>19*'General input'!$C$17*'General input'!$G$17</f>
        <v>249.34608695652173</v>
      </c>
      <c r="F458" s="320"/>
      <c r="G458" s="251"/>
      <c r="I458" s="167"/>
      <c r="J458" s="167"/>
      <c r="K458" s="167"/>
      <c r="L458" s="320"/>
      <c r="M458" s="251"/>
      <c r="O458">
        <f t="shared" si="33"/>
        <v>183.72869565217388</v>
      </c>
      <c r="P458">
        <f t="shared" si="32"/>
        <v>118.11130434782608</v>
      </c>
      <c r="Q458">
        <f t="shared" si="32"/>
        <v>249.34608695652173</v>
      </c>
    </row>
    <row r="459" spans="2:17" x14ac:dyDescent="0.3">
      <c r="B459" s="206" t="s">
        <v>1085</v>
      </c>
      <c r="C459" s="167">
        <f>13*'General input'!$C$17*'General input'!$G$17</f>
        <v>170.60521739130434</v>
      </c>
      <c r="D459" s="167">
        <f>8*'General input'!$C$17*'General input'!$G$17</f>
        <v>104.98782608695652</v>
      </c>
      <c r="E459" s="167">
        <f>18*'General input'!$C$17*'General input'!$G$17</f>
        <v>236.22260869565216</v>
      </c>
      <c r="F459" s="320"/>
      <c r="G459" s="251"/>
      <c r="I459" s="167"/>
      <c r="J459" s="167"/>
      <c r="K459" s="167"/>
      <c r="L459" s="320"/>
      <c r="M459" s="251"/>
      <c r="O459">
        <f t="shared" si="33"/>
        <v>170.60521739130434</v>
      </c>
      <c r="P459">
        <f t="shared" si="32"/>
        <v>104.98782608695652</v>
      </c>
      <c r="Q459">
        <f t="shared" si="32"/>
        <v>236.22260869565216</v>
      </c>
    </row>
    <row r="460" spans="2:17" x14ac:dyDescent="0.3">
      <c r="B460" s="206" t="s">
        <v>1086</v>
      </c>
      <c r="C460" s="167">
        <f>13*'General input'!$C$17*'General input'!$G$17</f>
        <v>170.60521739130434</v>
      </c>
      <c r="D460" s="167">
        <f>8*'General input'!$C$17*'General input'!$G$17</f>
        <v>104.98782608695652</v>
      </c>
      <c r="E460" s="167">
        <f>18*'General input'!$C$17*'General input'!$G$17</f>
        <v>236.22260869565216</v>
      </c>
      <c r="F460" s="320"/>
      <c r="G460" s="251"/>
      <c r="I460" s="167"/>
      <c r="J460" s="167"/>
      <c r="K460" s="167"/>
      <c r="L460" s="320"/>
      <c r="M460" s="251"/>
      <c r="O460">
        <f t="shared" si="33"/>
        <v>170.60521739130434</v>
      </c>
      <c r="P460">
        <f t="shared" si="32"/>
        <v>104.98782608695652</v>
      </c>
      <c r="Q460">
        <f t="shared" si="32"/>
        <v>236.22260869565216</v>
      </c>
    </row>
    <row r="461" spans="2:17" x14ac:dyDescent="0.3">
      <c r="B461" s="206" t="s">
        <v>1087</v>
      </c>
      <c r="C461" s="167">
        <f>13*'General input'!$C$17*'General input'!$G$17</f>
        <v>170.60521739130434</v>
      </c>
      <c r="D461" s="167">
        <f>8*'General input'!$C$17*'General input'!$G$17</f>
        <v>104.98782608695652</v>
      </c>
      <c r="E461" s="167">
        <f>18*'General input'!$C$17*'General input'!$G$17</f>
        <v>236.22260869565216</v>
      </c>
      <c r="F461" s="320"/>
      <c r="G461" s="251"/>
      <c r="I461" s="167"/>
      <c r="J461" s="167"/>
      <c r="K461" s="167"/>
      <c r="L461" s="320"/>
      <c r="M461" s="251"/>
      <c r="O461">
        <f t="shared" si="33"/>
        <v>170.60521739130434</v>
      </c>
      <c r="P461">
        <f t="shared" si="32"/>
        <v>104.98782608695652</v>
      </c>
      <c r="Q461">
        <f t="shared" si="32"/>
        <v>236.22260869565216</v>
      </c>
    </row>
    <row r="462" spans="2:17" x14ac:dyDescent="0.3">
      <c r="B462" s="206" t="s">
        <v>1443</v>
      </c>
      <c r="C462" s="167">
        <f>13*'General input'!$C$17*'General input'!$G$17</f>
        <v>170.60521739130434</v>
      </c>
      <c r="D462" s="167">
        <f>8*'General input'!$C$17*'General input'!$G$17</f>
        <v>104.98782608695652</v>
      </c>
      <c r="E462" s="167">
        <f>18*'General input'!$C$17*'General input'!$G$17</f>
        <v>236.22260869565216</v>
      </c>
      <c r="F462" s="320"/>
      <c r="G462" s="251"/>
      <c r="I462" s="167"/>
      <c r="J462" s="167"/>
      <c r="K462" s="167"/>
      <c r="L462" s="320"/>
      <c r="M462" s="251"/>
      <c r="O462">
        <f t="shared" si="33"/>
        <v>170.60521739130434</v>
      </c>
      <c r="P462">
        <f t="shared" si="32"/>
        <v>104.98782608695652</v>
      </c>
      <c r="Q462">
        <f t="shared" si="32"/>
        <v>236.22260869565216</v>
      </c>
    </row>
    <row r="463" spans="2:17" x14ac:dyDescent="0.3">
      <c r="B463" s="205" t="s">
        <v>1444</v>
      </c>
      <c r="F463" s="320"/>
      <c r="G463" s="251"/>
      <c r="L463" s="320"/>
      <c r="M463" s="251"/>
      <c r="O463"/>
      <c r="P463"/>
      <c r="Q463"/>
    </row>
    <row r="464" spans="2:17" x14ac:dyDescent="0.3">
      <c r="B464" s="206" t="s">
        <v>1082</v>
      </c>
      <c r="C464" s="167">
        <f>14*'General input'!$C$17*'General input'!$G$17</f>
        <v>183.72869565217388</v>
      </c>
      <c r="D464" s="167">
        <f>9*'General input'!$C$17*'General input'!$G$17</f>
        <v>118.11130434782608</v>
      </c>
      <c r="E464" s="167">
        <f>19*'General input'!$C$17*'General input'!$G$17</f>
        <v>249.34608695652173</v>
      </c>
      <c r="F464" s="320"/>
      <c r="G464" s="251"/>
      <c r="I464" s="167"/>
      <c r="J464" s="167"/>
      <c r="K464" s="167"/>
      <c r="L464" s="320"/>
      <c r="M464" s="251"/>
      <c r="O464">
        <f t="shared" si="33"/>
        <v>183.72869565217388</v>
      </c>
      <c r="P464">
        <f t="shared" si="32"/>
        <v>118.11130434782608</v>
      </c>
      <c r="Q464">
        <f t="shared" si="32"/>
        <v>249.34608695652173</v>
      </c>
    </row>
    <row r="465" spans="2:17" x14ac:dyDescent="0.3">
      <c r="B465" s="206" t="s">
        <v>1083</v>
      </c>
      <c r="C465" s="167">
        <f>14*'General input'!$C$17*'General input'!$G$17</f>
        <v>183.72869565217388</v>
      </c>
      <c r="D465" s="167">
        <f>9*'General input'!$C$17*'General input'!$G$17</f>
        <v>118.11130434782608</v>
      </c>
      <c r="E465" s="167">
        <f>19*'General input'!$C$17*'General input'!$G$17</f>
        <v>249.34608695652173</v>
      </c>
      <c r="F465" s="320"/>
      <c r="G465" s="251"/>
      <c r="I465" s="167"/>
      <c r="J465" s="167"/>
      <c r="K465" s="167"/>
      <c r="L465" s="320"/>
      <c r="M465" s="251"/>
      <c r="O465">
        <f t="shared" si="33"/>
        <v>183.72869565217388</v>
      </c>
      <c r="P465">
        <f t="shared" si="32"/>
        <v>118.11130434782608</v>
      </c>
      <c r="Q465">
        <f t="shared" si="32"/>
        <v>249.34608695652173</v>
      </c>
    </row>
    <row r="466" spans="2:17" x14ac:dyDescent="0.3">
      <c r="B466" s="206" t="s">
        <v>1084</v>
      </c>
      <c r="C466" s="167">
        <f>14*'General input'!$C$17*'General input'!$G$17</f>
        <v>183.72869565217388</v>
      </c>
      <c r="D466" s="167">
        <f>9*'General input'!$C$17*'General input'!$G$17</f>
        <v>118.11130434782608</v>
      </c>
      <c r="E466" s="167">
        <f>19*'General input'!$C$17*'General input'!$G$17</f>
        <v>249.34608695652173</v>
      </c>
      <c r="F466" s="320"/>
      <c r="G466" s="251"/>
      <c r="I466" s="167"/>
      <c r="J466" s="167"/>
      <c r="K466" s="167"/>
      <c r="L466" s="320"/>
      <c r="M466" s="251"/>
      <c r="O466">
        <f t="shared" si="33"/>
        <v>183.72869565217388</v>
      </c>
      <c r="P466">
        <f t="shared" si="32"/>
        <v>118.11130434782608</v>
      </c>
      <c r="Q466">
        <f t="shared" si="32"/>
        <v>249.34608695652173</v>
      </c>
    </row>
    <row r="467" spans="2:17" x14ac:dyDescent="0.3">
      <c r="B467" s="206" t="s">
        <v>1085</v>
      </c>
      <c r="C467" s="167">
        <f>13*'General input'!$C$17*'General input'!$G$17</f>
        <v>170.60521739130434</v>
      </c>
      <c r="D467" s="167">
        <f>8*'General input'!$C$17*'General input'!$G$17</f>
        <v>104.98782608695652</v>
      </c>
      <c r="E467" s="167">
        <f>18*'General input'!$C$17*'General input'!$G$17</f>
        <v>236.22260869565216</v>
      </c>
      <c r="F467" s="320"/>
      <c r="G467" s="251"/>
      <c r="I467" s="167"/>
      <c r="J467" s="167"/>
      <c r="K467" s="167"/>
      <c r="L467" s="320"/>
      <c r="M467" s="251"/>
      <c r="O467">
        <f t="shared" si="33"/>
        <v>170.60521739130434</v>
      </c>
      <c r="P467">
        <f t="shared" si="32"/>
        <v>104.98782608695652</v>
      </c>
      <c r="Q467">
        <f t="shared" si="32"/>
        <v>236.22260869565216</v>
      </c>
    </row>
    <row r="468" spans="2:17" x14ac:dyDescent="0.3">
      <c r="B468" s="206" t="s">
        <v>1086</v>
      </c>
      <c r="C468" s="167">
        <f>13*'General input'!$C$17*'General input'!$G$17</f>
        <v>170.60521739130434</v>
      </c>
      <c r="D468" s="167">
        <f>8*'General input'!$C$17*'General input'!$G$17</f>
        <v>104.98782608695652</v>
      </c>
      <c r="E468" s="167">
        <f>18*'General input'!$C$17*'General input'!$G$17</f>
        <v>236.22260869565216</v>
      </c>
      <c r="F468" s="320"/>
      <c r="G468" s="251"/>
      <c r="I468" s="167"/>
      <c r="J468" s="167"/>
      <c r="K468" s="167"/>
      <c r="L468" s="320"/>
      <c r="M468" s="251"/>
      <c r="O468">
        <f t="shared" si="33"/>
        <v>170.60521739130434</v>
      </c>
      <c r="P468">
        <f t="shared" si="32"/>
        <v>104.98782608695652</v>
      </c>
      <c r="Q468">
        <f t="shared" si="32"/>
        <v>236.22260869565216</v>
      </c>
    </row>
    <row r="469" spans="2:17" x14ac:dyDescent="0.3">
      <c r="B469" s="206" t="s">
        <v>1087</v>
      </c>
      <c r="C469" s="167">
        <f>13*'General input'!$C$17*'General input'!$G$17</f>
        <v>170.60521739130434</v>
      </c>
      <c r="D469" s="167">
        <f>8*'General input'!$C$17*'General input'!$G$17</f>
        <v>104.98782608695652</v>
      </c>
      <c r="E469" s="167">
        <f>18*'General input'!$C$17*'General input'!$G$17</f>
        <v>236.22260869565216</v>
      </c>
      <c r="F469" s="320"/>
      <c r="G469" s="251"/>
      <c r="I469" s="167"/>
      <c r="J469" s="167"/>
      <c r="K469" s="167"/>
      <c r="L469" s="320"/>
      <c r="M469" s="251"/>
      <c r="O469">
        <f t="shared" si="33"/>
        <v>170.60521739130434</v>
      </c>
      <c r="P469">
        <f t="shared" si="32"/>
        <v>104.98782608695652</v>
      </c>
      <c r="Q469">
        <f t="shared" si="32"/>
        <v>236.22260869565216</v>
      </c>
    </row>
    <row r="470" spans="2:17" x14ac:dyDescent="0.3">
      <c r="B470" s="206" t="s">
        <v>1443</v>
      </c>
      <c r="C470" s="167">
        <f>13*'General input'!$C$17*'General input'!$G$17</f>
        <v>170.60521739130434</v>
      </c>
      <c r="D470" s="167">
        <f>8*'General input'!$C$17*'General input'!$G$17</f>
        <v>104.98782608695652</v>
      </c>
      <c r="E470" s="167">
        <f>18*'General input'!$C$17*'General input'!$G$17</f>
        <v>236.22260869565216</v>
      </c>
      <c r="F470" s="320"/>
      <c r="G470" s="251"/>
      <c r="I470" s="167"/>
      <c r="J470" s="167"/>
      <c r="K470" s="167"/>
      <c r="L470" s="320"/>
      <c r="M470" s="251"/>
      <c r="O470">
        <f t="shared" si="33"/>
        <v>170.60521739130434</v>
      </c>
      <c r="P470">
        <f t="shared" si="32"/>
        <v>104.98782608695652</v>
      </c>
      <c r="Q470">
        <f t="shared" si="32"/>
        <v>236.22260869565216</v>
      </c>
    </row>
    <row r="471" spans="2:17" x14ac:dyDescent="0.3">
      <c r="B471" s="207" t="s">
        <v>227</v>
      </c>
      <c r="C471" s="275"/>
      <c r="D471" s="275"/>
      <c r="E471" s="275"/>
      <c r="F471" s="320"/>
      <c r="G471" s="251"/>
      <c r="I471" s="275"/>
      <c r="J471" s="275"/>
      <c r="K471" s="275"/>
      <c r="L471" s="320"/>
      <c r="M471" s="251"/>
      <c r="O471"/>
      <c r="P471"/>
      <c r="Q471"/>
    </row>
    <row r="472" spans="2:17" x14ac:dyDescent="0.3">
      <c r="B472" s="206" t="s">
        <v>1437</v>
      </c>
      <c r="C472" s="167">
        <f>14*'General input'!$C$17*'General input'!$G$17</f>
        <v>183.72869565217388</v>
      </c>
      <c r="D472" s="167">
        <f>9*'General input'!$C$17*'General input'!$G$17</f>
        <v>118.11130434782608</v>
      </c>
      <c r="E472" s="167">
        <f>19*'General input'!$C$17*'General input'!$G$17</f>
        <v>249.34608695652173</v>
      </c>
      <c r="F472" s="320"/>
      <c r="G472" s="251"/>
      <c r="I472" s="167"/>
      <c r="J472" s="167"/>
      <c r="K472" s="167"/>
      <c r="L472" s="320"/>
      <c r="M472" s="251"/>
      <c r="O472">
        <f t="shared" si="33"/>
        <v>183.72869565217388</v>
      </c>
      <c r="P472">
        <f t="shared" si="32"/>
        <v>118.11130434782608</v>
      </c>
      <c r="Q472">
        <f t="shared" si="32"/>
        <v>249.34608695652173</v>
      </c>
    </row>
    <row r="473" spans="2:17" x14ac:dyDescent="0.3">
      <c r="B473" s="206" t="s">
        <v>1438</v>
      </c>
      <c r="C473" s="167">
        <f>14*'General input'!$C$17*'General input'!$G$17</f>
        <v>183.72869565217388</v>
      </c>
      <c r="D473" s="167">
        <f>9*'General input'!$C$17*'General input'!$G$17</f>
        <v>118.11130434782608</v>
      </c>
      <c r="E473" s="167">
        <f>19*'General input'!$C$17*'General input'!$G$17</f>
        <v>249.34608695652173</v>
      </c>
      <c r="F473" s="320"/>
      <c r="G473" s="251"/>
      <c r="I473" s="167"/>
      <c r="J473" s="167"/>
      <c r="K473" s="167"/>
      <c r="L473" s="320"/>
      <c r="M473" s="251"/>
      <c r="O473">
        <f t="shared" si="33"/>
        <v>183.72869565217388</v>
      </c>
      <c r="P473">
        <f t="shared" si="32"/>
        <v>118.11130434782608</v>
      </c>
      <c r="Q473">
        <f t="shared" si="32"/>
        <v>249.34608695652173</v>
      </c>
    </row>
    <row r="474" spans="2:17" x14ac:dyDescent="0.3">
      <c r="B474" s="206" t="s">
        <v>1441</v>
      </c>
      <c r="C474" s="167">
        <f>14*'General input'!$C$17*'General input'!$G$17</f>
        <v>183.72869565217388</v>
      </c>
      <c r="D474" s="167">
        <f>9*'General input'!$C$17*'General input'!$G$17</f>
        <v>118.11130434782608</v>
      </c>
      <c r="E474" s="167">
        <f>19*'General input'!$C$17*'General input'!$G$17</f>
        <v>249.34608695652173</v>
      </c>
      <c r="F474" s="320"/>
      <c r="G474" s="251"/>
      <c r="I474" s="167"/>
      <c r="J474" s="167"/>
      <c r="K474" s="167"/>
      <c r="L474" s="320"/>
      <c r="M474" s="251"/>
      <c r="O474">
        <f t="shared" si="33"/>
        <v>183.72869565217388</v>
      </c>
      <c r="P474">
        <f t="shared" si="32"/>
        <v>118.11130434782608</v>
      </c>
      <c r="Q474">
        <f t="shared" si="32"/>
        <v>249.34608695652173</v>
      </c>
    </row>
    <row r="475" spans="2:17" x14ac:dyDescent="0.3">
      <c r="B475" s="206" t="s">
        <v>1442</v>
      </c>
      <c r="C475" s="167">
        <f>14*'General input'!$C$17*'General input'!$G$17</f>
        <v>183.72869565217388</v>
      </c>
      <c r="D475" s="167">
        <f>9*'General input'!$C$17*'General input'!$G$17</f>
        <v>118.11130434782608</v>
      </c>
      <c r="E475" s="167">
        <f>19*'General input'!$C$17*'General input'!$G$17</f>
        <v>249.34608695652173</v>
      </c>
      <c r="F475" s="320"/>
      <c r="G475" s="251"/>
      <c r="I475" s="167"/>
      <c r="J475" s="167"/>
      <c r="K475" s="167"/>
      <c r="L475" s="320"/>
      <c r="M475" s="251"/>
      <c r="O475">
        <f t="shared" si="33"/>
        <v>183.72869565217388</v>
      </c>
      <c r="P475">
        <f t="shared" si="32"/>
        <v>118.11130434782608</v>
      </c>
      <c r="Q475">
        <f t="shared" si="32"/>
        <v>249.34608695652173</v>
      </c>
    </row>
    <row r="476" spans="2:17" x14ac:dyDescent="0.3">
      <c r="B476" s="207" t="s">
        <v>920</v>
      </c>
      <c r="C476" s="275"/>
      <c r="D476" s="275"/>
      <c r="E476" s="275"/>
      <c r="F476" s="320"/>
      <c r="G476" s="251"/>
      <c r="I476" s="275"/>
      <c r="J476" s="275"/>
      <c r="K476" s="275"/>
      <c r="L476" s="320"/>
      <c r="M476" s="251"/>
      <c r="O476"/>
      <c r="P476"/>
      <c r="Q476"/>
    </row>
    <row r="477" spans="2:17" x14ac:dyDescent="0.3">
      <c r="B477" s="206" t="s">
        <v>920</v>
      </c>
      <c r="C477" s="167">
        <f>13*'General input'!$C$17*'General input'!$G$17</f>
        <v>170.60521739130434</v>
      </c>
      <c r="D477" s="167">
        <f>8*'General input'!$C$17*'General input'!$G$17</f>
        <v>104.98782608695652</v>
      </c>
      <c r="E477" s="167">
        <f>18*'General input'!$C$17*'General input'!$G$17</f>
        <v>236.22260869565216</v>
      </c>
      <c r="F477" s="320"/>
      <c r="G477" s="251"/>
      <c r="I477" s="167"/>
      <c r="J477" s="167"/>
      <c r="K477" s="167"/>
      <c r="L477" s="320"/>
      <c r="M477" s="251"/>
      <c r="O477">
        <f t="shared" si="33"/>
        <v>170.60521739130434</v>
      </c>
      <c r="P477">
        <f t="shared" si="32"/>
        <v>104.98782608695652</v>
      </c>
      <c r="Q477">
        <f t="shared" si="32"/>
        <v>236.22260869565216</v>
      </c>
    </row>
    <row r="478" spans="2:17" x14ac:dyDescent="0.3">
      <c r="B478" s="206" t="s">
        <v>980</v>
      </c>
      <c r="C478" s="167">
        <f>13*'General input'!$C$17*'General input'!$G$17</f>
        <v>170.60521739130434</v>
      </c>
      <c r="D478" s="167">
        <f>8*'General input'!$C$17*'General input'!$G$17</f>
        <v>104.98782608695652</v>
      </c>
      <c r="E478" s="167">
        <f>18*'General input'!$C$17*'General input'!$G$17</f>
        <v>236.22260869565216</v>
      </c>
      <c r="F478" s="320"/>
      <c r="G478" s="251"/>
      <c r="I478" s="167"/>
      <c r="J478" s="167"/>
      <c r="K478" s="167"/>
      <c r="L478" s="320"/>
      <c r="M478" s="251"/>
      <c r="O478">
        <f t="shared" si="33"/>
        <v>170.60521739130434</v>
      </c>
      <c r="P478">
        <f t="shared" si="32"/>
        <v>104.98782608695652</v>
      </c>
      <c r="Q478">
        <f t="shared" si="32"/>
        <v>236.22260869565216</v>
      </c>
    </row>
    <row r="479" spans="2:17" x14ac:dyDescent="0.3">
      <c r="D479" s="210"/>
      <c r="E479" s="281"/>
    </row>
    <row r="480" spans="2:17" x14ac:dyDescent="0.3">
      <c r="B480" s="215"/>
      <c r="C480" s="215"/>
      <c r="D480" s="215"/>
      <c r="E480" s="215"/>
    </row>
    <row r="481" spans="2:17" ht="23.4" x14ac:dyDescent="0.45">
      <c r="B481" s="380" t="s">
        <v>10</v>
      </c>
    </row>
    <row r="482" spans="2:17" x14ac:dyDescent="0.3">
      <c r="B482" s="236" t="s">
        <v>1485</v>
      </c>
    </row>
    <row r="483" spans="2:17" x14ac:dyDescent="0.3">
      <c r="B483" s="236"/>
    </row>
    <row r="484" spans="2:17" x14ac:dyDescent="0.3">
      <c r="B484" s="781" t="s">
        <v>1095</v>
      </c>
      <c r="C484" s="781"/>
      <c r="D484" s="781"/>
      <c r="E484" s="781"/>
      <c r="F484" s="781"/>
      <c r="G484" s="781"/>
      <c r="I484" s="787" t="s">
        <v>1096</v>
      </c>
      <c r="J484" s="787"/>
      <c r="K484" s="787"/>
      <c r="L484" s="787"/>
      <c r="M484" s="787"/>
      <c r="O484" s="204" t="s">
        <v>1097</v>
      </c>
    </row>
    <row r="485" spans="2:17" ht="18.600000000000001" thickBot="1" x14ac:dyDescent="0.4">
      <c r="B485" s="205"/>
      <c r="C485" s="786" t="s">
        <v>1074</v>
      </c>
      <c r="D485" s="786"/>
      <c r="E485" s="786"/>
      <c r="F485" s="786"/>
      <c r="G485" s="786"/>
      <c r="I485" s="786" t="s">
        <v>1074</v>
      </c>
      <c r="J485" s="786"/>
      <c r="K485" s="786"/>
      <c r="L485" s="786"/>
      <c r="M485" s="786"/>
    </row>
    <row r="486" spans="2:17" ht="15" customHeight="1" x14ac:dyDescent="0.3">
      <c r="B486" s="272"/>
      <c r="C486" s="214" t="s">
        <v>865</v>
      </c>
      <c r="D486" s="214" t="s">
        <v>985</v>
      </c>
      <c r="E486" s="214" t="s">
        <v>986</v>
      </c>
      <c r="F486" s="319" t="s">
        <v>592</v>
      </c>
      <c r="G486" s="215" t="s">
        <v>591</v>
      </c>
      <c r="I486" s="214" t="s">
        <v>865</v>
      </c>
      <c r="J486" s="214" t="s">
        <v>985</v>
      </c>
      <c r="K486" s="214" t="s">
        <v>986</v>
      </c>
      <c r="L486" s="319" t="s">
        <v>592</v>
      </c>
      <c r="M486" s="215" t="s">
        <v>591</v>
      </c>
      <c r="O486" s="214" t="s">
        <v>563</v>
      </c>
      <c r="P486" s="214" t="s">
        <v>985</v>
      </c>
      <c r="Q486" s="214" t="s">
        <v>986</v>
      </c>
    </row>
    <row r="487" spans="2:17" x14ac:dyDescent="0.3">
      <c r="B487" s="205" t="s">
        <v>1450</v>
      </c>
      <c r="F487" s="320"/>
      <c r="G487" s="251"/>
      <c r="L487" s="320"/>
      <c r="M487" s="251"/>
    </row>
    <row r="488" spans="2:17" x14ac:dyDescent="0.3">
      <c r="B488" s="206" t="s">
        <v>1082</v>
      </c>
      <c r="C488" s="167">
        <v>0</v>
      </c>
      <c r="D488" s="167">
        <v>0</v>
      </c>
      <c r="E488" s="167">
        <v>0</v>
      </c>
      <c r="F488" s="320"/>
      <c r="G488" s="251"/>
      <c r="I488" s="167">
        <v>0.5</v>
      </c>
      <c r="J488" s="167">
        <v>0.25</v>
      </c>
      <c r="K488" s="167">
        <v>0.75</v>
      </c>
      <c r="L488" s="320"/>
      <c r="M488" s="251"/>
      <c r="O488">
        <f>IF(ISBLANK(C488),I488,C488)</f>
        <v>0</v>
      </c>
      <c r="P488">
        <f t="shared" ref="P488:Q510" si="34">IF(ISBLANK(D488),J488,D488)</f>
        <v>0</v>
      </c>
      <c r="Q488">
        <f t="shared" si="34"/>
        <v>0</v>
      </c>
    </row>
    <row r="489" spans="2:17" x14ac:dyDescent="0.3">
      <c r="B489" s="206" t="s">
        <v>1083</v>
      </c>
      <c r="C489" s="167">
        <v>0</v>
      </c>
      <c r="D489" s="167">
        <v>0</v>
      </c>
      <c r="E489" s="167">
        <v>0</v>
      </c>
      <c r="F489" s="320"/>
      <c r="G489" s="251"/>
      <c r="I489" s="167">
        <v>0.5</v>
      </c>
      <c r="J489" s="167">
        <v>0.25</v>
      </c>
      <c r="K489" s="167">
        <v>0.75</v>
      </c>
      <c r="L489" s="320"/>
      <c r="M489" s="251"/>
      <c r="O489">
        <f t="shared" ref="O489:O510" si="35">IF(ISBLANK(C489),I489,C489)</f>
        <v>0</v>
      </c>
      <c r="P489">
        <f t="shared" si="34"/>
        <v>0</v>
      </c>
      <c r="Q489">
        <f t="shared" si="34"/>
        <v>0</v>
      </c>
    </row>
    <row r="490" spans="2:17" x14ac:dyDescent="0.3">
      <c r="B490" s="206" t="s">
        <v>1084</v>
      </c>
      <c r="C490" s="167">
        <v>0</v>
      </c>
      <c r="D490" s="167">
        <v>0</v>
      </c>
      <c r="E490" s="167">
        <v>0</v>
      </c>
      <c r="F490" s="320"/>
      <c r="G490" s="251"/>
      <c r="I490" s="167">
        <v>0.5</v>
      </c>
      <c r="J490" s="167">
        <v>0.25</v>
      </c>
      <c r="K490" s="167">
        <v>0.75</v>
      </c>
      <c r="L490" s="320"/>
      <c r="M490" s="251"/>
      <c r="O490">
        <f t="shared" si="35"/>
        <v>0</v>
      </c>
      <c r="P490">
        <f t="shared" si="34"/>
        <v>0</v>
      </c>
      <c r="Q490">
        <f t="shared" si="34"/>
        <v>0</v>
      </c>
    </row>
    <row r="491" spans="2:17" x14ac:dyDescent="0.3">
      <c r="B491" s="206" t="s">
        <v>1085</v>
      </c>
      <c r="C491" s="167">
        <v>0</v>
      </c>
      <c r="D491" s="167">
        <v>0</v>
      </c>
      <c r="E491" s="167">
        <v>0</v>
      </c>
      <c r="F491" s="320"/>
      <c r="G491" s="251"/>
      <c r="I491" s="167">
        <v>0.5</v>
      </c>
      <c r="J491" s="167">
        <v>0.25</v>
      </c>
      <c r="K491" s="167">
        <v>0.75</v>
      </c>
      <c r="L491" s="320"/>
      <c r="M491" s="251"/>
      <c r="O491">
        <f t="shared" si="35"/>
        <v>0</v>
      </c>
      <c r="P491">
        <f t="shared" si="34"/>
        <v>0</v>
      </c>
      <c r="Q491">
        <f t="shared" si="34"/>
        <v>0</v>
      </c>
    </row>
    <row r="492" spans="2:17" x14ac:dyDescent="0.3">
      <c r="B492" s="206" t="s">
        <v>1086</v>
      </c>
      <c r="C492" s="167">
        <v>0</v>
      </c>
      <c r="D492" s="167">
        <v>0</v>
      </c>
      <c r="E492" s="167">
        <v>0</v>
      </c>
      <c r="F492" s="320"/>
      <c r="G492" s="251"/>
      <c r="I492" s="167">
        <v>0.5</v>
      </c>
      <c r="J492" s="167">
        <v>0.25</v>
      </c>
      <c r="K492" s="167">
        <v>0.75</v>
      </c>
      <c r="L492" s="320"/>
      <c r="M492" s="251"/>
      <c r="O492">
        <f t="shared" si="35"/>
        <v>0</v>
      </c>
      <c r="P492">
        <f t="shared" si="34"/>
        <v>0</v>
      </c>
      <c r="Q492">
        <f t="shared" si="34"/>
        <v>0</v>
      </c>
    </row>
    <row r="493" spans="2:17" x14ac:dyDescent="0.3">
      <c r="B493" s="206" t="s">
        <v>1087</v>
      </c>
      <c r="C493" s="167">
        <v>0</v>
      </c>
      <c r="D493" s="167">
        <v>0</v>
      </c>
      <c r="E493" s="167">
        <v>0</v>
      </c>
      <c r="F493" s="320"/>
      <c r="G493" s="251"/>
      <c r="I493" s="167">
        <v>0.5</v>
      </c>
      <c r="J493" s="167">
        <v>0.25</v>
      </c>
      <c r="K493" s="167">
        <v>0.75</v>
      </c>
      <c r="L493" s="320"/>
      <c r="M493" s="251"/>
      <c r="O493">
        <f t="shared" si="35"/>
        <v>0</v>
      </c>
      <c r="P493">
        <f t="shared" si="34"/>
        <v>0</v>
      </c>
      <c r="Q493">
        <f t="shared" si="34"/>
        <v>0</v>
      </c>
    </row>
    <row r="494" spans="2:17" x14ac:dyDescent="0.3">
      <c r="B494" s="206" t="s">
        <v>1443</v>
      </c>
      <c r="C494" s="167">
        <v>0</v>
      </c>
      <c r="D494" s="167">
        <v>0</v>
      </c>
      <c r="E494" s="167">
        <v>0</v>
      </c>
      <c r="F494" s="320"/>
      <c r="G494" s="251"/>
      <c r="I494" s="167">
        <v>0.5</v>
      </c>
      <c r="J494" s="167">
        <v>0.25</v>
      </c>
      <c r="K494" s="167">
        <v>0.75</v>
      </c>
      <c r="L494" s="320"/>
      <c r="M494" s="251"/>
      <c r="O494">
        <f t="shared" si="35"/>
        <v>0</v>
      </c>
      <c r="P494">
        <f t="shared" si="34"/>
        <v>0</v>
      </c>
      <c r="Q494">
        <f t="shared" si="34"/>
        <v>0</v>
      </c>
    </row>
    <row r="495" spans="2:17" x14ac:dyDescent="0.3">
      <c r="B495" s="205" t="s">
        <v>1444</v>
      </c>
      <c r="F495" s="320"/>
      <c r="G495" s="251"/>
      <c r="L495" s="320"/>
      <c r="M495" s="251"/>
      <c r="O495"/>
      <c r="P495"/>
      <c r="Q495"/>
    </row>
    <row r="496" spans="2:17" x14ac:dyDescent="0.3">
      <c r="B496" s="206" t="s">
        <v>1082</v>
      </c>
      <c r="C496" s="167">
        <v>0</v>
      </c>
      <c r="D496" s="167">
        <v>0</v>
      </c>
      <c r="E496" s="167">
        <v>0</v>
      </c>
      <c r="F496" s="320"/>
      <c r="G496" s="251"/>
      <c r="I496" s="167">
        <v>0.5</v>
      </c>
      <c r="J496" s="167">
        <v>0.25</v>
      </c>
      <c r="K496" s="167">
        <v>0.75</v>
      </c>
      <c r="L496" s="320"/>
      <c r="M496" s="251"/>
      <c r="O496">
        <f t="shared" si="35"/>
        <v>0</v>
      </c>
      <c r="P496">
        <f t="shared" si="34"/>
        <v>0</v>
      </c>
      <c r="Q496">
        <f t="shared" si="34"/>
        <v>0</v>
      </c>
    </row>
    <row r="497" spans="2:17" x14ac:dyDescent="0.3">
      <c r="B497" s="206" t="s">
        <v>1083</v>
      </c>
      <c r="C497" s="167">
        <v>0</v>
      </c>
      <c r="D497" s="167">
        <v>0</v>
      </c>
      <c r="E497" s="167">
        <v>0</v>
      </c>
      <c r="F497" s="320"/>
      <c r="G497" s="251"/>
      <c r="I497" s="167">
        <v>0.5</v>
      </c>
      <c r="J497" s="167">
        <v>0.25</v>
      </c>
      <c r="K497" s="167">
        <v>0.75</v>
      </c>
      <c r="L497" s="320"/>
      <c r="M497" s="251"/>
      <c r="O497">
        <f t="shared" si="35"/>
        <v>0</v>
      </c>
      <c r="P497">
        <f t="shared" si="34"/>
        <v>0</v>
      </c>
      <c r="Q497">
        <f t="shared" si="34"/>
        <v>0</v>
      </c>
    </row>
    <row r="498" spans="2:17" x14ac:dyDescent="0.3">
      <c r="B498" s="206" t="s">
        <v>1084</v>
      </c>
      <c r="C498" s="167">
        <v>0</v>
      </c>
      <c r="D498" s="167">
        <v>0</v>
      </c>
      <c r="E498" s="167">
        <v>0</v>
      </c>
      <c r="F498" s="320"/>
      <c r="G498" s="251"/>
      <c r="I498" s="167">
        <v>0.5</v>
      </c>
      <c r="J498" s="167">
        <v>0.25</v>
      </c>
      <c r="K498" s="167">
        <v>0.75</v>
      </c>
      <c r="L498" s="320"/>
      <c r="M498" s="251"/>
      <c r="O498">
        <f t="shared" si="35"/>
        <v>0</v>
      </c>
      <c r="P498">
        <f t="shared" si="34"/>
        <v>0</v>
      </c>
      <c r="Q498">
        <f t="shared" si="34"/>
        <v>0</v>
      </c>
    </row>
    <row r="499" spans="2:17" x14ac:dyDescent="0.3">
      <c r="B499" s="206" t="s">
        <v>1085</v>
      </c>
      <c r="C499" s="167">
        <v>0</v>
      </c>
      <c r="D499" s="167">
        <v>0</v>
      </c>
      <c r="E499" s="167">
        <v>0</v>
      </c>
      <c r="F499" s="320"/>
      <c r="G499" s="251"/>
      <c r="I499" s="167">
        <v>0.5</v>
      </c>
      <c r="J499" s="167">
        <v>0.25</v>
      </c>
      <c r="K499" s="167">
        <v>0.75</v>
      </c>
      <c r="L499" s="320"/>
      <c r="M499" s="251"/>
      <c r="O499">
        <f t="shared" si="35"/>
        <v>0</v>
      </c>
      <c r="P499">
        <f t="shared" si="34"/>
        <v>0</v>
      </c>
      <c r="Q499">
        <f t="shared" si="34"/>
        <v>0</v>
      </c>
    </row>
    <row r="500" spans="2:17" x14ac:dyDescent="0.3">
      <c r="B500" s="206" t="s">
        <v>1086</v>
      </c>
      <c r="C500" s="167">
        <v>0</v>
      </c>
      <c r="D500" s="167">
        <v>0</v>
      </c>
      <c r="E500" s="167">
        <v>0</v>
      </c>
      <c r="F500" s="320"/>
      <c r="G500" s="251"/>
      <c r="I500" s="167">
        <v>0.5</v>
      </c>
      <c r="J500" s="167">
        <v>0.25</v>
      </c>
      <c r="K500" s="167">
        <v>0.75</v>
      </c>
      <c r="L500" s="320"/>
      <c r="M500" s="251"/>
      <c r="O500">
        <f t="shared" si="35"/>
        <v>0</v>
      </c>
      <c r="P500">
        <f t="shared" si="34"/>
        <v>0</v>
      </c>
      <c r="Q500">
        <f t="shared" si="34"/>
        <v>0</v>
      </c>
    </row>
    <row r="501" spans="2:17" x14ac:dyDescent="0.3">
      <c r="B501" s="206" t="s">
        <v>1087</v>
      </c>
      <c r="C501" s="167">
        <v>0</v>
      </c>
      <c r="D501" s="167">
        <v>0</v>
      </c>
      <c r="E501" s="167">
        <v>0</v>
      </c>
      <c r="F501" s="320"/>
      <c r="G501" s="251"/>
      <c r="I501" s="167">
        <v>0.5</v>
      </c>
      <c r="J501" s="167">
        <v>0.25</v>
      </c>
      <c r="K501" s="167">
        <v>0.75</v>
      </c>
      <c r="L501" s="320"/>
      <c r="M501" s="251"/>
      <c r="O501">
        <f t="shared" si="35"/>
        <v>0</v>
      </c>
      <c r="P501">
        <f t="shared" si="34"/>
        <v>0</v>
      </c>
      <c r="Q501">
        <f t="shared" si="34"/>
        <v>0</v>
      </c>
    </row>
    <row r="502" spans="2:17" x14ac:dyDescent="0.3">
      <c r="B502" s="206" t="s">
        <v>1443</v>
      </c>
      <c r="C502" s="167">
        <v>0</v>
      </c>
      <c r="D502" s="167">
        <v>0</v>
      </c>
      <c r="E502" s="167">
        <v>0</v>
      </c>
      <c r="F502" s="320"/>
      <c r="G502" s="251"/>
      <c r="I502" s="167">
        <v>0.5</v>
      </c>
      <c r="J502" s="167">
        <v>0.25</v>
      </c>
      <c r="K502" s="167">
        <v>0.75</v>
      </c>
      <c r="L502" s="320"/>
      <c r="M502" s="251"/>
      <c r="O502">
        <f t="shared" si="35"/>
        <v>0</v>
      </c>
      <c r="P502">
        <f t="shared" si="34"/>
        <v>0</v>
      </c>
      <c r="Q502">
        <f t="shared" si="34"/>
        <v>0</v>
      </c>
    </row>
    <row r="503" spans="2:17" x14ac:dyDescent="0.3">
      <c r="B503" s="207" t="s">
        <v>227</v>
      </c>
      <c r="C503" s="275"/>
      <c r="D503" s="275"/>
      <c r="E503" s="275"/>
      <c r="F503" s="320"/>
      <c r="G503" s="251"/>
      <c r="I503" s="275"/>
      <c r="J503" s="275"/>
      <c r="K503" s="275"/>
      <c r="L503" s="320"/>
      <c r="M503" s="251"/>
      <c r="O503"/>
      <c r="P503"/>
      <c r="Q503"/>
    </row>
    <row r="504" spans="2:17" x14ac:dyDescent="0.3">
      <c r="B504" s="206" t="s">
        <v>1437</v>
      </c>
      <c r="C504" s="167">
        <v>0</v>
      </c>
      <c r="D504" s="167">
        <v>0</v>
      </c>
      <c r="E504" s="167">
        <v>0</v>
      </c>
      <c r="F504" s="320"/>
      <c r="G504" s="251"/>
      <c r="I504" s="167">
        <v>0.5</v>
      </c>
      <c r="J504" s="167">
        <v>0.25</v>
      </c>
      <c r="K504" s="167">
        <v>0.75</v>
      </c>
      <c r="L504" s="320"/>
      <c r="M504" s="251"/>
      <c r="O504">
        <f t="shared" si="35"/>
        <v>0</v>
      </c>
      <c r="P504">
        <f t="shared" si="34"/>
        <v>0</v>
      </c>
      <c r="Q504">
        <f t="shared" si="34"/>
        <v>0</v>
      </c>
    </row>
    <row r="505" spans="2:17" x14ac:dyDescent="0.3">
      <c r="B505" s="206" t="s">
        <v>1438</v>
      </c>
      <c r="C505" s="167">
        <v>0</v>
      </c>
      <c r="D505" s="167">
        <v>0</v>
      </c>
      <c r="E505" s="167">
        <v>0</v>
      </c>
      <c r="F505" s="320"/>
      <c r="G505" s="251"/>
      <c r="I505" s="167">
        <v>0.5</v>
      </c>
      <c r="J505" s="167">
        <v>0.25</v>
      </c>
      <c r="K505" s="167">
        <v>0.75</v>
      </c>
      <c r="L505" s="320"/>
      <c r="M505" s="251"/>
      <c r="O505">
        <f t="shared" si="35"/>
        <v>0</v>
      </c>
      <c r="P505">
        <f t="shared" si="34"/>
        <v>0</v>
      </c>
      <c r="Q505">
        <f t="shared" si="34"/>
        <v>0</v>
      </c>
    </row>
    <row r="506" spans="2:17" x14ac:dyDescent="0.3">
      <c r="B506" s="206" t="s">
        <v>1441</v>
      </c>
      <c r="C506" s="167">
        <v>0</v>
      </c>
      <c r="D506" s="167">
        <v>0</v>
      </c>
      <c r="E506" s="167">
        <v>0</v>
      </c>
      <c r="F506" s="320"/>
      <c r="G506" s="251"/>
      <c r="I506" s="167">
        <v>0.5</v>
      </c>
      <c r="J506" s="167">
        <v>0.25</v>
      </c>
      <c r="K506" s="167">
        <v>0.75</v>
      </c>
      <c r="L506" s="320"/>
      <c r="M506" s="251"/>
      <c r="O506">
        <f t="shared" si="35"/>
        <v>0</v>
      </c>
      <c r="P506">
        <f t="shared" si="34"/>
        <v>0</v>
      </c>
      <c r="Q506">
        <f t="shared" si="34"/>
        <v>0</v>
      </c>
    </row>
    <row r="507" spans="2:17" x14ac:dyDescent="0.3">
      <c r="B507" s="206" t="s">
        <v>1442</v>
      </c>
      <c r="C507" s="167">
        <v>0</v>
      </c>
      <c r="D507" s="167">
        <v>0</v>
      </c>
      <c r="E507" s="167">
        <v>0</v>
      </c>
      <c r="F507" s="320"/>
      <c r="G507" s="251"/>
      <c r="I507" s="167">
        <v>0.5</v>
      </c>
      <c r="J507" s="167">
        <v>0.25</v>
      </c>
      <c r="K507" s="167">
        <v>0.75</v>
      </c>
      <c r="L507" s="320"/>
      <c r="M507" s="251"/>
      <c r="O507">
        <f t="shared" si="35"/>
        <v>0</v>
      </c>
      <c r="P507">
        <f t="shared" si="34"/>
        <v>0</v>
      </c>
      <c r="Q507">
        <f t="shared" si="34"/>
        <v>0</v>
      </c>
    </row>
    <row r="508" spans="2:17" x14ac:dyDescent="0.3">
      <c r="B508" s="207" t="s">
        <v>920</v>
      </c>
      <c r="C508" s="275"/>
      <c r="D508" s="275"/>
      <c r="E508" s="275"/>
      <c r="F508" s="320"/>
      <c r="G508" s="251"/>
      <c r="I508" s="275"/>
      <c r="J508" s="275"/>
      <c r="K508" s="275"/>
      <c r="L508" s="320"/>
      <c r="M508" s="251"/>
      <c r="O508"/>
      <c r="P508"/>
      <c r="Q508"/>
    </row>
    <row r="509" spans="2:17" x14ac:dyDescent="0.3">
      <c r="B509" s="206" t="s">
        <v>920</v>
      </c>
      <c r="C509" s="167">
        <v>0</v>
      </c>
      <c r="D509" s="167">
        <v>0</v>
      </c>
      <c r="E509" s="167">
        <v>0</v>
      </c>
      <c r="F509" s="320"/>
      <c r="G509" s="251"/>
      <c r="I509" s="167">
        <v>0.5</v>
      </c>
      <c r="J509" s="167">
        <v>0.25</v>
      </c>
      <c r="K509" s="167">
        <v>0.75</v>
      </c>
      <c r="L509" s="320"/>
      <c r="M509" s="251"/>
      <c r="O509">
        <f t="shared" si="35"/>
        <v>0</v>
      </c>
      <c r="P509">
        <f t="shared" si="34"/>
        <v>0</v>
      </c>
      <c r="Q509">
        <f t="shared" si="34"/>
        <v>0</v>
      </c>
    </row>
    <row r="510" spans="2:17" x14ac:dyDescent="0.3">
      <c r="B510" s="206" t="s">
        <v>980</v>
      </c>
      <c r="C510" s="167">
        <v>0</v>
      </c>
      <c r="D510" s="167">
        <v>0</v>
      </c>
      <c r="E510" s="167">
        <v>0</v>
      </c>
      <c r="F510" s="320"/>
      <c r="G510" s="251"/>
      <c r="I510" s="167">
        <v>0.5</v>
      </c>
      <c r="J510" s="167">
        <v>0.25</v>
      </c>
      <c r="K510" s="167">
        <v>0.75</v>
      </c>
      <c r="L510" s="320"/>
      <c r="M510" s="251"/>
      <c r="O510">
        <f t="shared" si="35"/>
        <v>0</v>
      </c>
      <c r="P510">
        <f t="shared" si="34"/>
        <v>0</v>
      </c>
      <c r="Q510">
        <f t="shared" si="34"/>
        <v>0</v>
      </c>
    </row>
    <row r="511" spans="2:17" x14ac:dyDescent="0.3">
      <c r="F511" s="320"/>
      <c r="L511" s="320"/>
    </row>
    <row r="513" spans="2:17" ht="18.600000000000001" thickBot="1" x14ac:dyDescent="0.4">
      <c r="B513"/>
      <c r="C513" s="788" t="s">
        <v>1075</v>
      </c>
      <c r="D513" s="788"/>
      <c r="E513" s="788"/>
      <c r="F513" s="788"/>
      <c r="G513" s="788"/>
      <c r="I513" s="788" t="s">
        <v>1075</v>
      </c>
      <c r="J513" s="788"/>
      <c r="K513" s="788"/>
      <c r="L513" s="788"/>
      <c r="M513" s="788"/>
    </row>
    <row r="514" spans="2:17" x14ac:dyDescent="0.3">
      <c r="B514"/>
      <c r="C514" s="214" t="s">
        <v>865</v>
      </c>
      <c r="D514" s="214" t="s">
        <v>985</v>
      </c>
      <c r="E514" s="214" t="s">
        <v>986</v>
      </c>
      <c r="F514" s="319" t="s">
        <v>592</v>
      </c>
      <c r="G514" s="215" t="s">
        <v>591</v>
      </c>
      <c r="I514" s="214" t="s">
        <v>865</v>
      </c>
      <c r="J514" s="214" t="s">
        <v>985</v>
      </c>
      <c r="K514" s="214" t="s">
        <v>986</v>
      </c>
      <c r="L514" s="319" t="s">
        <v>592</v>
      </c>
      <c r="M514" s="215" t="s">
        <v>591</v>
      </c>
      <c r="O514" s="214" t="s">
        <v>563</v>
      </c>
      <c r="P514" s="214" t="s">
        <v>985</v>
      </c>
      <c r="Q514" s="214" t="s">
        <v>986</v>
      </c>
    </row>
    <row r="515" spans="2:17" ht="15.6" x14ac:dyDescent="0.3">
      <c r="B515" s="205" t="s">
        <v>1450</v>
      </c>
      <c r="C515" s="285"/>
      <c r="D515"/>
      <c r="E515" s="214"/>
      <c r="F515" s="321"/>
      <c r="G515" s="215"/>
      <c r="I515" s="285"/>
      <c r="J515"/>
      <c r="K515" s="214"/>
      <c r="L515" s="321"/>
      <c r="M515" s="215"/>
    </row>
    <row r="516" spans="2:17" x14ac:dyDescent="0.3">
      <c r="B516" s="206" t="s">
        <v>1082</v>
      </c>
      <c r="C516" s="167">
        <v>0</v>
      </c>
      <c r="D516" s="167">
        <v>0</v>
      </c>
      <c r="E516" s="167">
        <v>0</v>
      </c>
      <c r="F516" s="470"/>
      <c r="G516" s="471"/>
      <c r="H516" s="472"/>
      <c r="I516" s="473">
        <v>941.19996066541989</v>
      </c>
      <c r="J516" s="473">
        <v>705.89997049906492</v>
      </c>
      <c r="K516" s="473">
        <v>1176.4999508317749</v>
      </c>
      <c r="L516" s="470"/>
      <c r="M516" s="471"/>
      <c r="N516" s="472"/>
      <c r="O516">
        <f>IF(ISBLANK(C516),I516,C516)</f>
        <v>0</v>
      </c>
      <c r="P516">
        <f t="shared" ref="P516:Q538" si="36">IF(ISBLANK(D516),J516,D516)</f>
        <v>0</v>
      </c>
      <c r="Q516">
        <f t="shared" si="36"/>
        <v>0</v>
      </c>
    </row>
    <row r="517" spans="2:17" x14ac:dyDescent="0.3">
      <c r="B517" s="206" t="s">
        <v>1083</v>
      </c>
      <c r="C517" s="167">
        <v>0</v>
      </c>
      <c r="D517" s="167">
        <v>0</v>
      </c>
      <c r="E517" s="167">
        <v>0</v>
      </c>
      <c r="F517" s="470"/>
      <c r="G517" s="471"/>
      <c r="H517" s="472"/>
      <c r="I517" s="473">
        <v>941.19996066541989</v>
      </c>
      <c r="J517" s="473">
        <v>705.89997049906492</v>
      </c>
      <c r="K517" s="473">
        <v>1176.4999508317749</v>
      </c>
      <c r="L517" s="470"/>
      <c r="M517" s="471"/>
      <c r="N517" s="472"/>
      <c r="O517">
        <f t="shared" ref="O517:O538" si="37">IF(ISBLANK(C517),I517,C517)</f>
        <v>0</v>
      </c>
      <c r="P517">
        <f t="shared" si="36"/>
        <v>0</v>
      </c>
      <c r="Q517">
        <f t="shared" si="36"/>
        <v>0</v>
      </c>
    </row>
    <row r="518" spans="2:17" x14ac:dyDescent="0.3">
      <c r="B518" s="206" t="s">
        <v>1084</v>
      </c>
      <c r="C518" s="167">
        <v>0</v>
      </c>
      <c r="D518" s="167">
        <v>0</v>
      </c>
      <c r="E518" s="167">
        <v>0</v>
      </c>
      <c r="F518" s="470"/>
      <c r="G518" s="471"/>
      <c r="H518" s="472"/>
      <c r="I518" s="473">
        <v>941.19996066541989</v>
      </c>
      <c r="J518" s="473">
        <v>705.89997049906492</v>
      </c>
      <c r="K518" s="473">
        <v>1176.4999508317749</v>
      </c>
      <c r="L518" s="470"/>
      <c r="M518" s="471"/>
      <c r="N518" s="472"/>
      <c r="O518">
        <f t="shared" si="37"/>
        <v>0</v>
      </c>
      <c r="P518">
        <f t="shared" si="36"/>
        <v>0</v>
      </c>
      <c r="Q518">
        <f t="shared" si="36"/>
        <v>0</v>
      </c>
    </row>
    <row r="519" spans="2:17" x14ac:dyDescent="0.3">
      <c r="B519" s="206" t="s">
        <v>1085</v>
      </c>
      <c r="C519" s="167">
        <v>0</v>
      </c>
      <c r="D519" s="167">
        <v>0</v>
      </c>
      <c r="E519" s="167">
        <v>0</v>
      </c>
      <c r="F519" s="470"/>
      <c r="G519" s="471"/>
      <c r="H519" s="472"/>
      <c r="I519" s="473">
        <v>941.19996066541989</v>
      </c>
      <c r="J519" s="473">
        <v>705.89997049906492</v>
      </c>
      <c r="K519" s="473">
        <v>1176.4999508317749</v>
      </c>
      <c r="L519" s="470"/>
      <c r="M519" s="471"/>
      <c r="N519" s="472"/>
      <c r="O519">
        <f t="shared" si="37"/>
        <v>0</v>
      </c>
      <c r="P519">
        <f t="shared" si="36"/>
        <v>0</v>
      </c>
      <c r="Q519">
        <f t="shared" si="36"/>
        <v>0</v>
      </c>
    </row>
    <row r="520" spans="2:17" x14ac:dyDescent="0.3">
      <c r="B520" s="206" t="s">
        <v>1086</v>
      </c>
      <c r="C520" s="167">
        <v>0</v>
      </c>
      <c r="D520" s="167">
        <v>0</v>
      </c>
      <c r="E520" s="167">
        <v>0</v>
      </c>
      <c r="F520" s="470"/>
      <c r="G520" s="471"/>
      <c r="H520" s="472"/>
      <c r="I520" s="473">
        <v>941.19996066541989</v>
      </c>
      <c r="J520" s="473">
        <v>705.89997049906492</v>
      </c>
      <c r="K520" s="473">
        <v>1176.4999508317749</v>
      </c>
      <c r="L520" s="470"/>
      <c r="M520" s="471"/>
      <c r="N520" s="472"/>
      <c r="O520">
        <f t="shared" si="37"/>
        <v>0</v>
      </c>
      <c r="P520">
        <f t="shared" si="36"/>
        <v>0</v>
      </c>
      <c r="Q520">
        <f t="shared" si="36"/>
        <v>0</v>
      </c>
    </row>
    <row r="521" spans="2:17" x14ac:dyDescent="0.3">
      <c r="B521" s="206" t="s">
        <v>1087</v>
      </c>
      <c r="C521" s="167">
        <v>0</v>
      </c>
      <c r="D521" s="167">
        <v>0</v>
      </c>
      <c r="E521" s="167">
        <v>0</v>
      </c>
      <c r="F521" s="470"/>
      <c r="G521" s="471"/>
      <c r="H521" s="472"/>
      <c r="I521" s="473">
        <v>941.19996066541989</v>
      </c>
      <c r="J521" s="473">
        <v>705.89997049906492</v>
      </c>
      <c r="K521" s="473">
        <v>1176.4999508317749</v>
      </c>
      <c r="L521" s="470"/>
      <c r="M521" s="471"/>
      <c r="N521" s="472"/>
      <c r="O521">
        <f t="shared" si="37"/>
        <v>0</v>
      </c>
      <c r="P521">
        <f t="shared" si="36"/>
        <v>0</v>
      </c>
      <c r="Q521">
        <f t="shared" si="36"/>
        <v>0</v>
      </c>
    </row>
    <row r="522" spans="2:17" x14ac:dyDescent="0.3">
      <c r="B522" s="206" t="s">
        <v>1443</v>
      </c>
      <c r="C522" s="167">
        <v>0</v>
      </c>
      <c r="D522" s="167">
        <v>0</v>
      </c>
      <c r="E522" s="167">
        <v>0</v>
      </c>
      <c r="F522" s="470"/>
      <c r="G522" s="471"/>
      <c r="H522" s="472"/>
      <c r="I522" s="473">
        <v>941.19996066541989</v>
      </c>
      <c r="J522" s="473">
        <v>705.89997049906492</v>
      </c>
      <c r="K522" s="473">
        <v>1176.4999508317749</v>
      </c>
      <c r="L522" s="470"/>
      <c r="M522" s="471"/>
      <c r="N522" s="472"/>
      <c r="O522">
        <f t="shared" si="37"/>
        <v>0</v>
      </c>
      <c r="P522">
        <f t="shared" si="36"/>
        <v>0</v>
      </c>
      <c r="Q522">
        <f t="shared" si="36"/>
        <v>0</v>
      </c>
    </row>
    <row r="523" spans="2:17" ht="15.6" x14ac:dyDescent="0.3">
      <c r="B523" s="205" t="s">
        <v>1444</v>
      </c>
      <c r="F523" s="476"/>
      <c r="G523" s="477"/>
      <c r="H523" s="472"/>
      <c r="I523" s="474"/>
      <c r="J523" s="55"/>
      <c r="K523" s="475"/>
      <c r="L523" s="476"/>
      <c r="M523" s="477"/>
      <c r="N523" s="472"/>
      <c r="O523"/>
      <c r="P523"/>
      <c r="Q523"/>
    </row>
    <row r="524" spans="2:17" x14ac:dyDescent="0.3">
      <c r="B524" s="206" t="s">
        <v>1082</v>
      </c>
      <c r="C524" s="167">
        <v>0</v>
      </c>
      <c r="D524" s="167">
        <v>0</v>
      </c>
      <c r="E524" s="167">
        <v>0</v>
      </c>
      <c r="F524" s="470"/>
      <c r="G524" s="471"/>
      <c r="H524" s="472"/>
      <c r="I524" s="473">
        <v>941.19996066541989</v>
      </c>
      <c r="J524" s="473">
        <v>705.89997049906492</v>
      </c>
      <c r="K524" s="473">
        <v>1176.4999508317749</v>
      </c>
      <c r="L524" s="470"/>
      <c r="M524" s="471"/>
      <c r="N524" s="472"/>
      <c r="O524">
        <f t="shared" si="37"/>
        <v>0</v>
      </c>
      <c r="P524">
        <f t="shared" si="36"/>
        <v>0</v>
      </c>
      <c r="Q524">
        <f t="shared" si="36"/>
        <v>0</v>
      </c>
    </row>
    <row r="525" spans="2:17" x14ac:dyDescent="0.3">
      <c r="B525" s="206" t="s">
        <v>1083</v>
      </c>
      <c r="C525" s="167">
        <v>0</v>
      </c>
      <c r="D525" s="167">
        <v>0</v>
      </c>
      <c r="E525" s="167">
        <v>0</v>
      </c>
      <c r="F525" s="470"/>
      <c r="G525" s="471"/>
      <c r="H525" s="472"/>
      <c r="I525" s="473">
        <v>941.19996066541989</v>
      </c>
      <c r="J525" s="473">
        <v>705.89997049906492</v>
      </c>
      <c r="K525" s="473">
        <v>1176.4999508317749</v>
      </c>
      <c r="L525" s="470"/>
      <c r="M525" s="471"/>
      <c r="N525" s="472"/>
      <c r="O525">
        <f t="shared" si="37"/>
        <v>0</v>
      </c>
      <c r="P525">
        <f t="shared" si="36"/>
        <v>0</v>
      </c>
      <c r="Q525">
        <f t="shared" si="36"/>
        <v>0</v>
      </c>
    </row>
    <row r="526" spans="2:17" x14ac:dyDescent="0.3">
      <c r="B526" s="206" t="s">
        <v>1084</v>
      </c>
      <c r="C526" s="167">
        <v>0</v>
      </c>
      <c r="D526" s="167">
        <v>0</v>
      </c>
      <c r="E526" s="167">
        <v>0</v>
      </c>
      <c r="F526" s="470"/>
      <c r="G526" s="471"/>
      <c r="H526" s="472"/>
      <c r="I526" s="473">
        <v>941.19996066541989</v>
      </c>
      <c r="J526" s="473">
        <v>705.89997049906492</v>
      </c>
      <c r="K526" s="473">
        <v>1176.4999508317749</v>
      </c>
      <c r="L526" s="470"/>
      <c r="M526" s="471"/>
      <c r="N526" s="472"/>
      <c r="O526">
        <f t="shared" si="37"/>
        <v>0</v>
      </c>
      <c r="P526">
        <f t="shared" si="36"/>
        <v>0</v>
      </c>
      <c r="Q526">
        <f t="shared" si="36"/>
        <v>0</v>
      </c>
    </row>
    <row r="527" spans="2:17" x14ac:dyDescent="0.3">
      <c r="B527" s="206" t="s">
        <v>1085</v>
      </c>
      <c r="C527" s="167">
        <v>0</v>
      </c>
      <c r="D527" s="167">
        <v>0</v>
      </c>
      <c r="E527" s="167">
        <v>0</v>
      </c>
      <c r="F527" s="470"/>
      <c r="G527" s="471"/>
      <c r="H527" s="472"/>
      <c r="I527" s="473">
        <v>941.19996066541989</v>
      </c>
      <c r="J527" s="473">
        <v>705.89997049906492</v>
      </c>
      <c r="K527" s="473">
        <v>1176.4999508317749</v>
      </c>
      <c r="L527" s="470"/>
      <c r="M527" s="471"/>
      <c r="N527" s="472"/>
      <c r="O527">
        <f t="shared" si="37"/>
        <v>0</v>
      </c>
      <c r="P527">
        <f t="shared" si="36"/>
        <v>0</v>
      </c>
      <c r="Q527">
        <f t="shared" si="36"/>
        <v>0</v>
      </c>
    </row>
    <row r="528" spans="2:17" x14ac:dyDescent="0.3">
      <c r="B528" s="206" t="s">
        <v>1086</v>
      </c>
      <c r="C528" s="167">
        <v>0</v>
      </c>
      <c r="D528" s="167">
        <v>0</v>
      </c>
      <c r="E528" s="167">
        <v>0</v>
      </c>
      <c r="F528" s="470"/>
      <c r="G528" s="471"/>
      <c r="H528" s="472"/>
      <c r="I528" s="473">
        <v>941.19996066541989</v>
      </c>
      <c r="J528" s="473">
        <v>705.89997049906492</v>
      </c>
      <c r="K528" s="473">
        <v>1176.4999508317749</v>
      </c>
      <c r="L528" s="470"/>
      <c r="M528" s="471"/>
      <c r="N528" s="472"/>
      <c r="O528">
        <f t="shared" si="37"/>
        <v>0</v>
      </c>
      <c r="P528">
        <f t="shared" si="36"/>
        <v>0</v>
      </c>
      <c r="Q528">
        <f t="shared" si="36"/>
        <v>0</v>
      </c>
    </row>
    <row r="529" spans="2:17" x14ac:dyDescent="0.3">
      <c r="B529" s="206" t="s">
        <v>1087</v>
      </c>
      <c r="C529" s="167">
        <v>0</v>
      </c>
      <c r="D529" s="167">
        <v>0</v>
      </c>
      <c r="E529" s="167">
        <v>0</v>
      </c>
      <c r="F529" s="470"/>
      <c r="G529" s="471"/>
      <c r="H529" s="472"/>
      <c r="I529" s="473">
        <v>941.19996066541989</v>
      </c>
      <c r="J529" s="473">
        <v>705.89997049906492</v>
      </c>
      <c r="K529" s="473">
        <v>1176.4999508317749</v>
      </c>
      <c r="L529" s="470"/>
      <c r="M529" s="471"/>
      <c r="N529" s="472"/>
      <c r="O529">
        <f t="shared" si="37"/>
        <v>0</v>
      </c>
      <c r="P529">
        <f t="shared" si="36"/>
        <v>0</v>
      </c>
      <c r="Q529">
        <f t="shared" si="36"/>
        <v>0</v>
      </c>
    </row>
    <row r="530" spans="2:17" x14ac:dyDescent="0.3">
      <c r="B530" s="206" t="s">
        <v>1443</v>
      </c>
      <c r="C530" s="167">
        <v>0</v>
      </c>
      <c r="D530" s="167">
        <v>0</v>
      </c>
      <c r="E530" s="167">
        <v>0</v>
      </c>
      <c r="F530" s="470"/>
      <c r="G530" s="471"/>
      <c r="H530" s="472"/>
      <c r="I530" s="473">
        <v>941.19996066541989</v>
      </c>
      <c r="J530" s="473">
        <v>705.89997049906492</v>
      </c>
      <c r="K530" s="473">
        <v>1176.4999508317749</v>
      </c>
      <c r="L530" s="470"/>
      <c r="M530" s="471"/>
      <c r="N530" s="472"/>
      <c r="O530">
        <f t="shared" si="37"/>
        <v>0</v>
      </c>
      <c r="P530">
        <f t="shared" si="36"/>
        <v>0</v>
      </c>
      <c r="Q530">
        <f t="shared" si="36"/>
        <v>0</v>
      </c>
    </row>
    <row r="531" spans="2:17" x14ac:dyDescent="0.3">
      <c r="B531" s="207" t="s">
        <v>227</v>
      </c>
      <c r="C531" s="275"/>
      <c r="D531" s="275"/>
      <c r="E531" s="275"/>
      <c r="F531" s="470"/>
      <c r="G531" s="471"/>
      <c r="H531" s="472"/>
      <c r="I531" s="460"/>
      <c r="J531" s="460"/>
      <c r="K531" s="460"/>
      <c r="L531" s="470"/>
      <c r="M531" s="471"/>
      <c r="N531" s="472"/>
      <c r="O531"/>
      <c r="P531"/>
      <c r="Q531"/>
    </row>
    <row r="532" spans="2:17" x14ac:dyDescent="0.3">
      <c r="B532" s="206" t="s">
        <v>1437</v>
      </c>
      <c r="C532" s="167">
        <v>0</v>
      </c>
      <c r="D532" s="167">
        <v>0</v>
      </c>
      <c r="E532" s="167">
        <v>0</v>
      </c>
      <c r="F532" s="470"/>
      <c r="G532" s="471"/>
      <c r="H532" s="472"/>
      <c r="I532" s="473">
        <v>941.19996066541989</v>
      </c>
      <c r="J532" s="473">
        <v>705.89997049906492</v>
      </c>
      <c r="K532" s="473">
        <v>1176.4999508317749</v>
      </c>
      <c r="L532" s="470"/>
      <c r="M532" s="471"/>
      <c r="N532" s="472"/>
      <c r="O532">
        <f t="shared" si="37"/>
        <v>0</v>
      </c>
      <c r="P532">
        <f t="shared" si="36"/>
        <v>0</v>
      </c>
      <c r="Q532">
        <f t="shared" si="36"/>
        <v>0</v>
      </c>
    </row>
    <row r="533" spans="2:17" x14ac:dyDescent="0.3">
      <c r="B533" s="206" t="s">
        <v>1438</v>
      </c>
      <c r="C533" s="167">
        <v>0</v>
      </c>
      <c r="D533" s="167">
        <v>0</v>
      </c>
      <c r="E533" s="167">
        <v>0</v>
      </c>
      <c r="F533" s="470"/>
      <c r="G533" s="471"/>
      <c r="H533" s="472"/>
      <c r="I533" s="473">
        <v>941.19996066541989</v>
      </c>
      <c r="J533" s="473">
        <v>705.89997049906492</v>
      </c>
      <c r="K533" s="473">
        <v>1176.4999508317749</v>
      </c>
      <c r="L533" s="470"/>
      <c r="M533" s="471"/>
      <c r="N533" s="472"/>
      <c r="O533">
        <f t="shared" si="37"/>
        <v>0</v>
      </c>
      <c r="P533">
        <f t="shared" si="36"/>
        <v>0</v>
      </c>
      <c r="Q533">
        <f t="shared" si="36"/>
        <v>0</v>
      </c>
    </row>
    <row r="534" spans="2:17" x14ac:dyDescent="0.3">
      <c r="B534" s="206" t="s">
        <v>1441</v>
      </c>
      <c r="C534" s="167">
        <v>0</v>
      </c>
      <c r="D534" s="167">
        <v>0</v>
      </c>
      <c r="E534" s="167">
        <v>0</v>
      </c>
      <c r="F534" s="470"/>
      <c r="G534" s="471"/>
      <c r="H534" s="472"/>
      <c r="I534" s="473">
        <v>941.19996066541989</v>
      </c>
      <c r="J534" s="473">
        <v>705.89997049906492</v>
      </c>
      <c r="K534" s="473">
        <v>1176.4999508317749</v>
      </c>
      <c r="L534" s="470"/>
      <c r="M534" s="471"/>
      <c r="N534" s="472"/>
      <c r="O534">
        <f t="shared" si="37"/>
        <v>0</v>
      </c>
      <c r="P534">
        <f t="shared" si="36"/>
        <v>0</v>
      </c>
      <c r="Q534">
        <f t="shared" si="36"/>
        <v>0</v>
      </c>
    </row>
    <row r="535" spans="2:17" x14ac:dyDescent="0.3">
      <c r="B535" s="206" t="s">
        <v>1442</v>
      </c>
      <c r="C535" s="167">
        <v>0</v>
      </c>
      <c r="D535" s="167">
        <v>0</v>
      </c>
      <c r="E535" s="167">
        <v>0</v>
      </c>
      <c r="F535" s="470"/>
      <c r="G535" s="471"/>
      <c r="H535" s="472"/>
      <c r="I535" s="473">
        <v>941.19996066541989</v>
      </c>
      <c r="J535" s="473">
        <v>705.89997049906492</v>
      </c>
      <c r="K535" s="473">
        <v>1176.4999508317749</v>
      </c>
      <c r="L535" s="470"/>
      <c r="M535" s="471"/>
      <c r="N535" s="472"/>
      <c r="O535">
        <f t="shared" si="37"/>
        <v>0</v>
      </c>
      <c r="P535">
        <f t="shared" si="36"/>
        <v>0</v>
      </c>
      <c r="Q535">
        <f t="shared" si="36"/>
        <v>0</v>
      </c>
    </row>
    <row r="536" spans="2:17" x14ac:dyDescent="0.3">
      <c r="B536" s="207" t="s">
        <v>920</v>
      </c>
      <c r="C536" s="275"/>
      <c r="D536" s="275"/>
      <c r="E536" s="275"/>
      <c r="F536" s="470"/>
      <c r="G536" s="471"/>
      <c r="H536" s="472"/>
      <c r="I536" s="460"/>
      <c r="J536" s="460"/>
      <c r="K536" s="460"/>
      <c r="L536" s="470"/>
      <c r="M536" s="471"/>
      <c r="N536" s="472"/>
      <c r="O536"/>
      <c r="P536"/>
      <c r="Q536"/>
    </row>
    <row r="537" spans="2:17" x14ac:dyDescent="0.3">
      <c r="B537" s="206" t="s">
        <v>920</v>
      </c>
      <c r="C537" s="167">
        <v>0</v>
      </c>
      <c r="D537" s="167">
        <v>0</v>
      </c>
      <c r="E537" s="167">
        <v>0</v>
      </c>
      <c r="F537" s="470"/>
      <c r="G537" s="471"/>
      <c r="H537" s="472"/>
      <c r="I537" s="473">
        <v>941.19996066541989</v>
      </c>
      <c r="J537" s="473">
        <v>705.89997049906492</v>
      </c>
      <c r="K537" s="473">
        <v>1176.4999508317749</v>
      </c>
      <c r="L537" s="470"/>
      <c r="M537" s="471"/>
      <c r="N537" s="472"/>
      <c r="O537">
        <f t="shared" si="37"/>
        <v>0</v>
      </c>
      <c r="P537">
        <f t="shared" si="36"/>
        <v>0</v>
      </c>
      <c r="Q537">
        <f t="shared" si="36"/>
        <v>0</v>
      </c>
    </row>
    <row r="538" spans="2:17" x14ac:dyDescent="0.3">
      <c r="B538" s="206" t="s">
        <v>980</v>
      </c>
      <c r="C538" s="167">
        <v>0</v>
      </c>
      <c r="D538" s="167">
        <v>0</v>
      </c>
      <c r="E538" s="167">
        <v>0</v>
      </c>
      <c r="F538" s="470"/>
      <c r="G538" s="471"/>
      <c r="H538" s="472"/>
      <c r="I538" s="473">
        <v>941.19996066541989</v>
      </c>
      <c r="J538" s="473">
        <v>705.89997049906492</v>
      </c>
      <c r="K538" s="473">
        <v>1176.4999508317749</v>
      </c>
      <c r="L538" s="470"/>
      <c r="M538" s="471"/>
      <c r="N538" s="472"/>
      <c r="O538">
        <f t="shared" si="37"/>
        <v>0</v>
      </c>
      <c r="P538">
        <f t="shared" si="36"/>
        <v>0</v>
      </c>
      <c r="Q538">
        <f t="shared" si="36"/>
        <v>0</v>
      </c>
    </row>
    <row r="539" spans="2:17" x14ac:dyDescent="0.3">
      <c r="F539" s="320"/>
      <c r="L539" s="320"/>
    </row>
    <row r="541" spans="2:17" x14ac:dyDescent="0.3">
      <c r="B541" s="236" t="s">
        <v>1486</v>
      </c>
      <c r="F541" s="320"/>
      <c r="L541" s="320"/>
      <c r="M541" s="251"/>
    </row>
    <row r="542" spans="2:17" x14ac:dyDescent="0.3">
      <c r="B542" s="236"/>
      <c r="F542" s="320"/>
      <c r="G542"/>
      <c r="L542" s="320"/>
      <c r="M542" s="251"/>
    </row>
    <row r="543" spans="2:17" x14ac:dyDescent="0.3">
      <c r="B543" s="781" t="s">
        <v>1095</v>
      </c>
      <c r="C543" s="781"/>
      <c r="D543" s="781"/>
      <c r="E543" s="781"/>
      <c r="F543" s="781"/>
      <c r="G543" s="781"/>
      <c r="I543" s="787" t="s">
        <v>1096</v>
      </c>
      <c r="J543" s="787"/>
      <c r="K543" s="787"/>
      <c r="L543" s="787"/>
      <c r="M543" s="787"/>
      <c r="O543" s="204" t="s">
        <v>1097</v>
      </c>
    </row>
    <row r="544" spans="2:17" ht="19.5" customHeight="1" thickBot="1" x14ac:dyDescent="0.4">
      <c r="B544" s="215"/>
      <c r="C544" s="786" t="s">
        <v>1370</v>
      </c>
      <c r="D544" s="786"/>
      <c r="E544" s="786"/>
      <c r="F544" s="786"/>
      <c r="G544" s="786"/>
      <c r="I544" s="786" t="s">
        <v>1370</v>
      </c>
      <c r="J544" s="786"/>
      <c r="K544" s="786"/>
      <c r="L544" s="786"/>
      <c r="M544" s="786"/>
    </row>
    <row r="545" spans="2:17" x14ac:dyDescent="0.3">
      <c r="B545" s="215"/>
      <c r="C545" s="214" t="s">
        <v>865</v>
      </c>
      <c r="D545" s="214" t="s">
        <v>985</v>
      </c>
      <c r="E545" s="214" t="s">
        <v>986</v>
      </c>
      <c r="F545" s="319" t="s">
        <v>592</v>
      </c>
      <c r="G545" s="215" t="s">
        <v>591</v>
      </c>
      <c r="I545" s="214" t="s">
        <v>865</v>
      </c>
      <c r="J545" s="214" t="s">
        <v>985</v>
      </c>
      <c r="K545" s="214" t="s">
        <v>986</v>
      </c>
      <c r="L545" s="319" t="s">
        <v>592</v>
      </c>
      <c r="M545" s="215" t="s">
        <v>591</v>
      </c>
      <c r="O545" s="214" t="s">
        <v>865</v>
      </c>
      <c r="P545" s="214" t="s">
        <v>985</v>
      </c>
      <c r="Q545" s="214" t="s">
        <v>986</v>
      </c>
    </row>
    <row r="546" spans="2:17" x14ac:dyDescent="0.3">
      <c r="B546" s="205" t="s">
        <v>1450</v>
      </c>
      <c r="F546" s="320"/>
      <c r="G546" s="251"/>
      <c r="L546" s="320"/>
      <c r="M546" s="251"/>
    </row>
    <row r="547" spans="2:17" x14ac:dyDescent="0.3">
      <c r="B547" s="206" t="s">
        <v>1082</v>
      </c>
      <c r="C547" s="167">
        <v>1.3</v>
      </c>
      <c r="D547" s="167">
        <v>0.6</v>
      </c>
      <c r="E547" s="167">
        <v>2.1</v>
      </c>
      <c r="F547" s="320" t="s">
        <v>866</v>
      </c>
      <c r="G547" s="251" t="s">
        <v>874</v>
      </c>
      <c r="I547" s="167">
        <v>3.2</v>
      </c>
      <c r="J547" s="167">
        <v>2.81</v>
      </c>
      <c r="K547" s="167">
        <v>3.59</v>
      </c>
      <c r="L547" s="320"/>
      <c r="M547" s="251"/>
      <c r="O547">
        <f>IF(ISBLANK(C547),I547,C547)</f>
        <v>1.3</v>
      </c>
      <c r="P547">
        <f t="shared" ref="P547:Q569" si="38">IF(ISBLANK(D547),J547,D547)</f>
        <v>0.6</v>
      </c>
      <c r="Q547">
        <f t="shared" si="38"/>
        <v>2.1</v>
      </c>
    </row>
    <row r="548" spans="2:17" x14ac:dyDescent="0.3">
      <c r="B548" s="206" t="s">
        <v>1083</v>
      </c>
      <c r="C548" s="167">
        <v>1.3</v>
      </c>
      <c r="D548" s="167">
        <v>0.6</v>
      </c>
      <c r="E548" s="167">
        <v>2.1</v>
      </c>
      <c r="F548" s="320" t="s">
        <v>866</v>
      </c>
      <c r="G548" s="251" t="s">
        <v>874</v>
      </c>
      <c r="I548" s="167">
        <v>3.2</v>
      </c>
      <c r="J548" s="167">
        <v>2.81</v>
      </c>
      <c r="K548" s="167">
        <v>3.59</v>
      </c>
      <c r="L548" s="320"/>
      <c r="M548" s="251"/>
      <c r="O548">
        <f t="shared" ref="O548:O569" si="39">IF(ISBLANK(C548),I548,C548)</f>
        <v>1.3</v>
      </c>
      <c r="P548">
        <f t="shared" si="38"/>
        <v>0.6</v>
      </c>
      <c r="Q548">
        <f t="shared" si="38"/>
        <v>2.1</v>
      </c>
    </row>
    <row r="549" spans="2:17" x14ac:dyDescent="0.3">
      <c r="B549" s="206" t="s">
        <v>1084</v>
      </c>
      <c r="C549" s="167">
        <v>1.3</v>
      </c>
      <c r="D549" s="167">
        <v>0.6</v>
      </c>
      <c r="E549" s="167">
        <v>2.1</v>
      </c>
      <c r="F549" s="320" t="s">
        <v>866</v>
      </c>
      <c r="G549" s="251" t="s">
        <v>874</v>
      </c>
      <c r="I549" s="167">
        <v>3.0333333333333337</v>
      </c>
      <c r="J549" s="167">
        <v>2.64</v>
      </c>
      <c r="K549" s="167">
        <v>3.4249999999999998</v>
      </c>
      <c r="L549" s="320"/>
      <c r="M549" s="251"/>
      <c r="O549">
        <f t="shared" si="39"/>
        <v>1.3</v>
      </c>
      <c r="P549">
        <f t="shared" si="38"/>
        <v>0.6</v>
      </c>
      <c r="Q549">
        <f t="shared" si="38"/>
        <v>2.1</v>
      </c>
    </row>
    <row r="550" spans="2:17" x14ac:dyDescent="0.3">
      <c r="B550" s="206" t="s">
        <v>1085</v>
      </c>
      <c r="C550" s="167">
        <v>0.8</v>
      </c>
      <c r="D550" s="167">
        <v>0.3</v>
      </c>
      <c r="E550" s="167">
        <v>1.6</v>
      </c>
      <c r="F550" s="320" t="s">
        <v>866</v>
      </c>
      <c r="G550" s="251" t="s">
        <v>874</v>
      </c>
      <c r="I550" s="167">
        <v>2.1</v>
      </c>
      <c r="J550" s="167">
        <v>1.51</v>
      </c>
      <c r="K550" s="167">
        <v>2.69</v>
      </c>
      <c r="L550" s="320"/>
      <c r="M550" s="251"/>
      <c r="N550" s="204" t="s">
        <v>965</v>
      </c>
      <c r="O550">
        <f t="shared" si="39"/>
        <v>0.8</v>
      </c>
      <c r="P550">
        <f t="shared" si="38"/>
        <v>0.3</v>
      </c>
      <c r="Q550">
        <f t="shared" si="38"/>
        <v>1.6</v>
      </c>
    </row>
    <row r="551" spans="2:17" x14ac:dyDescent="0.3">
      <c r="B551" s="206" t="s">
        <v>1086</v>
      </c>
      <c r="C551" s="167">
        <v>0.8</v>
      </c>
      <c r="D551" s="167">
        <v>0.3</v>
      </c>
      <c r="E551" s="167">
        <v>1.6</v>
      </c>
      <c r="F551" s="320" t="s">
        <v>867</v>
      </c>
      <c r="G551" s="251"/>
      <c r="I551" s="167">
        <v>4</v>
      </c>
      <c r="J551" s="167">
        <v>3.61</v>
      </c>
      <c r="K551" s="167">
        <v>4.3890340053085746</v>
      </c>
      <c r="L551" s="320"/>
      <c r="M551" s="251"/>
      <c r="N551" s="204" t="s">
        <v>965</v>
      </c>
      <c r="O551">
        <f t="shared" si="39"/>
        <v>0.8</v>
      </c>
      <c r="P551">
        <f t="shared" si="38"/>
        <v>0.3</v>
      </c>
      <c r="Q551">
        <f t="shared" si="38"/>
        <v>1.6</v>
      </c>
    </row>
    <row r="552" spans="2:17" x14ac:dyDescent="0.3">
      <c r="B552" s="206" t="s">
        <v>1087</v>
      </c>
      <c r="C552" s="167">
        <v>0.8</v>
      </c>
      <c r="D552" s="167">
        <v>0.3</v>
      </c>
      <c r="E552" s="167">
        <v>1.6</v>
      </c>
      <c r="F552" s="320" t="s">
        <v>868</v>
      </c>
      <c r="G552" s="251"/>
      <c r="I552" s="167">
        <v>4</v>
      </c>
      <c r="J552" s="167">
        <v>3.6109659946914254</v>
      </c>
      <c r="K552" s="167">
        <v>4.3899999999999997</v>
      </c>
      <c r="L552" s="320"/>
      <c r="M552" s="251"/>
      <c r="N552" s="204" t="s">
        <v>965</v>
      </c>
      <c r="O552">
        <f t="shared" si="39"/>
        <v>0.8</v>
      </c>
      <c r="P552">
        <f t="shared" si="38"/>
        <v>0.3</v>
      </c>
      <c r="Q552">
        <f t="shared" si="38"/>
        <v>1.6</v>
      </c>
    </row>
    <row r="553" spans="2:17" x14ac:dyDescent="0.3">
      <c r="B553" s="206" t="s">
        <v>1443</v>
      </c>
      <c r="C553" s="167">
        <v>0.4</v>
      </c>
      <c r="D553" s="167">
        <v>0.2</v>
      </c>
      <c r="E553" s="167">
        <v>1.8</v>
      </c>
      <c r="F553" s="320" t="s">
        <v>869</v>
      </c>
      <c r="G553" s="251" t="s">
        <v>876</v>
      </c>
      <c r="I553" s="167">
        <v>0</v>
      </c>
      <c r="J553" s="167">
        <v>0</v>
      </c>
      <c r="K553" s="167">
        <v>0</v>
      </c>
      <c r="L553" s="320"/>
      <c r="M553" s="251"/>
      <c r="N553" s="204" t="s">
        <v>965</v>
      </c>
      <c r="O553">
        <f t="shared" si="39"/>
        <v>0.4</v>
      </c>
      <c r="P553">
        <f t="shared" si="38"/>
        <v>0.2</v>
      </c>
      <c r="Q553">
        <f t="shared" si="38"/>
        <v>1.8</v>
      </c>
    </row>
    <row r="554" spans="2:17" x14ac:dyDescent="0.3">
      <c r="B554" s="205" t="s">
        <v>1444</v>
      </c>
      <c r="F554" s="320"/>
      <c r="G554" s="251"/>
      <c r="L554" s="320"/>
      <c r="M554" s="251"/>
      <c r="O554"/>
      <c r="P554"/>
      <c r="Q554"/>
    </row>
    <row r="555" spans="2:17" x14ac:dyDescent="0.3">
      <c r="B555" s="206" t="s">
        <v>1082</v>
      </c>
      <c r="C555" s="167">
        <v>1.3</v>
      </c>
      <c r="D555" s="167">
        <v>0.6</v>
      </c>
      <c r="E555" s="167">
        <v>2.1</v>
      </c>
      <c r="F555" s="320" t="s">
        <v>866</v>
      </c>
      <c r="G555" s="251" t="s">
        <v>874</v>
      </c>
      <c r="I555" s="167">
        <v>3.2</v>
      </c>
      <c r="J555" s="167">
        <v>2.81</v>
      </c>
      <c r="K555" s="167">
        <v>3.59</v>
      </c>
      <c r="L555" s="320"/>
      <c r="M555" s="251"/>
      <c r="O555">
        <f t="shared" si="39"/>
        <v>1.3</v>
      </c>
      <c r="P555">
        <f t="shared" si="38"/>
        <v>0.6</v>
      </c>
      <c r="Q555">
        <f t="shared" si="38"/>
        <v>2.1</v>
      </c>
    </row>
    <row r="556" spans="2:17" x14ac:dyDescent="0.3">
      <c r="B556" s="206" t="s">
        <v>1083</v>
      </c>
      <c r="C556" s="167">
        <v>1.3</v>
      </c>
      <c r="D556" s="167">
        <v>0.6</v>
      </c>
      <c r="E556" s="167">
        <v>2.1</v>
      </c>
      <c r="F556" s="320" t="s">
        <v>866</v>
      </c>
      <c r="G556" s="251" t="s">
        <v>874</v>
      </c>
      <c r="I556" s="167">
        <v>3.2</v>
      </c>
      <c r="J556" s="167">
        <v>2.81</v>
      </c>
      <c r="K556" s="167">
        <v>3.59</v>
      </c>
      <c r="L556" s="320"/>
      <c r="M556" s="251"/>
      <c r="O556">
        <f t="shared" si="39"/>
        <v>1.3</v>
      </c>
      <c r="P556">
        <f t="shared" si="38"/>
        <v>0.6</v>
      </c>
      <c r="Q556">
        <f t="shared" si="38"/>
        <v>2.1</v>
      </c>
    </row>
    <row r="557" spans="2:17" x14ac:dyDescent="0.3">
      <c r="B557" s="206" t="s">
        <v>1084</v>
      </c>
      <c r="C557" s="167">
        <v>1.3</v>
      </c>
      <c r="D557" s="167">
        <v>0.6</v>
      </c>
      <c r="E557" s="167">
        <v>2.1</v>
      </c>
      <c r="F557" s="320" t="s">
        <v>866</v>
      </c>
      <c r="G557" s="251" t="s">
        <v>874</v>
      </c>
      <c r="I557" s="167">
        <v>3.0333333333333337</v>
      </c>
      <c r="J557" s="167">
        <v>2.64</v>
      </c>
      <c r="K557" s="167">
        <v>3.4249999999999998</v>
      </c>
      <c r="L557" s="320"/>
      <c r="M557" s="251"/>
      <c r="O557">
        <f t="shared" si="39"/>
        <v>1.3</v>
      </c>
      <c r="P557">
        <f t="shared" si="38"/>
        <v>0.6</v>
      </c>
      <c r="Q557">
        <f t="shared" si="38"/>
        <v>2.1</v>
      </c>
    </row>
    <row r="558" spans="2:17" x14ac:dyDescent="0.3">
      <c r="B558" s="206" t="s">
        <v>1085</v>
      </c>
      <c r="C558" s="167">
        <v>0.9</v>
      </c>
      <c r="D558" s="167">
        <v>0.4</v>
      </c>
      <c r="E558" s="167">
        <v>1.8</v>
      </c>
      <c r="F558" s="320" t="s">
        <v>866</v>
      </c>
      <c r="G558" s="251" t="s">
        <v>874</v>
      </c>
      <c r="I558" s="167">
        <v>2.1</v>
      </c>
      <c r="J558" s="167">
        <v>1.51</v>
      </c>
      <c r="K558" s="167">
        <v>2.69</v>
      </c>
      <c r="L558" s="320"/>
      <c r="M558" s="251"/>
      <c r="N558" s="204" t="s">
        <v>965</v>
      </c>
      <c r="O558">
        <f t="shared" si="39"/>
        <v>0.9</v>
      </c>
      <c r="P558">
        <f t="shared" si="38"/>
        <v>0.4</v>
      </c>
      <c r="Q558">
        <f t="shared" si="38"/>
        <v>1.8</v>
      </c>
    </row>
    <row r="559" spans="2:17" x14ac:dyDescent="0.3">
      <c r="B559" s="206" t="s">
        <v>1086</v>
      </c>
      <c r="C559" s="167">
        <v>0.9</v>
      </c>
      <c r="D559" s="167">
        <v>0.4</v>
      </c>
      <c r="E559" s="167">
        <v>1.8</v>
      </c>
      <c r="F559" s="320" t="s">
        <v>867</v>
      </c>
      <c r="G559" s="251"/>
      <c r="I559" s="167">
        <v>4</v>
      </c>
      <c r="J559" s="167">
        <v>3.61</v>
      </c>
      <c r="K559" s="167">
        <v>4.3890340053085746</v>
      </c>
      <c r="L559" s="320"/>
      <c r="M559" s="251"/>
      <c r="N559" s="204" t="s">
        <v>965</v>
      </c>
      <c r="O559">
        <f t="shared" si="39"/>
        <v>0.9</v>
      </c>
      <c r="P559">
        <f t="shared" si="38"/>
        <v>0.4</v>
      </c>
      <c r="Q559">
        <f t="shared" si="38"/>
        <v>1.8</v>
      </c>
    </row>
    <row r="560" spans="2:17" x14ac:dyDescent="0.3">
      <c r="B560" s="206" t="s">
        <v>1087</v>
      </c>
      <c r="C560" s="167">
        <v>0.9</v>
      </c>
      <c r="D560" s="167">
        <v>0.4</v>
      </c>
      <c r="E560" s="167">
        <v>1.8</v>
      </c>
      <c r="F560" s="320" t="s">
        <v>868</v>
      </c>
      <c r="G560" s="251"/>
      <c r="I560" s="167">
        <v>4</v>
      </c>
      <c r="J560" s="167">
        <v>3.6109659946914254</v>
      </c>
      <c r="K560" s="167">
        <v>4.3899999999999997</v>
      </c>
      <c r="L560" s="320"/>
      <c r="M560" s="251"/>
      <c r="N560" s="204" t="s">
        <v>965</v>
      </c>
      <c r="O560">
        <f t="shared" si="39"/>
        <v>0.9</v>
      </c>
      <c r="P560">
        <f t="shared" si="38"/>
        <v>0.4</v>
      </c>
      <c r="Q560">
        <f t="shared" si="38"/>
        <v>1.8</v>
      </c>
    </row>
    <row r="561" spans="2:17" x14ac:dyDescent="0.3">
      <c r="B561" s="206" t="s">
        <v>1443</v>
      </c>
      <c r="C561" s="167">
        <v>0.4</v>
      </c>
      <c r="D561" s="167">
        <v>0.2</v>
      </c>
      <c r="E561" s="167">
        <v>1.8</v>
      </c>
      <c r="F561" s="320" t="s">
        <v>869</v>
      </c>
      <c r="G561" s="251" t="s">
        <v>876</v>
      </c>
      <c r="I561" s="167">
        <v>0</v>
      </c>
      <c r="J561" s="167">
        <v>0</v>
      </c>
      <c r="K561" s="167">
        <v>0</v>
      </c>
      <c r="L561" s="320"/>
      <c r="M561" s="251"/>
      <c r="N561" s="204" t="s">
        <v>965</v>
      </c>
      <c r="O561">
        <f t="shared" si="39"/>
        <v>0.4</v>
      </c>
      <c r="P561">
        <f t="shared" si="38"/>
        <v>0.2</v>
      </c>
      <c r="Q561">
        <f t="shared" si="38"/>
        <v>1.8</v>
      </c>
    </row>
    <row r="562" spans="2:17" x14ac:dyDescent="0.3">
      <c r="B562" s="207" t="s">
        <v>227</v>
      </c>
      <c r="C562" s="275"/>
      <c r="D562" s="275"/>
      <c r="E562" s="275"/>
      <c r="F562" s="320"/>
      <c r="G562" s="251"/>
      <c r="I562" s="275"/>
      <c r="J562" s="275"/>
      <c r="K562" s="275"/>
      <c r="L562" s="320"/>
      <c r="M562" s="251"/>
      <c r="O562"/>
      <c r="P562"/>
      <c r="Q562"/>
    </row>
    <row r="563" spans="2:17" x14ac:dyDescent="0.3">
      <c r="B563" s="206" t="s">
        <v>1437</v>
      </c>
      <c r="C563" s="167">
        <v>1</v>
      </c>
      <c r="D563" s="167">
        <v>0.6</v>
      </c>
      <c r="E563" s="167">
        <v>2</v>
      </c>
      <c r="F563" s="320" t="s">
        <v>869</v>
      </c>
      <c r="G563" s="251" t="s">
        <v>969</v>
      </c>
      <c r="I563" s="167">
        <v>2.0222222222222221</v>
      </c>
      <c r="J563" s="167">
        <v>1.76</v>
      </c>
      <c r="K563" s="167">
        <v>2.2833333333333332</v>
      </c>
      <c r="L563" s="320"/>
      <c r="M563" s="251"/>
      <c r="N563" s="204" t="s">
        <v>965</v>
      </c>
      <c r="O563">
        <f t="shared" si="39"/>
        <v>1</v>
      </c>
      <c r="P563">
        <f t="shared" si="38"/>
        <v>0.6</v>
      </c>
      <c r="Q563">
        <f t="shared" si="38"/>
        <v>2</v>
      </c>
    </row>
    <row r="564" spans="2:17" x14ac:dyDescent="0.3">
      <c r="B564" s="206" t="s">
        <v>1438</v>
      </c>
      <c r="C564" s="167">
        <v>1</v>
      </c>
      <c r="D564" s="167">
        <v>0.6</v>
      </c>
      <c r="E564" s="167">
        <v>2</v>
      </c>
      <c r="F564" s="320" t="s">
        <v>866</v>
      </c>
      <c r="G564" s="251" t="s">
        <v>874</v>
      </c>
      <c r="I564" s="167">
        <v>3.2</v>
      </c>
      <c r="J564" s="167">
        <v>2.81</v>
      </c>
      <c r="K564" s="167">
        <v>3.59</v>
      </c>
      <c r="L564" s="320"/>
      <c r="M564" s="251"/>
      <c r="N564" s="204" t="s">
        <v>965</v>
      </c>
      <c r="O564">
        <f t="shared" si="39"/>
        <v>1</v>
      </c>
      <c r="P564">
        <f t="shared" si="38"/>
        <v>0.6</v>
      </c>
      <c r="Q564">
        <f t="shared" si="38"/>
        <v>2</v>
      </c>
    </row>
    <row r="565" spans="2:17" x14ac:dyDescent="0.3">
      <c r="B565" s="206" t="s">
        <v>1441</v>
      </c>
      <c r="C565" s="167">
        <v>1.3</v>
      </c>
      <c r="D565" s="167">
        <v>0.7</v>
      </c>
      <c r="E565" s="167">
        <v>2.2999999999999998</v>
      </c>
      <c r="F565" s="320" t="s">
        <v>869</v>
      </c>
      <c r="G565" s="251" t="s">
        <v>969</v>
      </c>
      <c r="I565" s="167">
        <v>2.6666666666666665</v>
      </c>
      <c r="J565" s="167">
        <v>2.4066666666666663</v>
      </c>
      <c r="K565" s="167">
        <v>2.9260226702057164</v>
      </c>
      <c r="L565" s="320"/>
      <c r="M565" s="251"/>
      <c r="N565" s="204" t="s">
        <v>965</v>
      </c>
      <c r="O565">
        <f t="shared" si="39"/>
        <v>1.3</v>
      </c>
      <c r="P565">
        <f t="shared" si="38"/>
        <v>0.7</v>
      </c>
      <c r="Q565">
        <f t="shared" si="38"/>
        <v>2.2999999999999998</v>
      </c>
    </row>
    <row r="566" spans="2:17" x14ac:dyDescent="0.3">
      <c r="B566" s="206" t="s">
        <v>1442</v>
      </c>
      <c r="C566" s="167">
        <v>1.3</v>
      </c>
      <c r="D566" s="167">
        <v>0.7</v>
      </c>
      <c r="E566" s="167">
        <v>2.2999999999999998</v>
      </c>
      <c r="F566" s="320" t="s">
        <v>866</v>
      </c>
      <c r="G566" s="251" t="s">
        <v>874</v>
      </c>
      <c r="I566" s="167">
        <v>3.2</v>
      </c>
      <c r="J566" s="167">
        <v>2.81</v>
      </c>
      <c r="K566" s="167">
        <v>3.59</v>
      </c>
      <c r="L566" s="320"/>
      <c r="M566" s="251"/>
      <c r="N566" s="204" t="s">
        <v>965</v>
      </c>
      <c r="O566">
        <f t="shared" si="39"/>
        <v>1.3</v>
      </c>
      <c r="P566">
        <f t="shared" si="38"/>
        <v>0.7</v>
      </c>
      <c r="Q566">
        <f t="shared" si="38"/>
        <v>2.2999999999999998</v>
      </c>
    </row>
    <row r="567" spans="2:17" x14ac:dyDescent="0.3">
      <c r="B567" s="207" t="s">
        <v>920</v>
      </c>
      <c r="C567" s="275"/>
      <c r="D567" s="275"/>
      <c r="E567" s="275"/>
      <c r="F567" s="320"/>
      <c r="G567" s="251"/>
      <c r="I567" s="275"/>
      <c r="J567" s="275"/>
      <c r="K567" s="275"/>
      <c r="L567" s="320"/>
      <c r="M567" s="251"/>
      <c r="O567"/>
      <c r="P567"/>
      <c r="Q567"/>
    </row>
    <row r="568" spans="2:17" x14ac:dyDescent="0.3">
      <c r="B568" s="206" t="s">
        <v>920</v>
      </c>
      <c r="C568" s="167">
        <v>0.8</v>
      </c>
      <c r="D568" s="167">
        <v>0.3</v>
      </c>
      <c r="E568" s="167">
        <v>1.6</v>
      </c>
      <c r="F568" s="320" t="s">
        <v>869</v>
      </c>
      <c r="G568" s="251" t="s">
        <v>969</v>
      </c>
      <c r="I568" s="167">
        <v>4</v>
      </c>
      <c r="J568" s="167">
        <v>3.6109659946914254</v>
      </c>
      <c r="K568" s="167">
        <v>4.3899999999999997</v>
      </c>
      <c r="L568" s="320"/>
      <c r="M568" s="251"/>
      <c r="N568" s="204" t="s">
        <v>965</v>
      </c>
      <c r="O568">
        <f t="shared" si="39"/>
        <v>0.8</v>
      </c>
      <c r="P568">
        <f t="shared" si="38"/>
        <v>0.3</v>
      </c>
      <c r="Q568">
        <f t="shared" si="38"/>
        <v>1.6</v>
      </c>
    </row>
    <row r="569" spans="2:17" x14ac:dyDescent="0.3">
      <c r="B569" s="206" t="s">
        <v>980</v>
      </c>
      <c r="C569" s="167">
        <v>0.8</v>
      </c>
      <c r="D569" s="167">
        <v>0.3</v>
      </c>
      <c r="E569" s="167">
        <v>1.6</v>
      </c>
      <c r="F569" s="320" t="s">
        <v>869</v>
      </c>
      <c r="G569" s="251" t="s">
        <v>876</v>
      </c>
      <c r="I569" s="167">
        <v>0</v>
      </c>
      <c r="J569" s="167">
        <v>0</v>
      </c>
      <c r="K569" s="167">
        <v>0</v>
      </c>
      <c r="L569" s="320"/>
      <c r="M569" s="251"/>
      <c r="O569">
        <f t="shared" si="39"/>
        <v>0.8</v>
      </c>
      <c r="P569">
        <f t="shared" si="38"/>
        <v>0.3</v>
      </c>
      <c r="Q569">
        <f t="shared" si="38"/>
        <v>1.6</v>
      </c>
    </row>
    <row r="570" spans="2:17" x14ac:dyDescent="0.3">
      <c r="F570" s="320"/>
      <c r="L570" s="320"/>
    </row>
    <row r="572" spans="2:17" x14ac:dyDescent="0.3">
      <c r="B572" s="236" t="s">
        <v>1487</v>
      </c>
      <c r="F572" s="320"/>
      <c r="L572" s="320"/>
      <c r="M572" s="251"/>
    </row>
    <row r="573" spans="2:17" x14ac:dyDescent="0.3">
      <c r="B573" s="236"/>
      <c r="F573" s="320"/>
      <c r="G573"/>
      <c r="L573" s="320"/>
      <c r="M573" s="251"/>
    </row>
    <row r="574" spans="2:17" x14ac:dyDescent="0.3">
      <c r="B574" s="781" t="s">
        <v>1095</v>
      </c>
      <c r="C574" s="781"/>
      <c r="D574" s="781"/>
      <c r="E574" s="781"/>
      <c r="F574" s="781"/>
      <c r="G574" s="781"/>
      <c r="I574" s="787" t="s">
        <v>1096</v>
      </c>
      <c r="J574" s="787"/>
      <c r="K574" s="787"/>
      <c r="L574" s="787"/>
      <c r="M574" s="787"/>
      <c r="O574" s="204" t="s">
        <v>1097</v>
      </c>
    </row>
    <row r="575" spans="2:17" ht="19.5" customHeight="1" thickBot="1" x14ac:dyDescent="0.4">
      <c r="B575" s="215"/>
      <c r="C575" s="786" t="s">
        <v>1371</v>
      </c>
      <c r="D575" s="786"/>
      <c r="E575" s="786"/>
      <c r="F575" s="786"/>
      <c r="G575" s="786"/>
      <c r="I575" s="786" t="s">
        <v>1371</v>
      </c>
      <c r="J575" s="786"/>
      <c r="K575" s="786"/>
      <c r="L575" s="786"/>
      <c r="M575" s="786"/>
    </row>
    <row r="576" spans="2:17" x14ac:dyDescent="0.3">
      <c r="B576" s="215"/>
      <c r="C576" s="214" t="s">
        <v>865</v>
      </c>
      <c r="D576" s="214" t="s">
        <v>985</v>
      </c>
      <c r="E576" s="214" t="s">
        <v>986</v>
      </c>
      <c r="F576" s="319" t="s">
        <v>592</v>
      </c>
      <c r="G576" s="215" t="s">
        <v>591</v>
      </c>
      <c r="I576" s="214" t="s">
        <v>865</v>
      </c>
      <c r="J576" s="214" t="s">
        <v>985</v>
      </c>
      <c r="K576" s="214" t="s">
        <v>986</v>
      </c>
      <c r="L576" s="319" t="s">
        <v>592</v>
      </c>
      <c r="M576" s="215" t="s">
        <v>591</v>
      </c>
      <c r="O576" s="214" t="s">
        <v>865</v>
      </c>
      <c r="P576" s="214" t="s">
        <v>985</v>
      </c>
      <c r="Q576" s="214" t="s">
        <v>986</v>
      </c>
    </row>
    <row r="577" spans="2:17" x14ac:dyDescent="0.3">
      <c r="B577" s="205" t="s">
        <v>1450</v>
      </c>
      <c r="F577" s="320"/>
      <c r="G577" s="251"/>
      <c r="L577" s="320"/>
      <c r="M577" s="251"/>
    </row>
    <row r="578" spans="2:17" x14ac:dyDescent="0.3">
      <c r="B578" s="206" t="s">
        <v>1082</v>
      </c>
      <c r="C578" s="167">
        <v>1.4</v>
      </c>
      <c r="D578" s="167">
        <v>0.8</v>
      </c>
      <c r="E578" s="167">
        <v>2.7</v>
      </c>
      <c r="F578" s="320" t="s">
        <v>866</v>
      </c>
      <c r="G578" s="251" t="s">
        <v>874</v>
      </c>
      <c r="I578" s="167">
        <v>3.2</v>
      </c>
      <c r="J578" s="167">
        <v>2.4000000000000004</v>
      </c>
      <c r="K578" s="167">
        <v>4</v>
      </c>
      <c r="L578" s="320"/>
      <c r="M578" s="251"/>
      <c r="O578">
        <f>IF(ISBLANK(C578),I578,C578)</f>
        <v>1.4</v>
      </c>
      <c r="P578">
        <f t="shared" ref="P578:Q600" si="40">IF(ISBLANK(D578),J578,D578)</f>
        <v>0.8</v>
      </c>
      <c r="Q578">
        <f t="shared" si="40"/>
        <v>2.7</v>
      </c>
    </row>
    <row r="579" spans="2:17" x14ac:dyDescent="0.3">
      <c r="B579" s="206" t="s">
        <v>1083</v>
      </c>
      <c r="C579" s="167">
        <v>1.4</v>
      </c>
      <c r="D579" s="167">
        <v>0.8</v>
      </c>
      <c r="E579" s="167">
        <v>2.7</v>
      </c>
      <c r="F579" s="320" t="s">
        <v>866</v>
      </c>
      <c r="G579" s="251" t="s">
        <v>874</v>
      </c>
      <c r="I579" s="167">
        <v>3.2</v>
      </c>
      <c r="J579" s="167">
        <v>2.4000000000000004</v>
      </c>
      <c r="K579" s="167">
        <v>4</v>
      </c>
      <c r="L579" s="320"/>
      <c r="M579" s="251"/>
      <c r="O579">
        <f t="shared" ref="O579:O600" si="41">IF(ISBLANK(C579),I579,C579)</f>
        <v>1.4</v>
      </c>
      <c r="P579">
        <f t="shared" si="40"/>
        <v>0.8</v>
      </c>
      <c r="Q579">
        <f t="shared" si="40"/>
        <v>2.7</v>
      </c>
    </row>
    <row r="580" spans="2:17" x14ac:dyDescent="0.3">
      <c r="B580" s="206" t="s">
        <v>1084</v>
      </c>
      <c r="C580" s="167">
        <v>1.4</v>
      </c>
      <c r="D580" s="167">
        <v>0.8</v>
      </c>
      <c r="E580" s="167">
        <v>2.7</v>
      </c>
      <c r="F580" s="320" t="s">
        <v>866</v>
      </c>
      <c r="G580" s="251" t="s">
        <v>874</v>
      </c>
      <c r="I580" s="167">
        <v>3.0333333333333337</v>
      </c>
      <c r="J580" s="167">
        <v>2.2750000000000004</v>
      </c>
      <c r="K580" s="167">
        <v>3.791666666666667</v>
      </c>
      <c r="L580" s="320"/>
      <c r="M580" s="251"/>
      <c r="O580">
        <f t="shared" si="41"/>
        <v>1.4</v>
      </c>
      <c r="P580">
        <f t="shared" si="40"/>
        <v>0.8</v>
      </c>
      <c r="Q580">
        <f t="shared" si="40"/>
        <v>2.7</v>
      </c>
    </row>
    <row r="581" spans="2:17" x14ac:dyDescent="0.3">
      <c r="B581" s="206" t="s">
        <v>1085</v>
      </c>
      <c r="C581" s="167">
        <v>0.9</v>
      </c>
      <c r="D581" s="167">
        <v>0.5</v>
      </c>
      <c r="E581" s="167">
        <v>1.9</v>
      </c>
      <c r="F581" s="320" t="s">
        <v>866</v>
      </c>
      <c r="G581" s="251" t="s">
        <v>874</v>
      </c>
      <c r="I581" s="167">
        <v>2.1</v>
      </c>
      <c r="J581" s="167">
        <v>1.5750000000000002</v>
      </c>
      <c r="K581" s="167">
        <v>2.625</v>
      </c>
      <c r="L581" s="320"/>
      <c r="M581" s="251"/>
      <c r="N581" s="204" t="s">
        <v>965</v>
      </c>
      <c r="O581">
        <f t="shared" si="41"/>
        <v>0.9</v>
      </c>
      <c r="P581">
        <f t="shared" si="40"/>
        <v>0.5</v>
      </c>
      <c r="Q581">
        <f t="shared" si="40"/>
        <v>1.9</v>
      </c>
    </row>
    <row r="582" spans="2:17" x14ac:dyDescent="0.3">
      <c r="B582" s="206" t="s">
        <v>1086</v>
      </c>
      <c r="C582" s="167">
        <v>0.9</v>
      </c>
      <c r="D582" s="167">
        <v>0.5</v>
      </c>
      <c r="E582" s="167">
        <v>1.9</v>
      </c>
      <c r="F582" s="320" t="s">
        <v>867</v>
      </c>
      <c r="G582" s="251"/>
      <c r="I582" s="167">
        <v>4</v>
      </c>
      <c r="J582" s="167">
        <v>3</v>
      </c>
      <c r="K582" s="167">
        <v>5</v>
      </c>
      <c r="L582" s="320"/>
      <c r="M582" s="251"/>
      <c r="N582" s="204" t="s">
        <v>965</v>
      </c>
      <c r="O582">
        <f t="shared" si="41"/>
        <v>0.9</v>
      </c>
      <c r="P582">
        <f t="shared" si="40"/>
        <v>0.5</v>
      </c>
      <c r="Q582">
        <f t="shared" si="40"/>
        <v>1.9</v>
      </c>
    </row>
    <row r="583" spans="2:17" x14ac:dyDescent="0.3">
      <c r="B583" s="206" t="s">
        <v>1087</v>
      </c>
      <c r="C583" s="167">
        <v>0.9</v>
      </c>
      <c r="D583" s="167">
        <v>0.5</v>
      </c>
      <c r="E583" s="167">
        <v>1.9</v>
      </c>
      <c r="F583" s="320" t="s">
        <v>868</v>
      </c>
      <c r="G583" s="251"/>
      <c r="I583" s="167">
        <v>4</v>
      </c>
      <c r="J583" s="167">
        <v>3</v>
      </c>
      <c r="K583" s="167">
        <v>5</v>
      </c>
      <c r="L583" s="320"/>
      <c r="M583" s="251"/>
      <c r="N583" s="204" t="s">
        <v>965</v>
      </c>
      <c r="O583">
        <f t="shared" si="41"/>
        <v>0.9</v>
      </c>
      <c r="P583">
        <f t="shared" si="40"/>
        <v>0.5</v>
      </c>
      <c r="Q583">
        <f t="shared" si="40"/>
        <v>1.9</v>
      </c>
    </row>
    <row r="584" spans="2:17" x14ac:dyDescent="0.3">
      <c r="B584" s="206" t="s">
        <v>1443</v>
      </c>
      <c r="C584" s="167">
        <v>0.5</v>
      </c>
      <c r="D584" s="167">
        <v>0.2</v>
      </c>
      <c r="E584" s="167">
        <v>0.8</v>
      </c>
      <c r="F584" s="320" t="s">
        <v>869</v>
      </c>
      <c r="G584" s="251" t="s">
        <v>876</v>
      </c>
      <c r="I584" s="167">
        <v>0</v>
      </c>
      <c r="J584" s="167">
        <v>0</v>
      </c>
      <c r="K584" s="167">
        <v>0</v>
      </c>
      <c r="L584" s="320"/>
      <c r="M584" s="251"/>
      <c r="N584" s="204" t="s">
        <v>965</v>
      </c>
      <c r="O584">
        <f t="shared" si="41"/>
        <v>0.5</v>
      </c>
      <c r="P584">
        <f t="shared" si="40"/>
        <v>0.2</v>
      </c>
      <c r="Q584">
        <f t="shared" si="40"/>
        <v>0.8</v>
      </c>
    </row>
    <row r="585" spans="2:17" x14ac:dyDescent="0.3">
      <c r="B585" s="205" t="s">
        <v>1444</v>
      </c>
      <c r="F585" s="320"/>
      <c r="G585" s="251"/>
      <c r="L585" s="320"/>
      <c r="M585" s="251"/>
      <c r="O585"/>
      <c r="P585"/>
      <c r="Q585"/>
    </row>
    <row r="586" spans="2:17" x14ac:dyDescent="0.3">
      <c r="B586" s="206" t="s">
        <v>1082</v>
      </c>
      <c r="C586" s="167">
        <v>1.4</v>
      </c>
      <c r="D586" s="167">
        <v>0.8</v>
      </c>
      <c r="E586" s="167">
        <v>2.7</v>
      </c>
      <c r="F586" s="320" t="s">
        <v>866</v>
      </c>
      <c r="G586" s="251" t="s">
        <v>874</v>
      </c>
      <c r="I586" s="167">
        <v>3.2</v>
      </c>
      <c r="J586" s="167">
        <v>2.4000000000000004</v>
      </c>
      <c r="K586" s="167">
        <v>4</v>
      </c>
      <c r="L586" s="320"/>
      <c r="M586" s="251"/>
      <c r="O586">
        <f t="shared" si="41"/>
        <v>1.4</v>
      </c>
      <c r="P586">
        <f t="shared" si="40"/>
        <v>0.8</v>
      </c>
      <c r="Q586">
        <f t="shared" si="40"/>
        <v>2.7</v>
      </c>
    </row>
    <row r="587" spans="2:17" x14ac:dyDescent="0.3">
      <c r="B587" s="206" t="s">
        <v>1083</v>
      </c>
      <c r="C587" s="167">
        <v>1.4</v>
      </c>
      <c r="D587" s="167">
        <v>0.8</v>
      </c>
      <c r="E587" s="167">
        <v>2.7</v>
      </c>
      <c r="F587" s="320" t="s">
        <v>866</v>
      </c>
      <c r="G587" s="251" t="s">
        <v>874</v>
      </c>
      <c r="I587" s="167">
        <v>3.2</v>
      </c>
      <c r="J587" s="167">
        <v>2.4000000000000004</v>
      </c>
      <c r="K587" s="167">
        <v>4</v>
      </c>
      <c r="L587" s="320"/>
      <c r="M587" s="251"/>
      <c r="O587">
        <f t="shared" si="41"/>
        <v>1.4</v>
      </c>
      <c r="P587">
        <f t="shared" si="40"/>
        <v>0.8</v>
      </c>
      <c r="Q587">
        <f t="shared" si="40"/>
        <v>2.7</v>
      </c>
    </row>
    <row r="588" spans="2:17" x14ac:dyDescent="0.3">
      <c r="B588" s="206" t="s">
        <v>1084</v>
      </c>
      <c r="C588" s="167">
        <v>1.4</v>
      </c>
      <c r="D588" s="167">
        <v>0.8</v>
      </c>
      <c r="E588" s="167">
        <v>2.7</v>
      </c>
      <c r="F588" s="320" t="s">
        <v>866</v>
      </c>
      <c r="G588" s="251" t="s">
        <v>874</v>
      </c>
      <c r="I588" s="167">
        <v>3.0333333333333337</v>
      </c>
      <c r="J588" s="167">
        <v>2.2750000000000004</v>
      </c>
      <c r="K588" s="167">
        <v>3.791666666666667</v>
      </c>
      <c r="L588" s="320"/>
      <c r="M588" s="251"/>
      <c r="O588">
        <f t="shared" si="41"/>
        <v>1.4</v>
      </c>
      <c r="P588">
        <f t="shared" si="40"/>
        <v>0.8</v>
      </c>
      <c r="Q588">
        <f t="shared" si="40"/>
        <v>2.7</v>
      </c>
    </row>
    <row r="589" spans="2:17" x14ac:dyDescent="0.3">
      <c r="B589" s="206" t="s">
        <v>1085</v>
      </c>
      <c r="C589" s="167">
        <v>0.9</v>
      </c>
      <c r="D589" s="167">
        <v>0.5</v>
      </c>
      <c r="E589" s="167">
        <v>1.9</v>
      </c>
      <c r="F589" s="320" t="s">
        <v>866</v>
      </c>
      <c r="G589" s="251" t="s">
        <v>874</v>
      </c>
      <c r="I589" s="167">
        <v>2.1</v>
      </c>
      <c r="J589" s="167">
        <v>1.5750000000000002</v>
      </c>
      <c r="K589" s="167">
        <v>2.625</v>
      </c>
      <c r="L589" s="320"/>
      <c r="M589" s="251"/>
      <c r="N589" s="204" t="s">
        <v>965</v>
      </c>
      <c r="O589">
        <f t="shared" si="41"/>
        <v>0.9</v>
      </c>
      <c r="P589">
        <f t="shared" si="40"/>
        <v>0.5</v>
      </c>
      <c r="Q589">
        <f t="shared" si="40"/>
        <v>1.9</v>
      </c>
    </row>
    <row r="590" spans="2:17" x14ac:dyDescent="0.3">
      <c r="B590" s="206" t="s">
        <v>1086</v>
      </c>
      <c r="C590" s="167">
        <v>0.9</v>
      </c>
      <c r="D590" s="167">
        <v>0.5</v>
      </c>
      <c r="E590" s="167">
        <v>1.9</v>
      </c>
      <c r="F590" s="320" t="s">
        <v>867</v>
      </c>
      <c r="G590" s="251"/>
      <c r="I590" s="167">
        <v>4</v>
      </c>
      <c r="J590" s="167">
        <v>3</v>
      </c>
      <c r="K590" s="167">
        <v>5</v>
      </c>
      <c r="L590" s="320"/>
      <c r="M590" s="251"/>
      <c r="N590" s="204" t="s">
        <v>965</v>
      </c>
      <c r="O590">
        <f t="shared" si="41"/>
        <v>0.9</v>
      </c>
      <c r="P590">
        <f t="shared" si="40"/>
        <v>0.5</v>
      </c>
      <c r="Q590">
        <f t="shared" si="40"/>
        <v>1.9</v>
      </c>
    </row>
    <row r="591" spans="2:17" x14ac:dyDescent="0.3">
      <c r="B591" s="206" t="s">
        <v>1087</v>
      </c>
      <c r="C591" s="167">
        <v>0.9</v>
      </c>
      <c r="D591" s="167">
        <v>0.5</v>
      </c>
      <c r="E591" s="167">
        <v>1.9</v>
      </c>
      <c r="F591" s="320" t="s">
        <v>868</v>
      </c>
      <c r="G591" s="251"/>
      <c r="I591" s="167">
        <v>4</v>
      </c>
      <c r="J591" s="167">
        <v>3</v>
      </c>
      <c r="K591" s="167">
        <v>5</v>
      </c>
      <c r="L591" s="320"/>
      <c r="M591" s="251"/>
      <c r="N591" s="204" t="s">
        <v>965</v>
      </c>
      <c r="O591">
        <f t="shared" si="41"/>
        <v>0.9</v>
      </c>
      <c r="P591">
        <f t="shared" si="40"/>
        <v>0.5</v>
      </c>
      <c r="Q591">
        <f t="shared" si="40"/>
        <v>1.9</v>
      </c>
    </row>
    <row r="592" spans="2:17" x14ac:dyDescent="0.3">
      <c r="B592" s="206" t="s">
        <v>1443</v>
      </c>
      <c r="C592" s="167">
        <v>0.5</v>
      </c>
      <c r="D592" s="167">
        <v>0.2</v>
      </c>
      <c r="E592" s="167">
        <v>0.8</v>
      </c>
      <c r="F592" s="320" t="s">
        <v>869</v>
      </c>
      <c r="G592" s="251" t="s">
        <v>876</v>
      </c>
      <c r="I592" s="167">
        <v>0</v>
      </c>
      <c r="J592" s="167">
        <v>0</v>
      </c>
      <c r="K592" s="167">
        <v>0</v>
      </c>
      <c r="L592" s="320"/>
      <c r="M592" s="251"/>
      <c r="N592" s="204" t="s">
        <v>965</v>
      </c>
      <c r="O592">
        <f t="shared" si="41"/>
        <v>0.5</v>
      </c>
      <c r="P592">
        <f t="shared" si="40"/>
        <v>0.2</v>
      </c>
      <c r="Q592">
        <f t="shared" si="40"/>
        <v>0.8</v>
      </c>
    </row>
    <row r="593" spans="2:17" x14ac:dyDescent="0.3">
      <c r="B593" s="207" t="s">
        <v>227</v>
      </c>
      <c r="C593" s="275"/>
      <c r="D593" s="275"/>
      <c r="E593" s="275"/>
      <c r="F593" s="320"/>
      <c r="G593" s="251"/>
      <c r="I593" s="275"/>
      <c r="J593" s="275"/>
      <c r="K593" s="275"/>
      <c r="L593" s="320"/>
      <c r="M593" s="251"/>
      <c r="O593"/>
      <c r="P593"/>
      <c r="Q593"/>
    </row>
    <row r="594" spans="2:17" x14ac:dyDescent="0.3">
      <c r="B594" s="206" t="s">
        <v>1437</v>
      </c>
      <c r="C594" s="167">
        <v>1.2</v>
      </c>
      <c r="D594" s="167">
        <v>0.8</v>
      </c>
      <c r="E594" s="167">
        <v>2.1</v>
      </c>
      <c r="F594" s="320" t="s">
        <v>869</v>
      </c>
      <c r="G594" s="251" t="s">
        <v>969</v>
      </c>
      <c r="I594" s="167">
        <v>2.0222222222222221</v>
      </c>
      <c r="J594" s="167">
        <v>1.5166666666666666</v>
      </c>
      <c r="K594" s="167">
        <v>2.5277777777777777</v>
      </c>
      <c r="L594" s="320"/>
      <c r="M594" s="251"/>
      <c r="N594" s="204" t="s">
        <v>965</v>
      </c>
      <c r="O594">
        <f t="shared" si="41"/>
        <v>1.2</v>
      </c>
      <c r="P594">
        <f t="shared" si="40"/>
        <v>0.8</v>
      </c>
      <c r="Q594">
        <f t="shared" si="40"/>
        <v>2.1</v>
      </c>
    </row>
    <row r="595" spans="2:17" x14ac:dyDescent="0.3">
      <c r="B595" s="206" t="s">
        <v>1438</v>
      </c>
      <c r="C595" s="167">
        <v>1.2</v>
      </c>
      <c r="D595" s="167">
        <v>0.8</v>
      </c>
      <c r="E595" s="167">
        <v>2.1</v>
      </c>
      <c r="F595" s="320" t="s">
        <v>866</v>
      </c>
      <c r="G595" s="251" t="s">
        <v>874</v>
      </c>
      <c r="I595" s="167">
        <v>3.2</v>
      </c>
      <c r="J595" s="167">
        <v>2.4000000000000004</v>
      </c>
      <c r="K595" s="167">
        <v>4</v>
      </c>
      <c r="L595" s="320"/>
      <c r="M595" s="251"/>
      <c r="N595" s="204" t="s">
        <v>965</v>
      </c>
      <c r="O595">
        <f t="shared" si="41"/>
        <v>1.2</v>
      </c>
      <c r="P595">
        <f t="shared" si="40"/>
        <v>0.8</v>
      </c>
      <c r="Q595">
        <f t="shared" si="40"/>
        <v>2.1</v>
      </c>
    </row>
    <row r="596" spans="2:17" x14ac:dyDescent="0.3">
      <c r="B596" s="206" t="s">
        <v>1441</v>
      </c>
      <c r="C596" s="167">
        <v>1.5</v>
      </c>
      <c r="D596" s="167">
        <v>0.8</v>
      </c>
      <c r="E596" s="167">
        <v>2.9</v>
      </c>
      <c r="F596" s="320" t="s">
        <v>869</v>
      </c>
      <c r="G596" s="251" t="s">
        <v>969</v>
      </c>
      <c r="I596" s="167">
        <v>2.6666666666666665</v>
      </c>
      <c r="J596" s="167">
        <v>2</v>
      </c>
      <c r="K596" s="167">
        <v>3.333333333333333</v>
      </c>
      <c r="L596" s="320"/>
      <c r="M596" s="251"/>
      <c r="N596" s="204" t="s">
        <v>965</v>
      </c>
      <c r="O596">
        <f t="shared" si="41"/>
        <v>1.5</v>
      </c>
      <c r="P596">
        <f t="shared" si="40"/>
        <v>0.8</v>
      </c>
      <c r="Q596">
        <f t="shared" si="40"/>
        <v>2.9</v>
      </c>
    </row>
    <row r="597" spans="2:17" x14ac:dyDescent="0.3">
      <c r="B597" s="206" t="s">
        <v>1442</v>
      </c>
      <c r="C597" s="167">
        <v>1.5</v>
      </c>
      <c r="D597" s="167">
        <v>0.8</v>
      </c>
      <c r="E597" s="167">
        <v>2.9</v>
      </c>
      <c r="F597" s="320" t="s">
        <v>866</v>
      </c>
      <c r="G597" s="251" t="s">
        <v>874</v>
      </c>
      <c r="I597" s="167">
        <v>3.2</v>
      </c>
      <c r="J597" s="167">
        <v>2.4000000000000004</v>
      </c>
      <c r="K597" s="167">
        <v>4</v>
      </c>
      <c r="L597" s="320"/>
      <c r="M597" s="251"/>
      <c r="N597" s="204" t="s">
        <v>965</v>
      </c>
      <c r="O597">
        <f t="shared" si="41"/>
        <v>1.5</v>
      </c>
      <c r="P597">
        <f t="shared" si="40"/>
        <v>0.8</v>
      </c>
      <c r="Q597">
        <f t="shared" si="40"/>
        <v>2.9</v>
      </c>
    </row>
    <row r="598" spans="2:17" x14ac:dyDescent="0.3">
      <c r="B598" s="207" t="s">
        <v>920</v>
      </c>
      <c r="C598" s="275"/>
      <c r="D598" s="275"/>
      <c r="E598" s="275"/>
      <c r="F598" s="320"/>
      <c r="G598" s="251"/>
      <c r="I598" s="275"/>
      <c r="J598" s="275"/>
      <c r="K598" s="275"/>
      <c r="L598" s="320"/>
      <c r="M598" s="251"/>
      <c r="O598"/>
      <c r="P598"/>
      <c r="Q598"/>
    </row>
    <row r="599" spans="2:17" x14ac:dyDescent="0.3">
      <c r="B599" s="206" t="s">
        <v>920</v>
      </c>
      <c r="C599" s="167">
        <v>4</v>
      </c>
      <c r="D599" s="167">
        <f t="shared" ref="D599:D600" si="42">C599*0.75</f>
        <v>3</v>
      </c>
      <c r="E599" s="167">
        <f t="shared" ref="E599:E600" si="43">C599*1.25</f>
        <v>5</v>
      </c>
      <c r="F599" s="320" t="s">
        <v>869</v>
      </c>
      <c r="G599" s="251" t="s">
        <v>969</v>
      </c>
      <c r="I599" s="167">
        <v>4</v>
      </c>
      <c r="J599" s="167">
        <v>3</v>
      </c>
      <c r="K599" s="167">
        <v>5</v>
      </c>
      <c r="L599" s="320"/>
      <c r="M599" s="251"/>
      <c r="N599" s="204" t="s">
        <v>965</v>
      </c>
      <c r="O599">
        <f t="shared" si="41"/>
        <v>4</v>
      </c>
      <c r="P599">
        <f t="shared" si="40"/>
        <v>3</v>
      </c>
      <c r="Q599">
        <f t="shared" si="40"/>
        <v>5</v>
      </c>
    </row>
    <row r="600" spans="2:17" x14ac:dyDescent="0.3">
      <c r="B600" s="206" t="s">
        <v>980</v>
      </c>
      <c r="C600" s="167">
        <v>0</v>
      </c>
      <c r="D600" s="167">
        <f t="shared" si="42"/>
        <v>0</v>
      </c>
      <c r="E600" s="167">
        <f t="shared" si="43"/>
        <v>0</v>
      </c>
      <c r="F600" s="320" t="s">
        <v>869</v>
      </c>
      <c r="G600" s="251" t="s">
        <v>876</v>
      </c>
      <c r="I600" s="167">
        <v>0</v>
      </c>
      <c r="J600" s="167">
        <v>0</v>
      </c>
      <c r="K600" s="167">
        <v>0</v>
      </c>
      <c r="L600" s="320"/>
      <c r="M600" s="251"/>
      <c r="O600">
        <f t="shared" si="41"/>
        <v>0</v>
      </c>
      <c r="P600">
        <f t="shared" si="40"/>
        <v>0</v>
      </c>
      <c r="Q600">
        <f t="shared" si="40"/>
        <v>0</v>
      </c>
    </row>
    <row r="601" spans="2:17" x14ac:dyDescent="0.3">
      <c r="F601" s="320"/>
      <c r="G601" s="251"/>
    </row>
    <row r="602" spans="2:17" x14ac:dyDescent="0.3">
      <c r="F602" s="320"/>
      <c r="G602" s="251"/>
    </row>
    <row r="603" spans="2:17" x14ac:dyDescent="0.3">
      <c r="B603" s="236" t="s">
        <v>1488</v>
      </c>
      <c r="F603" s="320"/>
      <c r="G603" s="251"/>
    </row>
    <row r="604" spans="2:17" x14ac:dyDescent="0.3">
      <c r="B604" s="236"/>
      <c r="F604" s="320"/>
      <c r="G604" s="251"/>
    </row>
    <row r="605" spans="2:17" x14ac:dyDescent="0.3">
      <c r="B605" s="781" t="s">
        <v>1095</v>
      </c>
      <c r="C605" s="781"/>
      <c r="D605" s="781"/>
      <c r="E605" s="781"/>
      <c r="F605" s="781"/>
      <c r="G605" s="781"/>
      <c r="I605" s="787" t="s">
        <v>1096</v>
      </c>
      <c r="J605" s="787"/>
      <c r="K605" s="787"/>
      <c r="L605" s="787"/>
      <c r="M605" s="787"/>
      <c r="O605" s="204" t="s">
        <v>1097</v>
      </c>
    </row>
    <row r="606" spans="2:17" ht="19.5" customHeight="1" thickBot="1" x14ac:dyDescent="0.4">
      <c r="B606" s="215"/>
      <c r="C606" s="786" t="s">
        <v>1372</v>
      </c>
      <c r="D606" s="786"/>
      <c r="E606" s="786"/>
      <c r="F606" s="786"/>
      <c r="G606" s="786"/>
      <c r="I606" s="786" t="s">
        <v>1372</v>
      </c>
      <c r="J606" s="786"/>
      <c r="K606" s="786"/>
      <c r="L606" s="786"/>
      <c r="M606" s="786"/>
    </row>
    <row r="607" spans="2:17" x14ac:dyDescent="0.3">
      <c r="B607" s="233"/>
      <c r="C607" s="214" t="s">
        <v>865</v>
      </c>
      <c r="D607" s="214" t="s">
        <v>985</v>
      </c>
      <c r="E607" s="214" t="s">
        <v>986</v>
      </c>
      <c r="F607" s="319" t="s">
        <v>592</v>
      </c>
      <c r="G607" s="215" t="s">
        <v>591</v>
      </c>
      <c r="I607" s="214" t="s">
        <v>865</v>
      </c>
      <c r="J607" s="214" t="s">
        <v>985</v>
      </c>
      <c r="K607" s="214" t="s">
        <v>986</v>
      </c>
      <c r="L607" s="319" t="s">
        <v>592</v>
      </c>
      <c r="M607" s="215" t="s">
        <v>591</v>
      </c>
      <c r="O607" s="214" t="s">
        <v>865</v>
      </c>
      <c r="P607" s="214" t="s">
        <v>985</v>
      </c>
      <c r="Q607" s="214" t="s">
        <v>986</v>
      </c>
    </row>
    <row r="608" spans="2:17" x14ac:dyDescent="0.3">
      <c r="B608" s="205" t="s">
        <v>1450</v>
      </c>
      <c r="F608" s="320"/>
      <c r="G608" s="251"/>
      <c r="L608" s="320"/>
      <c r="M608" s="251"/>
    </row>
    <row r="609" spans="2:17" x14ac:dyDescent="0.3">
      <c r="B609" s="206" t="s">
        <v>1082</v>
      </c>
      <c r="C609" s="167">
        <v>1.6</v>
      </c>
      <c r="D609" s="167">
        <v>0.8</v>
      </c>
      <c r="E609" s="167">
        <v>2.8</v>
      </c>
      <c r="F609" s="320" t="s">
        <v>866</v>
      </c>
      <c r="G609" s="251" t="s">
        <v>970</v>
      </c>
      <c r="I609" s="167">
        <v>2</v>
      </c>
      <c r="J609" s="167">
        <v>1.5</v>
      </c>
      <c r="K609" s="167">
        <v>2.5</v>
      </c>
      <c r="L609" s="320"/>
      <c r="M609" s="251"/>
      <c r="O609">
        <f>IF(ISBLANK(C609),I609,C609)</f>
        <v>1.6</v>
      </c>
      <c r="P609">
        <f t="shared" ref="P609:Q631" si="44">IF(ISBLANK(D609),J609,D609)</f>
        <v>0.8</v>
      </c>
      <c r="Q609">
        <f t="shared" si="44"/>
        <v>2.8</v>
      </c>
    </row>
    <row r="610" spans="2:17" x14ac:dyDescent="0.3">
      <c r="B610" s="206" t="s">
        <v>1083</v>
      </c>
      <c r="C610" s="167">
        <v>1.6</v>
      </c>
      <c r="D610" s="167">
        <v>0.8</v>
      </c>
      <c r="E610" s="167">
        <v>2.8</v>
      </c>
      <c r="F610" s="320" t="s">
        <v>866</v>
      </c>
      <c r="G610" s="251" t="s">
        <v>970</v>
      </c>
      <c r="I610" s="167">
        <v>2</v>
      </c>
      <c r="J610" s="167">
        <v>1.5</v>
      </c>
      <c r="K610" s="167">
        <v>2.5</v>
      </c>
      <c r="L610" s="320"/>
      <c r="M610" s="251"/>
      <c r="O610">
        <f t="shared" ref="O610:O631" si="45">IF(ISBLANK(C610),I610,C610)</f>
        <v>1.6</v>
      </c>
      <c r="P610">
        <f t="shared" si="44"/>
        <v>0.8</v>
      </c>
      <c r="Q610">
        <f t="shared" si="44"/>
        <v>2.8</v>
      </c>
    </row>
    <row r="611" spans="2:17" x14ac:dyDescent="0.3">
      <c r="B611" s="206" t="s">
        <v>1084</v>
      </c>
      <c r="C611" s="167">
        <v>1.6</v>
      </c>
      <c r="D611" s="167">
        <v>0.8</v>
      </c>
      <c r="E611" s="167">
        <v>2.8</v>
      </c>
      <c r="F611" s="320" t="s">
        <v>866</v>
      </c>
      <c r="G611" s="251" t="s">
        <v>970</v>
      </c>
      <c r="I611" s="167">
        <v>2</v>
      </c>
      <c r="J611" s="167">
        <v>1.5</v>
      </c>
      <c r="K611" s="167">
        <v>2.5</v>
      </c>
      <c r="L611" s="320"/>
      <c r="M611" s="251"/>
      <c r="O611">
        <f t="shared" si="45"/>
        <v>1.6</v>
      </c>
      <c r="P611">
        <f t="shared" si="44"/>
        <v>0.8</v>
      </c>
      <c r="Q611">
        <f t="shared" si="44"/>
        <v>2.8</v>
      </c>
    </row>
    <row r="612" spans="2:17" x14ac:dyDescent="0.3">
      <c r="B612" s="206" t="s">
        <v>1085</v>
      </c>
      <c r="C612" s="167">
        <v>4.9000000000000004</v>
      </c>
      <c r="D612" s="167">
        <v>2.4</v>
      </c>
      <c r="E612" s="167">
        <v>8.1999999999999993</v>
      </c>
      <c r="F612" s="320" t="s">
        <v>866</v>
      </c>
      <c r="G612" s="251" t="s">
        <v>970</v>
      </c>
      <c r="I612" s="167">
        <v>2</v>
      </c>
      <c r="J612" s="167">
        <v>1.5</v>
      </c>
      <c r="K612" s="167">
        <v>2.5</v>
      </c>
      <c r="L612" s="320"/>
      <c r="M612" s="251"/>
      <c r="N612" s="204" t="s">
        <v>965</v>
      </c>
      <c r="O612">
        <f t="shared" si="45"/>
        <v>4.9000000000000004</v>
      </c>
      <c r="P612">
        <f t="shared" si="44"/>
        <v>2.4</v>
      </c>
      <c r="Q612">
        <f t="shared" si="44"/>
        <v>8.1999999999999993</v>
      </c>
    </row>
    <row r="613" spans="2:17" x14ac:dyDescent="0.3">
      <c r="B613" s="206" t="s">
        <v>1086</v>
      </c>
      <c r="C613" s="167">
        <v>4.9000000000000004</v>
      </c>
      <c r="D613" s="167">
        <v>2.4</v>
      </c>
      <c r="E613" s="167">
        <v>8.1999999999999993</v>
      </c>
      <c r="F613" t="s">
        <v>1081</v>
      </c>
      <c r="G613" t="s">
        <v>971</v>
      </c>
      <c r="I613" s="167">
        <v>7.4</v>
      </c>
      <c r="J613" s="167">
        <v>5.5500000000000007</v>
      </c>
      <c r="K613" s="167">
        <v>9.25</v>
      </c>
      <c r="L613"/>
      <c r="M613"/>
      <c r="N613" s="204" t="s">
        <v>965</v>
      </c>
      <c r="O613">
        <f t="shared" si="45"/>
        <v>4.9000000000000004</v>
      </c>
      <c r="P613">
        <f t="shared" si="44"/>
        <v>2.4</v>
      </c>
      <c r="Q613">
        <f t="shared" si="44"/>
        <v>8.1999999999999993</v>
      </c>
    </row>
    <row r="614" spans="2:17" x14ac:dyDescent="0.3">
      <c r="B614" s="206" t="s">
        <v>1087</v>
      </c>
      <c r="C614" s="167">
        <v>4.9000000000000004</v>
      </c>
      <c r="D614" s="167">
        <v>2.4</v>
      </c>
      <c r="E614" s="167">
        <v>8.1999999999999993</v>
      </c>
      <c r="F614" s="320" t="s">
        <v>868</v>
      </c>
      <c r="G614" s="251" t="s">
        <v>971</v>
      </c>
      <c r="I614" s="167">
        <v>7.5</v>
      </c>
      <c r="J614" s="167">
        <v>5.625</v>
      </c>
      <c r="K614" s="167">
        <v>9.375</v>
      </c>
      <c r="L614" s="320"/>
      <c r="M614" s="251"/>
      <c r="N614" s="204" t="s">
        <v>965</v>
      </c>
      <c r="O614">
        <f t="shared" si="45"/>
        <v>4.9000000000000004</v>
      </c>
      <c r="P614">
        <f t="shared" si="44"/>
        <v>2.4</v>
      </c>
      <c r="Q614">
        <f t="shared" si="44"/>
        <v>8.1999999999999993</v>
      </c>
    </row>
    <row r="615" spans="2:17" x14ac:dyDescent="0.3">
      <c r="B615" s="206" t="s">
        <v>1443</v>
      </c>
      <c r="C615" s="167">
        <v>0.7</v>
      </c>
      <c r="D615" s="167">
        <v>0.3</v>
      </c>
      <c r="E615" s="167">
        <v>0.9</v>
      </c>
      <c r="F615" s="320" t="s">
        <v>869</v>
      </c>
      <c r="G615" s="251" t="s">
        <v>876</v>
      </c>
      <c r="I615" s="167">
        <v>0</v>
      </c>
      <c r="J615" s="167">
        <v>0</v>
      </c>
      <c r="K615" s="167">
        <v>0</v>
      </c>
      <c r="L615" s="320"/>
      <c r="M615" s="251"/>
      <c r="N615" s="204" t="s">
        <v>965</v>
      </c>
      <c r="O615">
        <f t="shared" si="45"/>
        <v>0.7</v>
      </c>
      <c r="P615">
        <f t="shared" si="44"/>
        <v>0.3</v>
      </c>
      <c r="Q615">
        <f t="shared" si="44"/>
        <v>0.9</v>
      </c>
    </row>
    <row r="616" spans="2:17" x14ac:dyDescent="0.3">
      <c r="B616" s="205" t="s">
        <v>1444</v>
      </c>
      <c r="F616" s="320"/>
      <c r="G616" s="251"/>
      <c r="L616" s="320"/>
      <c r="M616" s="251"/>
      <c r="O616"/>
      <c r="P616"/>
      <c r="Q616"/>
    </row>
    <row r="617" spans="2:17" x14ac:dyDescent="0.3">
      <c r="B617" s="206" t="s">
        <v>1082</v>
      </c>
      <c r="C617" s="167">
        <v>1.6</v>
      </c>
      <c r="D617" s="167">
        <v>0.8</v>
      </c>
      <c r="E617" s="167">
        <v>2.8</v>
      </c>
      <c r="F617" s="320" t="s">
        <v>866</v>
      </c>
      <c r="G617" s="251" t="s">
        <v>970</v>
      </c>
      <c r="I617" s="167">
        <v>2</v>
      </c>
      <c r="J617" s="167">
        <v>1.5</v>
      </c>
      <c r="K617" s="167">
        <v>2.5</v>
      </c>
      <c r="L617" s="320"/>
      <c r="M617" s="251"/>
      <c r="O617">
        <f t="shared" si="45"/>
        <v>1.6</v>
      </c>
      <c r="P617">
        <f t="shared" si="44"/>
        <v>0.8</v>
      </c>
      <c r="Q617">
        <f t="shared" si="44"/>
        <v>2.8</v>
      </c>
    </row>
    <row r="618" spans="2:17" x14ac:dyDescent="0.3">
      <c r="B618" s="206" t="s">
        <v>1083</v>
      </c>
      <c r="C618" s="167">
        <v>1.6</v>
      </c>
      <c r="D618" s="167">
        <v>0.8</v>
      </c>
      <c r="E618" s="167">
        <v>2.8</v>
      </c>
      <c r="F618" s="320" t="s">
        <v>866</v>
      </c>
      <c r="G618" s="251" t="s">
        <v>970</v>
      </c>
      <c r="I618" s="167">
        <v>2</v>
      </c>
      <c r="J618" s="167">
        <v>1.5</v>
      </c>
      <c r="K618" s="167">
        <v>2.5</v>
      </c>
      <c r="L618" s="320"/>
      <c r="M618" s="251"/>
      <c r="O618">
        <f t="shared" si="45"/>
        <v>1.6</v>
      </c>
      <c r="P618">
        <f t="shared" si="44"/>
        <v>0.8</v>
      </c>
      <c r="Q618">
        <f t="shared" si="44"/>
        <v>2.8</v>
      </c>
    </row>
    <row r="619" spans="2:17" x14ac:dyDescent="0.3">
      <c r="B619" s="206" t="s">
        <v>1084</v>
      </c>
      <c r="C619" s="167">
        <v>1.6</v>
      </c>
      <c r="D619" s="167">
        <v>0.8</v>
      </c>
      <c r="E619" s="167">
        <v>2.8</v>
      </c>
      <c r="F619" s="320" t="s">
        <v>866</v>
      </c>
      <c r="G619" s="251" t="s">
        <v>970</v>
      </c>
      <c r="I619" s="167">
        <v>2</v>
      </c>
      <c r="J619" s="167">
        <v>1.5</v>
      </c>
      <c r="K619" s="167">
        <v>2.5</v>
      </c>
      <c r="L619" s="320"/>
      <c r="M619" s="251"/>
      <c r="O619">
        <f t="shared" si="45"/>
        <v>1.6</v>
      </c>
      <c r="P619">
        <f t="shared" si="44"/>
        <v>0.8</v>
      </c>
      <c r="Q619">
        <f t="shared" si="44"/>
        <v>2.8</v>
      </c>
    </row>
    <row r="620" spans="2:17" x14ac:dyDescent="0.3">
      <c r="B620" s="206" t="s">
        <v>1085</v>
      </c>
      <c r="C620" s="167">
        <v>4.9000000000000004</v>
      </c>
      <c r="D620" s="167">
        <v>2.4</v>
      </c>
      <c r="E620" s="167">
        <v>8.1999999999999993</v>
      </c>
      <c r="F620" s="320" t="s">
        <v>866</v>
      </c>
      <c r="G620" s="251" t="s">
        <v>970</v>
      </c>
      <c r="I620" s="167">
        <v>2</v>
      </c>
      <c r="J620" s="167">
        <v>1.5</v>
      </c>
      <c r="K620" s="167">
        <v>2.5</v>
      </c>
      <c r="L620" s="320"/>
      <c r="M620" s="251"/>
      <c r="N620" s="204" t="s">
        <v>965</v>
      </c>
      <c r="O620">
        <f t="shared" si="45"/>
        <v>4.9000000000000004</v>
      </c>
      <c r="P620">
        <f t="shared" si="44"/>
        <v>2.4</v>
      </c>
      <c r="Q620">
        <f t="shared" si="44"/>
        <v>8.1999999999999993</v>
      </c>
    </row>
    <row r="621" spans="2:17" x14ac:dyDescent="0.3">
      <c r="B621" s="206" t="s">
        <v>1086</v>
      </c>
      <c r="C621" s="167">
        <v>4.9000000000000004</v>
      </c>
      <c r="D621" s="167">
        <v>2.4</v>
      </c>
      <c r="E621" s="167">
        <v>8.1999999999999993</v>
      </c>
      <c r="F621" t="s">
        <v>1081</v>
      </c>
      <c r="G621" t="s">
        <v>971</v>
      </c>
      <c r="I621" s="167">
        <v>7.4</v>
      </c>
      <c r="J621" s="167">
        <v>5.5500000000000007</v>
      </c>
      <c r="K621" s="167">
        <v>9.25</v>
      </c>
      <c r="L621"/>
      <c r="M621"/>
      <c r="N621" s="204" t="s">
        <v>965</v>
      </c>
      <c r="O621">
        <f t="shared" si="45"/>
        <v>4.9000000000000004</v>
      </c>
      <c r="P621">
        <f t="shared" si="44"/>
        <v>2.4</v>
      </c>
      <c r="Q621">
        <f t="shared" si="44"/>
        <v>8.1999999999999993</v>
      </c>
    </row>
    <row r="622" spans="2:17" x14ac:dyDescent="0.3">
      <c r="B622" s="206" t="s">
        <v>1087</v>
      </c>
      <c r="C622" s="167">
        <v>4.9000000000000004</v>
      </c>
      <c r="D622" s="167">
        <v>2.4</v>
      </c>
      <c r="E622" s="167">
        <v>8.1999999999999993</v>
      </c>
      <c r="F622" s="320" t="s">
        <v>868</v>
      </c>
      <c r="G622" s="251" t="s">
        <v>971</v>
      </c>
      <c r="I622" s="167">
        <v>7.5</v>
      </c>
      <c r="J622" s="167">
        <v>5.625</v>
      </c>
      <c r="K622" s="167">
        <v>9.375</v>
      </c>
      <c r="L622" s="320"/>
      <c r="M622" s="251"/>
      <c r="N622" s="204" t="s">
        <v>965</v>
      </c>
      <c r="O622">
        <f t="shared" si="45"/>
        <v>4.9000000000000004</v>
      </c>
      <c r="P622">
        <f t="shared" si="44"/>
        <v>2.4</v>
      </c>
      <c r="Q622">
        <f t="shared" si="44"/>
        <v>8.1999999999999993</v>
      </c>
    </row>
    <row r="623" spans="2:17" x14ac:dyDescent="0.3">
      <c r="B623" s="206" t="s">
        <v>1443</v>
      </c>
      <c r="C623" s="167">
        <v>0.7</v>
      </c>
      <c r="D623" s="167">
        <v>0.3</v>
      </c>
      <c r="E623" s="167">
        <v>0.9</v>
      </c>
      <c r="F623" s="320" t="s">
        <v>869</v>
      </c>
      <c r="G623" s="251" t="s">
        <v>876</v>
      </c>
      <c r="I623" s="167">
        <v>0</v>
      </c>
      <c r="J623" s="167">
        <v>0</v>
      </c>
      <c r="K623" s="167">
        <v>0</v>
      </c>
      <c r="L623" s="320"/>
      <c r="M623" s="251"/>
      <c r="N623" s="204" t="s">
        <v>965</v>
      </c>
      <c r="O623">
        <f t="shared" si="45"/>
        <v>0.7</v>
      </c>
      <c r="P623">
        <f t="shared" si="44"/>
        <v>0.3</v>
      </c>
      <c r="Q623">
        <f t="shared" si="44"/>
        <v>0.9</v>
      </c>
    </row>
    <row r="624" spans="2:17" x14ac:dyDescent="0.3">
      <c r="B624" s="207" t="s">
        <v>227</v>
      </c>
      <c r="C624" s="275"/>
      <c r="D624" s="275"/>
      <c r="E624" s="275"/>
      <c r="F624" s="320"/>
      <c r="G624" s="251"/>
      <c r="I624" s="275"/>
      <c r="J624" s="275"/>
      <c r="K624" s="275"/>
      <c r="L624" s="320"/>
      <c r="M624" s="251"/>
      <c r="O624"/>
      <c r="P624"/>
      <c r="Q624"/>
    </row>
    <row r="625" spans="2:17" x14ac:dyDescent="0.3">
      <c r="B625" s="206" t="s">
        <v>1437</v>
      </c>
      <c r="C625" s="167">
        <v>5</v>
      </c>
      <c r="D625" s="167">
        <v>2.4</v>
      </c>
      <c r="E625" s="167">
        <v>8.4</v>
      </c>
      <c r="F625" s="320" t="s">
        <v>869</v>
      </c>
      <c r="G625" s="251" t="s">
        <v>969</v>
      </c>
      <c r="I625" s="167">
        <v>3.8666666666666663</v>
      </c>
      <c r="J625" s="167">
        <v>2.8999999999999995</v>
      </c>
      <c r="K625" s="167">
        <v>4.833333333333333</v>
      </c>
      <c r="L625" s="320"/>
      <c r="M625" s="251"/>
      <c r="N625" s="204" t="s">
        <v>965</v>
      </c>
      <c r="O625">
        <f t="shared" si="45"/>
        <v>5</v>
      </c>
      <c r="P625">
        <f t="shared" si="44"/>
        <v>2.4</v>
      </c>
      <c r="Q625">
        <f t="shared" si="44"/>
        <v>8.4</v>
      </c>
    </row>
    <row r="626" spans="2:17" x14ac:dyDescent="0.3">
      <c r="B626" s="206" t="s">
        <v>1438</v>
      </c>
      <c r="C626" s="167">
        <v>5</v>
      </c>
      <c r="D626" s="167">
        <v>2.4</v>
      </c>
      <c r="E626" s="167">
        <v>8.4</v>
      </c>
      <c r="F626" s="320" t="s">
        <v>866</v>
      </c>
      <c r="G626" s="251" t="s">
        <v>970</v>
      </c>
      <c r="I626" s="167">
        <v>2</v>
      </c>
      <c r="J626" s="167">
        <v>1.5</v>
      </c>
      <c r="K626" s="167">
        <v>2.5</v>
      </c>
      <c r="L626" s="320"/>
      <c r="M626" s="251"/>
      <c r="N626" s="204" t="s">
        <v>965</v>
      </c>
      <c r="O626">
        <f t="shared" si="45"/>
        <v>5</v>
      </c>
      <c r="P626">
        <f t="shared" si="44"/>
        <v>2.4</v>
      </c>
      <c r="Q626">
        <f t="shared" si="44"/>
        <v>8.4</v>
      </c>
    </row>
    <row r="627" spans="2:17" x14ac:dyDescent="0.3">
      <c r="B627" s="206" t="s">
        <v>1441</v>
      </c>
      <c r="C627" s="167">
        <v>2</v>
      </c>
      <c r="D627" s="167">
        <v>1</v>
      </c>
      <c r="E627" s="167">
        <v>3.3</v>
      </c>
      <c r="F627" s="320" t="s">
        <v>869</v>
      </c>
      <c r="G627" s="251" t="s">
        <v>969</v>
      </c>
      <c r="I627" s="167">
        <v>3.8666666666666663</v>
      </c>
      <c r="J627" s="167">
        <v>2.8999999999999995</v>
      </c>
      <c r="K627" s="167">
        <v>4.833333333333333</v>
      </c>
      <c r="L627" s="320"/>
      <c r="M627" s="251"/>
      <c r="N627" s="204" t="s">
        <v>965</v>
      </c>
      <c r="O627">
        <f t="shared" si="45"/>
        <v>2</v>
      </c>
      <c r="P627">
        <f t="shared" si="44"/>
        <v>1</v>
      </c>
      <c r="Q627">
        <f t="shared" si="44"/>
        <v>3.3</v>
      </c>
    </row>
    <row r="628" spans="2:17" x14ac:dyDescent="0.3">
      <c r="B628" s="206" t="s">
        <v>1442</v>
      </c>
      <c r="C628" s="167">
        <v>2</v>
      </c>
      <c r="D628" s="167">
        <v>1</v>
      </c>
      <c r="E628" s="167">
        <v>3.3</v>
      </c>
      <c r="F628" s="320" t="s">
        <v>866</v>
      </c>
      <c r="G628" s="251" t="s">
        <v>970</v>
      </c>
      <c r="I628" s="167">
        <v>2</v>
      </c>
      <c r="J628" s="167">
        <v>1.5</v>
      </c>
      <c r="K628" s="167">
        <v>2.5</v>
      </c>
      <c r="L628" s="320"/>
      <c r="M628" s="251"/>
      <c r="N628" s="204" t="s">
        <v>965</v>
      </c>
      <c r="O628">
        <f t="shared" si="45"/>
        <v>2</v>
      </c>
      <c r="P628">
        <f t="shared" si="44"/>
        <v>1</v>
      </c>
      <c r="Q628">
        <f t="shared" si="44"/>
        <v>3.3</v>
      </c>
    </row>
    <row r="629" spans="2:17" x14ac:dyDescent="0.3">
      <c r="B629" s="207" t="s">
        <v>920</v>
      </c>
      <c r="C629" s="275"/>
      <c r="D629" s="275"/>
      <c r="E629" s="275"/>
      <c r="F629" s="320"/>
      <c r="G629" s="251"/>
      <c r="I629" s="275"/>
      <c r="J629" s="275"/>
      <c r="K629" s="275"/>
      <c r="L629" s="320"/>
      <c r="M629" s="251"/>
      <c r="O629"/>
      <c r="P629"/>
      <c r="Q629"/>
    </row>
    <row r="630" spans="2:17" x14ac:dyDescent="0.3">
      <c r="B630" s="206" t="s">
        <v>920</v>
      </c>
      <c r="C630" s="167">
        <v>5.8</v>
      </c>
      <c r="D630" s="167">
        <v>4.3499999999999996</v>
      </c>
      <c r="E630" s="167">
        <v>7.25</v>
      </c>
      <c r="F630" s="320" t="s">
        <v>869</v>
      </c>
      <c r="G630" s="251" t="s">
        <v>969</v>
      </c>
      <c r="I630" s="167">
        <v>5.8</v>
      </c>
      <c r="J630" s="167">
        <v>4.3499999999999996</v>
      </c>
      <c r="K630" s="167">
        <v>7.25</v>
      </c>
      <c r="L630" s="320"/>
      <c r="M630" s="251"/>
      <c r="O630">
        <f t="shared" si="45"/>
        <v>5.8</v>
      </c>
      <c r="P630">
        <f t="shared" si="44"/>
        <v>4.3499999999999996</v>
      </c>
      <c r="Q630">
        <f t="shared" si="44"/>
        <v>7.25</v>
      </c>
    </row>
    <row r="631" spans="2:17" x14ac:dyDescent="0.3">
      <c r="B631" s="206" t="s">
        <v>980</v>
      </c>
      <c r="C631" s="167">
        <v>0</v>
      </c>
      <c r="D631" s="167">
        <v>0</v>
      </c>
      <c r="E631" s="167">
        <v>0</v>
      </c>
      <c r="F631" s="320"/>
      <c r="G631" s="251"/>
      <c r="I631" s="167">
        <v>0</v>
      </c>
      <c r="J631" s="167">
        <v>0</v>
      </c>
      <c r="K631" s="167">
        <v>0</v>
      </c>
      <c r="L631" s="320"/>
      <c r="M631" s="251"/>
      <c r="O631">
        <f t="shared" si="45"/>
        <v>0</v>
      </c>
      <c r="P631">
        <f t="shared" si="44"/>
        <v>0</v>
      </c>
      <c r="Q631">
        <f t="shared" si="44"/>
        <v>0</v>
      </c>
    </row>
    <row r="632" spans="2:17" x14ac:dyDescent="0.3">
      <c r="G632" s="251"/>
    </row>
    <row r="633" spans="2:17" x14ac:dyDescent="0.3">
      <c r="B633" s="236" t="s">
        <v>1489</v>
      </c>
      <c r="G633" s="251"/>
    </row>
    <row r="634" spans="2:17" x14ac:dyDescent="0.3">
      <c r="B634" s="236"/>
      <c r="G634" s="251"/>
    </row>
    <row r="635" spans="2:17" x14ac:dyDescent="0.3">
      <c r="B635" s="781" t="s">
        <v>1095</v>
      </c>
      <c r="C635" s="781"/>
      <c r="D635" s="781"/>
      <c r="E635" s="781"/>
      <c r="F635" s="781"/>
      <c r="G635" s="781"/>
      <c r="I635" s="787" t="s">
        <v>1096</v>
      </c>
      <c r="J635" s="787"/>
      <c r="K635" s="787"/>
      <c r="L635" s="787"/>
      <c r="M635" s="787"/>
      <c r="O635" s="204" t="s">
        <v>1097</v>
      </c>
    </row>
    <row r="636" spans="2:17" ht="19.5" customHeight="1" thickBot="1" x14ac:dyDescent="0.4">
      <c r="C636" s="786" t="s">
        <v>1373</v>
      </c>
      <c r="D636" s="786"/>
      <c r="E636" s="786"/>
      <c r="F636" s="786"/>
      <c r="G636" s="786"/>
      <c r="I636" s="786" t="s">
        <v>1373</v>
      </c>
      <c r="J636" s="786"/>
      <c r="K636" s="786"/>
      <c r="L636" s="786"/>
      <c r="M636" s="786"/>
    </row>
    <row r="637" spans="2:17" x14ac:dyDescent="0.3">
      <c r="B637" s="284"/>
      <c r="C637" s="214" t="s">
        <v>865</v>
      </c>
      <c r="D637" s="214" t="s">
        <v>985</v>
      </c>
      <c r="E637" s="214" t="s">
        <v>986</v>
      </c>
      <c r="F637" s="319" t="s">
        <v>592</v>
      </c>
      <c r="G637" s="215" t="s">
        <v>591</v>
      </c>
      <c r="I637" s="214" t="s">
        <v>865</v>
      </c>
      <c r="J637" s="214" t="s">
        <v>985</v>
      </c>
      <c r="K637" s="214" t="s">
        <v>986</v>
      </c>
      <c r="L637" s="319" t="s">
        <v>592</v>
      </c>
      <c r="M637" s="215" t="s">
        <v>591</v>
      </c>
      <c r="O637" s="214" t="s">
        <v>865</v>
      </c>
      <c r="P637" s="214" t="s">
        <v>985</v>
      </c>
      <c r="Q637" s="214" t="s">
        <v>986</v>
      </c>
    </row>
    <row r="638" spans="2:17" x14ac:dyDescent="0.3">
      <c r="B638" s="205" t="s">
        <v>1450</v>
      </c>
      <c r="F638" s="320"/>
      <c r="G638" s="251"/>
      <c r="L638" s="320"/>
      <c r="M638" s="251"/>
    </row>
    <row r="639" spans="2:17" x14ac:dyDescent="0.3">
      <c r="B639" s="206" t="s">
        <v>1082</v>
      </c>
      <c r="C639" s="167">
        <f>IF('Input summary'!C846&gt;=65,0,IF(SUM('Input summary'!C846,'Input summary'!E846)&gt;65,65,SUM('Input summary'!C846,'Input summary'!E846))-'Input summary'!C846)*260</f>
        <v>4985.7509795734868</v>
      </c>
      <c r="D639" s="167">
        <f>C639*0.75</f>
        <v>3739.3132346801149</v>
      </c>
      <c r="E639" s="167">
        <f>C639</f>
        <v>4985.7509795734868</v>
      </c>
      <c r="F639" s="320" t="s">
        <v>974</v>
      </c>
      <c r="G639" s="251" t="s">
        <v>1049</v>
      </c>
      <c r="I639" s="167">
        <v>4985.7509795734868</v>
      </c>
      <c r="J639" s="167">
        <v>3739.3132346801149</v>
      </c>
      <c r="K639" s="167">
        <v>4985.7509795734868</v>
      </c>
      <c r="L639" s="320"/>
      <c r="M639" s="251"/>
      <c r="O639">
        <f>IF(ISBLANK(C639),I639,C639)</f>
        <v>4985.7509795734868</v>
      </c>
      <c r="P639">
        <f t="shared" ref="P639:Q661" si="46">IF(ISBLANK(D639),J639,D639)</f>
        <v>3739.3132346801149</v>
      </c>
      <c r="Q639">
        <f t="shared" si="46"/>
        <v>4985.7509795734868</v>
      </c>
    </row>
    <row r="640" spans="2:17" x14ac:dyDescent="0.3">
      <c r="B640" s="206" t="s">
        <v>1083</v>
      </c>
      <c r="C640" s="167">
        <f>IF('Input summary'!C847&gt;=65,0,IF(SUM('Input summary'!C847,'Input summary'!E847)&gt;65,65,SUM('Input summary'!C847,'Input summary'!E847))-'Input summary'!C847)*260</f>
        <v>5030.8891469256405</v>
      </c>
      <c r="D640" s="167">
        <f t="shared" ref="D640:D645" si="47">C640*0.75</f>
        <v>3773.1668601942301</v>
      </c>
      <c r="E640" s="167">
        <f t="shared" ref="E640:E645" si="48">C640</f>
        <v>5030.8891469256405</v>
      </c>
      <c r="F640" s="320" t="s">
        <v>974</v>
      </c>
      <c r="G640" s="251" t="s">
        <v>972</v>
      </c>
      <c r="I640" s="167">
        <v>5030.8891469256405</v>
      </c>
      <c r="J640" s="167">
        <v>3773.1668601942301</v>
      </c>
      <c r="K640" s="167">
        <v>5030.8891469256405</v>
      </c>
      <c r="L640" s="320"/>
      <c r="M640" s="251"/>
      <c r="O640">
        <f t="shared" ref="O640:O661" si="49">IF(ISBLANK(C640),I640,C640)</f>
        <v>5030.8891469256405</v>
      </c>
      <c r="P640">
        <f t="shared" si="46"/>
        <v>3773.1668601942301</v>
      </c>
      <c r="Q640">
        <f t="shared" si="46"/>
        <v>5030.8891469256405</v>
      </c>
    </row>
    <row r="641" spans="2:17" x14ac:dyDescent="0.3">
      <c r="B641" s="206" t="s">
        <v>1084</v>
      </c>
      <c r="C641" s="167">
        <f>IF('Input summary'!C848&gt;=65,0,IF(SUM('Input summary'!C848,'Input summary'!E848)&gt;65,65,SUM('Input summary'!C848,'Input summary'!E848))-'Input summary'!C848)*260</f>
        <v>5017.400405809859</v>
      </c>
      <c r="D641" s="167">
        <f t="shared" si="47"/>
        <v>3763.0503043573945</v>
      </c>
      <c r="E641" s="167">
        <f t="shared" si="48"/>
        <v>5017.400405809859</v>
      </c>
      <c r="F641" s="320" t="s">
        <v>974</v>
      </c>
      <c r="G641" s="251" t="s">
        <v>972</v>
      </c>
      <c r="I641" s="167">
        <v>5017.400405809859</v>
      </c>
      <c r="J641" s="167">
        <v>3763.0503043573945</v>
      </c>
      <c r="K641" s="167">
        <v>5017.400405809859</v>
      </c>
      <c r="L641" s="320"/>
      <c r="M641" s="251"/>
      <c r="O641">
        <f t="shared" si="49"/>
        <v>5017.400405809859</v>
      </c>
      <c r="P641">
        <f t="shared" si="46"/>
        <v>3763.0503043573945</v>
      </c>
      <c r="Q641">
        <f t="shared" si="46"/>
        <v>5017.400405809859</v>
      </c>
    </row>
    <row r="642" spans="2:17" x14ac:dyDescent="0.3">
      <c r="B642" s="206" t="s">
        <v>1085</v>
      </c>
      <c r="C642" s="167">
        <f>IF('Input summary'!C849&gt;=65,0,IF(SUM('Input summary'!C849,'Input summary'!E849)&gt;65,65,SUM('Input summary'!C849,'Input summary'!E849))-'Input summary'!C849)*260</f>
        <v>4903.5750778517449</v>
      </c>
      <c r="D642" s="167">
        <f t="shared" si="47"/>
        <v>3677.6813083888087</v>
      </c>
      <c r="E642" s="167">
        <f t="shared" si="48"/>
        <v>4903.5750778517449</v>
      </c>
      <c r="F642" s="320" t="s">
        <v>974</v>
      </c>
      <c r="G642" s="251" t="s">
        <v>972</v>
      </c>
      <c r="I642" s="167">
        <v>4903.5750778517449</v>
      </c>
      <c r="J642" s="167">
        <v>3677.6813083888087</v>
      </c>
      <c r="K642" s="167">
        <v>4903.5750778517449</v>
      </c>
      <c r="L642" s="320"/>
      <c r="M642" s="251"/>
      <c r="O642">
        <f t="shared" si="49"/>
        <v>4903.5750778517449</v>
      </c>
      <c r="P642">
        <f t="shared" si="46"/>
        <v>3677.6813083888087</v>
      </c>
      <c r="Q642">
        <f t="shared" si="46"/>
        <v>4903.5750778517449</v>
      </c>
    </row>
    <row r="643" spans="2:17" x14ac:dyDescent="0.3">
      <c r="B643" s="206" t="s">
        <v>1086</v>
      </c>
      <c r="C643" s="167">
        <f>IF('Input summary'!C850&gt;=65,0,IF(SUM('Input summary'!C850,'Input summary'!E850)&gt;65,65,SUM('Input summary'!C850,'Input summary'!E850))-'Input summary'!C850)*260</f>
        <v>3893.2164977034513</v>
      </c>
      <c r="D643" s="167">
        <f t="shared" si="47"/>
        <v>2919.9123732775884</v>
      </c>
      <c r="E643" s="167">
        <f t="shared" si="48"/>
        <v>3893.2164977034513</v>
      </c>
      <c r="F643" s="320" t="s">
        <v>974</v>
      </c>
      <c r="G643" s="251" t="s">
        <v>972</v>
      </c>
      <c r="I643" s="167">
        <v>3893.2164977034513</v>
      </c>
      <c r="J643" s="167">
        <v>2919.9123732775884</v>
      </c>
      <c r="K643" s="167">
        <v>3893.2164977034513</v>
      </c>
      <c r="L643" s="320"/>
      <c r="M643" s="251"/>
      <c r="O643">
        <f t="shared" si="49"/>
        <v>3893.2164977034513</v>
      </c>
      <c r="P643">
        <f t="shared" si="46"/>
        <v>2919.9123732775884</v>
      </c>
      <c r="Q643">
        <f t="shared" si="46"/>
        <v>3893.2164977034513</v>
      </c>
    </row>
    <row r="644" spans="2:17" x14ac:dyDescent="0.3">
      <c r="B644" s="206" t="s">
        <v>1087</v>
      </c>
      <c r="C644" s="167">
        <f>IF('Input summary'!C851&gt;=65,0,IF(SUM('Input summary'!C851,'Input summary'!E851)&gt;65,65,SUM('Input summary'!C851,'Input summary'!E851))-'Input summary'!C851)*260</f>
        <v>1782.9225884208738</v>
      </c>
      <c r="D644" s="167">
        <f t="shared" si="47"/>
        <v>1337.1919413156554</v>
      </c>
      <c r="E644" s="167">
        <f t="shared" si="48"/>
        <v>1782.9225884208738</v>
      </c>
      <c r="F644" s="320" t="s">
        <v>974</v>
      </c>
      <c r="G644" s="251" t="s">
        <v>972</v>
      </c>
      <c r="I644" s="167">
        <v>1782.9225884208738</v>
      </c>
      <c r="J644" s="167">
        <v>1337.1919413156554</v>
      </c>
      <c r="K644" s="167">
        <v>1782.9225884208738</v>
      </c>
      <c r="L644" s="320"/>
      <c r="M644" s="251"/>
      <c r="O644">
        <f t="shared" si="49"/>
        <v>1782.9225884208738</v>
      </c>
      <c r="P644">
        <f t="shared" si="46"/>
        <v>1337.1919413156554</v>
      </c>
      <c r="Q644">
        <f t="shared" si="46"/>
        <v>1782.9225884208738</v>
      </c>
    </row>
    <row r="645" spans="2:17" x14ac:dyDescent="0.3">
      <c r="B645" s="206" t="s">
        <v>1443</v>
      </c>
      <c r="C645" s="167">
        <f>IF('Input summary'!C852&gt;=65,0,IF(SUM('Input summary'!C852,'Input summary'!E852)&gt;65,65,SUM('Input summary'!C852,'Input summary'!E852))-'Input summary'!C852)*260</f>
        <v>0</v>
      </c>
      <c r="D645" s="167">
        <f t="shared" si="47"/>
        <v>0</v>
      </c>
      <c r="E645" s="167">
        <f t="shared" si="48"/>
        <v>0</v>
      </c>
      <c r="F645" s="320" t="s">
        <v>974</v>
      </c>
      <c r="G645" s="251" t="s">
        <v>972</v>
      </c>
      <c r="I645" s="167">
        <v>0</v>
      </c>
      <c r="J645" s="167">
        <v>0</v>
      </c>
      <c r="K645" s="167">
        <v>0</v>
      </c>
      <c r="L645" s="320"/>
      <c r="M645" s="251"/>
      <c r="O645">
        <f t="shared" si="49"/>
        <v>0</v>
      </c>
      <c r="P645">
        <f t="shared" si="46"/>
        <v>0</v>
      </c>
      <c r="Q645">
        <f t="shared" si="46"/>
        <v>0</v>
      </c>
    </row>
    <row r="646" spans="2:17" x14ac:dyDescent="0.3">
      <c r="B646" s="205" t="s">
        <v>1444</v>
      </c>
      <c r="F646" s="320"/>
      <c r="G646" s="251"/>
      <c r="L646" s="320"/>
      <c r="M646" s="251"/>
      <c r="O646"/>
      <c r="P646"/>
      <c r="Q646"/>
    </row>
    <row r="647" spans="2:17" x14ac:dyDescent="0.3">
      <c r="B647" s="206" t="s">
        <v>1082</v>
      </c>
      <c r="C647" s="167">
        <f>IF('Input summary'!C854&gt;=65,0,IF(SUM('Input summary'!C854,'Input summary'!E854)&gt;65,65,SUM('Input summary'!C854,'Input summary'!E854))-'Input summary'!C854)*260</f>
        <v>3988.6007836587887</v>
      </c>
      <c r="D647" s="167">
        <f>C647*0.75</f>
        <v>2991.4505877440915</v>
      </c>
      <c r="E647" s="167">
        <f>C647</f>
        <v>3988.6007836587887</v>
      </c>
      <c r="F647" s="320" t="s">
        <v>974</v>
      </c>
      <c r="G647" s="251" t="s">
        <v>1049</v>
      </c>
      <c r="I647" s="167">
        <v>3988.6007836587887</v>
      </c>
      <c r="J647" s="167">
        <v>2991.4505877440915</v>
      </c>
      <c r="K647" s="167">
        <v>3988.6007836587887</v>
      </c>
      <c r="L647" s="320"/>
      <c r="M647" s="251"/>
      <c r="O647">
        <f t="shared" si="49"/>
        <v>3988.6007836587887</v>
      </c>
      <c r="P647">
        <f t="shared" si="46"/>
        <v>2991.4505877440915</v>
      </c>
      <c r="Q647">
        <f t="shared" si="46"/>
        <v>3988.6007836587887</v>
      </c>
    </row>
    <row r="648" spans="2:17" x14ac:dyDescent="0.3">
      <c r="B648" s="206" t="s">
        <v>1083</v>
      </c>
      <c r="C648" s="167">
        <f>IF('Input summary'!C855&gt;=65,0,IF(SUM('Input summary'!C855,'Input summary'!E855)&gt;65,65,SUM('Input summary'!C855,'Input summary'!E855))-'Input summary'!C855)*260</f>
        <v>4024.7113175405129</v>
      </c>
      <c r="D648" s="167">
        <f t="shared" ref="D648:D653" si="50">C648*0.75</f>
        <v>3018.5334881553845</v>
      </c>
      <c r="E648" s="167">
        <f t="shared" ref="E648:E653" si="51">C648</f>
        <v>4024.7113175405129</v>
      </c>
      <c r="F648" s="320" t="s">
        <v>974</v>
      </c>
      <c r="G648" s="251" t="s">
        <v>972</v>
      </c>
      <c r="I648" s="167">
        <v>4024.7113175405129</v>
      </c>
      <c r="J648" s="167">
        <v>3018.5334881553845</v>
      </c>
      <c r="K648" s="167">
        <v>4024.7113175405129</v>
      </c>
      <c r="L648" s="320"/>
      <c r="M648" s="251"/>
      <c r="O648">
        <f t="shared" si="49"/>
        <v>4024.7113175405129</v>
      </c>
      <c r="P648">
        <f t="shared" si="46"/>
        <v>3018.5334881553845</v>
      </c>
      <c r="Q648">
        <f t="shared" si="46"/>
        <v>4024.7113175405129</v>
      </c>
    </row>
    <row r="649" spans="2:17" x14ac:dyDescent="0.3">
      <c r="B649" s="206" t="s">
        <v>1084</v>
      </c>
      <c r="C649" s="167">
        <f>IF('Input summary'!C856&gt;=65,0,IF(SUM('Input summary'!C856,'Input summary'!E856)&gt;65,65,SUM('Input summary'!C856,'Input summary'!E856))-'Input summary'!C856)*260</f>
        <v>4013.9203246478878</v>
      </c>
      <c r="D649" s="167">
        <f t="shared" si="50"/>
        <v>3010.4402434859157</v>
      </c>
      <c r="E649" s="167">
        <f t="shared" si="51"/>
        <v>4013.9203246478878</v>
      </c>
      <c r="F649" s="320" t="s">
        <v>974</v>
      </c>
      <c r="G649" s="251" t="s">
        <v>972</v>
      </c>
      <c r="I649" s="167">
        <v>4013.9203246478878</v>
      </c>
      <c r="J649" s="167">
        <v>3010.4402434859157</v>
      </c>
      <c r="K649" s="167">
        <v>4013.9203246478878</v>
      </c>
      <c r="L649" s="320"/>
      <c r="M649" s="251"/>
      <c r="O649">
        <f t="shared" si="49"/>
        <v>4013.9203246478878</v>
      </c>
      <c r="P649">
        <f t="shared" si="46"/>
        <v>3010.4402434859157</v>
      </c>
      <c r="Q649">
        <f t="shared" si="46"/>
        <v>4013.9203246478878</v>
      </c>
    </row>
    <row r="650" spans="2:17" x14ac:dyDescent="0.3">
      <c r="B650" s="206" t="s">
        <v>1085</v>
      </c>
      <c r="C650" s="167">
        <f>IF('Input summary'!C857&gt;=65,0,IF(SUM('Input summary'!C857,'Input summary'!E857)&gt;65,65,SUM('Input summary'!C857,'Input summary'!E857))-'Input summary'!C857)*260</f>
        <v>3922.8600622813956</v>
      </c>
      <c r="D650" s="167">
        <f t="shared" si="50"/>
        <v>2942.1450467110467</v>
      </c>
      <c r="E650" s="167">
        <f t="shared" si="51"/>
        <v>3922.8600622813956</v>
      </c>
      <c r="F650" s="320" t="s">
        <v>974</v>
      </c>
      <c r="G650" s="251" t="s">
        <v>972</v>
      </c>
      <c r="I650" s="167">
        <v>3922.8600622813956</v>
      </c>
      <c r="J650" s="167">
        <v>2942.1450467110467</v>
      </c>
      <c r="K650" s="167">
        <v>3922.8600622813956</v>
      </c>
      <c r="L650" s="320"/>
      <c r="M650" s="251"/>
      <c r="O650">
        <f t="shared" si="49"/>
        <v>3922.8600622813956</v>
      </c>
      <c r="P650">
        <f t="shared" si="46"/>
        <v>2942.1450467110467</v>
      </c>
      <c r="Q650">
        <f t="shared" si="46"/>
        <v>3922.8600622813956</v>
      </c>
    </row>
    <row r="651" spans="2:17" x14ac:dyDescent="0.3">
      <c r="B651" s="206" t="s">
        <v>1086</v>
      </c>
      <c r="C651" s="167">
        <f>IF('Input summary'!C858&gt;=65,0,IF(SUM('Input summary'!C858,'Input summary'!E858)&gt;65,65,SUM('Input summary'!C858,'Input summary'!E858))-'Input summary'!C858)*260</f>
        <v>3114.5731981627605</v>
      </c>
      <c r="D651" s="167">
        <f t="shared" si="50"/>
        <v>2335.9298986220701</v>
      </c>
      <c r="E651" s="167">
        <f t="shared" si="51"/>
        <v>3114.5731981627605</v>
      </c>
      <c r="F651" s="320" t="s">
        <v>974</v>
      </c>
      <c r="G651" s="251" t="s">
        <v>972</v>
      </c>
      <c r="I651" s="167">
        <v>3114.5731981627605</v>
      </c>
      <c r="J651" s="167">
        <v>2335.9298986220701</v>
      </c>
      <c r="K651" s="167">
        <v>3114.5731981627605</v>
      </c>
      <c r="L651" s="320"/>
      <c r="M651" s="251"/>
      <c r="O651">
        <f t="shared" si="49"/>
        <v>3114.5731981627605</v>
      </c>
      <c r="P651">
        <f t="shared" si="46"/>
        <v>2335.9298986220701</v>
      </c>
      <c r="Q651">
        <f t="shared" si="46"/>
        <v>3114.5731981627605</v>
      </c>
    </row>
    <row r="652" spans="2:17" x14ac:dyDescent="0.3">
      <c r="B652" s="206" t="s">
        <v>1087</v>
      </c>
      <c r="C652" s="167">
        <f>IF('Input summary'!C859&gt;=65,0,IF(SUM('Input summary'!C859,'Input summary'!E859)&gt;65,65,SUM('Input summary'!C859,'Input summary'!E859))-'Input summary'!C859)*260</f>
        <v>1782.9225884208738</v>
      </c>
      <c r="D652" s="167">
        <f t="shared" si="50"/>
        <v>1337.1919413156554</v>
      </c>
      <c r="E652" s="167">
        <f t="shared" si="51"/>
        <v>1782.9225884208738</v>
      </c>
      <c r="F652" s="320" t="s">
        <v>974</v>
      </c>
      <c r="G652" s="251" t="s">
        <v>972</v>
      </c>
      <c r="I652" s="167">
        <v>1782.9225884208738</v>
      </c>
      <c r="J652" s="167">
        <v>1337.1919413156554</v>
      </c>
      <c r="K652" s="167">
        <v>1782.9225884208738</v>
      </c>
      <c r="L652" s="320"/>
      <c r="M652" s="251"/>
      <c r="O652">
        <f t="shared" si="49"/>
        <v>1782.9225884208738</v>
      </c>
      <c r="P652">
        <f t="shared" si="46"/>
        <v>1337.1919413156554</v>
      </c>
      <c r="Q652">
        <f t="shared" si="46"/>
        <v>1782.9225884208738</v>
      </c>
    </row>
    <row r="653" spans="2:17" x14ac:dyDescent="0.3">
      <c r="B653" s="206" t="s">
        <v>1443</v>
      </c>
      <c r="C653" s="167">
        <f>IF('Input summary'!C860&gt;=65,0,IF(SUM('Input summary'!C860,'Input summary'!E860)&gt;65,65,SUM('Input summary'!C860,'Input summary'!E860))-'Input summary'!C860)*260</f>
        <v>0</v>
      </c>
      <c r="D653" s="167">
        <f t="shared" si="50"/>
        <v>0</v>
      </c>
      <c r="E653" s="167">
        <f t="shared" si="51"/>
        <v>0</v>
      </c>
      <c r="F653" s="320" t="s">
        <v>974</v>
      </c>
      <c r="G653" s="251" t="s">
        <v>972</v>
      </c>
      <c r="I653" s="167">
        <v>0</v>
      </c>
      <c r="J653" s="167">
        <v>0</v>
      </c>
      <c r="K653" s="167">
        <v>0</v>
      </c>
      <c r="L653" s="320"/>
      <c r="M653" s="251"/>
      <c r="O653">
        <f t="shared" si="49"/>
        <v>0</v>
      </c>
      <c r="P653">
        <f t="shared" si="46"/>
        <v>0</v>
      </c>
      <c r="Q653">
        <f t="shared" si="46"/>
        <v>0</v>
      </c>
    </row>
    <row r="654" spans="2:17" x14ac:dyDescent="0.3">
      <c r="B654" s="207" t="s">
        <v>227</v>
      </c>
      <c r="C654" s="275"/>
      <c r="D654" s="275"/>
      <c r="E654" s="275"/>
      <c r="F654" s="320"/>
      <c r="G654" s="251"/>
      <c r="I654" s="275"/>
      <c r="J654" s="275"/>
      <c r="K654" s="275"/>
      <c r="L654" s="320"/>
      <c r="M654" s="251"/>
      <c r="O654"/>
      <c r="P654"/>
      <c r="Q654"/>
    </row>
    <row r="655" spans="2:17" x14ac:dyDescent="0.3">
      <c r="B655" s="206" t="s">
        <v>1437</v>
      </c>
      <c r="C655" s="167">
        <f>IF('Input summary'!C862&gt;=65,0,IF(SUM('Input summary'!C862,'Input summary'!E862)&gt;65,65,SUM('Input summary'!C862,'Input summary'!E862))-'Input summary'!C862)*260</f>
        <v>3114.5731981627605</v>
      </c>
      <c r="D655" s="167">
        <f>C655*0.75</f>
        <v>2335.9298986220701</v>
      </c>
      <c r="E655" s="167">
        <f>C655</f>
        <v>3114.5731981627605</v>
      </c>
      <c r="F655" s="320" t="s">
        <v>974</v>
      </c>
      <c r="G655" s="251" t="s">
        <v>972</v>
      </c>
      <c r="I655" s="167">
        <v>3114.5731981627605</v>
      </c>
      <c r="J655" s="167">
        <v>2335.9298986220701</v>
      </c>
      <c r="K655" s="167">
        <v>3114.5731981627605</v>
      </c>
      <c r="L655" s="320"/>
      <c r="M655" s="251"/>
      <c r="O655">
        <f t="shared" si="49"/>
        <v>3114.5731981627605</v>
      </c>
      <c r="P655">
        <f t="shared" si="46"/>
        <v>2335.9298986220701</v>
      </c>
      <c r="Q655">
        <f t="shared" si="46"/>
        <v>3114.5731981627605</v>
      </c>
    </row>
    <row r="656" spans="2:17" x14ac:dyDescent="0.3">
      <c r="B656" s="206" t="s">
        <v>1438</v>
      </c>
      <c r="C656" s="167">
        <f>IF('Input summary'!C863&gt;=65,0,IF(SUM('Input summary'!C863,'Input summary'!E863)&gt;65,65,SUM('Input summary'!C863,'Input summary'!E863))-'Input summary'!C863)*260</f>
        <v>1782.9225884208738</v>
      </c>
      <c r="D656" s="167">
        <f t="shared" ref="D656:D658" si="52">C656*0.75</f>
        <v>1337.1919413156554</v>
      </c>
      <c r="E656" s="167">
        <f t="shared" ref="E656:E658" si="53">C656</f>
        <v>1782.9225884208738</v>
      </c>
      <c r="F656" s="320" t="s">
        <v>974</v>
      </c>
      <c r="G656" s="251" t="s">
        <v>972</v>
      </c>
      <c r="I656" s="167">
        <v>1782.9225884208738</v>
      </c>
      <c r="J656" s="167">
        <v>1337.1919413156554</v>
      </c>
      <c r="K656" s="167">
        <v>1782.9225884208738</v>
      </c>
      <c r="L656" s="320"/>
      <c r="M656" s="251"/>
      <c r="O656">
        <f t="shared" si="49"/>
        <v>1782.9225884208738</v>
      </c>
      <c r="P656">
        <f t="shared" si="46"/>
        <v>1337.1919413156554</v>
      </c>
      <c r="Q656">
        <f t="shared" si="46"/>
        <v>1782.9225884208738</v>
      </c>
    </row>
    <row r="657" spans="2:17" x14ac:dyDescent="0.3">
      <c r="B657" s="206" t="s">
        <v>1441</v>
      </c>
      <c r="C657" s="167">
        <f>IF('Input summary'!C864&gt;=65,0,IF(SUM('Input summary'!C864,'Input summary'!E864)&gt;65,65,SUM('Input summary'!C864,'Input summary'!E864))-'Input summary'!C864)*260</f>
        <v>5018.738985210357</v>
      </c>
      <c r="D657" s="167">
        <f t="shared" si="52"/>
        <v>3764.0542389077677</v>
      </c>
      <c r="E657" s="167">
        <f t="shared" si="53"/>
        <v>5018.738985210357</v>
      </c>
      <c r="F657" s="320" t="s">
        <v>974</v>
      </c>
      <c r="G657" s="251" t="s">
        <v>972</v>
      </c>
      <c r="I657" s="167">
        <v>5018.738985210357</v>
      </c>
      <c r="J657" s="167">
        <v>3764.0542389077677</v>
      </c>
      <c r="K657" s="167">
        <v>5018.738985210357</v>
      </c>
      <c r="L657" s="320"/>
      <c r="M657" s="251"/>
      <c r="O657">
        <f t="shared" si="49"/>
        <v>5018.738985210357</v>
      </c>
      <c r="P657">
        <f t="shared" si="46"/>
        <v>3764.0542389077677</v>
      </c>
      <c r="Q657">
        <f t="shared" si="46"/>
        <v>5018.738985210357</v>
      </c>
    </row>
    <row r="658" spans="2:17" x14ac:dyDescent="0.3">
      <c r="B658" s="206" t="s">
        <v>1442</v>
      </c>
      <c r="C658" s="167">
        <f>IF('Input summary'!C865&gt;=65,0,IF(SUM('Input summary'!C865,'Input summary'!E865)&gt;65,65,SUM('Input summary'!C865,'Input summary'!E865))-'Input summary'!C865)*260</f>
        <v>4985.7509795734868</v>
      </c>
      <c r="D658" s="167">
        <f t="shared" si="52"/>
        <v>3739.3132346801149</v>
      </c>
      <c r="E658" s="167">
        <f t="shared" si="53"/>
        <v>4985.7509795734868</v>
      </c>
      <c r="F658" s="320" t="s">
        <v>974</v>
      </c>
      <c r="G658" s="251" t="s">
        <v>972</v>
      </c>
      <c r="I658" s="167">
        <v>4985.7509795734868</v>
      </c>
      <c r="J658" s="167">
        <v>3739.3132346801149</v>
      </c>
      <c r="K658" s="167">
        <v>4985.7509795734868</v>
      </c>
      <c r="L658" s="320"/>
      <c r="M658" s="251"/>
      <c r="O658">
        <f t="shared" si="49"/>
        <v>4985.7509795734868</v>
      </c>
      <c r="P658">
        <f t="shared" si="46"/>
        <v>3739.3132346801149</v>
      </c>
      <c r="Q658">
        <f t="shared" si="46"/>
        <v>4985.7509795734868</v>
      </c>
    </row>
    <row r="659" spans="2:17" x14ac:dyDescent="0.3">
      <c r="B659" s="207" t="s">
        <v>920</v>
      </c>
      <c r="C659" s="275"/>
      <c r="D659" s="275"/>
      <c r="E659" s="275"/>
      <c r="F659" s="320"/>
      <c r="G659" s="251"/>
      <c r="I659" s="275"/>
      <c r="J659" s="275"/>
      <c r="K659" s="275"/>
      <c r="L659" s="320"/>
      <c r="M659" s="251"/>
      <c r="O659"/>
      <c r="P659"/>
      <c r="Q659"/>
    </row>
    <row r="660" spans="2:17" x14ac:dyDescent="0.3">
      <c r="B660" s="206" t="s">
        <v>920</v>
      </c>
      <c r="C660" s="167">
        <f>IF('Input summary'!C867&gt;=65,0,IF(SUM('Input summary'!C867,'Input summary'!E867)&gt;65,65,SUM('Input summary'!C867,'Input summary'!E867))-'Input summary'!C867)*260</f>
        <v>3893.2164977034513</v>
      </c>
      <c r="D660" s="167">
        <f t="shared" ref="D660:D661" si="54">C660*0.75</f>
        <v>2919.9123732775884</v>
      </c>
      <c r="E660" s="167">
        <f t="shared" ref="E660:E661" si="55">C660</f>
        <v>3893.2164977034513</v>
      </c>
      <c r="F660" s="320" t="s">
        <v>974</v>
      </c>
      <c r="G660" s="251" t="s">
        <v>972</v>
      </c>
      <c r="I660" s="167">
        <v>3893.2164977034513</v>
      </c>
      <c r="J660" s="167">
        <v>2919.9123732775884</v>
      </c>
      <c r="K660" s="167">
        <v>3893.2164977034513</v>
      </c>
      <c r="L660" s="320"/>
      <c r="M660" s="251"/>
      <c r="O660">
        <f t="shared" si="49"/>
        <v>3893.2164977034513</v>
      </c>
      <c r="P660">
        <f t="shared" si="46"/>
        <v>2919.9123732775884</v>
      </c>
      <c r="Q660">
        <f t="shared" si="46"/>
        <v>3893.2164977034513</v>
      </c>
    </row>
    <row r="661" spans="2:17" x14ac:dyDescent="0.3">
      <c r="B661" s="206" t="s">
        <v>980</v>
      </c>
      <c r="C661" s="167">
        <f>IF('Input summary'!C868&gt;=65,0,IF(SUM('Input summary'!C868,'Input summary'!E868)&gt;65,65,SUM('Input summary'!C868,'Input summary'!E868))-'Input summary'!C868)*260</f>
        <v>1782.9225884208738</v>
      </c>
      <c r="D661" s="167">
        <f t="shared" si="54"/>
        <v>1337.1919413156554</v>
      </c>
      <c r="E661" s="167">
        <f t="shared" si="55"/>
        <v>1782.9225884208738</v>
      </c>
      <c r="F661" s="320" t="s">
        <v>974</v>
      </c>
      <c r="G661" s="251" t="s">
        <v>972</v>
      </c>
      <c r="I661" s="167">
        <v>1782.9225884208738</v>
      </c>
      <c r="J661" s="167">
        <v>1337.1919413156554</v>
      </c>
      <c r="K661" s="167">
        <v>1782.9225884208738</v>
      </c>
      <c r="L661" s="320"/>
      <c r="M661" s="251"/>
      <c r="O661">
        <f t="shared" si="49"/>
        <v>1782.9225884208738</v>
      </c>
      <c r="P661">
        <f t="shared" si="46"/>
        <v>1337.1919413156554</v>
      </c>
      <c r="Q661">
        <f t="shared" si="46"/>
        <v>1782.9225884208738</v>
      </c>
    </row>
    <row r="662" spans="2:17" x14ac:dyDescent="0.3">
      <c r="B662" s="239"/>
      <c r="C662" s="275"/>
      <c r="D662" s="283"/>
      <c r="E662" s="283"/>
      <c r="F662" s="320"/>
    </row>
    <row r="663" spans="2:17" x14ac:dyDescent="0.3">
      <c r="B663" s="236" t="s">
        <v>1490</v>
      </c>
      <c r="C663" s="275"/>
      <c r="D663" s="283"/>
      <c r="E663" s="283"/>
      <c r="F663" s="320"/>
    </row>
    <row r="664" spans="2:17" x14ac:dyDescent="0.3">
      <c r="B664" s="236"/>
      <c r="C664" s="275"/>
      <c r="D664" s="283"/>
      <c r="E664" s="283"/>
      <c r="F664" s="320"/>
    </row>
    <row r="665" spans="2:17" x14ac:dyDescent="0.3">
      <c r="B665" s="781" t="s">
        <v>1095</v>
      </c>
      <c r="C665" s="781"/>
      <c r="D665" s="781"/>
      <c r="E665" s="781"/>
      <c r="F665" s="781"/>
      <c r="G665" s="781"/>
      <c r="I665" s="787" t="s">
        <v>1096</v>
      </c>
      <c r="J665" s="787"/>
      <c r="K665" s="787"/>
      <c r="L665" s="787"/>
      <c r="M665" s="787"/>
      <c r="O665" s="204" t="s">
        <v>1097</v>
      </c>
    </row>
    <row r="666" spans="2:17" ht="18.600000000000001" thickBot="1" x14ac:dyDescent="0.4">
      <c r="B666" s="284"/>
      <c r="C666" s="786" t="s">
        <v>1374</v>
      </c>
      <c r="D666" s="786"/>
      <c r="E666" s="786"/>
      <c r="F666" s="786"/>
      <c r="G666" s="786"/>
    </row>
    <row r="667" spans="2:17" x14ac:dyDescent="0.3">
      <c r="B667" s="284"/>
      <c r="C667" s="214" t="s">
        <v>865</v>
      </c>
      <c r="D667" s="214" t="s">
        <v>985</v>
      </c>
      <c r="E667" s="214" t="s">
        <v>986</v>
      </c>
      <c r="F667" s="319" t="s">
        <v>592</v>
      </c>
      <c r="G667" s="215" t="s">
        <v>591</v>
      </c>
      <c r="O667" s="214" t="s">
        <v>984</v>
      </c>
      <c r="P667" s="214" t="s">
        <v>985</v>
      </c>
      <c r="Q667" s="214" t="s">
        <v>986</v>
      </c>
    </row>
    <row r="668" spans="2:17" x14ac:dyDescent="0.3">
      <c r="B668" s="205" t="s">
        <v>1450</v>
      </c>
      <c r="F668" s="320"/>
      <c r="G668" s="251"/>
    </row>
    <row r="669" spans="2:17" x14ac:dyDescent="0.3">
      <c r="B669" s="206" t="s">
        <v>1082</v>
      </c>
      <c r="C669" s="167">
        <f>8.46*'General input'!$C$17*'General input'!$G$17</f>
        <v>111.02462608695653</v>
      </c>
      <c r="D669" s="167">
        <f t="shared" ref="D669:D691" si="56">C669*0.75</f>
        <v>83.268469565217401</v>
      </c>
      <c r="E669" s="167">
        <f t="shared" ref="E669" si="57">C669</f>
        <v>111.02462608695653</v>
      </c>
      <c r="F669" s="320"/>
      <c r="G669" s="251" t="s">
        <v>1505</v>
      </c>
      <c r="I669" s="167">
        <v>941.19996066541989</v>
      </c>
      <c r="J669" s="167">
        <v>705.89997049906492</v>
      </c>
      <c r="K669" s="167">
        <v>1176.4999508317749</v>
      </c>
      <c r="O669">
        <f>IF(ISBLANK(C669),I669,C669)</f>
        <v>111.02462608695653</v>
      </c>
      <c r="P669">
        <f t="shared" ref="P669:Q691" si="58">IF(ISBLANK(D669),J669,D669)</f>
        <v>83.268469565217401</v>
      </c>
      <c r="Q669">
        <f t="shared" si="58"/>
        <v>111.02462608695653</v>
      </c>
    </row>
    <row r="670" spans="2:17" x14ac:dyDescent="0.3">
      <c r="B670" s="206" t="s">
        <v>1083</v>
      </c>
      <c r="C670" s="167">
        <f>8.46*'General input'!$C$17*'General input'!$G$17</f>
        <v>111.02462608695653</v>
      </c>
      <c r="D670" s="167">
        <f t="shared" si="56"/>
        <v>83.268469565217401</v>
      </c>
      <c r="E670" s="167">
        <f t="shared" ref="E670:E675" si="59">C670</f>
        <v>111.02462608695653</v>
      </c>
      <c r="F670" s="320"/>
      <c r="G670" s="251" t="s">
        <v>875</v>
      </c>
      <c r="I670" s="167">
        <v>941.19996066541989</v>
      </c>
      <c r="J670" s="167">
        <v>705.89997049906492</v>
      </c>
      <c r="K670" s="167">
        <v>1176.4999508317749</v>
      </c>
      <c r="O670">
        <f t="shared" ref="O670:O691" si="60">IF(ISBLANK(C670),I670,C670)</f>
        <v>111.02462608695653</v>
      </c>
      <c r="P670">
        <f t="shared" si="58"/>
        <v>83.268469565217401</v>
      </c>
      <c r="Q670">
        <f t="shared" si="58"/>
        <v>111.02462608695653</v>
      </c>
    </row>
    <row r="671" spans="2:17" x14ac:dyDescent="0.3">
      <c r="B671" s="206" t="s">
        <v>1084</v>
      </c>
      <c r="C671" s="167">
        <f>8.46*'General input'!$C$17*'General input'!$G$17</f>
        <v>111.02462608695653</v>
      </c>
      <c r="D671" s="167">
        <f t="shared" si="56"/>
        <v>83.268469565217401</v>
      </c>
      <c r="E671" s="167">
        <f t="shared" si="59"/>
        <v>111.02462608695653</v>
      </c>
      <c r="G671" s="251" t="s">
        <v>875</v>
      </c>
      <c r="I671" s="167">
        <v>941.19996066541989</v>
      </c>
      <c r="J671" s="167">
        <v>705.89997049906492</v>
      </c>
      <c r="K671" s="167">
        <v>1176.4999508317749</v>
      </c>
      <c r="O671">
        <f t="shared" si="60"/>
        <v>111.02462608695653</v>
      </c>
      <c r="P671">
        <f t="shared" si="58"/>
        <v>83.268469565217401</v>
      </c>
      <c r="Q671">
        <f t="shared" si="58"/>
        <v>111.02462608695653</v>
      </c>
    </row>
    <row r="672" spans="2:17" x14ac:dyDescent="0.3">
      <c r="B672" s="206" t="s">
        <v>1085</v>
      </c>
      <c r="C672" s="167">
        <f>11.11*'General input'!$C$17*'General input'!$G$17</f>
        <v>145.80184347826085</v>
      </c>
      <c r="D672" s="167">
        <f t="shared" si="56"/>
        <v>109.35138260869564</v>
      </c>
      <c r="E672" s="167">
        <f t="shared" si="59"/>
        <v>145.80184347826085</v>
      </c>
      <c r="G672" s="251" t="s">
        <v>875</v>
      </c>
      <c r="I672" s="167">
        <v>941.19996066541989</v>
      </c>
      <c r="J672" s="167">
        <v>705.89997049906492</v>
      </c>
      <c r="K672" s="167">
        <v>1176.4999508317749</v>
      </c>
      <c r="O672">
        <f t="shared" si="60"/>
        <v>145.80184347826085</v>
      </c>
      <c r="P672">
        <f t="shared" si="58"/>
        <v>109.35138260869564</v>
      </c>
      <c r="Q672">
        <f t="shared" si="58"/>
        <v>145.80184347826085</v>
      </c>
    </row>
    <row r="673" spans="2:17" x14ac:dyDescent="0.3">
      <c r="B673" s="206" t="s">
        <v>1086</v>
      </c>
      <c r="C673" s="167">
        <f>11.11*'General input'!$C$17*'General input'!$G$17</f>
        <v>145.80184347826085</v>
      </c>
      <c r="D673" s="167">
        <f t="shared" si="56"/>
        <v>109.35138260869564</v>
      </c>
      <c r="E673" s="167">
        <f t="shared" si="59"/>
        <v>145.80184347826085</v>
      </c>
      <c r="G673" s="251" t="s">
        <v>875</v>
      </c>
      <c r="I673" s="167">
        <v>941.19996066541989</v>
      </c>
      <c r="J673" s="167">
        <v>705.89997049906492</v>
      </c>
      <c r="K673" s="167">
        <v>1176.4999508317749</v>
      </c>
      <c r="O673">
        <f t="shared" si="60"/>
        <v>145.80184347826085</v>
      </c>
      <c r="P673">
        <f t="shared" si="58"/>
        <v>109.35138260869564</v>
      </c>
      <c r="Q673">
        <f t="shared" si="58"/>
        <v>145.80184347826085</v>
      </c>
    </row>
    <row r="674" spans="2:17" x14ac:dyDescent="0.3">
      <c r="B674" s="206" t="s">
        <v>1087</v>
      </c>
      <c r="C674" s="167">
        <f>11.11*'General input'!$C$17*'General input'!$G$17</f>
        <v>145.80184347826085</v>
      </c>
      <c r="D674" s="167">
        <f t="shared" si="56"/>
        <v>109.35138260869564</v>
      </c>
      <c r="E674" s="167">
        <f t="shared" si="59"/>
        <v>145.80184347826085</v>
      </c>
      <c r="G674" s="251" t="s">
        <v>875</v>
      </c>
      <c r="I674" s="167">
        <v>941.19996066541989</v>
      </c>
      <c r="J674" s="167">
        <v>705.89997049906492</v>
      </c>
      <c r="K674" s="167">
        <v>1176.4999508317749</v>
      </c>
      <c r="O674">
        <f t="shared" si="60"/>
        <v>145.80184347826085</v>
      </c>
      <c r="P674">
        <f t="shared" si="58"/>
        <v>109.35138260869564</v>
      </c>
      <c r="Q674">
        <f t="shared" si="58"/>
        <v>145.80184347826085</v>
      </c>
    </row>
    <row r="675" spans="2:17" x14ac:dyDescent="0.3">
      <c r="B675" s="206" t="s">
        <v>1443</v>
      </c>
      <c r="C675" s="167">
        <f>8*'General input'!$C$17*'General input'!$G$17</f>
        <v>104.98782608695652</v>
      </c>
      <c r="D675" s="167">
        <f t="shared" si="56"/>
        <v>78.740869565217395</v>
      </c>
      <c r="E675" s="167">
        <f t="shared" si="59"/>
        <v>104.98782608695652</v>
      </c>
      <c r="G675" s="251" t="s">
        <v>875</v>
      </c>
      <c r="I675" s="167">
        <v>941.19996066541989</v>
      </c>
      <c r="J675" s="167">
        <v>705.89997049906492</v>
      </c>
      <c r="K675" s="167">
        <v>1176.4999508317749</v>
      </c>
      <c r="O675">
        <f t="shared" si="60"/>
        <v>104.98782608695652</v>
      </c>
      <c r="P675">
        <f t="shared" si="58"/>
        <v>78.740869565217395</v>
      </c>
      <c r="Q675">
        <f t="shared" si="58"/>
        <v>104.98782608695652</v>
      </c>
    </row>
    <row r="676" spans="2:17" x14ac:dyDescent="0.3">
      <c r="B676" s="205" t="s">
        <v>1444</v>
      </c>
      <c r="F676" s="320"/>
      <c r="G676" s="251"/>
      <c r="O676"/>
      <c r="P676"/>
      <c r="Q676"/>
    </row>
    <row r="677" spans="2:17" x14ac:dyDescent="0.3">
      <c r="B677" s="206" t="s">
        <v>1082</v>
      </c>
      <c r="C677" s="167">
        <f>8.46*'General input'!$C$17*'General input'!$G$17</f>
        <v>111.02462608695653</v>
      </c>
      <c r="D677" s="167">
        <f t="shared" si="56"/>
        <v>83.268469565217401</v>
      </c>
      <c r="E677" s="167">
        <f t="shared" ref="E677:E683" si="61">C677</f>
        <v>111.02462608695653</v>
      </c>
      <c r="F677" s="320"/>
      <c r="G677" s="251" t="s">
        <v>875</v>
      </c>
      <c r="I677" s="167">
        <v>941.19996066541989</v>
      </c>
      <c r="J677" s="167">
        <v>705.89997049906492</v>
      </c>
      <c r="K677" s="167">
        <v>1176.4999508317749</v>
      </c>
      <c r="O677">
        <f t="shared" si="60"/>
        <v>111.02462608695653</v>
      </c>
      <c r="P677">
        <f t="shared" si="58"/>
        <v>83.268469565217401</v>
      </c>
      <c r="Q677">
        <f t="shared" si="58"/>
        <v>111.02462608695653</v>
      </c>
    </row>
    <row r="678" spans="2:17" x14ac:dyDescent="0.3">
      <c r="B678" s="206" t="s">
        <v>1083</v>
      </c>
      <c r="C678" s="167">
        <f>8.46*'General input'!$C$17*'General input'!$G$17</f>
        <v>111.02462608695653</v>
      </c>
      <c r="D678" s="167">
        <f t="shared" si="56"/>
        <v>83.268469565217401</v>
      </c>
      <c r="E678" s="167">
        <f t="shared" si="61"/>
        <v>111.02462608695653</v>
      </c>
      <c r="F678" s="320"/>
      <c r="G678" s="251" t="s">
        <v>875</v>
      </c>
      <c r="I678" s="167">
        <v>941.19996066541989</v>
      </c>
      <c r="J678" s="167">
        <v>705.89997049906492</v>
      </c>
      <c r="K678" s="167">
        <v>1176.4999508317749</v>
      </c>
      <c r="O678">
        <f t="shared" si="60"/>
        <v>111.02462608695653</v>
      </c>
      <c r="P678">
        <f t="shared" si="58"/>
        <v>83.268469565217401</v>
      </c>
      <c r="Q678">
        <f t="shared" si="58"/>
        <v>111.02462608695653</v>
      </c>
    </row>
    <row r="679" spans="2:17" x14ac:dyDescent="0.3">
      <c r="B679" s="206" t="s">
        <v>1084</v>
      </c>
      <c r="C679" s="167">
        <f>8.46*'General input'!$C$17*'General input'!$G$17</f>
        <v>111.02462608695653</v>
      </c>
      <c r="D679" s="167">
        <f t="shared" si="56"/>
        <v>83.268469565217401</v>
      </c>
      <c r="E679" s="167">
        <f t="shared" si="61"/>
        <v>111.02462608695653</v>
      </c>
      <c r="G679" s="251" t="s">
        <v>875</v>
      </c>
      <c r="I679" s="167">
        <v>941.19996066541989</v>
      </c>
      <c r="J679" s="167">
        <v>705.89997049906492</v>
      </c>
      <c r="K679" s="167">
        <v>1176.4999508317749</v>
      </c>
      <c r="O679">
        <f t="shared" si="60"/>
        <v>111.02462608695653</v>
      </c>
      <c r="P679">
        <f t="shared" si="58"/>
        <v>83.268469565217401</v>
      </c>
      <c r="Q679">
        <f t="shared" si="58"/>
        <v>111.02462608695653</v>
      </c>
    </row>
    <row r="680" spans="2:17" x14ac:dyDescent="0.3">
      <c r="B680" s="206" t="s">
        <v>1085</v>
      </c>
      <c r="C680" s="167">
        <f>11.11*'General input'!$C$17*'General input'!$G$17</f>
        <v>145.80184347826085</v>
      </c>
      <c r="D680" s="167">
        <f t="shared" si="56"/>
        <v>109.35138260869564</v>
      </c>
      <c r="E680" s="167">
        <f t="shared" si="61"/>
        <v>145.80184347826085</v>
      </c>
      <c r="G680" s="251" t="s">
        <v>875</v>
      </c>
      <c r="I680" s="167">
        <v>941.19996066541989</v>
      </c>
      <c r="J680" s="167">
        <v>705.89997049906492</v>
      </c>
      <c r="K680" s="167">
        <v>1176.4999508317749</v>
      </c>
      <c r="O680">
        <f t="shared" si="60"/>
        <v>145.80184347826085</v>
      </c>
      <c r="P680">
        <f t="shared" si="58"/>
        <v>109.35138260869564</v>
      </c>
      <c r="Q680">
        <f t="shared" si="58"/>
        <v>145.80184347826085</v>
      </c>
    </row>
    <row r="681" spans="2:17" x14ac:dyDescent="0.3">
      <c r="B681" s="206" t="s">
        <v>1086</v>
      </c>
      <c r="C681" s="167">
        <f>11.11*'General input'!$C$17*'General input'!$G$17</f>
        <v>145.80184347826085</v>
      </c>
      <c r="D681" s="167">
        <f t="shared" si="56"/>
        <v>109.35138260869564</v>
      </c>
      <c r="E681" s="167">
        <f t="shared" si="61"/>
        <v>145.80184347826085</v>
      </c>
      <c r="G681" s="251" t="s">
        <v>875</v>
      </c>
      <c r="I681" s="167">
        <v>941.19996066541989</v>
      </c>
      <c r="J681" s="167">
        <v>705.89997049906492</v>
      </c>
      <c r="K681" s="167">
        <v>1176.4999508317749</v>
      </c>
      <c r="O681">
        <f t="shared" si="60"/>
        <v>145.80184347826085</v>
      </c>
      <c r="P681">
        <f t="shared" si="58"/>
        <v>109.35138260869564</v>
      </c>
      <c r="Q681">
        <f t="shared" si="58"/>
        <v>145.80184347826085</v>
      </c>
    </row>
    <row r="682" spans="2:17" x14ac:dyDescent="0.3">
      <c r="B682" s="206" t="s">
        <v>1087</v>
      </c>
      <c r="C682" s="167">
        <f>11.11*'General input'!$C$17*'General input'!$G$17</f>
        <v>145.80184347826085</v>
      </c>
      <c r="D682" s="167">
        <f t="shared" si="56"/>
        <v>109.35138260869564</v>
      </c>
      <c r="E682" s="167">
        <f t="shared" si="61"/>
        <v>145.80184347826085</v>
      </c>
      <c r="G682" s="251" t="s">
        <v>875</v>
      </c>
      <c r="I682" s="167">
        <v>941.19996066541989</v>
      </c>
      <c r="J682" s="167">
        <v>705.89997049906492</v>
      </c>
      <c r="K682" s="167">
        <v>1176.4999508317749</v>
      </c>
      <c r="O682">
        <f t="shared" si="60"/>
        <v>145.80184347826085</v>
      </c>
      <c r="P682">
        <f t="shared" si="58"/>
        <v>109.35138260869564</v>
      </c>
      <c r="Q682">
        <f t="shared" si="58"/>
        <v>145.80184347826085</v>
      </c>
    </row>
    <row r="683" spans="2:17" x14ac:dyDescent="0.3">
      <c r="B683" s="206" t="s">
        <v>1443</v>
      </c>
      <c r="C683" s="167">
        <f>8*'General input'!$C$17*'General input'!$G$17</f>
        <v>104.98782608695652</v>
      </c>
      <c r="D683" s="167">
        <f t="shared" si="56"/>
        <v>78.740869565217395</v>
      </c>
      <c r="E683" s="167">
        <f t="shared" si="61"/>
        <v>104.98782608695652</v>
      </c>
      <c r="G683" s="251" t="s">
        <v>875</v>
      </c>
      <c r="I683" s="167">
        <v>941.19996066541989</v>
      </c>
      <c r="J683" s="167">
        <v>705.89997049906492</v>
      </c>
      <c r="K683" s="167">
        <v>1176.4999508317749</v>
      </c>
      <c r="O683">
        <f t="shared" si="60"/>
        <v>104.98782608695652</v>
      </c>
      <c r="P683">
        <f t="shared" si="58"/>
        <v>78.740869565217395</v>
      </c>
      <c r="Q683">
        <f t="shared" si="58"/>
        <v>104.98782608695652</v>
      </c>
    </row>
    <row r="684" spans="2:17" x14ac:dyDescent="0.3">
      <c r="B684" s="207" t="s">
        <v>227</v>
      </c>
      <c r="C684" s="275"/>
      <c r="D684" s="275"/>
      <c r="E684" s="275"/>
      <c r="G684" s="251"/>
      <c r="I684" s="275"/>
      <c r="J684" s="275"/>
      <c r="K684" s="275"/>
      <c r="O684"/>
      <c r="P684"/>
      <c r="Q684"/>
    </row>
    <row r="685" spans="2:17" x14ac:dyDescent="0.3">
      <c r="B685" s="206" t="s">
        <v>1437</v>
      </c>
      <c r="C685" s="167">
        <f>6.36*'General input'!$C$17*'General input'!$G$17</f>
        <v>83.465321739130431</v>
      </c>
      <c r="D685" s="167">
        <f t="shared" si="56"/>
        <v>62.59899130434782</v>
      </c>
      <c r="E685" s="167">
        <f t="shared" ref="E685:E688" si="62">C685</f>
        <v>83.465321739130431</v>
      </c>
      <c r="G685" s="251" t="s">
        <v>875</v>
      </c>
      <c r="I685" s="167">
        <v>941.19996066541989</v>
      </c>
      <c r="J685" s="167">
        <v>705.89997049906492</v>
      </c>
      <c r="K685" s="167">
        <v>1176.4999508317749</v>
      </c>
      <c r="O685">
        <f t="shared" si="60"/>
        <v>83.465321739130431</v>
      </c>
      <c r="P685">
        <f t="shared" si="58"/>
        <v>62.59899130434782</v>
      </c>
      <c r="Q685">
        <f t="shared" si="58"/>
        <v>83.465321739130431</v>
      </c>
    </row>
    <row r="686" spans="2:17" x14ac:dyDescent="0.3">
      <c r="B686" s="206" t="s">
        <v>1438</v>
      </c>
      <c r="C686" s="167">
        <f>6.36*'General input'!$C$17*'General input'!$G$17</f>
        <v>83.465321739130431</v>
      </c>
      <c r="D686" s="167">
        <f t="shared" si="56"/>
        <v>62.59899130434782</v>
      </c>
      <c r="E686" s="167">
        <f t="shared" si="62"/>
        <v>83.465321739130431</v>
      </c>
      <c r="G686" s="251" t="s">
        <v>875</v>
      </c>
      <c r="I686" s="167">
        <v>941.19996066541989</v>
      </c>
      <c r="J686" s="167">
        <v>705.89997049906492</v>
      </c>
      <c r="K686" s="167">
        <v>1176.4999508317749</v>
      </c>
      <c r="O686">
        <f t="shared" si="60"/>
        <v>83.465321739130431</v>
      </c>
      <c r="P686">
        <f t="shared" si="58"/>
        <v>62.59899130434782</v>
      </c>
      <c r="Q686">
        <f t="shared" si="58"/>
        <v>83.465321739130431</v>
      </c>
    </row>
    <row r="687" spans="2:17" x14ac:dyDescent="0.3">
      <c r="B687" s="206" t="s">
        <v>1441</v>
      </c>
      <c r="C687" s="167">
        <f>8.57*'General input'!$C$17*'General input'!$G$17</f>
        <v>112.46820869565217</v>
      </c>
      <c r="D687" s="167">
        <f t="shared" si="56"/>
        <v>84.351156521739128</v>
      </c>
      <c r="E687" s="167">
        <f t="shared" si="62"/>
        <v>112.46820869565217</v>
      </c>
      <c r="G687" s="251" t="s">
        <v>875</v>
      </c>
      <c r="I687" s="167">
        <v>941.19996066541989</v>
      </c>
      <c r="J687" s="167">
        <v>705.89997049906492</v>
      </c>
      <c r="K687" s="167">
        <v>1176.4999508317749</v>
      </c>
      <c r="O687">
        <f t="shared" si="60"/>
        <v>112.46820869565217</v>
      </c>
      <c r="P687">
        <f t="shared" si="58"/>
        <v>84.351156521739128</v>
      </c>
      <c r="Q687">
        <f t="shared" si="58"/>
        <v>112.46820869565217</v>
      </c>
    </row>
    <row r="688" spans="2:17" x14ac:dyDescent="0.3">
      <c r="B688" s="206" t="s">
        <v>1442</v>
      </c>
      <c r="C688" s="167">
        <f>8.46*'General input'!$C$17*'General input'!$G$17</f>
        <v>111.02462608695653</v>
      </c>
      <c r="D688" s="167">
        <f t="shared" si="56"/>
        <v>83.268469565217401</v>
      </c>
      <c r="E688" s="167">
        <f t="shared" si="62"/>
        <v>111.02462608695653</v>
      </c>
      <c r="G688" s="251" t="s">
        <v>875</v>
      </c>
      <c r="I688" s="167">
        <v>941.19996066541989</v>
      </c>
      <c r="J688" s="167">
        <v>705.89997049906492</v>
      </c>
      <c r="K688" s="167">
        <v>1176.4999508317749</v>
      </c>
      <c r="O688">
        <f t="shared" si="60"/>
        <v>111.02462608695653</v>
      </c>
      <c r="P688">
        <f t="shared" si="58"/>
        <v>83.268469565217401</v>
      </c>
      <c r="Q688">
        <f t="shared" si="58"/>
        <v>111.02462608695653</v>
      </c>
    </row>
    <row r="689" spans="2:21" x14ac:dyDescent="0.3">
      <c r="B689" s="207" t="s">
        <v>920</v>
      </c>
      <c r="C689" s="275"/>
      <c r="D689" s="275"/>
      <c r="E689" s="275"/>
      <c r="G689" s="251"/>
      <c r="I689" s="275"/>
      <c r="J689" s="275"/>
      <c r="K689" s="275"/>
      <c r="O689"/>
      <c r="P689"/>
      <c r="Q689"/>
    </row>
    <row r="690" spans="2:21" x14ac:dyDescent="0.3">
      <c r="B690" s="206" t="s">
        <v>920</v>
      </c>
      <c r="C690" s="167">
        <f>8.46*'General input'!$C$17*'General input'!$G$17</f>
        <v>111.02462608695653</v>
      </c>
      <c r="D690" s="167">
        <f t="shared" si="56"/>
        <v>83.268469565217401</v>
      </c>
      <c r="E690" s="167">
        <f t="shared" ref="E690:E691" si="63">C690</f>
        <v>111.02462608695653</v>
      </c>
      <c r="G690" s="251" t="s">
        <v>968</v>
      </c>
      <c r="I690" s="167">
        <v>941.19996066541989</v>
      </c>
      <c r="J690" s="167">
        <v>705.89997049906492</v>
      </c>
      <c r="K690" s="167">
        <v>1176.4999508317749</v>
      </c>
      <c r="O690">
        <f t="shared" si="60"/>
        <v>111.02462608695653</v>
      </c>
      <c r="P690">
        <f t="shared" si="58"/>
        <v>83.268469565217401</v>
      </c>
      <c r="Q690">
        <f t="shared" si="58"/>
        <v>111.02462608695653</v>
      </c>
    </row>
    <row r="691" spans="2:21" x14ac:dyDescent="0.3">
      <c r="B691" s="206" t="s">
        <v>980</v>
      </c>
      <c r="C691" s="167">
        <f>8.46*'General input'!$C$17*'General input'!$G$17</f>
        <v>111.02462608695653</v>
      </c>
      <c r="D691" s="167">
        <f t="shared" si="56"/>
        <v>83.268469565217401</v>
      </c>
      <c r="E691" s="167">
        <f t="shared" si="63"/>
        <v>111.02462608695653</v>
      </c>
      <c r="G691" s="251"/>
      <c r="I691" s="167">
        <v>941.19996066541989</v>
      </c>
      <c r="J691" s="167">
        <v>705.89997049906492</v>
      </c>
      <c r="K691" s="167">
        <v>1176.4999508317749</v>
      </c>
      <c r="O691">
        <f t="shared" si="60"/>
        <v>111.02462608695653</v>
      </c>
      <c r="P691">
        <f t="shared" si="58"/>
        <v>83.268469565217401</v>
      </c>
      <c r="Q691">
        <f t="shared" si="58"/>
        <v>111.02462608695653</v>
      </c>
      <c r="T691" s="215"/>
      <c r="U691" s="215"/>
    </row>
    <row r="692" spans="2:21" x14ac:dyDescent="0.3">
      <c r="G692" s="251"/>
    </row>
    <row r="693" spans="2:21" x14ac:dyDescent="0.3">
      <c r="C693" s="210"/>
      <c r="G693" s="251"/>
    </row>
  </sheetData>
  <mergeCells count="67">
    <mergeCell ref="I13:M13"/>
    <mergeCell ref="I391:M391"/>
    <mergeCell ref="I422:M422"/>
    <mergeCell ref="I453:M453"/>
    <mergeCell ref="I485:M485"/>
    <mergeCell ref="I421:M421"/>
    <mergeCell ref="I332:M332"/>
    <mergeCell ref="I333:M333"/>
    <mergeCell ref="I360:M360"/>
    <mergeCell ref="C666:G666"/>
    <mergeCell ref="C453:G453"/>
    <mergeCell ref="C485:G485"/>
    <mergeCell ref="C513:G513"/>
    <mergeCell ref="C575:G575"/>
    <mergeCell ref="C606:G606"/>
    <mergeCell ref="B484:G484"/>
    <mergeCell ref="B635:G635"/>
    <mergeCell ref="B543:G543"/>
    <mergeCell ref="C544:G544"/>
    <mergeCell ref="I12:M12"/>
    <mergeCell ref="B71:G71"/>
    <mergeCell ref="I71:M71"/>
    <mergeCell ref="C131:G131"/>
    <mergeCell ref="C189:G189"/>
    <mergeCell ref="I189:M189"/>
    <mergeCell ref="C72:G72"/>
    <mergeCell ref="C100:G100"/>
    <mergeCell ref="B130:G130"/>
    <mergeCell ref="I130:M130"/>
    <mergeCell ref="B161:G161"/>
    <mergeCell ref="I161:M161"/>
    <mergeCell ref="I131:M131"/>
    <mergeCell ref="I100:M100"/>
    <mergeCell ref="I72:M72"/>
    <mergeCell ref="I41:M41"/>
    <mergeCell ref="C5:E5"/>
    <mergeCell ref="C6:E6"/>
    <mergeCell ref="C13:G13"/>
    <mergeCell ref="C41:G41"/>
    <mergeCell ref="B12:G12"/>
    <mergeCell ref="B390:G390"/>
    <mergeCell ref="I390:M390"/>
    <mergeCell ref="B452:G452"/>
    <mergeCell ref="I452:M452"/>
    <mergeCell ref="C162:G162"/>
    <mergeCell ref="I162:M162"/>
    <mergeCell ref="C422:G422"/>
    <mergeCell ref="C391:G391"/>
    <mergeCell ref="B421:G421"/>
    <mergeCell ref="B332:G332"/>
    <mergeCell ref="C333:G333"/>
    <mergeCell ref="C360:G360"/>
    <mergeCell ref="I635:M635"/>
    <mergeCell ref="B665:G665"/>
    <mergeCell ref="I665:M665"/>
    <mergeCell ref="I484:M484"/>
    <mergeCell ref="B605:G605"/>
    <mergeCell ref="I605:M605"/>
    <mergeCell ref="B574:G574"/>
    <mergeCell ref="I574:M574"/>
    <mergeCell ref="C636:G636"/>
    <mergeCell ref="I513:M513"/>
    <mergeCell ref="I575:M575"/>
    <mergeCell ref="I606:M606"/>
    <mergeCell ref="I636:M636"/>
    <mergeCell ref="I543:M543"/>
    <mergeCell ref="I544:M544"/>
  </mergeCells>
  <dataValidations disablePrompts="1" count="1">
    <dataValidation allowBlank="1" showDropDown="1" showInputMessage="1" showErrorMessage="1" sqref="C693 N132" xr:uid="{00000000-0002-0000-0700-000000000000}"/>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FFCC"/>
  </sheetPr>
  <dimension ref="A1:Q291"/>
  <sheetViews>
    <sheetView zoomScaleNormal="100" workbookViewId="0">
      <pane ySplit="2" topLeftCell="A12" activePane="bottomLeft" state="frozen"/>
      <selection activeCell="C101" sqref="C101"/>
      <selection pane="bottomLeft"/>
    </sheetView>
  </sheetViews>
  <sheetFormatPr defaultColWidth="9.109375" defaultRowHeight="14.4" x14ac:dyDescent="0.3"/>
  <cols>
    <col min="1" max="1" width="6.109375" style="204" customWidth="1"/>
    <col min="2" max="2" width="24.88671875" style="204" customWidth="1"/>
    <col min="3" max="4" width="9.88671875" style="204" customWidth="1"/>
    <col min="5" max="5" width="10.44140625" style="204" customWidth="1"/>
    <col min="6" max="6" width="19.5546875" style="204" customWidth="1"/>
    <col min="7" max="7" width="25.6640625" style="204" customWidth="1"/>
    <col min="8" max="8" width="12.88671875" style="204" customWidth="1"/>
    <col min="9" max="9" width="9.5546875" style="204" customWidth="1"/>
    <col min="10" max="10" width="9.33203125" style="204" customWidth="1"/>
    <col min="11" max="11" width="25.44140625" style="204" customWidth="1"/>
    <col min="12" max="12" width="17.88671875" style="204" customWidth="1"/>
    <col min="13" max="13" width="14.44140625" style="204" customWidth="1"/>
    <col min="14" max="14" width="7" style="204" customWidth="1"/>
    <col min="15" max="15" width="16.6640625" style="204" customWidth="1"/>
    <col min="16" max="16" width="13.44140625" style="204" customWidth="1"/>
    <col min="17" max="17" width="11.88671875" style="204" customWidth="1"/>
    <col min="18" max="18" width="7.44140625" style="204" customWidth="1"/>
    <col min="19" max="19" width="6.6640625" style="204" customWidth="1"/>
    <col min="20" max="20" width="32.5546875" style="204" customWidth="1"/>
    <col min="21" max="22" width="37.5546875" style="204" customWidth="1"/>
    <col min="23" max="16384" width="9.109375" style="204"/>
  </cols>
  <sheetData>
    <row r="1" spans="2:17" ht="34.5" customHeight="1" x14ac:dyDescent="0.5">
      <c r="B1" s="217" t="s">
        <v>1058</v>
      </c>
      <c r="C1" s="217"/>
      <c r="D1"/>
      <c r="O1" s="204" t="s">
        <v>1098</v>
      </c>
    </row>
    <row r="2" spans="2:17" ht="27" customHeight="1" x14ac:dyDescent="0.4">
      <c r="B2" s="317" t="s">
        <v>1067</v>
      </c>
      <c r="C2" s="317"/>
      <c r="D2" s="317"/>
      <c r="E2" s="317"/>
      <c r="F2" s="317"/>
      <c r="G2" s="317"/>
      <c r="H2" s="235"/>
      <c r="I2" s="317"/>
      <c r="J2" s="317"/>
      <c r="K2" s="317"/>
      <c r="L2" s="317"/>
      <c r="M2" s="235"/>
    </row>
    <row r="3" spans="2:17" x14ac:dyDescent="0.3">
      <c r="C3" s="215"/>
      <c r="D3" s="215"/>
      <c r="E3" s="215"/>
    </row>
    <row r="4" spans="2:17" x14ac:dyDescent="0.3">
      <c r="B4" s="204" t="s">
        <v>1065</v>
      </c>
      <c r="C4" s="215"/>
      <c r="D4" s="215"/>
      <c r="E4" s="215"/>
    </row>
    <row r="5" spans="2:17" x14ac:dyDescent="0.3">
      <c r="B5" s="318" t="s">
        <v>586</v>
      </c>
      <c r="C5" s="783" t="str">
        <f>'[2]General input'!$C$4</f>
        <v>South Africa</v>
      </c>
      <c r="D5" s="784"/>
      <c r="E5" s="785"/>
      <c r="F5" s="416">
        <f>'Input summary'!C178</f>
        <v>0.35</v>
      </c>
    </row>
    <row r="6" spans="2:17" x14ac:dyDescent="0.3">
      <c r="B6" s="318" t="s">
        <v>987</v>
      </c>
      <c r="C6" s="783" t="str">
        <f>VLOOKUP('[2]General input'!$U$20,'[2]General input'!$R$20:S26,2)</f>
        <v>Elderly (65+ years)</v>
      </c>
      <c r="D6" s="784"/>
      <c r="E6" s="785"/>
    </row>
    <row r="7" spans="2:17" x14ac:dyDescent="0.3">
      <c r="B7" s="318"/>
      <c r="C7" s="271"/>
      <c r="D7" s="271"/>
      <c r="E7" s="271"/>
    </row>
    <row r="8" spans="2:17" x14ac:dyDescent="0.3">
      <c r="B8" s="236" t="s">
        <v>1414</v>
      </c>
      <c r="C8" s="215"/>
      <c r="D8" s="215"/>
      <c r="E8" s="215"/>
    </row>
    <row r="9" spans="2:17" x14ac:dyDescent="0.3">
      <c r="B9" s="236"/>
      <c r="C9" s="215"/>
      <c r="D9" s="215"/>
      <c r="E9" s="215"/>
    </row>
    <row r="10" spans="2:17" x14ac:dyDescent="0.3">
      <c r="B10" s="781" t="s">
        <v>1095</v>
      </c>
      <c r="C10" s="781"/>
      <c r="D10" s="781"/>
      <c r="E10" s="781"/>
      <c r="F10" s="781"/>
      <c r="G10" s="781"/>
      <c r="I10" s="787" t="s">
        <v>1096</v>
      </c>
      <c r="J10" s="787"/>
      <c r="K10" s="787"/>
      <c r="L10" s="787"/>
      <c r="M10" s="787"/>
      <c r="O10" s="204" t="s">
        <v>1097</v>
      </c>
    </row>
    <row r="11" spans="2:17" ht="19.5" customHeight="1" thickBot="1" x14ac:dyDescent="0.4">
      <c r="B11" s="273"/>
      <c r="C11" s="786" t="s">
        <v>1415</v>
      </c>
      <c r="D11" s="786"/>
      <c r="E11" s="786"/>
      <c r="F11" s="786"/>
      <c r="G11" s="786"/>
      <c r="I11" s="786" t="s">
        <v>1415</v>
      </c>
      <c r="J11" s="786"/>
      <c r="K11" s="786"/>
      <c r="L11" s="786"/>
      <c r="M11" s="786"/>
    </row>
    <row r="12" spans="2:17" x14ac:dyDescent="0.3">
      <c r="B12" s="286"/>
      <c r="C12" s="214" t="s">
        <v>984</v>
      </c>
      <c r="D12" s="214" t="s">
        <v>985</v>
      </c>
      <c r="E12" s="214" t="s">
        <v>986</v>
      </c>
      <c r="F12" s="319" t="s">
        <v>592</v>
      </c>
      <c r="G12" s="215" t="s">
        <v>591</v>
      </c>
      <c r="I12" s="214" t="s">
        <v>984</v>
      </c>
      <c r="J12" s="214" t="s">
        <v>985</v>
      </c>
      <c r="K12" s="214" t="s">
        <v>986</v>
      </c>
      <c r="L12" s="319" t="s">
        <v>592</v>
      </c>
      <c r="M12" s="215" t="s">
        <v>591</v>
      </c>
      <c r="O12" s="214" t="s">
        <v>984</v>
      </c>
      <c r="P12" s="214" t="s">
        <v>985</v>
      </c>
      <c r="Q12" s="214" t="s">
        <v>986</v>
      </c>
    </row>
    <row r="13" spans="2:17" x14ac:dyDescent="0.3">
      <c r="B13" s="205" t="s">
        <v>1450</v>
      </c>
      <c r="F13" s="273"/>
      <c r="G13" s="215"/>
      <c r="L13"/>
    </row>
    <row r="14" spans="2:17" x14ac:dyDescent="0.3">
      <c r="B14" s="206" t="s">
        <v>1082</v>
      </c>
      <c r="C14" s="389">
        <v>0.35</v>
      </c>
      <c r="D14" s="389">
        <v>0</v>
      </c>
      <c r="E14" s="389">
        <v>0.7</v>
      </c>
      <c r="F14" s="320" t="s">
        <v>1565</v>
      </c>
      <c r="G14" s="251"/>
      <c r="I14" s="389">
        <v>0.35</v>
      </c>
      <c r="J14" s="389">
        <v>0</v>
      </c>
      <c r="K14" s="389">
        <v>0.7</v>
      </c>
      <c r="L14" s="320"/>
      <c r="M14" s="251"/>
      <c r="O14">
        <f>IF(ISBLANK(C14),I14,C14)</f>
        <v>0.35</v>
      </c>
      <c r="P14">
        <f t="shared" ref="P14:Q36" si="0">IF(ISBLANK(D14),J14,D14)</f>
        <v>0</v>
      </c>
      <c r="Q14">
        <f t="shared" si="0"/>
        <v>0.7</v>
      </c>
    </row>
    <row r="15" spans="2:17" x14ac:dyDescent="0.3">
      <c r="B15" s="206" t="s">
        <v>1083</v>
      </c>
      <c r="C15" s="389">
        <v>0.35</v>
      </c>
      <c r="D15" s="389">
        <v>0</v>
      </c>
      <c r="E15" s="389">
        <v>0.7</v>
      </c>
      <c r="F15" s="320" t="s">
        <v>1565</v>
      </c>
      <c r="G15" s="251"/>
      <c r="I15" s="389">
        <v>0.35</v>
      </c>
      <c r="J15" s="389">
        <v>0</v>
      </c>
      <c r="K15" s="389">
        <v>0.7</v>
      </c>
      <c r="L15" s="320"/>
      <c r="M15" s="251"/>
      <c r="O15">
        <f t="shared" ref="O15:O36" si="1">IF(ISBLANK(C15),I15,C15)</f>
        <v>0.35</v>
      </c>
      <c r="P15">
        <f t="shared" si="0"/>
        <v>0</v>
      </c>
      <c r="Q15">
        <f t="shared" si="0"/>
        <v>0.7</v>
      </c>
    </row>
    <row r="16" spans="2:17" x14ac:dyDescent="0.3">
      <c r="B16" s="206" t="s">
        <v>1084</v>
      </c>
      <c r="C16" s="713">
        <v>0.39</v>
      </c>
      <c r="D16" s="713">
        <v>0</v>
      </c>
      <c r="E16" s="713">
        <v>0.68</v>
      </c>
      <c r="F16" s="714" t="s">
        <v>1565</v>
      </c>
      <c r="G16" s="251"/>
      <c r="I16" s="713">
        <v>0.39</v>
      </c>
      <c r="J16" s="713">
        <v>0</v>
      </c>
      <c r="K16" s="713">
        <v>0.68</v>
      </c>
      <c r="L16" s="320"/>
      <c r="M16" s="251"/>
      <c r="O16">
        <f t="shared" si="1"/>
        <v>0.39</v>
      </c>
      <c r="P16">
        <f t="shared" si="0"/>
        <v>0</v>
      </c>
      <c r="Q16">
        <f t="shared" si="0"/>
        <v>0.68</v>
      </c>
    </row>
    <row r="17" spans="2:17" x14ac:dyDescent="0.3">
      <c r="B17" s="206" t="s">
        <v>1085</v>
      </c>
      <c r="C17" s="389">
        <v>0.57999999999999996</v>
      </c>
      <c r="D17" s="389">
        <v>0.34</v>
      </c>
      <c r="E17" s="389">
        <v>0.73</v>
      </c>
      <c r="F17" s="320" t="s">
        <v>1566</v>
      </c>
      <c r="G17" s="251"/>
      <c r="I17" s="389">
        <v>0.57999999999999996</v>
      </c>
      <c r="J17" s="390">
        <v>0.34</v>
      </c>
      <c r="K17" s="390">
        <v>0.73</v>
      </c>
      <c r="L17" s="320"/>
      <c r="M17" s="251"/>
      <c r="O17">
        <f t="shared" si="1"/>
        <v>0.57999999999999996</v>
      </c>
      <c r="P17">
        <f t="shared" si="0"/>
        <v>0.34</v>
      </c>
      <c r="Q17">
        <f t="shared" si="0"/>
        <v>0.73</v>
      </c>
    </row>
    <row r="18" spans="2:17" x14ac:dyDescent="0.3">
      <c r="B18" s="206" t="s">
        <v>1086</v>
      </c>
      <c r="C18" s="389">
        <v>0.57999999999999996</v>
      </c>
      <c r="D18" s="389">
        <v>0.34</v>
      </c>
      <c r="E18" s="389">
        <v>0.73</v>
      </c>
      <c r="F18" s="320" t="s">
        <v>1566</v>
      </c>
      <c r="G18" s="251"/>
      <c r="I18" s="389">
        <v>0.57999999999999996</v>
      </c>
      <c r="J18" s="390">
        <v>0.34</v>
      </c>
      <c r="K18" s="390">
        <v>0.73</v>
      </c>
      <c r="L18" s="320"/>
      <c r="M18" s="251"/>
      <c r="O18">
        <f t="shared" si="1"/>
        <v>0.57999999999999996</v>
      </c>
      <c r="P18">
        <f t="shared" si="0"/>
        <v>0.34</v>
      </c>
      <c r="Q18">
        <f t="shared" si="0"/>
        <v>0.73</v>
      </c>
    </row>
    <row r="19" spans="2:17" x14ac:dyDescent="0.3">
      <c r="B19" s="206" t="s">
        <v>1087</v>
      </c>
      <c r="C19" s="389">
        <v>0.57999999999999996</v>
      </c>
      <c r="D19" s="389">
        <v>0.34</v>
      </c>
      <c r="E19" s="389">
        <v>0.73</v>
      </c>
      <c r="F19" s="320" t="s">
        <v>1566</v>
      </c>
      <c r="G19" s="251"/>
      <c r="I19" s="389">
        <v>0.57999999999999996</v>
      </c>
      <c r="J19" s="390">
        <v>0.34</v>
      </c>
      <c r="K19" s="390">
        <v>0.73</v>
      </c>
      <c r="L19" s="320"/>
      <c r="M19" s="251"/>
      <c r="O19">
        <f t="shared" si="1"/>
        <v>0.57999999999999996</v>
      </c>
      <c r="P19">
        <f t="shared" si="0"/>
        <v>0.34</v>
      </c>
      <c r="Q19">
        <f t="shared" si="0"/>
        <v>0.73</v>
      </c>
    </row>
    <row r="20" spans="2:17" x14ac:dyDescent="0.3">
      <c r="B20" s="206" t="s">
        <v>1443</v>
      </c>
      <c r="C20" s="389">
        <v>0.57999999999999996</v>
      </c>
      <c r="D20" s="389">
        <v>0.34</v>
      </c>
      <c r="E20" s="389">
        <v>0.73</v>
      </c>
      <c r="F20" s="320" t="s">
        <v>1567</v>
      </c>
      <c r="G20" s="251"/>
      <c r="I20" s="389">
        <v>0.57999999999999996</v>
      </c>
      <c r="J20" s="390">
        <v>0.34</v>
      </c>
      <c r="K20" s="390">
        <v>0.73</v>
      </c>
      <c r="L20" s="320"/>
      <c r="M20" s="251"/>
      <c r="O20">
        <f t="shared" si="1"/>
        <v>0.57999999999999996</v>
      </c>
      <c r="P20">
        <f t="shared" si="0"/>
        <v>0.34</v>
      </c>
      <c r="Q20">
        <f t="shared" si="0"/>
        <v>0.73</v>
      </c>
    </row>
    <row r="21" spans="2:17" x14ac:dyDescent="0.3">
      <c r="B21" s="205" t="s">
        <v>1444</v>
      </c>
      <c r="F21" s="273"/>
      <c r="G21" s="215"/>
      <c r="L21"/>
      <c r="O21"/>
      <c r="P21"/>
      <c r="Q21"/>
    </row>
    <row r="22" spans="2:17" x14ac:dyDescent="0.3">
      <c r="B22" s="206" t="s">
        <v>1082</v>
      </c>
      <c r="C22" s="389"/>
      <c r="D22" s="389"/>
      <c r="E22" s="389"/>
      <c r="F22" s="320"/>
      <c r="G22" s="251"/>
      <c r="I22" s="389">
        <v>0.64</v>
      </c>
      <c r="J22" s="390">
        <v>0.52</v>
      </c>
      <c r="K22" s="390">
        <v>0.72</v>
      </c>
      <c r="L22" s="320"/>
      <c r="M22" s="251"/>
      <c r="O22">
        <f t="shared" si="1"/>
        <v>0.64</v>
      </c>
      <c r="P22">
        <f t="shared" si="0"/>
        <v>0.52</v>
      </c>
      <c r="Q22">
        <f t="shared" si="0"/>
        <v>0.72</v>
      </c>
    </row>
    <row r="23" spans="2:17" x14ac:dyDescent="0.3">
      <c r="B23" s="206" t="s">
        <v>1083</v>
      </c>
      <c r="C23" s="389"/>
      <c r="D23" s="389"/>
      <c r="E23" s="389"/>
      <c r="F23" s="320"/>
      <c r="G23" s="251"/>
      <c r="I23" s="389">
        <v>0.64</v>
      </c>
      <c r="J23" s="390">
        <v>0.52</v>
      </c>
      <c r="K23" s="390">
        <v>0.72</v>
      </c>
      <c r="L23" s="320"/>
      <c r="M23" s="251"/>
      <c r="O23">
        <f t="shared" si="1"/>
        <v>0.64</v>
      </c>
      <c r="P23">
        <f t="shared" si="0"/>
        <v>0.52</v>
      </c>
      <c r="Q23">
        <f t="shared" si="0"/>
        <v>0.72</v>
      </c>
    </row>
    <row r="24" spans="2:17" x14ac:dyDescent="0.3">
      <c r="B24" s="206" t="s">
        <v>1084</v>
      </c>
      <c r="C24" s="389"/>
      <c r="D24" s="389"/>
      <c r="E24" s="389"/>
      <c r="F24" s="320"/>
      <c r="G24" s="251"/>
      <c r="I24" s="389">
        <v>0.64</v>
      </c>
      <c r="J24" s="390">
        <v>0.52</v>
      </c>
      <c r="K24" s="390">
        <v>0.72</v>
      </c>
      <c r="L24" s="320"/>
      <c r="M24" s="251"/>
      <c r="O24">
        <f t="shared" si="1"/>
        <v>0.64</v>
      </c>
      <c r="P24">
        <f t="shared" si="0"/>
        <v>0.52</v>
      </c>
      <c r="Q24">
        <f t="shared" si="0"/>
        <v>0.72</v>
      </c>
    </row>
    <row r="25" spans="2:17" x14ac:dyDescent="0.3">
      <c r="B25" s="206" t="s">
        <v>1085</v>
      </c>
      <c r="C25" s="389">
        <v>0.43645409834744886</v>
      </c>
      <c r="D25" s="389">
        <v>0.39206893580364055</v>
      </c>
      <c r="E25" s="389">
        <v>0.47344173380062254</v>
      </c>
      <c r="F25" s="320" t="s">
        <v>1568</v>
      </c>
      <c r="G25" s="251"/>
      <c r="I25" s="389">
        <v>0.40849999999999997</v>
      </c>
      <c r="J25" s="390">
        <v>0.3669</v>
      </c>
      <c r="K25" s="390">
        <v>0.44309999999999999</v>
      </c>
      <c r="L25" s="320"/>
      <c r="M25" s="251"/>
      <c r="O25">
        <f t="shared" si="1"/>
        <v>0.43645409834744886</v>
      </c>
      <c r="P25">
        <f t="shared" si="0"/>
        <v>0.39206893580364055</v>
      </c>
      <c r="Q25">
        <f t="shared" si="0"/>
        <v>0.47344173380062254</v>
      </c>
    </row>
    <row r="26" spans="2:17" x14ac:dyDescent="0.3">
      <c r="B26" s="206" t="s">
        <v>1086</v>
      </c>
      <c r="C26" s="389">
        <v>0.43645409834744886</v>
      </c>
      <c r="D26" s="389">
        <v>0.39206893580364055</v>
      </c>
      <c r="E26" s="389">
        <v>0.47344173380062254</v>
      </c>
      <c r="F26" s="320" t="s">
        <v>1568</v>
      </c>
      <c r="G26" s="251"/>
      <c r="I26" s="389">
        <v>0.40849999999999997</v>
      </c>
      <c r="J26" s="390">
        <v>0.3669</v>
      </c>
      <c r="K26" s="390">
        <v>0.44309999999999999</v>
      </c>
      <c r="L26" s="320"/>
      <c r="M26" s="251"/>
      <c r="O26">
        <f t="shared" si="1"/>
        <v>0.43645409834744886</v>
      </c>
      <c r="P26">
        <f t="shared" si="0"/>
        <v>0.39206893580364055</v>
      </c>
      <c r="Q26">
        <f t="shared" si="0"/>
        <v>0.47344173380062254</v>
      </c>
    </row>
    <row r="27" spans="2:17" x14ac:dyDescent="0.3">
      <c r="B27" s="206" t="s">
        <v>1087</v>
      </c>
      <c r="C27" s="389">
        <v>0.43645409834744886</v>
      </c>
      <c r="D27" s="389">
        <v>0.39206893580364055</v>
      </c>
      <c r="E27" s="389">
        <v>0.47344173380062254</v>
      </c>
      <c r="F27" s="320" t="s">
        <v>1568</v>
      </c>
      <c r="G27" s="251"/>
      <c r="I27" s="389">
        <v>0.40849999999999997</v>
      </c>
      <c r="J27" s="390">
        <v>0.3669</v>
      </c>
      <c r="K27" s="390">
        <v>0.44309999999999999</v>
      </c>
      <c r="L27" s="320"/>
      <c r="M27" s="251"/>
      <c r="O27">
        <f t="shared" si="1"/>
        <v>0.43645409834744886</v>
      </c>
      <c r="P27">
        <f t="shared" si="0"/>
        <v>0.39206893580364055</v>
      </c>
      <c r="Q27">
        <f t="shared" si="0"/>
        <v>0.47344173380062254</v>
      </c>
    </row>
    <row r="28" spans="2:17" x14ac:dyDescent="0.3">
      <c r="B28" s="206" t="s">
        <v>1443</v>
      </c>
      <c r="C28" s="389"/>
      <c r="D28" s="389"/>
      <c r="E28" s="389"/>
      <c r="F28" s="320"/>
      <c r="G28" s="251"/>
      <c r="I28" s="389">
        <v>0.57999999999999996</v>
      </c>
      <c r="J28" s="390">
        <v>0.34</v>
      </c>
      <c r="K28" s="390">
        <v>0.73</v>
      </c>
      <c r="L28" s="320"/>
      <c r="M28" s="251"/>
      <c r="O28">
        <f t="shared" si="1"/>
        <v>0.57999999999999996</v>
      </c>
      <c r="P28">
        <f t="shared" si="0"/>
        <v>0.34</v>
      </c>
      <c r="Q28">
        <f t="shared" si="0"/>
        <v>0.73</v>
      </c>
    </row>
    <row r="29" spans="2:17" x14ac:dyDescent="0.3">
      <c r="B29" s="207" t="s">
        <v>227</v>
      </c>
      <c r="C29" s="392"/>
      <c r="D29" s="392"/>
      <c r="E29" s="392"/>
      <c r="F29" s="320"/>
      <c r="G29" s="251"/>
      <c r="I29" s="391"/>
      <c r="J29" s="392"/>
      <c r="K29" s="392"/>
      <c r="L29" s="320"/>
      <c r="M29" s="251"/>
      <c r="O29"/>
      <c r="P29"/>
      <c r="Q29"/>
    </row>
    <row r="30" spans="2:17" x14ac:dyDescent="0.3">
      <c r="B30" s="206" t="s">
        <v>1437</v>
      </c>
      <c r="C30" s="389">
        <v>0.504</v>
      </c>
      <c r="D30" s="389">
        <v>0.14199999999999999</v>
      </c>
      <c r="E30" s="389">
        <v>0.71199999999999997</v>
      </c>
      <c r="F30" s="320" t="s">
        <v>1569</v>
      </c>
      <c r="G30" s="251" t="s">
        <v>593</v>
      </c>
      <c r="I30" s="389">
        <v>0.504</v>
      </c>
      <c r="J30" s="390">
        <v>0.14199999999999999</v>
      </c>
      <c r="K30" s="390">
        <v>0.71199999999999997</v>
      </c>
      <c r="L30" s="320"/>
      <c r="M30" s="251"/>
      <c r="O30">
        <f t="shared" si="1"/>
        <v>0.504</v>
      </c>
      <c r="P30">
        <f t="shared" si="0"/>
        <v>0.14199999999999999</v>
      </c>
      <c r="Q30">
        <f t="shared" si="0"/>
        <v>0.71199999999999997</v>
      </c>
    </row>
    <row r="31" spans="2:17" x14ac:dyDescent="0.3">
      <c r="B31" s="206" t="s">
        <v>1438</v>
      </c>
      <c r="C31" s="389"/>
      <c r="D31" s="389"/>
      <c r="E31" s="389"/>
      <c r="F31" s="320"/>
      <c r="G31" s="251" t="s">
        <v>594</v>
      </c>
      <c r="I31" s="389">
        <v>0.504</v>
      </c>
      <c r="J31" s="390">
        <v>0.14199999999999999</v>
      </c>
      <c r="K31" s="390">
        <v>0.71199999999999997</v>
      </c>
      <c r="L31" s="320"/>
      <c r="M31" s="251"/>
      <c r="O31">
        <f t="shared" si="1"/>
        <v>0.504</v>
      </c>
      <c r="P31">
        <f t="shared" si="0"/>
        <v>0.14199999999999999</v>
      </c>
      <c r="Q31">
        <f t="shared" si="0"/>
        <v>0.71199999999999997</v>
      </c>
    </row>
    <row r="32" spans="2:17" x14ac:dyDescent="0.3">
      <c r="B32" s="206" t="s">
        <v>1441</v>
      </c>
      <c r="C32" s="389">
        <v>0.48</v>
      </c>
      <c r="D32" s="389">
        <v>0.11600000000000001</v>
      </c>
      <c r="E32" s="389">
        <v>0.70399999999999996</v>
      </c>
      <c r="F32" s="320" t="s">
        <v>1569</v>
      </c>
      <c r="G32" s="251" t="s">
        <v>593</v>
      </c>
      <c r="I32" s="389">
        <v>0.48</v>
      </c>
      <c r="J32" s="390">
        <v>0.11600000000000001</v>
      </c>
      <c r="K32" s="390">
        <v>0.70399999999999996</v>
      </c>
      <c r="L32" s="320"/>
      <c r="M32" s="251"/>
      <c r="O32">
        <f t="shared" si="1"/>
        <v>0.48</v>
      </c>
      <c r="P32">
        <f t="shared" si="0"/>
        <v>0.11600000000000001</v>
      </c>
      <c r="Q32">
        <f t="shared" si="0"/>
        <v>0.70399999999999996</v>
      </c>
    </row>
    <row r="33" spans="2:17" x14ac:dyDescent="0.3">
      <c r="B33" s="206" t="s">
        <v>1442</v>
      </c>
      <c r="C33" s="389"/>
      <c r="D33" s="389"/>
      <c r="E33" s="389"/>
      <c r="F33" s="320"/>
      <c r="G33" s="251" t="s">
        <v>594</v>
      </c>
      <c r="I33" s="389">
        <v>0.48</v>
      </c>
      <c r="J33" s="390">
        <v>0.11600000000000001</v>
      </c>
      <c r="K33" s="390">
        <v>0.70399999999999996</v>
      </c>
      <c r="L33" s="320"/>
      <c r="M33" s="251"/>
      <c r="O33">
        <f t="shared" si="1"/>
        <v>0.48</v>
      </c>
      <c r="P33">
        <f t="shared" si="0"/>
        <v>0.11600000000000001</v>
      </c>
      <c r="Q33">
        <f t="shared" si="0"/>
        <v>0.70399999999999996</v>
      </c>
    </row>
    <row r="34" spans="2:17" x14ac:dyDescent="0.3">
      <c r="B34" s="207" t="s">
        <v>920</v>
      </c>
      <c r="C34" s="392"/>
      <c r="D34" s="392"/>
      <c r="E34" s="392"/>
      <c r="F34" s="320"/>
      <c r="G34" s="251"/>
      <c r="I34" s="391"/>
      <c r="J34" s="392"/>
      <c r="K34" s="392"/>
      <c r="L34" s="320"/>
      <c r="M34" s="251"/>
      <c r="O34"/>
      <c r="P34"/>
      <c r="Q34"/>
    </row>
    <row r="35" spans="2:17" x14ac:dyDescent="0.3">
      <c r="B35" s="206" t="s">
        <v>920</v>
      </c>
      <c r="C35" s="389"/>
      <c r="D35" s="390"/>
      <c r="E35" s="390"/>
      <c r="F35" s="320"/>
      <c r="G35" s="251" t="s">
        <v>593</v>
      </c>
      <c r="I35" s="389">
        <v>0.57999999999999996</v>
      </c>
      <c r="J35" s="390">
        <v>0.34</v>
      </c>
      <c r="K35" s="390">
        <v>0.73</v>
      </c>
      <c r="L35" s="320"/>
      <c r="M35" s="251"/>
      <c r="O35">
        <f t="shared" si="1"/>
        <v>0.57999999999999996</v>
      </c>
      <c r="P35">
        <f t="shared" si="0"/>
        <v>0.34</v>
      </c>
      <c r="Q35">
        <f t="shared" si="0"/>
        <v>0.73</v>
      </c>
    </row>
    <row r="36" spans="2:17" x14ac:dyDescent="0.3">
      <c r="B36" s="206" t="s">
        <v>980</v>
      </c>
      <c r="C36" s="389"/>
      <c r="D36" s="390"/>
      <c r="E36" s="390"/>
      <c r="F36" s="320"/>
      <c r="G36" s="251" t="s">
        <v>994</v>
      </c>
      <c r="I36" s="389">
        <v>0.57999999999999996</v>
      </c>
      <c r="J36" s="390">
        <v>0.34</v>
      </c>
      <c r="K36" s="390">
        <v>0.73</v>
      </c>
      <c r="L36" s="320"/>
      <c r="M36" s="251"/>
      <c r="O36">
        <f t="shared" si="1"/>
        <v>0.57999999999999996</v>
      </c>
      <c r="P36">
        <f t="shared" si="0"/>
        <v>0.34</v>
      </c>
      <c r="Q36">
        <f t="shared" si="0"/>
        <v>0.73</v>
      </c>
    </row>
    <row r="37" spans="2:17" x14ac:dyDescent="0.3">
      <c r="B37" s="206"/>
      <c r="C37" s="204">
        <v>0.59</v>
      </c>
      <c r="D37" s="204">
        <v>0.53</v>
      </c>
      <c r="E37" s="204">
        <v>0.64</v>
      </c>
      <c r="F37" s="204" t="s">
        <v>1570</v>
      </c>
      <c r="H37" s="272"/>
    </row>
    <row r="38" spans="2:17" ht="19.5" customHeight="1" thickBot="1" x14ac:dyDescent="0.4">
      <c r="B38" s="206"/>
      <c r="C38" s="788" t="s">
        <v>1416</v>
      </c>
      <c r="D38" s="788"/>
      <c r="E38" s="788"/>
      <c r="F38" s="788"/>
      <c r="G38" s="788"/>
      <c r="H38" s="272"/>
      <c r="I38" s="788" t="s">
        <v>1416</v>
      </c>
      <c r="J38" s="788"/>
      <c r="K38" s="788"/>
      <c r="L38" s="788"/>
      <c r="M38" s="788"/>
    </row>
    <row r="39" spans="2:17" x14ac:dyDescent="0.3">
      <c r="B39" s="206"/>
      <c r="C39" s="214" t="s">
        <v>984</v>
      </c>
      <c r="D39" s="214" t="s">
        <v>985</v>
      </c>
      <c r="E39" s="214" t="s">
        <v>986</v>
      </c>
      <c r="F39" s="319" t="s">
        <v>592</v>
      </c>
      <c r="G39" s="215" t="s">
        <v>591</v>
      </c>
      <c r="H39" s="272"/>
      <c r="I39" s="214" t="s">
        <v>984</v>
      </c>
      <c r="J39" s="214" t="s">
        <v>985</v>
      </c>
      <c r="K39" s="214" t="s">
        <v>986</v>
      </c>
      <c r="L39" s="319" t="s">
        <v>592</v>
      </c>
      <c r="M39" s="215" t="s">
        <v>591</v>
      </c>
      <c r="O39" s="214" t="s">
        <v>984</v>
      </c>
      <c r="P39" s="214" t="s">
        <v>985</v>
      </c>
      <c r="Q39" s="214" t="s">
        <v>986</v>
      </c>
    </row>
    <row r="40" spans="2:17" x14ac:dyDescent="0.3">
      <c r="B40" s="205" t="s">
        <v>1450</v>
      </c>
      <c r="C40" s="22"/>
      <c r="D40" s="214"/>
      <c r="E40" s="214"/>
      <c r="F40" s="319"/>
      <c r="G40" s="215"/>
      <c r="H40" s="272"/>
    </row>
    <row r="41" spans="2:17" x14ac:dyDescent="0.3">
      <c r="B41" s="206" t="s">
        <v>1082</v>
      </c>
      <c r="C41" s="389">
        <v>0.35</v>
      </c>
      <c r="D41" s="389">
        <v>0</v>
      </c>
      <c r="E41" s="389">
        <v>0.7</v>
      </c>
      <c r="F41" s="320" t="s">
        <v>1565</v>
      </c>
      <c r="G41" s="251"/>
      <c r="H41" s="272"/>
      <c r="I41" s="389">
        <v>0.35</v>
      </c>
      <c r="J41" s="389">
        <v>0</v>
      </c>
      <c r="K41" s="389">
        <v>0.7</v>
      </c>
      <c r="L41" s="320"/>
      <c r="M41" s="251"/>
      <c r="O41">
        <f>IF(ISBLANK(C41),I41,C41)</f>
        <v>0.35</v>
      </c>
      <c r="P41">
        <f t="shared" ref="P41:Q63" si="2">IF(ISBLANK(D41),J41,D41)</f>
        <v>0</v>
      </c>
      <c r="Q41">
        <f t="shared" si="2"/>
        <v>0.7</v>
      </c>
    </row>
    <row r="42" spans="2:17" x14ac:dyDescent="0.3">
      <c r="B42" s="206" t="s">
        <v>1083</v>
      </c>
      <c r="C42" s="389">
        <v>0.35</v>
      </c>
      <c r="D42" s="389">
        <v>0</v>
      </c>
      <c r="E42" s="389">
        <v>0.7</v>
      </c>
      <c r="F42" s="320" t="s">
        <v>1565</v>
      </c>
      <c r="G42" s="251"/>
      <c r="H42" s="272"/>
      <c r="I42" s="389">
        <v>0.35</v>
      </c>
      <c r="J42" s="389">
        <v>0</v>
      </c>
      <c r="K42" s="389">
        <v>0.7</v>
      </c>
      <c r="L42" s="320"/>
      <c r="M42" s="251"/>
      <c r="O42">
        <f t="shared" ref="O42:O63" si="3">IF(ISBLANK(C42),I42,C42)</f>
        <v>0.35</v>
      </c>
      <c r="P42">
        <f t="shared" si="2"/>
        <v>0</v>
      </c>
      <c r="Q42">
        <f t="shared" si="2"/>
        <v>0.7</v>
      </c>
    </row>
    <row r="43" spans="2:17" x14ac:dyDescent="0.3">
      <c r="B43" s="206" t="s">
        <v>1084</v>
      </c>
      <c r="C43" s="713">
        <v>0.39</v>
      </c>
      <c r="D43" s="713">
        <v>0</v>
      </c>
      <c r="E43" s="713">
        <v>0.68</v>
      </c>
      <c r="F43" s="714" t="s">
        <v>1565</v>
      </c>
      <c r="G43" s="251"/>
      <c r="H43" s="272"/>
      <c r="I43" s="713">
        <v>0.39</v>
      </c>
      <c r="J43" s="713">
        <v>0</v>
      </c>
      <c r="K43" s="713">
        <v>0.68</v>
      </c>
      <c r="L43" s="320"/>
      <c r="M43" s="251"/>
      <c r="O43">
        <f t="shared" si="3"/>
        <v>0.39</v>
      </c>
      <c r="P43">
        <f t="shared" si="2"/>
        <v>0</v>
      </c>
      <c r="Q43">
        <f t="shared" si="2"/>
        <v>0.68</v>
      </c>
    </row>
    <row r="44" spans="2:17" x14ac:dyDescent="0.3">
      <c r="B44" s="206" t="s">
        <v>1085</v>
      </c>
      <c r="C44" s="389">
        <v>0.57999999999999996</v>
      </c>
      <c r="D44" s="389">
        <v>0.34</v>
      </c>
      <c r="E44" s="389">
        <v>0.73</v>
      </c>
      <c r="F44" s="320" t="s">
        <v>1566</v>
      </c>
      <c r="G44" s="251"/>
      <c r="H44" s="272"/>
      <c r="I44" s="389">
        <v>0.57999999999999996</v>
      </c>
      <c r="J44" s="390">
        <v>0.34</v>
      </c>
      <c r="K44" s="390">
        <v>0.73</v>
      </c>
      <c r="L44" s="320"/>
      <c r="M44" s="251"/>
      <c r="O44">
        <f t="shared" si="3"/>
        <v>0.57999999999999996</v>
      </c>
      <c r="P44">
        <f t="shared" si="2"/>
        <v>0.34</v>
      </c>
      <c r="Q44">
        <f t="shared" si="2"/>
        <v>0.73</v>
      </c>
    </row>
    <row r="45" spans="2:17" x14ac:dyDescent="0.3">
      <c r="B45" s="206" t="s">
        <v>1086</v>
      </c>
      <c r="C45" s="389">
        <v>0.57999999999999996</v>
      </c>
      <c r="D45" s="389">
        <v>0.34</v>
      </c>
      <c r="E45" s="389">
        <v>0.73</v>
      </c>
      <c r="F45" s="320" t="s">
        <v>1566</v>
      </c>
      <c r="G45" s="251"/>
      <c r="H45" s="272"/>
      <c r="I45" s="389">
        <v>0.57999999999999996</v>
      </c>
      <c r="J45" s="390">
        <v>0.34</v>
      </c>
      <c r="K45" s="390">
        <v>0.73</v>
      </c>
      <c r="L45" s="320"/>
      <c r="M45" s="251"/>
      <c r="O45">
        <f t="shared" si="3"/>
        <v>0.57999999999999996</v>
      </c>
      <c r="P45">
        <f t="shared" si="2"/>
        <v>0.34</v>
      </c>
      <c r="Q45">
        <f t="shared" si="2"/>
        <v>0.73</v>
      </c>
    </row>
    <row r="46" spans="2:17" x14ac:dyDescent="0.3">
      <c r="B46" s="206" t="s">
        <v>1087</v>
      </c>
      <c r="C46" s="389">
        <v>0.57999999999999996</v>
      </c>
      <c r="D46" s="389">
        <v>0.34</v>
      </c>
      <c r="E46" s="389">
        <v>0.73</v>
      </c>
      <c r="F46" s="320" t="s">
        <v>1566</v>
      </c>
      <c r="G46" s="251"/>
      <c r="H46" s="272"/>
      <c r="I46" s="389">
        <v>0.57999999999999996</v>
      </c>
      <c r="J46" s="390">
        <v>0.34</v>
      </c>
      <c r="K46" s="390">
        <v>0.73</v>
      </c>
      <c r="L46" s="320"/>
      <c r="M46" s="251"/>
      <c r="O46">
        <f t="shared" si="3"/>
        <v>0.57999999999999996</v>
      </c>
      <c r="P46">
        <f t="shared" si="2"/>
        <v>0.34</v>
      </c>
      <c r="Q46">
        <f t="shared" si="2"/>
        <v>0.73</v>
      </c>
    </row>
    <row r="47" spans="2:17" x14ac:dyDescent="0.3">
      <c r="B47" s="206" t="s">
        <v>1443</v>
      </c>
      <c r="C47" s="389">
        <v>0.57999999999999996</v>
      </c>
      <c r="D47" s="389">
        <v>0.34</v>
      </c>
      <c r="E47" s="389">
        <v>0.73</v>
      </c>
      <c r="F47" s="320" t="s">
        <v>1567</v>
      </c>
      <c r="G47" s="251"/>
      <c r="H47" s="272"/>
      <c r="I47" s="389">
        <v>0.57999999999999996</v>
      </c>
      <c r="J47" s="390">
        <v>0.34</v>
      </c>
      <c r="K47" s="390">
        <v>0.73</v>
      </c>
      <c r="L47" s="320"/>
      <c r="M47" s="251"/>
      <c r="O47">
        <f t="shared" si="3"/>
        <v>0.57999999999999996</v>
      </c>
      <c r="P47">
        <f t="shared" si="2"/>
        <v>0.34</v>
      </c>
      <c r="Q47">
        <f t="shared" si="2"/>
        <v>0.73</v>
      </c>
    </row>
    <row r="48" spans="2:17" x14ac:dyDescent="0.3">
      <c r="B48" s="205" t="s">
        <v>1444</v>
      </c>
      <c r="F48" s="273"/>
      <c r="G48" s="215"/>
      <c r="H48" s="272"/>
      <c r="O48"/>
      <c r="P48"/>
      <c r="Q48"/>
    </row>
    <row r="49" spans="2:17" x14ac:dyDescent="0.3">
      <c r="B49" s="206" t="s">
        <v>1082</v>
      </c>
      <c r="C49" s="389"/>
      <c r="D49" s="389"/>
      <c r="E49" s="389"/>
      <c r="F49" s="320"/>
      <c r="G49" s="251"/>
      <c r="H49" s="272"/>
      <c r="I49" s="389">
        <v>0.35</v>
      </c>
      <c r="J49" s="389">
        <v>0</v>
      </c>
      <c r="K49" s="389">
        <v>0.7</v>
      </c>
      <c r="L49" s="320"/>
      <c r="M49" s="251"/>
      <c r="O49">
        <f t="shared" si="3"/>
        <v>0.35</v>
      </c>
      <c r="P49">
        <f t="shared" si="2"/>
        <v>0</v>
      </c>
      <c r="Q49">
        <f t="shared" si="2"/>
        <v>0.7</v>
      </c>
    </row>
    <row r="50" spans="2:17" x14ac:dyDescent="0.3">
      <c r="B50" s="206" t="s">
        <v>1083</v>
      </c>
      <c r="C50" s="389"/>
      <c r="D50" s="389"/>
      <c r="E50" s="389"/>
      <c r="F50" s="320"/>
      <c r="G50" s="251"/>
      <c r="H50" s="272"/>
      <c r="I50" s="389">
        <v>0.35</v>
      </c>
      <c r="J50" s="389">
        <v>0</v>
      </c>
      <c r="K50" s="389">
        <v>0.7</v>
      </c>
      <c r="L50" s="320"/>
      <c r="M50" s="251"/>
      <c r="O50">
        <f t="shared" si="3"/>
        <v>0.35</v>
      </c>
      <c r="P50">
        <f t="shared" si="2"/>
        <v>0</v>
      </c>
      <c r="Q50">
        <f t="shared" si="2"/>
        <v>0.7</v>
      </c>
    </row>
    <row r="51" spans="2:17" x14ac:dyDescent="0.3">
      <c r="B51" s="206" t="s">
        <v>1084</v>
      </c>
      <c r="C51" s="389"/>
      <c r="D51" s="389"/>
      <c r="E51" s="389"/>
      <c r="F51" s="320"/>
      <c r="G51" s="251"/>
      <c r="H51" s="272"/>
      <c r="I51" s="713">
        <v>0.39</v>
      </c>
      <c r="J51" s="713">
        <v>0</v>
      </c>
      <c r="K51" s="713">
        <v>0.68</v>
      </c>
      <c r="L51" s="320"/>
      <c r="M51" s="251"/>
      <c r="O51">
        <f t="shared" si="3"/>
        <v>0.39</v>
      </c>
      <c r="P51">
        <f t="shared" si="2"/>
        <v>0</v>
      </c>
      <c r="Q51">
        <f t="shared" si="2"/>
        <v>0.68</v>
      </c>
    </row>
    <row r="52" spans="2:17" x14ac:dyDescent="0.3">
      <c r="B52" s="206" t="s">
        <v>1085</v>
      </c>
      <c r="C52" s="389">
        <v>0.43645409834744886</v>
      </c>
      <c r="D52" s="389">
        <v>0.39206893580364055</v>
      </c>
      <c r="E52" s="389">
        <v>0.47344173380062254</v>
      </c>
      <c r="F52" s="320" t="s">
        <v>1568</v>
      </c>
      <c r="G52" s="251"/>
      <c r="H52" s="272"/>
      <c r="I52" s="389">
        <v>0.40849999999999997</v>
      </c>
      <c r="J52" s="390">
        <v>0.3669</v>
      </c>
      <c r="K52" s="390">
        <v>0.44309999999999999</v>
      </c>
      <c r="L52" s="320"/>
      <c r="M52" s="251"/>
      <c r="O52">
        <f t="shared" si="3"/>
        <v>0.43645409834744886</v>
      </c>
      <c r="P52">
        <f t="shared" si="2"/>
        <v>0.39206893580364055</v>
      </c>
      <c r="Q52">
        <f t="shared" si="2"/>
        <v>0.47344173380062254</v>
      </c>
    </row>
    <row r="53" spans="2:17" x14ac:dyDescent="0.3">
      <c r="B53" s="206" t="s">
        <v>1086</v>
      </c>
      <c r="C53" s="389">
        <v>0.43645409834744886</v>
      </c>
      <c r="D53" s="389">
        <v>0.39206893580364055</v>
      </c>
      <c r="E53" s="389">
        <v>0.47344173380062254</v>
      </c>
      <c r="F53" s="320" t="s">
        <v>1568</v>
      </c>
      <c r="G53" s="251"/>
      <c r="H53" s="272"/>
      <c r="I53" s="389">
        <v>0.40849999999999997</v>
      </c>
      <c r="J53" s="390">
        <v>0.3669</v>
      </c>
      <c r="K53" s="390">
        <v>0.44309999999999999</v>
      </c>
      <c r="L53" s="320"/>
      <c r="M53" s="251"/>
      <c r="O53">
        <f t="shared" si="3"/>
        <v>0.43645409834744886</v>
      </c>
      <c r="P53">
        <f t="shared" si="2"/>
        <v>0.39206893580364055</v>
      </c>
      <c r="Q53">
        <f t="shared" si="2"/>
        <v>0.47344173380062254</v>
      </c>
    </row>
    <row r="54" spans="2:17" x14ac:dyDescent="0.3">
      <c r="B54" s="206" t="s">
        <v>1087</v>
      </c>
      <c r="C54" s="389">
        <v>0.43645409834744886</v>
      </c>
      <c r="D54" s="389">
        <v>0.39206893580364055</v>
      </c>
      <c r="E54" s="389">
        <v>0.47344173380062254</v>
      </c>
      <c r="F54" s="320" t="s">
        <v>1568</v>
      </c>
      <c r="G54" s="251"/>
      <c r="H54" s="272"/>
      <c r="I54" s="389">
        <v>0.40849999999999997</v>
      </c>
      <c r="J54" s="390">
        <v>0.3669</v>
      </c>
      <c r="K54" s="390">
        <v>0.44309999999999999</v>
      </c>
      <c r="L54" s="320"/>
      <c r="M54" s="251"/>
      <c r="O54">
        <f t="shared" si="3"/>
        <v>0.43645409834744886</v>
      </c>
      <c r="P54">
        <f t="shared" si="2"/>
        <v>0.39206893580364055</v>
      </c>
      <c r="Q54">
        <f t="shared" si="2"/>
        <v>0.47344173380062254</v>
      </c>
    </row>
    <row r="55" spans="2:17" x14ac:dyDescent="0.3">
      <c r="B55" s="206" t="s">
        <v>1443</v>
      </c>
      <c r="C55" s="389"/>
      <c r="D55" s="389"/>
      <c r="E55" s="389"/>
      <c r="F55" s="320"/>
      <c r="G55" s="251"/>
      <c r="H55" s="272"/>
      <c r="I55" s="389">
        <v>0.57999999999999996</v>
      </c>
      <c r="J55" s="390">
        <v>0.34</v>
      </c>
      <c r="K55" s="390">
        <v>0.73</v>
      </c>
      <c r="L55" s="320"/>
      <c r="M55" s="251"/>
      <c r="O55">
        <f t="shared" si="3"/>
        <v>0.57999999999999996</v>
      </c>
      <c r="P55">
        <f t="shared" si="2"/>
        <v>0.34</v>
      </c>
      <c r="Q55">
        <f t="shared" si="2"/>
        <v>0.73</v>
      </c>
    </row>
    <row r="56" spans="2:17" x14ac:dyDescent="0.3">
      <c r="B56" s="207" t="s">
        <v>227</v>
      </c>
      <c r="C56" s="392"/>
      <c r="D56" s="392"/>
      <c r="E56" s="392"/>
      <c r="F56" s="320"/>
      <c r="G56" s="251"/>
      <c r="H56" s="272"/>
      <c r="I56" s="391"/>
      <c r="J56" s="392"/>
      <c r="K56" s="392"/>
      <c r="L56" s="320"/>
      <c r="M56" s="251"/>
      <c r="O56"/>
      <c r="P56"/>
      <c r="Q56"/>
    </row>
    <row r="57" spans="2:17" x14ac:dyDescent="0.3">
      <c r="B57" s="206" t="s">
        <v>1437</v>
      </c>
      <c r="C57" s="389">
        <v>0.504</v>
      </c>
      <c r="D57" s="389">
        <v>0.14199999999999999</v>
      </c>
      <c r="E57" s="389">
        <v>0.71199999999999997</v>
      </c>
      <c r="F57" s="320" t="s">
        <v>1569</v>
      </c>
      <c r="G57" s="251" t="s">
        <v>593</v>
      </c>
      <c r="H57" s="272"/>
      <c r="I57" s="389">
        <v>0.504</v>
      </c>
      <c r="J57" s="390">
        <v>0.14199999999999999</v>
      </c>
      <c r="K57" s="390">
        <v>0.71199999999999997</v>
      </c>
      <c r="L57" s="320"/>
      <c r="M57" s="251"/>
      <c r="O57">
        <f t="shared" si="3"/>
        <v>0.504</v>
      </c>
      <c r="P57">
        <f t="shared" si="2"/>
        <v>0.14199999999999999</v>
      </c>
      <c r="Q57">
        <f t="shared" si="2"/>
        <v>0.71199999999999997</v>
      </c>
    </row>
    <row r="58" spans="2:17" x14ac:dyDescent="0.3">
      <c r="B58" s="206" t="s">
        <v>1438</v>
      </c>
      <c r="C58" s="389"/>
      <c r="D58" s="389"/>
      <c r="E58" s="389"/>
      <c r="F58" s="320"/>
      <c r="G58" s="251" t="s">
        <v>594</v>
      </c>
      <c r="H58" s="272"/>
      <c r="I58" s="389">
        <v>0.504</v>
      </c>
      <c r="J58" s="390">
        <v>0.14199999999999999</v>
      </c>
      <c r="K58" s="390">
        <v>0.71199999999999997</v>
      </c>
      <c r="L58" s="320"/>
      <c r="M58" s="251"/>
      <c r="O58">
        <f t="shared" si="3"/>
        <v>0.504</v>
      </c>
      <c r="P58">
        <f t="shared" si="2"/>
        <v>0.14199999999999999</v>
      </c>
      <c r="Q58">
        <f t="shared" si="2"/>
        <v>0.71199999999999997</v>
      </c>
    </row>
    <row r="59" spans="2:17" x14ac:dyDescent="0.3">
      <c r="B59" s="206" t="s">
        <v>1441</v>
      </c>
      <c r="C59" s="389">
        <v>0.48</v>
      </c>
      <c r="D59" s="389">
        <v>0.11600000000000001</v>
      </c>
      <c r="E59" s="389">
        <v>0.70399999999999996</v>
      </c>
      <c r="F59" s="320" t="s">
        <v>1569</v>
      </c>
      <c r="G59" s="251" t="s">
        <v>593</v>
      </c>
      <c r="H59" s="272"/>
      <c r="I59" s="389">
        <v>0.48</v>
      </c>
      <c r="J59" s="390">
        <v>0.11600000000000001</v>
      </c>
      <c r="K59" s="390">
        <v>0.70399999999999996</v>
      </c>
      <c r="L59" s="320"/>
      <c r="M59" s="251"/>
      <c r="O59">
        <f t="shared" si="3"/>
        <v>0.48</v>
      </c>
      <c r="P59">
        <f t="shared" si="2"/>
        <v>0.11600000000000001</v>
      </c>
      <c r="Q59">
        <f t="shared" si="2"/>
        <v>0.70399999999999996</v>
      </c>
    </row>
    <row r="60" spans="2:17" x14ac:dyDescent="0.3">
      <c r="B60" s="206" t="s">
        <v>1442</v>
      </c>
      <c r="C60" s="389"/>
      <c r="D60" s="389"/>
      <c r="E60" s="389"/>
      <c r="F60" s="320"/>
      <c r="G60" s="251" t="s">
        <v>594</v>
      </c>
      <c r="H60" s="272"/>
      <c r="I60" s="389">
        <v>0.48</v>
      </c>
      <c r="J60" s="390">
        <v>0.11600000000000001</v>
      </c>
      <c r="K60" s="390">
        <v>0.70399999999999996</v>
      </c>
      <c r="L60" s="320"/>
      <c r="M60" s="251"/>
      <c r="O60">
        <f t="shared" si="3"/>
        <v>0.48</v>
      </c>
      <c r="P60">
        <f t="shared" si="2"/>
        <v>0.11600000000000001</v>
      </c>
      <c r="Q60">
        <f t="shared" si="2"/>
        <v>0.70399999999999996</v>
      </c>
    </row>
    <row r="61" spans="2:17" x14ac:dyDescent="0.3">
      <c r="B61" s="207" t="s">
        <v>920</v>
      </c>
      <c r="C61" s="392"/>
      <c r="D61" s="392"/>
      <c r="E61" s="392"/>
      <c r="F61" s="320"/>
      <c r="G61" s="251"/>
      <c r="H61" s="272"/>
      <c r="I61" s="391"/>
      <c r="J61" s="392"/>
      <c r="K61" s="392"/>
      <c r="L61" s="320"/>
      <c r="M61" s="251"/>
      <c r="O61"/>
      <c r="P61"/>
      <c r="Q61"/>
    </row>
    <row r="62" spans="2:17" x14ac:dyDescent="0.3">
      <c r="B62" s="206" t="s">
        <v>920</v>
      </c>
      <c r="C62" s="389"/>
      <c r="D62" s="390"/>
      <c r="E62" s="390"/>
      <c r="F62" s="320"/>
      <c r="G62" s="251" t="s">
        <v>593</v>
      </c>
      <c r="H62" s="272"/>
      <c r="I62" s="389">
        <v>0.57999999999999996</v>
      </c>
      <c r="J62" s="390">
        <v>0.34</v>
      </c>
      <c r="K62" s="390">
        <v>0.73</v>
      </c>
      <c r="L62" s="320"/>
      <c r="M62" s="251"/>
      <c r="O62">
        <f t="shared" si="3"/>
        <v>0.57999999999999996</v>
      </c>
      <c r="P62">
        <f t="shared" si="2"/>
        <v>0.34</v>
      </c>
      <c r="Q62">
        <f t="shared" si="2"/>
        <v>0.73</v>
      </c>
    </row>
    <row r="63" spans="2:17" x14ac:dyDescent="0.3">
      <c r="B63" s="206" t="s">
        <v>980</v>
      </c>
      <c r="C63" s="389"/>
      <c r="D63" s="390"/>
      <c r="E63" s="390"/>
      <c r="F63" s="320"/>
      <c r="G63" s="251" t="s">
        <v>994</v>
      </c>
      <c r="H63" s="272"/>
      <c r="I63" s="389">
        <v>0.57999999999999996</v>
      </c>
      <c r="J63" s="390">
        <v>0.34</v>
      </c>
      <c r="K63" s="390">
        <v>0.73</v>
      </c>
      <c r="L63" s="320"/>
      <c r="M63" s="251"/>
      <c r="O63">
        <f t="shared" si="3"/>
        <v>0.57999999999999996</v>
      </c>
      <c r="P63">
        <f t="shared" si="2"/>
        <v>0.34</v>
      </c>
      <c r="Q63">
        <f t="shared" si="2"/>
        <v>0.73</v>
      </c>
    </row>
    <row r="64" spans="2:17" x14ac:dyDescent="0.3">
      <c r="B64" s="206"/>
      <c r="H64" s="272"/>
    </row>
    <row r="65" spans="1:17" x14ac:dyDescent="0.3">
      <c r="B65" s="206"/>
      <c r="H65" s="272"/>
    </row>
    <row r="66" spans="1:17" x14ac:dyDescent="0.3">
      <c r="B66" s="236" t="s">
        <v>1413</v>
      </c>
      <c r="H66" s="272"/>
    </row>
    <row r="67" spans="1:17" x14ac:dyDescent="0.3">
      <c r="B67" s="236"/>
      <c r="H67" s="272"/>
    </row>
    <row r="68" spans="1:17" x14ac:dyDescent="0.3">
      <c r="B68" s="781" t="s">
        <v>1095</v>
      </c>
      <c r="C68" s="781"/>
      <c r="D68" s="781"/>
      <c r="E68" s="781"/>
      <c r="F68" s="781"/>
      <c r="G68" s="781"/>
      <c r="I68" s="787" t="s">
        <v>1096</v>
      </c>
      <c r="J68" s="787"/>
      <c r="K68" s="787"/>
      <c r="L68" s="787"/>
      <c r="M68" s="787"/>
      <c r="O68" s="204" t="s">
        <v>1097</v>
      </c>
    </row>
    <row r="69" spans="1:17" ht="19.5" customHeight="1" thickBot="1" x14ac:dyDescent="0.4">
      <c r="B69" s="205"/>
      <c r="C69" s="786" t="s">
        <v>1417</v>
      </c>
      <c r="D69" s="786"/>
      <c r="E69" s="786"/>
      <c r="F69" s="786"/>
      <c r="G69" s="786"/>
      <c r="I69" s="786" t="s">
        <v>1417</v>
      </c>
      <c r="J69" s="786"/>
      <c r="K69" s="786"/>
      <c r="L69" s="786"/>
      <c r="M69" s="786"/>
    </row>
    <row r="70" spans="1:17" x14ac:dyDescent="0.3">
      <c r="A70" s="286"/>
      <c r="B70" s="286"/>
      <c r="C70" s="214" t="s">
        <v>984</v>
      </c>
      <c r="D70" s="214" t="s">
        <v>985</v>
      </c>
      <c r="E70" s="214" t="s">
        <v>986</v>
      </c>
      <c r="F70" s="319" t="s">
        <v>592</v>
      </c>
      <c r="G70" s="215" t="s">
        <v>591</v>
      </c>
      <c r="I70" s="214" t="s">
        <v>984</v>
      </c>
      <c r="J70" s="214" t="s">
        <v>985</v>
      </c>
      <c r="K70" s="214" t="s">
        <v>986</v>
      </c>
      <c r="L70" s="319" t="s">
        <v>592</v>
      </c>
      <c r="M70" s="215" t="s">
        <v>591</v>
      </c>
      <c r="O70" s="214" t="s">
        <v>984</v>
      </c>
      <c r="P70" s="214" t="s">
        <v>985</v>
      </c>
      <c r="Q70" s="214" t="s">
        <v>986</v>
      </c>
    </row>
    <row r="71" spans="1:17" x14ac:dyDescent="0.3">
      <c r="A71" s="205"/>
      <c r="B71" s="205" t="s">
        <v>1450</v>
      </c>
      <c r="C71" s="253"/>
      <c r="D71" s="253"/>
      <c r="E71" s="253"/>
      <c r="F71" s="273"/>
      <c r="I71" s="253"/>
      <c r="J71" s="253"/>
      <c r="K71" s="253"/>
      <c r="L71" s="273"/>
    </row>
    <row r="72" spans="1:17" x14ac:dyDescent="0.3">
      <c r="A72" s="206"/>
      <c r="B72" s="206" t="s">
        <v>1082</v>
      </c>
      <c r="C72" s="389">
        <v>0.35</v>
      </c>
      <c r="D72" s="389">
        <v>0</v>
      </c>
      <c r="E72" s="389">
        <v>0.7</v>
      </c>
      <c r="F72" s="320" t="s">
        <v>1565</v>
      </c>
      <c r="G72" s="251"/>
      <c r="I72" s="389">
        <v>0.35</v>
      </c>
      <c r="J72" s="389">
        <v>0</v>
      </c>
      <c r="K72" s="389">
        <v>0.7</v>
      </c>
      <c r="L72" s="320"/>
      <c r="M72" s="251"/>
      <c r="O72">
        <f>IF(ISBLANK(C72),I72,C72)</f>
        <v>0.35</v>
      </c>
      <c r="P72">
        <f t="shared" ref="P72:Q94" si="4">IF(ISBLANK(D72),J72,D72)</f>
        <v>0</v>
      </c>
      <c r="Q72">
        <f t="shared" si="4"/>
        <v>0.7</v>
      </c>
    </row>
    <row r="73" spans="1:17" x14ac:dyDescent="0.3">
      <c r="A73" s="206"/>
      <c r="B73" s="206" t="s">
        <v>1083</v>
      </c>
      <c r="C73" s="389">
        <v>0.35</v>
      </c>
      <c r="D73" s="389">
        <v>0</v>
      </c>
      <c r="E73" s="389">
        <v>0.7</v>
      </c>
      <c r="F73" s="320" t="s">
        <v>1565</v>
      </c>
      <c r="G73" s="251"/>
      <c r="I73" s="389">
        <v>0.35</v>
      </c>
      <c r="J73" s="389">
        <v>0</v>
      </c>
      <c r="K73" s="389">
        <v>0.7</v>
      </c>
      <c r="L73" s="320"/>
      <c r="M73" s="251"/>
      <c r="O73">
        <f t="shared" ref="O73:O94" si="5">IF(ISBLANK(C73),I73,C73)</f>
        <v>0.35</v>
      </c>
      <c r="P73">
        <f t="shared" si="4"/>
        <v>0</v>
      </c>
      <c r="Q73">
        <f t="shared" si="4"/>
        <v>0.7</v>
      </c>
    </row>
    <row r="74" spans="1:17" x14ac:dyDescent="0.3">
      <c r="A74" s="206"/>
      <c r="B74" s="206" t="s">
        <v>1084</v>
      </c>
      <c r="C74" s="713">
        <v>0.39</v>
      </c>
      <c r="D74" s="713">
        <v>0</v>
      </c>
      <c r="E74" s="713">
        <v>0.68</v>
      </c>
      <c r="F74" s="714" t="s">
        <v>1565</v>
      </c>
      <c r="G74" s="251"/>
      <c r="I74" s="713">
        <v>0.39</v>
      </c>
      <c r="J74" s="713">
        <v>0</v>
      </c>
      <c r="K74" s="713">
        <v>0.68</v>
      </c>
      <c r="L74" s="320"/>
      <c r="M74" s="251"/>
      <c r="O74">
        <f t="shared" si="5"/>
        <v>0.39</v>
      </c>
      <c r="P74">
        <f t="shared" si="4"/>
        <v>0</v>
      </c>
      <c r="Q74">
        <f t="shared" si="4"/>
        <v>0.68</v>
      </c>
    </row>
    <row r="75" spans="1:17" x14ac:dyDescent="0.3">
      <c r="A75" s="206"/>
      <c r="B75" s="206" t="s">
        <v>1085</v>
      </c>
      <c r="C75" s="389">
        <v>0.57999999999999996</v>
      </c>
      <c r="D75" s="389">
        <v>0.34</v>
      </c>
      <c r="E75" s="389">
        <v>0.73</v>
      </c>
      <c r="F75" s="320" t="s">
        <v>1566</v>
      </c>
      <c r="G75" s="251"/>
      <c r="I75" s="389">
        <v>0.57999999999999996</v>
      </c>
      <c r="J75" s="390">
        <v>0.34</v>
      </c>
      <c r="K75" s="390">
        <v>0.73</v>
      </c>
      <c r="L75" s="320"/>
      <c r="M75" s="251"/>
      <c r="O75">
        <f t="shared" si="5"/>
        <v>0.57999999999999996</v>
      </c>
      <c r="P75">
        <f t="shared" si="4"/>
        <v>0.34</v>
      </c>
      <c r="Q75">
        <f t="shared" si="4"/>
        <v>0.73</v>
      </c>
    </row>
    <row r="76" spans="1:17" x14ac:dyDescent="0.3">
      <c r="A76" s="206"/>
      <c r="B76" s="206" t="s">
        <v>1086</v>
      </c>
      <c r="C76" s="389">
        <v>0.57999999999999996</v>
      </c>
      <c r="D76" s="389">
        <v>0.34</v>
      </c>
      <c r="E76" s="389">
        <v>0.73</v>
      </c>
      <c r="F76" s="320" t="s">
        <v>1566</v>
      </c>
      <c r="G76" s="251"/>
      <c r="I76" s="389">
        <v>0.57999999999999996</v>
      </c>
      <c r="J76" s="390">
        <v>0.34</v>
      </c>
      <c r="K76" s="390">
        <v>0.73</v>
      </c>
      <c r="L76" s="320"/>
      <c r="M76" s="251"/>
      <c r="O76">
        <f t="shared" si="5"/>
        <v>0.57999999999999996</v>
      </c>
      <c r="P76">
        <f t="shared" si="4"/>
        <v>0.34</v>
      </c>
      <c r="Q76">
        <f t="shared" si="4"/>
        <v>0.73</v>
      </c>
    </row>
    <row r="77" spans="1:17" x14ac:dyDescent="0.3">
      <c r="A77" s="206"/>
      <c r="B77" s="206" t="s">
        <v>1087</v>
      </c>
      <c r="C77" s="389">
        <v>0.57999999999999996</v>
      </c>
      <c r="D77" s="389">
        <v>0.34</v>
      </c>
      <c r="E77" s="389">
        <v>0.73</v>
      </c>
      <c r="F77" s="320" t="s">
        <v>1566</v>
      </c>
      <c r="G77" s="251"/>
      <c r="I77" s="389">
        <v>0.57999999999999996</v>
      </c>
      <c r="J77" s="390">
        <v>0.34</v>
      </c>
      <c r="K77" s="390">
        <v>0.73</v>
      </c>
      <c r="L77" s="320"/>
      <c r="M77" s="251"/>
      <c r="O77">
        <f t="shared" si="5"/>
        <v>0.57999999999999996</v>
      </c>
      <c r="P77">
        <f t="shared" si="4"/>
        <v>0.34</v>
      </c>
      <c r="Q77">
        <f t="shared" si="4"/>
        <v>0.73</v>
      </c>
    </row>
    <row r="78" spans="1:17" x14ac:dyDescent="0.3">
      <c r="A78" s="206"/>
      <c r="B78" s="206" t="s">
        <v>1443</v>
      </c>
      <c r="C78" s="389">
        <v>0.57999999999999996</v>
      </c>
      <c r="D78" s="389">
        <v>0.34</v>
      </c>
      <c r="E78" s="389">
        <v>0.73</v>
      </c>
      <c r="F78" s="320" t="s">
        <v>1567</v>
      </c>
      <c r="G78" s="251"/>
      <c r="I78" s="389">
        <v>0.57999999999999996</v>
      </c>
      <c r="J78" s="390">
        <v>0.34</v>
      </c>
      <c r="K78" s="390">
        <v>0.73</v>
      </c>
      <c r="L78" s="320"/>
      <c r="M78" s="251"/>
      <c r="O78">
        <f t="shared" si="5"/>
        <v>0.57999999999999996</v>
      </c>
      <c r="P78">
        <f t="shared" si="4"/>
        <v>0.34</v>
      </c>
      <c r="Q78">
        <f t="shared" si="4"/>
        <v>0.73</v>
      </c>
    </row>
    <row r="79" spans="1:17" x14ac:dyDescent="0.3">
      <c r="A79" s="205"/>
      <c r="B79" s="205" t="s">
        <v>1444</v>
      </c>
      <c r="F79" s="273"/>
      <c r="G79" s="215"/>
      <c r="L79" s="273"/>
      <c r="O79"/>
      <c r="P79"/>
      <c r="Q79"/>
    </row>
    <row r="80" spans="1:17" x14ac:dyDescent="0.3">
      <c r="A80" s="206"/>
      <c r="B80" s="206" t="s">
        <v>1082</v>
      </c>
      <c r="C80" s="389"/>
      <c r="D80" s="389"/>
      <c r="E80" s="389"/>
      <c r="F80" s="320"/>
      <c r="G80" s="251"/>
      <c r="I80" s="389">
        <v>0.35</v>
      </c>
      <c r="J80" s="389">
        <v>0</v>
      </c>
      <c r="K80" s="389">
        <v>0.7</v>
      </c>
      <c r="L80" s="320"/>
      <c r="M80" s="251"/>
      <c r="O80">
        <f t="shared" si="5"/>
        <v>0.35</v>
      </c>
      <c r="P80">
        <f t="shared" si="4"/>
        <v>0</v>
      </c>
      <c r="Q80">
        <f t="shared" si="4"/>
        <v>0.7</v>
      </c>
    </row>
    <row r="81" spans="1:17" x14ac:dyDescent="0.3">
      <c r="A81" s="206"/>
      <c r="B81" s="206" t="s">
        <v>1083</v>
      </c>
      <c r="C81" s="389"/>
      <c r="D81" s="389"/>
      <c r="E81" s="389"/>
      <c r="F81" s="320"/>
      <c r="G81" s="251"/>
      <c r="I81" s="389">
        <v>0.35</v>
      </c>
      <c r="J81" s="389">
        <v>0</v>
      </c>
      <c r="K81" s="389">
        <v>0.7</v>
      </c>
      <c r="L81" s="320"/>
      <c r="M81" s="251"/>
      <c r="O81">
        <f t="shared" si="5"/>
        <v>0.35</v>
      </c>
      <c r="P81">
        <f t="shared" si="4"/>
        <v>0</v>
      </c>
      <c r="Q81">
        <f t="shared" si="4"/>
        <v>0.7</v>
      </c>
    </row>
    <row r="82" spans="1:17" x14ac:dyDescent="0.3">
      <c r="A82" s="206"/>
      <c r="B82" s="206" t="s">
        <v>1084</v>
      </c>
      <c r="C82" s="389"/>
      <c r="D82" s="389"/>
      <c r="E82" s="389"/>
      <c r="F82" s="320"/>
      <c r="G82" s="251"/>
      <c r="I82" s="713">
        <v>0.39</v>
      </c>
      <c r="J82" s="713">
        <v>0</v>
      </c>
      <c r="K82" s="713">
        <v>0.68</v>
      </c>
      <c r="L82" s="320"/>
      <c r="M82" s="251"/>
      <c r="O82">
        <f t="shared" si="5"/>
        <v>0.39</v>
      </c>
      <c r="P82">
        <f t="shared" si="4"/>
        <v>0</v>
      </c>
      <c r="Q82">
        <f t="shared" si="4"/>
        <v>0.68</v>
      </c>
    </row>
    <row r="83" spans="1:17" x14ac:dyDescent="0.3">
      <c r="A83" s="206"/>
      <c r="B83" s="206" t="s">
        <v>1085</v>
      </c>
      <c r="C83" s="389">
        <v>0.43645409834744886</v>
      </c>
      <c r="D83" s="389">
        <v>0.39206893580364055</v>
      </c>
      <c r="E83" s="389">
        <v>0.47344173380062254</v>
      </c>
      <c r="F83" s="320" t="s">
        <v>1568</v>
      </c>
      <c r="G83" s="251"/>
      <c r="I83" s="389">
        <v>0.40849999999999997</v>
      </c>
      <c r="J83" s="390">
        <v>0.3669</v>
      </c>
      <c r="K83" s="390">
        <v>0.44309999999999999</v>
      </c>
      <c r="L83" s="320"/>
      <c r="M83" s="251"/>
      <c r="O83">
        <f t="shared" si="5"/>
        <v>0.43645409834744886</v>
      </c>
      <c r="P83">
        <f t="shared" si="4"/>
        <v>0.39206893580364055</v>
      </c>
      <c r="Q83">
        <f t="shared" si="4"/>
        <v>0.47344173380062254</v>
      </c>
    </row>
    <row r="84" spans="1:17" x14ac:dyDescent="0.3">
      <c r="A84" s="206"/>
      <c r="B84" s="206" t="s">
        <v>1086</v>
      </c>
      <c r="C84" s="389">
        <v>0.43645409834744886</v>
      </c>
      <c r="D84" s="389">
        <v>0.39206893580364055</v>
      </c>
      <c r="E84" s="389">
        <v>0.47344173380062254</v>
      </c>
      <c r="F84" s="320" t="s">
        <v>1568</v>
      </c>
      <c r="G84" s="251"/>
      <c r="I84" s="389">
        <v>0.40849999999999997</v>
      </c>
      <c r="J84" s="390">
        <v>0.3669</v>
      </c>
      <c r="K84" s="390">
        <v>0.44309999999999999</v>
      </c>
      <c r="L84" s="320"/>
      <c r="M84" s="251"/>
      <c r="O84">
        <f t="shared" si="5"/>
        <v>0.43645409834744886</v>
      </c>
      <c r="P84">
        <f t="shared" si="4"/>
        <v>0.39206893580364055</v>
      </c>
      <c r="Q84">
        <f t="shared" si="4"/>
        <v>0.47344173380062254</v>
      </c>
    </row>
    <row r="85" spans="1:17" x14ac:dyDescent="0.3">
      <c r="A85" s="206"/>
      <c r="B85" s="206" t="s">
        <v>1087</v>
      </c>
      <c r="C85" s="389">
        <v>0.43645409834744886</v>
      </c>
      <c r="D85" s="389">
        <v>0.39206893580364055</v>
      </c>
      <c r="E85" s="389">
        <v>0.47344173380062254</v>
      </c>
      <c r="F85" s="320" t="s">
        <v>1568</v>
      </c>
      <c r="G85" s="251"/>
      <c r="I85" s="389">
        <v>0.40849999999999997</v>
      </c>
      <c r="J85" s="390">
        <v>0.3669</v>
      </c>
      <c r="K85" s="390">
        <v>0.44309999999999999</v>
      </c>
      <c r="L85" s="320"/>
      <c r="M85" s="251"/>
      <c r="O85">
        <f t="shared" si="5"/>
        <v>0.43645409834744886</v>
      </c>
      <c r="P85">
        <f t="shared" si="4"/>
        <v>0.39206893580364055</v>
      </c>
      <c r="Q85">
        <f t="shared" si="4"/>
        <v>0.47344173380062254</v>
      </c>
    </row>
    <row r="86" spans="1:17" x14ac:dyDescent="0.3">
      <c r="A86" s="206"/>
      <c r="B86" s="206" t="s">
        <v>1443</v>
      </c>
      <c r="C86" s="389"/>
      <c r="D86" s="389"/>
      <c r="E86" s="389"/>
      <c r="F86" s="320"/>
      <c r="G86" s="251"/>
      <c r="I86" s="389">
        <v>0.57999999999999996</v>
      </c>
      <c r="J86" s="390">
        <v>0.34</v>
      </c>
      <c r="K86" s="390">
        <v>0.73</v>
      </c>
      <c r="L86" s="320"/>
      <c r="M86" s="251"/>
      <c r="O86">
        <f t="shared" si="5"/>
        <v>0.57999999999999996</v>
      </c>
      <c r="P86">
        <f t="shared" si="4"/>
        <v>0.34</v>
      </c>
      <c r="Q86">
        <f t="shared" si="4"/>
        <v>0.73</v>
      </c>
    </row>
    <row r="87" spans="1:17" x14ac:dyDescent="0.3">
      <c r="A87" s="207"/>
      <c r="B87" s="207" t="s">
        <v>227</v>
      </c>
      <c r="C87" s="392"/>
      <c r="D87" s="392"/>
      <c r="E87" s="392"/>
      <c r="F87" s="320"/>
      <c r="G87" s="251"/>
      <c r="I87" s="391"/>
      <c r="J87" s="392"/>
      <c r="K87" s="392"/>
      <c r="L87" s="320"/>
      <c r="M87" s="251"/>
      <c r="O87"/>
      <c r="P87"/>
      <c r="Q87"/>
    </row>
    <row r="88" spans="1:17" x14ac:dyDescent="0.3">
      <c r="A88" s="206"/>
      <c r="B88" s="206" t="s">
        <v>1437</v>
      </c>
      <c r="C88" s="389">
        <v>0.504</v>
      </c>
      <c r="D88" s="389">
        <v>0.14199999999999999</v>
      </c>
      <c r="E88" s="389">
        <v>0.71199999999999997</v>
      </c>
      <c r="F88" s="320" t="s">
        <v>1569</v>
      </c>
      <c r="G88" s="251" t="s">
        <v>593</v>
      </c>
      <c r="I88" s="389">
        <v>0.504</v>
      </c>
      <c r="J88" s="390">
        <v>0.14199999999999999</v>
      </c>
      <c r="K88" s="390">
        <v>0.71199999999999997</v>
      </c>
      <c r="L88" s="320"/>
      <c r="M88" s="251"/>
      <c r="O88">
        <f t="shared" si="5"/>
        <v>0.504</v>
      </c>
      <c r="P88">
        <f t="shared" si="4"/>
        <v>0.14199999999999999</v>
      </c>
      <c r="Q88">
        <f t="shared" si="4"/>
        <v>0.71199999999999997</v>
      </c>
    </row>
    <row r="89" spans="1:17" x14ac:dyDescent="0.3">
      <c r="A89" s="206"/>
      <c r="B89" s="206" t="s">
        <v>1438</v>
      </c>
      <c r="C89" s="389"/>
      <c r="D89" s="389"/>
      <c r="E89" s="389"/>
      <c r="F89" s="320"/>
      <c r="G89" s="251" t="s">
        <v>594</v>
      </c>
      <c r="I89" s="389">
        <v>0.504</v>
      </c>
      <c r="J89" s="390">
        <v>0.14199999999999999</v>
      </c>
      <c r="K89" s="390">
        <v>0.71199999999999997</v>
      </c>
      <c r="L89" s="320"/>
      <c r="M89" s="251"/>
      <c r="O89">
        <f t="shared" si="5"/>
        <v>0.504</v>
      </c>
      <c r="P89">
        <f t="shared" si="4"/>
        <v>0.14199999999999999</v>
      </c>
      <c r="Q89">
        <f t="shared" si="4"/>
        <v>0.71199999999999997</v>
      </c>
    </row>
    <row r="90" spans="1:17" x14ac:dyDescent="0.3">
      <c r="A90" s="206"/>
      <c r="B90" s="206" t="s">
        <v>1441</v>
      </c>
      <c r="C90" s="389">
        <v>0.48</v>
      </c>
      <c r="D90" s="389">
        <v>0.11600000000000001</v>
      </c>
      <c r="E90" s="389">
        <v>0.70399999999999996</v>
      </c>
      <c r="F90" s="320" t="s">
        <v>1569</v>
      </c>
      <c r="G90" s="251" t="s">
        <v>593</v>
      </c>
      <c r="I90" s="389">
        <v>0.48</v>
      </c>
      <c r="J90" s="390">
        <v>0.11600000000000001</v>
      </c>
      <c r="K90" s="390">
        <v>0.70399999999999996</v>
      </c>
      <c r="L90" s="320"/>
      <c r="M90" s="251"/>
      <c r="O90">
        <f t="shared" si="5"/>
        <v>0.48</v>
      </c>
      <c r="P90">
        <f t="shared" si="4"/>
        <v>0.11600000000000001</v>
      </c>
      <c r="Q90">
        <f t="shared" si="4"/>
        <v>0.70399999999999996</v>
      </c>
    </row>
    <row r="91" spans="1:17" x14ac:dyDescent="0.3">
      <c r="A91" s="206"/>
      <c r="B91" s="206" t="s">
        <v>1442</v>
      </c>
      <c r="C91" s="389"/>
      <c r="D91" s="389"/>
      <c r="E91" s="389"/>
      <c r="F91" s="320"/>
      <c r="G91" s="251" t="s">
        <v>594</v>
      </c>
      <c r="I91" s="389">
        <v>0.48</v>
      </c>
      <c r="J91" s="390">
        <v>0.11600000000000001</v>
      </c>
      <c r="K91" s="390">
        <v>0.70399999999999996</v>
      </c>
      <c r="L91" s="320"/>
      <c r="M91" s="251"/>
      <c r="O91">
        <f t="shared" si="5"/>
        <v>0.48</v>
      </c>
      <c r="P91">
        <f t="shared" si="4"/>
        <v>0.11600000000000001</v>
      </c>
      <c r="Q91">
        <f t="shared" si="4"/>
        <v>0.70399999999999996</v>
      </c>
    </row>
    <row r="92" spans="1:17" x14ac:dyDescent="0.3">
      <c r="A92" s="207"/>
      <c r="B92" s="207" t="s">
        <v>920</v>
      </c>
      <c r="C92" s="392"/>
      <c r="D92" s="392"/>
      <c r="E92" s="392"/>
      <c r="F92" s="320"/>
      <c r="G92" s="251"/>
      <c r="I92" s="391"/>
      <c r="J92" s="392"/>
      <c r="K92" s="392"/>
      <c r="L92" s="320"/>
      <c r="M92" s="251"/>
      <c r="O92"/>
      <c r="P92"/>
      <c r="Q92"/>
    </row>
    <row r="93" spans="1:17" x14ac:dyDescent="0.3">
      <c r="A93" s="206"/>
      <c r="B93" s="206" t="s">
        <v>920</v>
      </c>
      <c r="C93" s="389"/>
      <c r="D93" s="390"/>
      <c r="E93" s="390"/>
      <c r="F93" s="320"/>
      <c r="G93" s="251" t="s">
        <v>593</v>
      </c>
      <c r="I93" s="389">
        <v>0.57999999999999996</v>
      </c>
      <c r="J93" s="390">
        <v>0.34</v>
      </c>
      <c r="K93" s="390">
        <v>0.73</v>
      </c>
      <c r="L93" s="320"/>
      <c r="M93" s="251"/>
      <c r="O93">
        <f t="shared" si="5"/>
        <v>0.57999999999999996</v>
      </c>
      <c r="P93">
        <f t="shared" si="4"/>
        <v>0.34</v>
      </c>
      <c r="Q93">
        <f t="shared" si="4"/>
        <v>0.73</v>
      </c>
    </row>
    <row r="94" spans="1:17" x14ac:dyDescent="0.3">
      <c r="A94" s="206"/>
      <c r="B94" s="206" t="s">
        <v>980</v>
      </c>
      <c r="C94" s="389"/>
      <c r="D94" s="390"/>
      <c r="E94" s="390"/>
      <c r="F94" s="320"/>
      <c r="G94" s="251" t="s">
        <v>994</v>
      </c>
      <c r="I94" s="389">
        <v>0.57999999999999996</v>
      </c>
      <c r="J94" s="390">
        <v>0.34</v>
      </c>
      <c r="K94" s="390">
        <v>0.73</v>
      </c>
      <c r="L94" s="320"/>
      <c r="M94" s="251"/>
      <c r="O94">
        <f t="shared" si="5"/>
        <v>0.57999999999999996</v>
      </c>
      <c r="P94">
        <f t="shared" si="4"/>
        <v>0.34</v>
      </c>
      <c r="Q94">
        <f t="shared" si="4"/>
        <v>0.73</v>
      </c>
    </row>
    <row r="95" spans="1:17" x14ac:dyDescent="0.3">
      <c r="A95" s="206"/>
      <c r="B95" s="206"/>
      <c r="C95" s="258"/>
      <c r="D95" s="259"/>
      <c r="E95" s="259"/>
      <c r="F95" s="320"/>
      <c r="G95" s="251"/>
      <c r="H95" s="260"/>
      <c r="I95" s="260"/>
      <c r="J95" s="260"/>
      <c r="L95" s="210"/>
      <c r="M95" s="210"/>
    </row>
    <row r="96" spans="1:17" ht="19.5" customHeight="1" thickBot="1" x14ac:dyDescent="0.4">
      <c r="A96" s="206"/>
      <c r="B96" s="206"/>
      <c r="C96" s="788" t="s">
        <v>1418</v>
      </c>
      <c r="D96" s="788"/>
      <c r="E96" s="788"/>
      <c r="F96" s="788"/>
      <c r="G96" s="788"/>
      <c r="H96" s="260"/>
      <c r="I96" s="788" t="s">
        <v>1418</v>
      </c>
      <c r="J96" s="788"/>
      <c r="K96" s="788"/>
      <c r="L96" s="788"/>
      <c r="M96" s="788"/>
    </row>
    <row r="97" spans="1:17" x14ac:dyDescent="0.3">
      <c r="A97" s="206"/>
      <c r="B97" s="286"/>
      <c r="C97" s="214" t="s">
        <v>984</v>
      </c>
      <c r="D97" s="214" t="s">
        <v>985</v>
      </c>
      <c r="E97" s="214" t="s">
        <v>986</v>
      </c>
      <c r="F97" s="319" t="s">
        <v>592</v>
      </c>
      <c r="G97" s="215" t="s">
        <v>591</v>
      </c>
      <c r="H97" s="260"/>
      <c r="I97" s="214" t="s">
        <v>984</v>
      </c>
      <c r="J97" s="214" t="s">
        <v>985</v>
      </c>
      <c r="K97" s="214" t="s">
        <v>986</v>
      </c>
      <c r="L97" s="319" t="s">
        <v>592</v>
      </c>
      <c r="M97" s="215" t="s">
        <v>591</v>
      </c>
      <c r="O97" s="214" t="s">
        <v>984</v>
      </c>
      <c r="P97" s="214" t="s">
        <v>985</v>
      </c>
      <c r="Q97" s="214" t="s">
        <v>986</v>
      </c>
    </row>
    <row r="98" spans="1:17" x14ac:dyDescent="0.3">
      <c r="A98" s="214"/>
      <c r="B98" s="205" t="s">
        <v>1450</v>
      </c>
      <c r="C98" s="22"/>
      <c r="D98" s="214"/>
      <c r="E98" s="214"/>
      <c r="H98" s="260"/>
      <c r="I98" s="22"/>
      <c r="J98" s="214"/>
      <c r="K98" s="214"/>
    </row>
    <row r="99" spans="1:17" x14ac:dyDescent="0.3">
      <c r="A99" s="205"/>
      <c r="B99" s="206" t="s">
        <v>1082</v>
      </c>
      <c r="C99" s="389">
        <v>0.35</v>
      </c>
      <c r="D99" s="389">
        <v>0</v>
      </c>
      <c r="E99" s="389">
        <v>0.7</v>
      </c>
      <c r="F99" s="320" t="s">
        <v>1565</v>
      </c>
      <c r="G99" s="251"/>
      <c r="H99" s="260"/>
      <c r="I99" s="389">
        <v>0.35</v>
      </c>
      <c r="J99" s="389">
        <v>0</v>
      </c>
      <c r="K99" s="389">
        <v>0.7</v>
      </c>
      <c r="L99" s="260"/>
      <c r="M99" s="260"/>
      <c r="O99">
        <f>IF(ISBLANK(C99),I99,C99)</f>
        <v>0.35</v>
      </c>
      <c r="P99">
        <f t="shared" ref="P99:Q121" si="6">IF(ISBLANK(D99),J99,D99)</f>
        <v>0</v>
      </c>
      <c r="Q99">
        <f t="shared" si="6"/>
        <v>0.7</v>
      </c>
    </row>
    <row r="100" spans="1:17" x14ac:dyDescent="0.3">
      <c r="A100" s="206"/>
      <c r="B100" s="206" t="s">
        <v>1083</v>
      </c>
      <c r="C100" s="389">
        <v>0.35</v>
      </c>
      <c r="D100" s="389">
        <v>0</v>
      </c>
      <c r="E100" s="389">
        <v>0.7</v>
      </c>
      <c r="F100" s="320" t="s">
        <v>1565</v>
      </c>
      <c r="G100" s="251"/>
      <c r="H100" s="260"/>
      <c r="I100" s="389">
        <v>0.35</v>
      </c>
      <c r="J100" s="389">
        <v>0</v>
      </c>
      <c r="K100" s="389">
        <v>0.7</v>
      </c>
      <c r="L100" s="260"/>
      <c r="M100" s="260"/>
      <c r="O100">
        <f t="shared" ref="O100:O121" si="7">IF(ISBLANK(C100),I100,C100)</f>
        <v>0.35</v>
      </c>
      <c r="P100">
        <f t="shared" si="6"/>
        <v>0</v>
      </c>
      <c r="Q100">
        <f t="shared" si="6"/>
        <v>0.7</v>
      </c>
    </row>
    <row r="101" spans="1:17" x14ac:dyDescent="0.3">
      <c r="A101" s="206"/>
      <c r="B101" s="206" t="s">
        <v>1084</v>
      </c>
      <c r="C101" s="713">
        <v>0.39</v>
      </c>
      <c r="D101" s="713">
        <v>0</v>
      </c>
      <c r="E101" s="713">
        <v>0.68</v>
      </c>
      <c r="F101" s="714" t="s">
        <v>1565</v>
      </c>
      <c r="G101" s="251"/>
      <c r="H101" s="260"/>
      <c r="I101" s="713">
        <v>0.39</v>
      </c>
      <c r="J101" s="713">
        <v>0</v>
      </c>
      <c r="K101" s="713">
        <v>0.68</v>
      </c>
      <c r="L101" s="260"/>
      <c r="M101" s="260"/>
      <c r="O101">
        <f t="shared" si="7"/>
        <v>0.39</v>
      </c>
      <c r="P101">
        <f t="shared" si="6"/>
        <v>0</v>
      </c>
      <c r="Q101">
        <f t="shared" si="6"/>
        <v>0.68</v>
      </c>
    </row>
    <row r="102" spans="1:17" x14ac:dyDescent="0.3">
      <c r="A102" s="206"/>
      <c r="B102" s="206" t="s">
        <v>1085</v>
      </c>
      <c r="C102" s="389">
        <v>0.57999999999999996</v>
      </c>
      <c r="D102" s="389">
        <v>0.34</v>
      </c>
      <c r="E102" s="389">
        <v>0.73</v>
      </c>
      <c r="F102" s="320" t="s">
        <v>1566</v>
      </c>
      <c r="G102" s="251"/>
      <c r="H102" s="260"/>
      <c r="I102" s="389">
        <v>0.57999999999999996</v>
      </c>
      <c r="J102" s="390">
        <v>0.34</v>
      </c>
      <c r="K102" s="390">
        <v>0.73</v>
      </c>
      <c r="L102" s="260"/>
      <c r="M102" s="260"/>
      <c r="O102">
        <f t="shared" si="7"/>
        <v>0.57999999999999996</v>
      </c>
      <c r="P102">
        <f t="shared" si="6"/>
        <v>0.34</v>
      </c>
      <c r="Q102">
        <f t="shared" si="6"/>
        <v>0.73</v>
      </c>
    </row>
    <row r="103" spans="1:17" x14ac:dyDescent="0.3">
      <c r="A103" s="206"/>
      <c r="B103" s="206" t="s">
        <v>1086</v>
      </c>
      <c r="C103" s="389">
        <v>0.57999999999999996</v>
      </c>
      <c r="D103" s="389">
        <v>0.34</v>
      </c>
      <c r="E103" s="389">
        <v>0.73</v>
      </c>
      <c r="F103" s="320" t="s">
        <v>1566</v>
      </c>
      <c r="G103" s="251"/>
      <c r="H103" s="260"/>
      <c r="I103" s="389">
        <v>0.57999999999999996</v>
      </c>
      <c r="J103" s="390">
        <v>0.34</v>
      </c>
      <c r="K103" s="390">
        <v>0.73</v>
      </c>
      <c r="L103" s="260"/>
      <c r="M103" s="260"/>
      <c r="O103">
        <f t="shared" si="7"/>
        <v>0.57999999999999996</v>
      </c>
      <c r="P103">
        <f t="shared" si="6"/>
        <v>0.34</v>
      </c>
      <c r="Q103">
        <f t="shared" si="6"/>
        <v>0.73</v>
      </c>
    </row>
    <row r="104" spans="1:17" x14ac:dyDescent="0.3">
      <c r="A104" s="206"/>
      <c r="B104" s="206" t="s">
        <v>1087</v>
      </c>
      <c r="C104" s="389">
        <v>0.57999999999999996</v>
      </c>
      <c r="D104" s="389">
        <v>0.34</v>
      </c>
      <c r="E104" s="389">
        <v>0.73</v>
      </c>
      <c r="F104" s="320" t="s">
        <v>1566</v>
      </c>
      <c r="G104" s="251"/>
      <c r="H104" s="260"/>
      <c r="I104" s="389">
        <v>0.57999999999999996</v>
      </c>
      <c r="J104" s="390">
        <v>0.34</v>
      </c>
      <c r="K104" s="390">
        <v>0.73</v>
      </c>
      <c r="L104" s="260"/>
      <c r="M104" s="260"/>
      <c r="O104">
        <f t="shared" si="7"/>
        <v>0.57999999999999996</v>
      </c>
      <c r="P104">
        <f t="shared" si="6"/>
        <v>0.34</v>
      </c>
      <c r="Q104">
        <f t="shared" si="6"/>
        <v>0.73</v>
      </c>
    </row>
    <row r="105" spans="1:17" x14ac:dyDescent="0.3">
      <c r="A105" s="206"/>
      <c r="B105" s="206" t="s">
        <v>1443</v>
      </c>
      <c r="C105" s="389">
        <v>0.57999999999999996</v>
      </c>
      <c r="D105" s="389">
        <v>0.34</v>
      </c>
      <c r="E105" s="389">
        <v>0.73</v>
      </c>
      <c r="F105" s="320" t="s">
        <v>1567</v>
      </c>
      <c r="G105" s="251"/>
      <c r="H105" s="260"/>
      <c r="I105" s="389">
        <v>0.57999999999999996</v>
      </c>
      <c r="J105" s="390">
        <v>0.34</v>
      </c>
      <c r="K105" s="390">
        <v>0.73</v>
      </c>
      <c r="L105" s="260"/>
      <c r="M105" s="260"/>
      <c r="O105">
        <f t="shared" si="7"/>
        <v>0.57999999999999996</v>
      </c>
      <c r="P105">
        <f t="shared" si="6"/>
        <v>0.34</v>
      </c>
      <c r="Q105">
        <f t="shared" si="6"/>
        <v>0.73</v>
      </c>
    </row>
    <row r="106" spans="1:17" x14ac:dyDescent="0.3">
      <c r="A106" s="214"/>
      <c r="B106" s="205" t="s">
        <v>1444</v>
      </c>
      <c r="F106" s="273"/>
      <c r="G106" s="215"/>
      <c r="H106" s="260"/>
      <c r="O106"/>
      <c r="P106"/>
      <c r="Q106"/>
    </row>
    <row r="107" spans="1:17" x14ac:dyDescent="0.3">
      <c r="A107" s="205"/>
      <c r="B107" s="206" t="s">
        <v>1082</v>
      </c>
      <c r="C107" s="389"/>
      <c r="D107" s="389"/>
      <c r="E107" s="389"/>
      <c r="F107" s="320"/>
      <c r="G107" s="251"/>
      <c r="H107" s="260"/>
      <c r="I107" s="389">
        <v>0.35</v>
      </c>
      <c r="J107" s="389">
        <v>0</v>
      </c>
      <c r="K107" s="389">
        <v>0.7</v>
      </c>
      <c r="L107" s="260"/>
      <c r="M107" s="260"/>
      <c r="O107">
        <f t="shared" si="7"/>
        <v>0.35</v>
      </c>
      <c r="P107">
        <f t="shared" si="6"/>
        <v>0</v>
      </c>
      <c r="Q107">
        <f t="shared" si="6"/>
        <v>0.7</v>
      </c>
    </row>
    <row r="108" spans="1:17" x14ac:dyDescent="0.3">
      <c r="A108" s="206"/>
      <c r="B108" s="206" t="s">
        <v>1083</v>
      </c>
      <c r="C108" s="389"/>
      <c r="D108" s="389"/>
      <c r="E108" s="389"/>
      <c r="F108" s="320"/>
      <c r="G108" s="251"/>
      <c r="H108" s="260"/>
      <c r="I108" s="389">
        <v>0.35</v>
      </c>
      <c r="J108" s="389">
        <v>0</v>
      </c>
      <c r="K108" s="389">
        <v>0.7</v>
      </c>
      <c r="L108" s="260"/>
      <c r="M108" s="260"/>
      <c r="O108">
        <f t="shared" si="7"/>
        <v>0.35</v>
      </c>
      <c r="P108">
        <f t="shared" si="6"/>
        <v>0</v>
      </c>
      <c r="Q108">
        <f t="shared" si="6"/>
        <v>0.7</v>
      </c>
    </row>
    <row r="109" spans="1:17" x14ac:dyDescent="0.3">
      <c r="A109" s="206"/>
      <c r="B109" s="206" t="s">
        <v>1084</v>
      </c>
      <c r="C109" s="389"/>
      <c r="D109" s="389"/>
      <c r="E109" s="389"/>
      <c r="F109" s="320"/>
      <c r="G109" s="251"/>
      <c r="H109" s="260"/>
      <c r="I109" s="713">
        <v>0.39</v>
      </c>
      <c r="J109" s="713">
        <v>0</v>
      </c>
      <c r="K109" s="713">
        <v>0.68</v>
      </c>
      <c r="L109" s="260"/>
      <c r="M109" s="260"/>
      <c r="O109">
        <f t="shared" si="7"/>
        <v>0.39</v>
      </c>
      <c r="P109">
        <f t="shared" si="6"/>
        <v>0</v>
      </c>
      <c r="Q109">
        <f t="shared" si="6"/>
        <v>0.68</v>
      </c>
    </row>
    <row r="110" spans="1:17" x14ac:dyDescent="0.3">
      <c r="A110" s="206"/>
      <c r="B110" s="206" t="s">
        <v>1085</v>
      </c>
      <c r="C110" s="389">
        <v>0.43645409834744886</v>
      </c>
      <c r="D110" s="389">
        <v>0.39206893580364055</v>
      </c>
      <c r="E110" s="389">
        <v>0.47344173380062254</v>
      </c>
      <c r="F110" s="320" t="s">
        <v>1568</v>
      </c>
      <c r="G110" s="251"/>
      <c r="H110" s="260"/>
      <c r="I110" s="389">
        <v>0.40849999999999997</v>
      </c>
      <c r="J110" s="390">
        <v>0.3669</v>
      </c>
      <c r="K110" s="390">
        <v>0.44309999999999999</v>
      </c>
      <c r="L110" s="260"/>
      <c r="M110" s="260"/>
      <c r="O110">
        <f t="shared" si="7"/>
        <v>0.43645409834744886</v>
      </c>
      <c r="P110">
        <f t="shared" si="6"/>
        <v>0.39206893580364055</v>
      </c>
      <c r="Q110">
        <f t="shared" si="6"/>
        <v>0.47344173380062254</v>
      </c>
    </row>
    <row r="111" spans="1:17" x14ac:dyDescent="0.3">
      <c r="A111" s="206"/>
      <c r="B111" s="206" t="s">
        <v>1086</v>
      </c>
      <c r="C111" s="389">
        <v>0.43645409834744886</v>
      </c>
      <c r="D111" s="389">
        <v>0.39206893580364055</v>
      </c>
      <c r="E111" s="389">
        <v>0.47344173380062254</v>
      </c>
      <c r="F111" s="320" t="s">
        <v>1568</v>
      </c>
      <c r="G111" s="251"/>
      <c r="H111" s="260"/>
      <c r="I111" s="389">
        <v>0.40849999999999997</v>
      </c>
      <c r="J111" s="390">
        <v>0.3669</v>
      </c>
      <c r="K111" s="390">
        <v>0.44309999999999999</v>
      </c>
      <c r="L111" s="260"/>
      <c r="M111" s="260"/>
      <c r="O111">
        <f t="shared" si="7"/>
        <v>0.43645409834744886</v>
      </c>
      <c r="P111">
        <f t="shared" si="6"/>
        <v>0.39206893580364055</v>
      </c>
      <c r="Q111">
        <f t="shared" si="6"/>
        <v>0.47344173380062254</v>
      </c>
    </row>
    <row r="112" spans="1:17" x14ac:dyDescent="0.3">
      <c r="A112" s="206"/>
      <c r="B112" s="206" t="s">
        <v>1087</v>
      </c>
      <c r="C112" s="389">
        <v>0.43645409834744886</v>
      </c>
      <c r="D112" s="389">
        <v>0.39206893580364055</v>
      </c>
      <c r="E112" s="389">
        <v>0.47344173380062254</v>
      </c>
      <c r="F112" s="320" t="s">
        <v>1568</v>
      </c>
      <c r="G112" s="251"/>
      <c r="H112" s="260"/>
      <c r="I112" s="389">
        <v>0.40849999999999997</v>
      </c>
      <c r="J112" s="390">
        <v>0.3669</v>
      </c>
      <c r="K112" s="390">
        <v>0.44309999999999999</v>
      </c>
      <c r="L112" s="260"/>
      <c r="M112" s="260"/>
      <c r="O112">
        <f t="shared" si="7"/>
        <v>0.43645409834744886</v>
      </c>
      <c r="P112">
        <f t="shared" si="6"/>
        <v>0.39206893580364055</v>
      </c>
      <c r="Q112">
        <f t="shared" si="6"/>
        <v>0.47344173380062254</v>
      </c>
    </row>
    <row r="113" spans="1:17" x14ac:dyDescent="0.3">
      <c r="A113" s="206"/>
      <c r="B113" s="206" t="s">
        <v>1443</v>
      </c>
      <c r="C113" s="389"/>
      <c r="D113" s="389"/>
      <c r="E113" s="389"/>
      <c r="F113" s="320"/>
      <c r="G113" s="251"/>
      <c r="H113" s="260"/>
      <c r="I113" s="389">
        <v>0.57999999999999996</v>
      </c>
      <c r="J113" s="390">
        <v>0.34</v>
      </c>
      <c r="K113" s="390">
        <v>0.73</v>
      </c>
      <c r="L113" s="260"/>
      <c r="M113" s="260"/>
      <c r="O113">
        <f t="shared" si="7"/>
        <v>0.57999999999999996</v>
      </c>
      <c r="P113">
        <f t="shared" si="6"/>
        <v>0.34</v>
      </c>
      <c r="Q113">
        <f t="shared" si="6"/>
        <v>0.73</v>
      </c>
    </row>
    <row r="114" spans="1:17" x14ac:dyDescent="0.3">
      <c r="A114" s="206"/>
      <c r="B114" s="207" t="s">
        <v>227</v>
      </c>
      <c r="C114" s="392"/>
      <c r="D114" s="392"/>
      <c r="E114" s="392"/>
      <c r="F114" s="320"/>
      <c r="G114" s="251"/>
      <c r="H114" s="260"/>
      <c r="I114" s="391"/>
      <c r="J114" s="392"/>
      <c r="K114" s="392"/>
      <c r="L114" s="260"/>
      <c r="M114" s="260"/>
      <c r="O114"/>
      <c r="P114"/>
      <c r="Q114"/>
    </row>
    <row r="115" spans="1:17" x14ac:dyDescent="0.3">
      <c r="A115" s="207"/>
      <c r="B115" s="206" t="s">
        <v>1437</v>
      </c>
      <c r="C115" s="389">
        <v>0.504</v>
      </c>
      <c r="D115" s="389">
        <v>0.14199999999999999</v>
      </c>
      <c r="E115" s="389">
        <v>0.71199999999999997</v>
      </c>
      <c r="F115" s="320" t="s">
        <v>1569</v>
      </c>
      <c r="G115" s="251" t="s">
        <v>593</v>
      </c>
      <c r="H115" s="260"/>
      <c r="I115" s="389">
        <v>0.504</v>
      </c>
      <c r="J115" s="390">
        <v>0.14199999999999999</v>
      </c>
      <c r="K115" s="390">
        <v>0.71199999999999997</v>
      </c>
      <c r="L115" s="260"/>
      <c r="M115" s="260"/>
      <c r="O115">
        <f t="shared" si="7"/>
        <v>0.504</v>
      </c>
      <c r="P115">
        <f t="shared" si="6"/>
        <v>0.14199999999999999</v>
      </c>
      <c r="Q115">
        <f t="shared" si="6"/>
        <v>0.71199999999999997</v>
      </c>
    </row>
    <row r="116" spans="1:17" x14ac:dyDescent="0.3">
      <c r="A116" s="206"/>
      <c r="B116" s="206" t="s">
        <v>1438</v>
      </c>
      <c r="C116" s="389"/>
      <c r="D116" s="389"/>
      <c r="E116" s="389"/>
      <c r="F116" s="320"/>
      <c r="G116" s="251" t="s">
        <v>594</v>
      </c>
      <c r="H116" s="260"/>
      <c r="I116" s="389">
        <v>0.504</v>
      </c>
      <c r="J116" s="390">
        <v>0.14199999999999999</v>
      </c>
      <c r="K116" s="390">
        <v>0.71199999999999997</v>
      </c>
      <c r="L116" s="260"/>
      <c r="M116" s="260"/>
      <c r="O116">
        <f t="shared" si="7"/>
        <v>0.504</v>
      </c>
      <c r="P116">
        <f t="shared" si="6"/>
        <v>0.14199999999999999</v>
      </c>
      <c r="Q116">
        <f t="shared" si="6"/>
        <v>0.71199999999999997</v>
      </c>
    </row>
    <row r="117" spans="1:17" x14ac:dyDescent="0.3">
      <c r="A117" s="207"/>
      <c r="B117" s="206" t="s">
        <v>1441</v>
      </c>
      <c r="C117" s="389">
        <v>0.48</v>
      </c>
      <c r="D117" s="389">
        <v>0.11600000000000001</v>
      </c>
      <c r="E117" s="389">
        <v>0.70399999999999996</v>
      </c>
      <c r="F117" s="320" t="s">
        <v>1569</v>
      </c>
      <c r="G117" s="251" t="s">
        <v>593</v>
      </c>
      <c r="H117" s="260"/>
      <c r="I117" s="389">
        <v>0.48</v>
      </c>
      <c r="J117" s="390">
        <v>0.11600000000000001</v>
      </c>
      <c r="K117" s="390">
        <v>0.70399999999999996</v>
      </c>
      <c r="L117" s="260"/>
      <c r="M117" s="260"/>
      <c r="O117">
        <f t="shared" si="7"/>
        <v>0.48</v>
      </c>
      <c r="P117">
        <f t="shared" si="6"/>
        <v>0.11600000000000001</v>
      </c>
      <c r="Q117">
        <f t="shared" si="6"/>
        <v>0.70399999999999996</v>
      </c>
    </row>
    <row r="118" spans="1:17" x14ac:dyDescent="0.3">
      <c r="A118" s="206"/>
      <c r="B118" s="206" t="s">
        <v>1442</v>
      </c>
      <c r="C118" s="389"/>
      <c r="D118" s="389"/>
      <c r="E118" s="389"/>
      <c r="F118" s="320"/>
      <c r="G118" s="251" t="s">
        <v>594</v>
      </c>
      <c r="H118" s="260"/>
      <c r="I118" s="389">
        <v>0.48</v>
      </c>
      <c r="J118" s="390">
        <v>0.11600000000000001</v>
      </c>
      <c r="K118" s="390">
        <v>0.70399999999999996</v>
      </c>
      <c r="L118" s="260"/>
      <c r="M118" s="260"/>
      <c r="O118">
        <f t="shared" si="7"/>
        <v>0.48</v>
      </c>
      <c r="P118">
        <f t="shared" si="6"/>
        <v>0.11600000000000001</v>
      </c>
      <c r="Q118">
        <f t="shared" si="6"/>
        <v>0.70399999999999996</v>
      </c>
    </row>
    <row r="119" spans="1:17" x14ac:dyDescent="0.3">
      <c r="A119" s="206"/>
      <c r="B119" s="207" t="s">
        <v>920</v>
      </c>
      <c r="C119" s="392"/>
      <c r="D119" s="392"/>
      <c r="E119" s="392"/>
      <c r="F119" s="320"/>
      <c r="G119" s="251"/>
      <c r="H119" s="260"/>
      <c r="I119" s="391"/>
      <c r="J119" s="392"/>
      <c r="K119" s="392"/>
      <c r="L119" s="260"/>
      <c r="M119" s="260"/>
      <c r="O119"/>
      <c r="P119"/>
      <c r="Q119"/>
    </row>
    <row r="120" spans="1:17" x14ac:dyDescent="0.3">
      <c r="A120" s="207"/>
      <c r="B120" s="206" t="s">
        <v>920</v>
      </c>
      <c r="C120" s="389"/>
      <c r="D120" s="390"/>
      <c r="E120" s="390"/>
      <c r="F120" s="320"/>
      <c r="G120" s="251" t="s">
        <v>593</v>
      </c>
      <c r="H120" s="260"/>
      <c r="I120" s="389">
        <v>0.57999999999999996</v>
      </c>
      <c r="J120" s="390">
        <v>0.34</v>
      </c>
      <c r="K120" s="390">
        <v>0.73</v>
      </c>
      <c r="L120" s="260"/>
      <c r="M120" s="260"/>
      <c r="O120">
        <f t="shared" si="7"/>
        <v>0.57999999999999996</v>
      </c>
      <c r="P120">
        <f t="shared" si="6"/>
        <v>0.34</v>
      </c>
      <c r="Q120">
        <f t="shared" si="6"/>
        <v>0.73</v>
      </c>
    </row>
    <row r="121" spans="1:17" x14ac:dyDescent="0.3">
      <c r="A121" s="206"/>
      <c r="B121" s="206" t="s">
        <v>980</v>
      </c>
      <c r="C121" s="389"/>
      <c r="D121" s="390"/>
      <c r="E121" s="390"/>
      <c r="F121" s="320"/>
      <c r="G121" s="251" t="s">
        <v>994</v>
      </c>
      <c r="H121" s="260"/>
      <c r="I121" s="389">
        <v>0.57999999999999996</v>
      </c>
      <c r="J121" s="390">
        <v>0.34</v>
      </c>
      <c r="K121" s="390">
        <v>0.73</v>
      </c>
      <c r="L121" s="260"/>
      <c r="M121" s="260"/>
      <c r="O121">
        <f t="shared" si="7"/>
        <v>0.57999999999999996</v>
      </c>
      <c r="P121">
        <f t="shared" si="6"/>
        <v>0.34</v>
      </c>
      <c r="Q121">
        <f t="shared" si="6"/>
        <v>0.73</v>
      </c>
    </row>
    <row r="122" spans="1:17" x14ac:dyDescent="0.3">
      <c r="A122" s="206"/>
      <c r="B122" s="206"/>
      <c r="C122" s="258"/>
      <c r="D122" s="259"/>
      <c r="E122" s="259"/>
      <c r="F122" s="320"/>
      <c r="G122" s="251"/>
      <c r="H122" s="260"/>
      <c r="I122" s="260"/>
      <c r="J122" s="260"/>
      <c r="L122" s="210"/>
      <c r="M122" s="210"/>
    </row>
    <row r="123" spans="1:17" x14ac:dyDescent="0.3">
      <c r="B123" s="206"/>
      <c r="C123" s="258"/>
      <c r="D123" s="259"/>
      <c r="E123" s="259"/>
      <c r="F123" s="320"/>
      <c r="G123" s="251"/>
      <c r="H123" s="260"/>
      <c r="I123" s="260"/>
      <c r="J123" s="260"/>
      <c r="L123" s="210"/>
      <c r="M123" s="210"/>
    </row>
    <row r="124" spans="1:17" x14ac:dyDescent="0.3">
      <c r="B124" s="236" t="s">
        <v>1412</v>
      </c>
      <c r="C124" s="258"/>
      <c r="D124" s="259"/>
      <c r="E124" s="259"/>
      <c r="F124" s="320"/>
      <c r="G124" s="251"/>
      <c r="H124" s="260"/>
      <c r="I124" s="260"/>
      <c r="J124" s="260"/>
      <c r="L124" s="210"/>
      <c r="M124" s="210"/>
    </row>
    <row r="125" spans="1:17" x14ac:dyDescent="0.3">
      <c r="B125" s="236"/>
      <c r="C125" s="258"/>
      <c r="D125" s="259"/>
      <c r="E125" s="259"/>
      <c r="F125" s="320"/>
      <c r="G125" s="251"/>
      <c r="H125" s="260"/>
      <c r="I125" s="260"/>
      <c r="J125" s="260"/>
      <c r="L125" s="210"/>
      <c r="M125" s="210"/>
    </row>
    <row r="126" spans="1:17" x14ac:dyDescent="0.3">
      <c r="B126" s="781" t="s">
        <v>1095</v>
      </c>
      <c r="C126" s="781"/>
      <c r="D126" s="781"/>
      <c r="E126" s="781"/>
      <c r="F126" s="781"/>
      <c r="G126" s="781"/>
      <c r="I126" s="787" t="s">
        <v>1096</v>
      </c>
      <c r="J126" s="787"/>
      <c r="K126" s="787"/>
      <c r="L126" s="787"/>
      <c r="M126" s="787"/>
      <c r="O126" s="204" t="s">
        <v>1097</v>
      </c>
    </row>
    <row r="127" spans="1:17" ht="19.5" customHeight="1" thickBot="1" x14ac:dyDescent="0.4">
      <c r="B127" s="205"/>
      <c r="C127" s="786" t="s">
        <v>1419</v>
      </c>
      <c r="D127" s="786"/>
      <c r="E127" s="786"/>
      <c r="F127" s="786"/>
      <c r="G127" s="786"/>
      <c r="I127" s="786" t="s">
        <v>1419</v>
      </c>
      <c r="J127" s="786"/>
      <c r="K127" s="786"/>
      <c r="L127" s="786"/>
      <c r="M127" s="786"/>
    </row>
    <row r="128" spans="1:17" x14ac:dyDescent="0.3">
      <c r="A128" s="286"/>
      <c r="B128" s="286"/>
      <c r="C128" s="214" t="s">
        <v>984</v>
      </c>
      <c r="D128" s="214" t="s">
        <v>985</v>
      </c>
      <c r="E128" s="214" t="s">
        <v>986</v>
      </c>
      <c r="F128" s="319" t="s">
        <v>592</v>
      </c>
      <c r="G128" s="215" t="s">
        <v>591</v>
      </c>
      <c r="I128" s="214" t="s">
        <v>984</v>
      </c>
      <c r="J128" s="214" t="s">
        <v>985</v>
      </c>
      <c r="K128" s="214" t="s">
        <v>986</v>
      </c>
      <c r="L128" s="319" t="s">
        <v>592</v>
      </c>
      <c r="M128" s="215" t="s">
        <v>591</v>
      </c>
      <c r="O128" s="214" t="s">
        <v>984</v>
      </c>
      <c r="P128" s="214" t="s">
        <v>985</v>
      </c>
      <c r="Q128" s="214" t="s">
        <v>986</v>
      </c>
    </row>
    <row r="129" spans="1:17" x14ac:dyDescent="0.3">
      <c r="A129" s="205"/>
      <c r="B129" s="205" t="s">
        <v>1450</v>
      </c>
      <c r="C129" s="253"/>
      <c r="D129" s="253"/>
      <c r="E129" s="253"/>
      <c r="F129" s="320"/>
      <c r="G129" s="251"/>
      <c r="I129" s="253"/>
      <c r="J129" s="253"/>
      <c r="K129" s="253"/>
      <c r="L129" s="320"/>
      <c r="M129" s="251"/>
    </row>
    <row r="130" spans="1:17" x14ac:dyDescent="0.3">
      <c r="A130" s="206"/>
      <c r="B130" s="206" t="s">
        <v>1082</v>
      </c>
      <c r="C130" s="389">
        <v>0.35</v>
      </c>
      <c r="D130" s="389">
        <v>0</v>
      </c>
      <c r="E130" s="389">
        <v>0.7</v>
      </c>
      <c r="F130" s="320" t="s">
        <v>1565</v>
      </c>
      <c r="G130" s="251"/>
      <c r="I130" s="389">
        <v>0.64</v>
      </c>
      <c r="J130" s="390">
        <v>0.52</v>
      </c>
      <c r="K130" s="390">
        <v>0.72</v>
      </c>
      <c r="L130" s="320"/>
      <c r="M130" s="251"/>
      <c r="O130">
        <f>IF(ISBLANK(C130),I130,C130)</f>
        <v>0.35</v>
      </c>
      <c r="P130">
        <f t="shared" ref="P130:Q152" si="8">IF(ISBLANK(D130),J130,D130)</f>
        <v>0</v>
      </c>
      <c r="Q130">
        <f t="shared" si="8"/>
        <v>0.7</v>
      </c>
    </row>
    <row r="131" spans="1:17" x14ac:dyDescent="0.3">
      <c r="A131" s="206"/>
      <c r="B131" s="206" t="s">
        <v>1083</v>
      </c>
      <c r="C131" s="389">
        <v>0.35</v>
      </c>
      <c r="D131" s="389">
        <v>0</v>
      </c>
      <c r="E131" s="389">
        <v>0.7</v>
      </c>
      <c r="F131" s="320" t="s">
        <v>1565</v>
      </c>
      <c r="G131" s="251"/>
      <c r="I131" s="389">
        <v>0.64</v>
      </c>
      <c r="J131" s="390">
        <v>0.52</v>
      </c>
      <c r="K131" s="390">
        <v>0.72</v>
      </c>
      <c r="L131" s="320"/>
      <c r="M131" s="251"/>
      <c r="O131">
        <f t="shared" ref="O131:O152" si="9">IF(ISBLANK(C131),I131,C131)</f>
        <v>0.35</v>
      </c>
      <c r="P131">
        <f t="shared" si="8"/>
        <v>0</v>
      </c>
      <c r="Q131">
        <f t="shared" si="8"/>
        <v>0.7</v>
      </c>
    </row>
    <row r="132" spans="1:17" x14ac:dyDescent="0.3">
      <c r="A132" s="206"/>
      <c r="B132" s="206" t="s">
        <v>1084</v>
      </c>
      <c r="C132" s="713">
        <v>0.39</v>
      </c>
      <c r="D132" s="713">
        <v>0</v>
      </c>
      <c r="E132" s="713">
        <v>0.68</v>
      </c>
      <c r="F132" s="714" t="s">
        <v>1565</v>
      </c>
      <c r="G132" s="251"/>
      <c r="I132" s="389">
        <v>0.64</v>
      </c>
      <c r="J132" s="390">
        <v>0.52</v>
      </c>
      <c r="K132" s="390">
        <v>0.72</v>
      </c>
      <c r="L132" s="320"/>
      <c r="M132" s="251"/>
      <c r="O132">
        <f t="shared" si="9"/>
        <v>0.39</v>
      </c>
      <c r="P132">
        <f t="shared" si="8"/>
        <v>0</v>
      </c>
      <c r="Q132">
        <f t="shared" si="8"/>
        <v>0.68</v>
      </c>
    </row>
    <row r="133" spans="1:17" x14ac:dyDescent="0.3">
      <c r="A133" s="206"/>
      <c r="B133" s="206" t="s">
        <v>1085</v>
      </c>
      <c r="C133" s="389">
        <v>0.57999999999999996</v>
      </c>
      <c r="D133" s="389">
        <v>0.34</v>
      </c>
      <c r="E133" s="389">
        <v>0.73</v>
      </c>
      <c r="F133" s="320" t="s">
        <v>1566</v>
      </c>
      <c r="G133" s="251"/>
      <c r="I133" s="389">
        <v>0.57999999999999996</v>
      </c>
      <c r="J133" s="390">
        <v>0.34</v>
      </c>
      <c r="K133" s="390">
        <v>0.73</v>
      </c>
      <c r="L133" s="320"/>
      <c r="M133" s="251"/>
      <c r="O133">
        <f t="shared" si="9"/>
        <v>0.57999999999999996</v>
      </c>
      <c r="P133">
        <f t="shared" si="8"/>
        <v>0.34</v>
      </c>
      <c r="Q133">
        <f t="shared" si="8"/>
        <v>0.73</v>
      </c>
    </row>
    <row r="134" spans="1:17" x14ac:dyDescent="0.3">
      <c r="A134" s="206"/>
      <c r="B134" s="206" t="s">
        <v>1086</v>
      </c>
      <c r="C134" s="389">
        <v>0.57999999999999996</v>
      </c>
      <c r="D134" s="389">
        <v>0.34</v>
      </c>
      <c r="E134" s="389">
        <v>0.73</v>
      </c>
      <c r="F134" s="320" t="s">
        <v>1566</v>
      </c>
      <c r="G134" s="251"/>
      <c r="I134" s="389">
        <v>0.57999999999999996</v>
      </c>
      <c r="J134" s="390">
        <v>0.34</v>
      </c>
      <c r="K134" s="390">
        <v>0.73</v>
      </c>
      <c r="L134" s="320"/>
      <c r="M134" s="251"/>
      <c r="O134">
        <f t="shared" si="9"/>
        <v>0.57999999999999996</v>
      </c>
      <c r="P134">
        <f t="shared" si="8"/>
        <v>0.34</v>
      </c>
      <c r="Q134">
        <f t="shared" si="8"/>
        <v>0.73</v>
      </c>
    </row>
    <row r="135" spans="1:17" x14ac:dyDescent="0.3">
      <c r="A135" s="206"/>
      <c r="B135" s="206" t="s">
        <v>1087</v>
      </c>
      <c r="C135" s="389">
        <v>0.57999999999999996</v>
      </c>
      <c r="D135" s="389">
        <v>0.34</v>
      </c>
      <c r="E135" s="389">
        <v>0.73</v>
      </c>
      <c r="F135" s="320" t="s">
        <v>1566</v>
      </c>
      <c r="G135" s="251"/>
      <c r="I135" s="389">
        <v>0.57999999999999996</v>
      </c>
      <c r="J135" s="390">
        <v>0.34</v>
      </c>
      <c r="K135" s="390">
        <v>0.73</v>
      </c>
      <c r="L135" s="320"/>
      <c r="M135" s="251"/>
      <c r="O135">
        <f t="shared" si="9"/>
        <v>0.57999999999999996</v>
      </c>
      <c r="P135">
        <f t="shared" si="8"/>
        <v>0.34</v>
      </c>
      <c r="Q135">
        <f t="shared" si="8"/>
        <v>0.73</v>
      </c>
    </row>
    <row r="136" spans="1:17" x14ac:dyDescent="0.3">
      <c r="A136" s="206"/>
      <c r="B136" s="206" t="s">
        <v>1443</v>
      </c>
      <c r="C136" s="389">
        <v>0.57999999999999996</v>
      </c>
      <c r="D136" s="389">
        <v>0.34</v>
      </c>
      <c r="E136" s="389">
        <v>0.73</v>
      </c>
      <c r="F136" s="320" t="s">
        <v>1567</v>
      </c>
      <c r="G136" s="251"/>
      <c r="I136" s="389">
        <v>0.57999999999999996</v>
      </c>
      <c r="J136" s="390">
        <v>0.34</v>
      </c>
      <c r="K136" s="390">
        <v>0.73</v>
      </c>
      <c r="L136" s="320"/>
      <c r="M136" s="251"/>
      <c r="O136">
        <f t="shared" si="9"/>
        <v>0.57999999999999996</v>
      </c>
      <c r="P136">
        <f t="shared" si="8"/>
        <v>0.34</v>
      </c>
      <c r="Q136">
        <f t="shared" si="8"/>
        <v>0.73</v>
      </c>
    </row>
    <row r="137" spans="1:17" x14ac:dyDescent="0.3">
      <c r="A137" s="205"/>
      <c r="B137" s="205" t="s">
        <v>1444</v>
      </c>
      <c r="F137" s="273"/>
      <c r="G137" s="215"/>
      <c r="I137" s="253"/>
      <c r="J137" s="253"/>
      <c r="K137" s="253"/>
      <c r="L137" s="320"/>
      <c r="M137" s="251"/>
      <c r="O137"/>
      <c r="P137"/>
      <c r="Q137"/>
    </row>
    <row r="138" spans="1:17" x14ac:dyDescent="0.3">
      <c r="A138" s="206"/>
      <c r="B138" s="206" t="s">
        <v>1082</v>
      </c>
      <c r="C138" s="389"/>
      <c r="D138" s="389"/>
      <c r="E138" s="389"/>
      <c r="F138" s="320"/>
      <c r="G138" s="251"/>
      <c r="I138" s="389">
        <v>0.64</v>
      </c>
      <c r="J138" s="390">
        <v>0.52</v>
      </c>
      <c r="K138" s="390">
        <v>0.72</v>
      </c>
      <c r="L138" s="320"/>
      <c r="M138" s="251"/>
      <c r="O138">
        <f t="shared" si="9"/>
        <v>0.64</v>
      </c>
      <c r="P138">
        <f t="shared" si="8"/>
        <v>0.52</v>
      </c>
      <c r="Q138">
        <f t="shared" si="8"/>
        <v>0.72</v>
      </c>
    </row>
    <row r="139" spans="1:17" x14ac:dyDescent="0.3">
      <c r="A139" s="206"/>
      <c r="B139" s="206" t="s">
        <v>1083</v>
      </c>
      <c r="C139" s="389"/>
      <c r="D139" s="389"/>
      <c r="E139" s="389"/>
      <c r="F139" s="320"/>
      <c r="G139" s="251"/>
      <c r="I139" s="389">
        <v>0.64</v>
      </c>
      <c r="J139" s="390">
        <v>0.52</v>
      </c>
      <c r="K139" s="390">
        <v>0.72</v>
      </c>
      <c r="L139" s="320"/>
      <c r="M139" s="251"/>
      <c r="O139">
        <f t="shared" si="9"/>
        <v>0.64</v>
      </c>
      <c r="P139">
        <f t="shared" si="8"/>
        <v>0.52</v>
      </c>
      <c r="Q139">
        <f t="shared" si="8"/>
        <v>0.72</v>
      </c>
    </row>
    <row r="140" spans="1:17" x14ac:dyDescent="0.3">
      <c r="A140" s="206"/>
      <c r="B140" s="206" t="s">
        <v>1084</v>
      </c>
      <c r="C140" s="389"/>
      <c r="D140" s="389"/>
      <c r="E140" s="389"/>
      <c r="F140" s="320"/>
      <c r="G140" s="251"/>
      <c r="I140" s="389">
        <v>0.64</v>
      </c>
      <c r="J140" s="390">
        <v>0.52</v>
      </c>
      <c r="K140" s="390">
        <v>0.72</v>
      </c>
      <c r="L140" s="320"/>
      <c r="M140" s="251"/>
      <c r="O140">
        <f t="shared" si="9"/>
        <v>0.64</v>
      </c>
      <c r="P140">
        <f t="shared" si="8"/>
        <v>0.52</v>
      </c>
      <c r="Q140">
        <f t="shared" si="8"/>
        <v>0.72</v>
      </c>
    </row>
    <row r="141" spans="1:17" x14ac:dyDescent="0.3">
      <c r="A141" s="206"/>
      <c r="B141" s="206" t="s">
        <v>1085</v>
      </c>
      <c r="C141" s="389">
        <v>0.43645409834744886</v>
      </c>
      <c r="D141" s="389">
        <v>0.39206893580364055</v>
      </c>
      <c r="E141" s="389">
        <v>0.47344173380062254</v>
      </c>
      <c r="F141" s="320" t="s">
        <v>1568</v>
      </c>
      <c r="G141" s="251"/>
      <c r="I141" s="389">
        <v>0.40849999999999997</v>
      </c>
      <c r="J141" s="390">
        <v>0.3669</v>
      </c>
      <c r="K141" s="390">
        <v>0.44309999999999999</v>
      </c>
      <c r="L141" s="320"/>
      <c r="M141" s="251"/>
      <c r="O141">
        <f t="shared" si="9"/>
        <v>0.43645409834744886</v>
      </c>
      <c r="P141">
        <f t="shared" si="8"/>
        <v>0.39206893580364055</v>
      </c>
      <c r="Q141">
        <f t="shared" si="8"/>
        <v>0.47344173380062254</v>
      </c>
    </row>
    <row r="142" spans="1:17" x14ac:dyDescent="0.3">
      <c r="A142" s="206"/>
      <c r="B142" s="206" t="s">
        <v>1086</v>
      </c>
      <c r="C142" s="389">
        <v>0.43645409834744886</v>
      </c>
      <c r="D142" s="389">
        <v>0.39206893580364055</v>
      </c>
      <c r="E142" s="389">
        <v>0.47344173380062254</v>
      </c>
      <c r="F142" s="320" t="s">
        <v>1568</v>
      </c>
      <c r="G142" s="251"/>
      <c r="I142" s="389">
        <v>0.40849999999999997</v>
      </c>
      <c r="J142" s="390">
        <v>0.3669</v>
      </c>
      <c r="K142" s="390">
        <v>0.44309999999999999</v>
      </c>
      <c r="L142" s="320"/>
      <c r="M142" s="251"/>
      <c r="O142">
        <f t="shared" si="9"/>
        <v>0.43645409834744886</v>
      </c>
      <c r="P142">
        <f t="shared" si="8"/>
        <v>0.39206893580364055</v>
      </c>
      <c r="Q142">
        <f t="shared" si="8"/>
        <v>0.47344173380062254</v>
      </c>
    </row>
    <row r="143" spans="1:17" x14ac:dyDescent="0.3">
      <c r="A143" s="206"/>
      <c r="B143" s="206" t="s">
        <v>1087</v>
      </c>
      <c r="C143" s="389">
        <v>0.43645409834744886</v>
      </c>
      <c r="D143" s="389">
        <v>0.39206893580364055</v>
      </c>
      <c r="E143" s="389">
        <v>0.47344173380062254</v>
      </c>
      <c r="F143" s="320" t="s">
        <v>1568</v>
      </c>
      <c r="G143" s="251"/>
      <c r="I143" s="389">
        <v>0.40849999999999997</v>
      </c>
      <c r="J143" s="390">
        <v>0.3669</v>
      </c>
      <c r="K143" s="390">
        <v>0.44309999999999999</v>
      </c>
      <c r="L143" s="320"/>
      <c r="M143" s="251"/>
      <c r="O143">
        <f t="shared" si="9"/>
        <v>0.43645409834744886</v>
      </c>
      <c r="P143">
        <f t="shared" si="8"/>
        <v>0.39206893580364055</v>
      </c>
      <c r="Q143">
        <f t="shared" si="8"/>
        <v>0.47344173380062254</v>
      </c>
    </row>
    <row r="144" spans="1:17" x14ac:dyDescent="0.3">
      <c r="A144" s="206"/>
      <c r="B144" s="206" t="s">
        <v>1443</v>
      </c>
      <c r="C144" s="389"/>
      <c r="D144" s="389"/>
      <c r="E144" s="389"/>
      <c r="F144" s="320"/>
      <c r="G144" s="251"/>
      <c r="I144" s="389">
        <v>0.57999999999999996</v>
      </c>
      <c r="J144" s="390">
        <v>0.34</v>
      </c>
      <c r="K144" s="390">
        <v>0.73</v>
      </c>
      <c r="L144" s="320"/>
      <c r="M144" s="251"/>
      <c r="O144">
        <f t="shared" si="9"/>
        <v>0.57999999999999996</v>
      </c>
      <c r="P144">
        <f t="shared" si="8"/>
        <v>0.34</v>
      </c>
      <c r="Q144">
        <f t="shared" si="8"/>
        <v>0.73</v>
      </c>
    </row>
    <row r="145" spans="1:17" x14ac:dyDescent="0.3">
      <c r="A145" s="207"/>
      <c r="B145" s="207" t="s">
        <v>227</v>
      </c>
      <c r="C145" s="392"/>
      <c r="D145" s="392"/>
      <c r="E145" s="392"/>
      <c r="F145" s="320"/>
      <c r="G145" s="251"/>
      <c r="I145" s="391"/>
      <c r="J145" s="392"/>
      <c r="K145" s="392"/>
      <c r="L145" s="320"/>
      <c r="M145" s="251"/>
      <c r="O145"/>
      <c r="P145"/>
      <c r="Q145"/>
    </row>
    <row r="146" spans="1:17" x14ac:dyDescent="0.3">
      <c r="A146" s="206"/>
      <c r="B146" s="206" t="s">
        <v>1437</v>
      </c>
      <c r="C146" s="389">
        <v>0.504</v>
      </c>
      <c r="D146" s="389">
        <v>0.14199999999999999</v>
      </c>
      <c r="E146" s="389">
        <v>0.71199999999999997</v>
      </c>
      <c r="F146" s="320" t="s">
        <v>1569</v>
      </c>
      <c r="G146" s="251" t="s">
        <v>593</v>
      </c>
      <c r="I146" s="389">
        <v>0.504</v>
      </c>
      <c r="J146" s="390">
        <v>0.14199999999999999</v>
      </c>
      <c r="K146" s="390">
        <v>0.71199999999999997</v>
      </c>
      <c r="L146" s="320"/>
      <c r="M146" s="251"/>
      <c r="O146">
        <f t="shared" si="9"/>
        <v>0.504</v>
      </c>
      <c r="P146">
        <f t="shared" si="8"/>
        <v>0.14199999999999999</v>
      </c>
      <c r="Q146">
        <f t="shared" si="8"/>
        <v>0.71199999999999997</v>
      </c>
    </row>
    <row r="147" spans="1:17" x14ac:dyDescent="0.3">
      <c r="A147" s="206"/>
      <c r="B147" s="206" t="s">
        <v>1438</v>
      </c>
      <c r="C147" s="389"/>
      <c r="D147" s="389"/>
      <c r="E147" s="389"/>
      <c r="F147" s="320"/>
      <c r="G147" s="251" t="s">
        <v>594</v>
      </c>
      <c r="I147" s="389">
        <v>0.504</v>
      </c>
      <c r="J147" s="390">
        <v>0.14199999999999999</v>
      </c>
      <c r="K147" s="390">
        <v>0.71199999999999997</v>
      </c>
      <c r="L147" s="320"/>
      <c r="M147" s="251"/>
      <c r="O147">
        <f t="shared" si="9"/>
        <v>0.504</v>
      </c>
      <c r="P147">
        <f t="shared" si="8"/>
        <v>0.14199999999999999</v>
      </c>
      <c r="Q147">
        <f t="shared" si="8"/>
        <v>0.71199999999999997</v>
      </c>
    </row>
    <row r="148" spans="1:17" x14ac:dyDescent="0.3">
      <c r="A148" s="206"/>
      <c r="B148" s="206" t="s">
        <v>1441</v>
      </c>
      <c r="C148" s="389">
        <v>0.48</v>
      </c>
      <c r="D148" s="389">
        <v>0.11600000000000001</v>
      </c>
      <c r="E148" s="389">
        <v>0.70399999999999996</v>
      </c>
      <c r="F148" s="320" t="s">
        <v>1569</v>
      </c>
      <c r="G148" s="251" t="s">
        <v>593</v>
      </c>
      <c r="I148" s="389">
        <v>0.48</v>
      </c>
      <c r="J148" s="390">
        <v>0.11600000000000001</v>
      </c>
      <c r="K148" s="390">
        <v>0.70399999999999996</v>
      </c>
      <c r="L148" s="320"/>
      <c r="M148" s="251"/>
      <c r="O148">
        <f t="shared" si="9"/>
        <v>0.48</v>
      </c>
      <c r="P148">
        <f t="shared" si="8"/>
        <v>0.11600000000000001</v>
      </c>
      <c r="Q148">
        <f t="shared" si="8"/>
        <v>0.70399999999999996</v>
      </c>
    </row>
    <row r="149" spans="1:17" x14ac:dyDescent="0.3">
      <c r="A149" s="206"/>
      <c r="B149" s="206" t="s">
        <v>1442</v>
      </c>
      <c r="C149" s="389"/>
      <c r="D149" s="389"/>
      <c r="E149" s="389"/>
      <c r="F149" s="320"/>
      <c r="G149" s="251" t="s">
        <v>594</v>
      </c>
      <c r="I149" s="389">
        <v>0.48</v>
      </c>
      <c r="J149" s="390">
        <v>0.11600000000000001</v>
      </c>
      <c r="K149" s="390">
        <v>0.70399999999999996</v>
      </c>
      <c r="L149" s="320"/>
      <c r="M149" s="251"/>
      <c r="O149">
        <f t="shared" si="9"/>
        <v>0.48</v>
      </c>
      <c r="P149">
        <f t="shared" si="8"/>
        <v>0.11600000000000001</v>
      </c>
      <c r="Q149">
        <f t="shared" si="8"/>
        <v>0.70399999999999996</v>
      </c>
    </row>
    <row r="150" spans="1:17" x14ac:dyDescent="0.3">
      <c r="A150" s="207"/>
      <c r="B150" s="207" t="s">
        <v>920</v>
      </c>
      <c r="C150" s="392"/>
      <c r="D150" s="392"/>
      <c r="E150" s="392"/>
      <c r="F150" s="320"/>
      <c r="G150" s="251"/>
      <c r="I150" s="391"/>
      <c r="J150" s="392"/>
      <c r="K150" s="392"/>
      <c r="L150" s="320"/>
      <c r="M150" s="251"/>
      <c r="O150"/>
      <c r="P150"/>
      <c r="Q150"/>
    </row>
    <row r="151" spans="1:17" x14ac:dyDescent="0.3">
      <c r="A151" s="206"/>
      <c r="B151" s="206" t="s">
        <v>920</v>
      </c>
      <c r="C151" s="389"/>
      <c r="D151" s="390"/>
      <c r="E151" s="390"/>
      <c r="F151" s="320"/>
      <c r="G151" s="251" t="s">
        <v>593</v>
      </c>
      <c r="I151" s="389">
        <v>0.57999999999999996</v>
      </c>
      <c r="J151" s="390">
        <v>0.34</v>
      </c>
      <c r="K151" s="390">
        <v>0.73</v>
      </c>
      <c r="L151" s="320"/>
      <c r="M151" s="251"/>
      <c r="O151">
        <f t="shared" si="9"/>
        <v>0.57999999999999996</v>
      </c>
      <c r="P151">
        <f t="shared" si="8"/>
        <v>0.34</v>
      </c>
      <c r="Q151">
        <f t="shared" si="8"/>
        <v>0.73</v>
      </c>
    </row>
    <row r="152" spans="1:17" x14ac:dyDescent="0.3">
      <c r="A152" s="206"/>
      <c r="B152" s="206" t="s">
        <v>980</v>
      </c>
      <c r="C152" s="389"/>
      <c r="D152" s="390"/>
      <c r="E152" s="390"/>
      <c r="F152" s="320"/>
      <c r="G152" s="251" t="s">
        <v>994</v>
      </c>
      <c r="I152" s="389">
        <v>0.57999999999999996</v>
      </c>
      <c r="J152" s="390">
        <v>0.34</v>
      </c>
      <c r="K152" s="390">
        <v>0.73</v>
      </c>
      <c r="L152" s="320"/>
      <c r="M152" s="251"/>
      <c r="O152">
        <f t="shared" si="9"/>
        <v>0.57999999999999996</v>
      </c>
      <c r="P152">
        <f t="shared" si="8"/>
        <v>0.34</v>
      </c>
      <c r="Q152">
        <f t="shared" si="8"/>
        <v>0.73</v>
      </c>
    </row>
    <row r="153" spans="1:17" x14ac:dyDescent="0.3">
      <c r="A153" s="206"/>
    </row>
    <row r="154" spans="1:17" ht="19.5" customHeight="1" thickBot="1" x14ac:dyDescent="0.4">
      <c r="A154" s="206"/>
      <c r="B154" s="205"/>
      <c r="C154" s="786" t="s">
        <v>1420</v>
      </c>
      <c r="D154" s="786"/>
      <c r="E154" s="786"/>
      <c r="F154" s="786"/>
      <c r="G154" s="786"/>
      <c r="I154" s="786" t="s">
        <v>1420</v>
      </c>
      <c r="J154" s="786"/>
      <c r="K154" s="786"/>
      <c r="L154" s="786"/>
      <c r="M154" s="786"/>
    </row>
    <row r="155" spans="1:17" x14ac:dyDescent="0.3">
      <c r="A155" s="206"/>
      <c r="B155" s="286"/>
      <c r="C155" s="214" t="s">
        <v>984</v>
      </c>
      <c r="D155" s="214" t="s">
        <v>985</v>
      </c>
      <c r="E155" s="214" t="s">
        <v>986</v>
      </c>
      <c r="F155" s="319" t="s">
        <v>592</v>
      </c>
      <c r="G155" s="215" t="s">
        <v>591</v>
      </c>
      <c r="I155" s="214" t="s">
        <v>984</v>
      </c>
      <c r="J155" s="214" t="s">
        <v>985</v>
      </c>
      <c r="K155" s="214" t="s">
        <v>986</v>
      </c>
      <c r="L155" s="319" t="s">
        <v>592</v>
      </c>
      <c r="M155" s="215" t="s">
        <v>591</v>
      </c>
      <c r="O155" s="214" t="s">
        <v>984</v>
      </c>
      <c r="P155" s="214" t="s">
        <v>985</v>
      </c>
      <c r="Q155" s="214" t="s">
        <v>986</v>
      </c>
    </row>
    <row r="156" spans="1:17" x14ac:dyDescent="0.3">
      <c r="A156" s="214"/>
      <c r="B156" s="205" t="s">
        <v>1450</v>
      </c>
      <c r="C156" s="22"/>
      <c r="D156" s="214"/>
      <c r="E156" s="214"/>
      <c r="F156"/>
      <c r="G156"/>
    </row>
    <row r="157" spans="1:17" x14ac:dyDescent="0.3">
      <c r="A157" s="205"/>
      <c r="B157" s="206" t="s">
        <v>1082</v>
      </c>
      <c r="C157" s="389">
        <v>0.35</v>
      </c>
      <c r="D157" s="389">
        <v>0</v>
      </c>
      <c r="E157" s="389">
        <v>0.7</v>
      </c>
      <c r="F157" s="320" t="s">
        <v>1565</v>
      </c>
      <c r="G157" s="251"/>
      <c r="I157" s="389">
        <v>0.35</v>
      </c>
      <c r="J157" s="389">
        <v>0</v>
      </c>
      <c r="K157" s="389">
        <v>0.7</v>
      </c>
      <c r="L157" s="260"/>
      <c r="M157" s="260"/>
      <c r="O157">
        <f>IF(ISBLANK(C157),I157,C157)</f>
        <v>0.35</v>
      </c>
      <c r="P157">
        <f t="shared" ref="P157:Q179" si="10">IF(ISBLANK(D157),J157,D157)</f>
        <v>0</v>
      </c>
      <c r="Q157">
        <f t="shared" si="10"/>
        <v>0.7</v>
      </c>
    </row>
    <row r="158" spans="1:17" x14ac:dyDescent="0.3">
      <c r="A158" s="206"/>
      <c r="B158" s="206" t="s">
        <v>1083</v>
      </c>
      <c r="C158" s="389">
        <v>0.35</v>
      </c>
      <c r="D158" s="389">
        <v>0</v>
      </c>
      <c r="E158" s="389">
        <v>0.7</v>
      </c>
      <c r="F158" s="320" t="s">
        <v>1565</v>
      </c>
      <c r="G158" s="251"/>
      <c r="I158" s="389">
        <v>0.35</v>
      </c>
      <c r="J158" s="389">
        <v>0</v>
      </c>
      <c r="K158" s="389">
        <v>0.7</v>
      </c>
      <c r="L158" s="260"/>
      <c r="M158" s="260"/>
      <c r="O158">
        <f t="shared" ref="O158:O179" si="11">IF(ISBLANK(C158),I158,C158)</f>
        <v>0.35</v>
      </c>
      <c r="P158">
        <f t="shared" si="10"/>
        <v>0</v>
      </c>
      <c r="Q158">
        <f t="shared" si="10"/>
        <v>0.7</v>
      </c>
    </row>
    <row r="159" spans="1:17" x14ac:dyDescent="0.3">
      <c r="A159" s="206"/>
      <c r="B159" s="206" t="s">
        <v>1084</v>
      </c>
      <c r="C159" s="713">
        <v>0.39</v>
      </c>
      <c r="D159" s="713">
        <v>0</v>
      </c>
      <c r="E159" s="713">
        <v>0.68</v>
      </c>
      <c r="F159" s="714" t="s">
        <v>1565</v>
      </c>
      <c r="G159" s="251"/>
      <c r="I159" s="713">
        <v>0.39</v>
      </c>
      <c r="J159" s="713">
        <v>0</v>
      </c>
      <c r="K159" s="713">
        <v>0.68</v>
      </c>
      <c r="L159" s="260"/>
      <c r="M159" s="260"/>
      <c r="O159">
        <f t="shared" si="11"/>
        <v>0.39</v>
      </c>
      <c r="P159">
        <f t="shared" si="10"/>
        <v>0</v>
      </c>
      <c r="Q159">
        <f t="shared" si="10"/>
        <v>0.68</v>
      </c>
    </row>
    <row r="160" spans="1:17" x14ac:dyDescent="0.3">
      <c r="A160" s="206"/>
      <c r="B160" s="206" t="s">
        <v>1085</v>
      </c>
      <c r="C160" s="389">
        <v>0.57999999999999996</v>
      </c>
      <c r="D160" s="389">
        <v>0.34</v>
      </c>
      <c r="E160" s="389">
        <v>0.73</v>
      </c>
      <c r="F160" s="320" t="s">
        <v>1566</v>
      </c>
      <c r="G160" s="251"/>
      <c r="I160" s="389">
        <v>0.57999999999999996</v>
      </c>
      <c r="J160" s="390">
        <v>0.34</v>
      </c>
      <c r="K160" s="390">
        <v>0.73</v>
      </c>
      <c r="L160" s="260"/>
      <c r="M160" s="260"/>
      <c r="O160">
        <f t="shared" si="11"/>
        <v>0.57999999999999996</v>
      </c>
      <c r="P160">
        <f t="shared" si="10"/>
        <v>0.34</v>
      </c>
      <c r="Q160">
        <f t="shared" si="10"/>
        <v>0.73</v>
      </c>
    </row>
    <row r="161" spans="1:17" x14ac:dyDescent="0.3">
      <c r="A161" s="206"/>
      <c r="B161" s="206" t="s">
        <v>1086</v>
      </c>
      <c r="C161" s="389">
        <v>0.57999999999999996</v>
      </c>
      <c r="D161" s="389">
        <v>0.34</v>
      </c>
      <c r="E161" s="389">
        <v>0.73</v>
      </c>
      <c r="F161" s="320" t="s">
        <v>1566</v>
      </c>
      <c r="G161" s="251"/>
      <c r="I161" s="389">
        <v>0.57999999999999996</v>
      </c>
      <c r="J161" s="390">
        <v>0.34</v>
      </c>
      <c r="K161" s="390">
        <v>0.73</v>
      </c>
      <c r="L161" s="260"/>
      <c r="M161" s="260"/>
      <c r="O161">
        <f t="shared" si="11"/>
        <v>0.57999999999999996</v>
      </c>
      <c r="P161">
        <f t="shared" si="10"/>
        <v>0.34</v>
      </c>
      <c r="Q161">
        <f t="shared" si="10"/>
        <v>0.73</v>
      </c>
    </row>
    <row r="162" spans="1:17" x14ac:dyDescent="0.3">
      <c r="A162" s="206"/>
      <c r="B162" s="206" t="s">
        <v>1087</v>
      </c>
      <c r="C162" s="389">
        <v>0.57999999999999996</v>
      </c>
      <c r="D162" s="389">
        <v>0.34</v>
      </c>
      <c r="E162" s="389">
        <v>0.73</v>
      </c>
      <c r="F162" s="320" t="s">
        <v>1566</v>
      </c>
      <c r="G162" s="251"/>
      <c r="I162" s="389">
        <v>0.57999999999999996</v>
      </c>
      <c r="J162" s="390">
        <v>0.34</v>
      </c>
      <c r="K162" s="390">
        <v>0.73</v>
      </c>
      <c r="L162" s="260"/>
      <c r="M162" s="260"/>
      <c r="O162">
        <f t="shared" si="11"/>
        <v>0.57999999999999996</v>
      </c>
      <c r="P162">
        <f t="shared" si="10"/>
        <v>0.34</v>
      </c>
      <c r="Q162">
        <f t="shared" si="10"/>
        <v>0.73</v>
      </c>
    </row>
    <row r="163" spans="1:17" x14ac:dyDescent="0.3">
      <c r="A163" s="206"/>
      <c r="B163" s="206" t="s">
        <v>1443</v>
      </c>
      <c r="C163" s="389">
        <v>0.57999999999999996</v>
      </c>
      <c r="D163" s="389">
        <v>0.34</v>
      </c>
      <c r="E163" s="389">
        <v>0.73</v>
      </c>
      <c r="F163" s="320" t="s">
        <v>1567</v>
      </c>
      <c r="G163" s="251"/>
      <c r="I163" s="389">
        <v>0.57999999999999996</v>
      </c>
      <c r="J163" s="390">
        <v>0.34</v>
      </c>
      <c r="K163" s="390">
        <v>0.73</v>
      </c>
      <c r="L163" s="260"/>
      <c r="M163" s="260"/>
      <c r="O163">
        <f t="shared" si="11"/>
        <v>0.57999999999999996</v>
      </c>
      <c r="P163">
        <f t="shared" si="10"/>
        <v>0.34</v>
      </c>
      <c r="Q163">
        <f t="shared" si="10"/>
        <v>0.73</v>
      </c>
    </row>
    <row r="164" spans="1:17" x14ac:dyDescent="0.3">
      <c r="A164" s="214"/>
      <c r="B164" s="205" t="s">
        <v>1444</v>
      </c>
      <c r="F164" s="273"/>
      <c r="G164" s="215"/>
      <c r="O164"/>
      <c r="P164"/>
      <c r="Q164"/>
    </row>
    <row r="165" spans="1:17" x14ac:dyDescent="0.3">
      <c r="A165" s="205"/>
      <c r="B165" s="206" t="s">
        <v>1082</v>
      </c>
      <c r="C165" s="389"/>
      <c r="D165" s="389"/>
      <c r="E165" s="389"/>
      <c r="F165" s="320"/>
      <c r="G165" s="251"/>
      <c r="I165" s="389">
        <v>0.35</v>
      </c>
      <c r="J165" s="389">
        <v>0</v>
      </c>
      <c r="K165" s="389">
        <v>0.7</v>
      </c>
      <c r="L165" s="260"/>
      <c r="M165" s="260"/>
      <c r="O165">
        <f t="shared" si="11"/>
        <v>0.35</v>
      </c>
      <c r="P165">
        <f t="shared" si="10"/>
        <v>0</v>
      </c>
      <c r="Q165">
        <f t="shared" si="10"/>
        <v>0.7</v>
      </c>
    </row>
    <row r="166" spans="1:17" x14ac:dyDescent="0.3">
      <c r="A166" s="206"/>
      <c r="B166" s="206" t="s">
        <v>1083</v>
      </c>
      <c r="C166" s="389"/>
      <c r="D166" s="389"/>
      <c r="E166" s="389"/>
      <c r="F166" s="320"/>
      <c r="G166" s="251"/>
      <c r="I166" s="389">
        <v>0.35</v>
      </c>
      <c r="J166" s="389">
        <v>0</v>
      </c>
      <c r="K166" s="389">
        <v>0.7</v>
      </c>
      <c r="L166" s="260"/>
      <c r="M166" s="260"/>
      <c r="O166">
        <f t="shared" si="11"/>
        <v>0.35</v>
      </c>
      <c r="P166">
        <f t="shared" si="10"/>
        <v>0</v>
      </c>
      <c r="Q166">
        <f t="shared" si="10"/>
        <v>0.7</v>
      </c>
    </row>
    <row r="167" spans="1:17" x14ac:dyDescent="0.3">
      <c r="A167" s="206"/>
      <c r="B167" s="206" t="s">
        <v>1084</v>
      </c>
      <c r="C167" s="389"/>
      <c r="D167" s="389"/>
      <c r="E167" s="389"/>
      <c r="F167" s="320"/>
      <c r="G167" s="251"/>
      <c r="I167" s="713">
        <v>0.39</v>
      </c>
      <c r="J167" s="713">
        <v>0</v>
      </c>
      <c r="K167" s="713">
        <v>0.68</v>
      </c>
      <c r="L167" s="260"/>
      <c r="M167" s="260"/>
      <c r="O167">
        <f t="shared" si="11"/>
        <v>0.39</v>
      </c>
      <c r="P167">
        <f t="shared" si="10"/>
        <v>0</v>
      </c>
      <c r="Q167">
        <f t="shared" si="10"/>
        <v>0.68</v>
      </c>
    </row>
    <row r="168" spans="1:17" x14ac:dyDescent="0.3">
      <c r="A168" s="206"/>
      <c r="B168" s="206" t="s">
        <v>1085</v>
      </c>
      <c r="C168" s="389">
        <v>0.43645409834744886</v>
      </c>
      <c r="D168" s="389">
        <v>0.39206893580364055</v>
      </c>
      <c r="E168" s="389">
        <v>0.47344173380062254</v>
      </c>
      <c r="F168" s="320" t="s">
        <v>1568</v>
      </c>
      <c r="G168" s="251"/>
      <c r="I168" s="389">
        <v>0.40849999999999997</v>
      </c>
      <c r="J168" s="390">
        <v>0.3669</v>
      </c>
      <c r="K168" s="390">
        <v>0.44309999999999999</v>
      </c>
      <c r="L168" s="260"/>
      <c r="M168" s="260"/>
      <c r="O168">
        <f t="shared" si="11"/>
        <v>0.43645409834744886</v>
      </c>
      <c r="P168">
        <f t="shared" si="10"/>
        <v>0.39206893580364055</v>
      </c>
      <c r="Q168">
        <f t="shared" si="10"/>
        <v>0.47344173380062254</v>
      </c>
    </row>
    <row r="169" spans="1:17" x14ac:dyDescent="0.3">
      <c r="A169" s="206"/>
      <c r="B169" s="206" t="s">
        <v>1086</v>
      </c>
      <c r="C169" s="389">
        <v>0.43645409834744886</v>
      </c>
      <c r="D169" s="389">
        <v>0.39206893580364055</v>
      </c>
      <c r="E169" s="389">
        <v>0.47344173380062254</v>
      </c>
      <c r="F169" s="320" t="s">
        <v>1568</v>
      </c>
      <c r="G169" s="251"/>
      <c r="I169" s="389">
        <v>0.40849999999999997</v>
      </c>
      <c r="J169" s="390">
        <v>0.3669</v>
      </c>
      <c r="K169" s="390">
        <v>0.44309999999999999</v>
      </c>
      <c r="L169" s="260"/>
      <c r="M169" s="260"/>
      <c r="O169">
        <f t="shared" si="11"/>
        <v>0.43645409834744886</v>
      </c>
      <c r="P169">
        <f t="shared" si="10"/>
        <v>0.39206893580364055</v>
      </c>
      <c r="Q169">
        <f t="shared" si="10"/>
        <v>0.47344173380062254</v>
      </c>
    </row>
    <row r="170" spans="1:17" x14ac:dyDescent="0.3">
      <c r="A170" s="206"/>
      <c r="B170" s="206" t="s">
        <v>1087</v>
      </c>
      <c r="C170" s="389">
        <v>0.43645409834744886</v>
      </c>
      <c r="D170" s="389">
        <v>0.39206893580364055</v>
      </c>
      <c r="E170" s="389">
        <v>0.47344173380062254</v>
      </c>
      <c r="F170" s="320" t="s">
        <v>1568</v>
      </c>
      <c r="G170" s="251"/>
      <c r="I170" s="389">
        <v>0.40849999999999997</v>
      </c>
      <c r="J170" s="390">
        <v>0.3669</v>
      </c>
      <c r="K170" s="390">
        <v>0.44309999999999999</v>
      </c>
      <c r="L170" s="260"/>
      <c r="M170" s="260"/>
      <c r="O170">
        <f t="shared" si="11"/>
        <v>0.43645409834744886</v>
      </c>
      <c r="P170">
        <f t="shared" si="10"/>
        <v>0.39206893580364055</v>
      </c>
      <c r="Q170">
        <f t="shared" si="10"/>
        <v>0.47344173380062254</v>
      </c>
    </row>
    <row r="171" spans="1:17" x14ac:dyDescent="0.3">
      <c r="A171" s="206"/>
      <c r="B171" s="206" t="s">
        <v>1443</v>
      </c>
      <c r="C171" s="389"/>
      <c r="D171" s="389"/>
      <c r="E171" s="389"/>
      <c r="F171" s="320"/>
      <c r="G171" s="251"/>
      <c r="I171" s="389">
        <v>0.57999999999999996</v>
      </c>
      <c r="J171" s="390">
        <v>0.34</v>
      </c>
      <c r="K171" s="390">
        <v>0.73</v>
      </c>
      <c r="L171" s="260"/>
      <c r="M171" s="260"/>
      <c r="O171">
        <f t="shared" si="11"/>
        <v>0.57999999999999996</v>
      </c>
      <c r="P171">
        <f t="shared" si="10"/>
        <v>0.34</v>
      </c>
      <c r="Q171">
        <f t="shared" si="10"/>
        <v>0.73</v>
      </c>
    </row>
    <row r="172" spans="1:17" x14ac:dyDescent="0.3">
      <c r="A172" s="206"/>
      <c r="B172" s="207" t="s">
        <v>227</v>
      </c>
      <c r="C172" s="392"/>
      <c r="D172" s="392"/>
      <c r="E172" s="392"/>
      <c r="F172" s="320"/>
      <c r="G172" s="251"/>
      <c r="I172" s="391"/>
      <c r="J172" s="392"/>
      <c r="K172" s="392"/>
      <c r="L172" s="260"/>
      <c r="M172" s="260"/>
      <c r="O172"/>
      <c r="P172"/>
      <c r="Q172"/>
    </row>
    <row r="173" spans="1:17" x14ac:dyDescent="0.3">
      <c r="A173" s="207"/>
      <c r="B173" s="206" t="s">
        <v>1437</v>
      </c>
      <c r="C173" s="389">
        <v>0.504</v>
      </c>
      <c r="D173" s="389">
        <v>0.14199999999999999</v>
      </c>
      <c r="E173" s="389">
        <v>0.71199999999999997</v>
      </c>
      <c r="F173" s="320" t="s">
        <v>1569</v>
      </c>
      <c r="G173" s="251" t="s">
        <v>593</v>
      </c>
      <c r="I173" s="389">
        <v>0.504</v>
      </c>
      <c r="J173" s="390">
        <v>0.14199999999999999</v>
      </c>
      <c r="K173" s="390">
        <v>0.71199999999999997</v>
      </c>
      <c r="L173" s="260"/>
      <c r="M173" s="260"/>
      <c r="O173">
        <f t="shared" si="11"/>
        <v>0.504</v>
      </c>
      <c r="P173">
        <f t="shared" si="10"/>
        <v>0.14199999999999999</v>
      </c>
      <c r="Q173">
        <f t="shared" si="10"/>
        <v>0.71199999999999997</v>
      </c>
    </row>
    <row r="174" spans="1:17" x14ac:dyDescent="0.3">
      <c r="A174" s="206"/>
      <c r="B174" s="206" t="s">
        <v>1438</v>
      </c>
      <c r="C174" s="389"/>
      <c r="D174" s="389"/>
      <c r="E174" s="389"/>
      <c r="F174" s="320"/>
      <c r="G174" s="251" t="s">
        <v>594</v>
      </c>
      <c r="I174" s="389">
        <v>0.504</v>
      </c>
      <c r="J174" s="390">
        <v>0.14199999999999999</v>
      </c>
      <c r="K174" s="390">
        <v>0.71199999999999997</v>
      </c>
      <c r="L174" s="260"/>
      <c r="M174" s="260"/>
      <c r="O174">
        <f t="shared" si="11"/>
        <v>0.504</v>
      </c>
      <c r="P174">
        <f t="shared" si="10"/>
        <v>0.14199999999999999</v>
      </c>
      <c r="Q174">
        <f t="shared" si="10"/>
        <v>0.71199999999999997</v>
      </c>
    </row>
    <row r="175" spans="1:17" x14ac:dyDescent="0.3">
      <c r="A175" s="207"/>
      <c r="B175" s="206" t="s">
        <v>1441</v>
      </c>
      <c r="C175" s="389">
        <v>0.48</v>
      </c>
      <c r="D175" s="389">
        <v>0.11600000000000001</v>
      </c>
      <c r="E175" s="389">
        <v>0.70399999999999996</v>
      </c>
      <c r="F175" s="320" t="s">
        <v>1569</v>
      </c>
      <c r="G175" s="251" t="s">
        <v>593</v>
      </c>
      <c r="I175" s="389">
        <v>0.48</v>
      </c>
      <c r="J175" s="390">
        <v>0.11600000000000001</v>
      </c>
      <c r="K175" s="390">
        <v>0.70399999999999996</v>
      </c>
      <c r="L175" s="260"/>
      <c r="M175" s="260"/>
      <c r="O175">
        <f t="shared" si="11"/>
        <v>0.48</v>
      </c>
      <c r="P175">
        <f t="shared" si="10"/>
        <v>0.11600000000000001</v>
      </c>
      <c r="Q175">
        <f t="shared" si="10"/>
        <v>0.70399999999999996</v>
      </c>
    </row>
    <row r="176" spans="1:17" x14ac:dyDescent="0.3">
      <c r="A176" s="206"/>
      <c r="B176" s="206" t="s">
        <v>1442</v>
      </c>
      <c r="C176" s="389"/>
      <c r="D176" s="389"/>
      <c r="E176" s="389"/>
      <c r="F176" s="320"/>
      <c r="G176" s="251" t="s">
        <v>594</v>
      </c>
      <c r="I176" s="389">
        <v>0.48</v>
      </c>
      <c r="J176" s="390">
        <v>0.11600000000000001</v>
      </c>
      <c r="K176" s="390">
        <v>0.70399999999999996</v>
      </c>
      <c r="L176" s="260"/>
      <c r="M176" s="260"/>
      <c r="O176">
        <f t="shared" si="11"/>
        <v>0.48</v>
      </c>
      <c r="P176">
        <f t="shared" si="10"/>
        <v>0.11600000000000001</v>
      </c>
      <c r="Q176">
        <f t="shared" si="10"/>
        <v>0.70399999999999996</v>
      </c>
    </row>
    <row r="177" spans="1:17" x14ac:dyDescent="0.3">
      <c r="A177" s="206"/>
      <c r="B177" s="207" t="s">
        <v>920</v>
      </c>
      <c r="C177" s="392"/>
      <c r="D177" s="392"/>
      <c r="E177" s="392"/>
      <c r="F177" s="320"/>
      <c r="G177" s="251"/>
      <c r="I177" s="391"/>
      <c r="J177" s="392"/>
      <c r="K177" s="392"/>
      <c r="L177" s="260"/>
      <c r="M177" s="260"/>
      <c r="O177"/>
      <c r="P177"/>
      <c r="Q177"/>
    </row>
    <row r="178" spans="1:17" x14ac:dyDescent="0.3">
      <c r="A178" s="207"/>
      <c r="B178" s="206" t="s">
        <v>920</v>
      </c>
      <c r="C178" s="389"/>
      <c r="D178" s="390"/>
      <c r="E178" s="390"/>
      <c r="F178" s="320"/>
      <c r="G178" s="251" t="s">
        <v>593</v>
      </c>
      <c r="I178" s="389">
        <v>0.57999999999999996</v>
      </c>
      <c r="J178" s="390">
        <v>0.34</v>
      </c>
      <c r="K178" s="390">
        <v>0.73</v>
      </c>
      <c r="L178" s="260"/>
      <c r="M178" s="260"/>
      <c r="O178">
        <f t="shared" si="11"/>
        <v>0.57999999999999996</v>
      </c>
      <c r="P178">
        <f t="shared" si="10"/>
        <v>0.34</v>
      </c>
      <c r="Q178">
        <f t="shared" si="10"/>
        <v>0.73</v>
      </c>
    </row>
    <row r="179" spans="1:17" x14ac:dyDescent="0.3">
      <c r="A179" s="206"/>
      <c r="B179" s="206" t="s">
        <v>980</v>
      </c>
      <c r="C179" s="389"/>
      <c r="D179" s="390"/>
      <c r="E179" s="390"/>
      <c r="F179" s="320"/>
      <c r="G179" s="251" t="s">
        <v>994</v>
      </c>
      <c r="I179" s="389">
        <v>0.57999999999999996</v>
      </c>
      <c r="J179" s="390">
        <v>0.34</v>
      </c>
      <c r="K179" s="390">
        <v>0.73</v>
      </c>
      <c r="L179" s="260"/>
      <c r="M179" s="260"/>
      <c r="O179">
        <f t="shared" si="11"/>
        <v>0.57999999999999996</v>
      </c>
      <c r="P179">
        <f t="shared" si="10"/>
        <v>0.34</v>
      </c>
      <c r="Q179">
        <f t="shared" si="10"/>
        <v>0.73</v>
      </c>
    </row>
    <row r="180" spans="1:17" x14ac:dyDescent="0.3">
      <c r="A180" s="206"/>
    </row>
    <row r="181" spans="1:17" x14ac:dyDescent="0.3">
      <c r="B181" s="236" t="s">
        <v>1478</v>
      </c>
      <c r="C181" s="258"/>
      <c r="D181" s="259"/>
      <c r="E181" s="259"/>
      <c r="F181" s="320"/>
      <c r="G181" s="251"/>
      <c r="H181" s="260"/>
      <c r="I181" s="260"/>
      <c r="J181" s="260"/>
      <c r="L181" s="210"/>
      <c r="M181" s="210"/>
    </row>
    <row r="182" spans="1:17" x14ac:dyDescent="0.3">
      <c r="B182" s="236"/>
      <c r="C182" s="258"/>
      <c r="D182" s="259"/>
      <c r="E182" s="259"/>
      <c r="F182" s="320"/>
      <c r="G182" s="251"/>
      <c r="H182" s="260"/>
      <c r="I182" s="260"/>
      <c r="J182" s="260"/>
      <c r="L182" s="210"/>
      <c r="M182" s="210"/>
    </row>
    <row r="183" spans="1:17" x14ac:dyDescent="0.3">
      <c r="B183" s="781" t="s">
        <v>1095</v>
      </c>
      <c r="C183" s="781"/>
      <c r="D183" s="781"/>
      <c r="E183" s="781"/>
      <c r="F183" s="781"/>
      <c r="G183" s="781"/>
      <c r="I183" s="787" t="s">
        <v>1096</v>
      </c>
      <c r="J183" s="787"/>
      <c r="K183" s="787"/>
      <c r="L183" s="787"/>
      <c r="M183" s="787"/>
      <c r="O183" s="204" t="s">
        <v>1097</v>
      </c>
    </row>
    <row r="184" spans="1:17" ht="19.5" customHeight="1" thickBot="1" x14ac:dyDescent="0.4">
      <c r="A184" s="206"/>
      <c r="B184" s="573" t="s">
        <v>1527</v>
      </c>
      <c r="C184" s="786" t="s">
        <v>1479</v>
      </c>
      <c r="D184" s="786"/>
      <c r="E184" s="786"/>
      <c r="F184" s="786"/>
      <c r="G184" s="786"/>
      <c r="I184" s="786" t="s">
        <v>1479</v>
      </c>
      <c r="J184" s="786"/>
      <c r="K184" s="786"/>
      <c r="L184" s="786"/>
      <c r="M184" s="786"/>
    </row>
    <row r="185" spans="1:17" ht="19.5" customHeight="1" x14ac:dyDescent="0.3">
      <c r="B185" s="286"/>
      <c r="C185" s="214"/>
      <c r="D185" s="214" t="s">
        <v>985</v>
      </c>
      <c r="E185" s="214" t="s">
        <v>986</v>
      </c>
      <c r="F185" s="319" t="s">
        <v>592</v>
      </c>
      <c r="G185" s="215" t="s">
        <v>591</v>
      </c>
      <c r="I185" s="214"/>
      <c r="J185" s="214" t="s">
        <v>985</v>
      </c>
      <c r="K185" s="214" t="s">
        <v>986</v>
      </c>
      <c r="L185" s="319" t="s">
        <v>592</v>
      </c>
      <c r="M185" s="215" t="s">
        <v>591</v>
      </c>
      <c r="O185" s="214"/>
      <c r="P185" s="214" t="s">
        <v>985</v>
      </c>
      <c r="Q185" s="214" t="s">
        <v>986</v>
      </c>
    </row>
    <row r="186" spans="1:17" ht="15" customHeight="1" x14ac:dyDescent="0.3">
      <c r="B186" s="205" t="s">
        <v>1450</v>
      </c>
      <c r="C186" s="22"/>
      <c r="D186" s="214"/>
      <c r="E186" s="214"/>
    </row>
    <row r="187" spans="1:17" ht="15" customHeight="1" x14ac:dyDescent="0.3">
      <c r="B187" s="206" t="s">
        <v>1082</v>
      </c>
      <c r="C187" s="462">
        <v>12000</v>
      </c>
      <c r="D187" s="462">
        <f>C187*0.5</f>
        <v>6000</v>
      </c>
      <c r="E187" s="462">
        <f>C187*1.5</f>
        <v>18000</v>
      </c>
      <c r="F187" s="260"/>
      <c r="G187" s="260"/>
      <c r="I187" s="462">
        <v>12000</v>
      </c>
      <c r="J187" s="462">
        <v>5000</v>
      </c>
      <c r="K187" s="462">
        <v>64000</v>
      </c>
      <c r="L187" s="260"/>
      <c r="M187" s="260"/>
      <c r="O187">
        <f>IF(ISBLANK(C187),I187,C187)</f>
        <v>12000</v>
      </c>
      <c r="P187">
        <f t="shared" ref="P187:Q209" si="12">IF(ISBLANK(D187),J187,D187)</f>
        <v>6000</v>
      </c>
      <c r="Q187">
        <f t="shared" si="12"/>
        <v>18000</v>
      </c>
    </row>
    <row r="188" spans="1:17" ht="15" customHeight="1" x14ac:dyDescent="0.3">
      <c r="B188" s="206" t="s">
        <v>1083</v>
      </c>
      <c r="C188" s="462">
        <v>12000</v>
      </c>
      <c r="D188" s="462">
        <f t="shared" ref="D188:D209" si="13">C188*0.5</f>
        <v>6000</v>
      </c>
      <c r="E188" s="462">
        <f t="shared" ref="E188:E209" si="14">C188*1.5</f>
        <v>18000</v>
      </c>
      <c r="F188" s="260"/>
      <c r="G188" s="260"/>
      <c r="I188" s="462">
        <v>12000</v>
      </c>
      <c r="J188" s="462">
        <v>5000</v>
      </c>
      <c r="K188" s="462">
        <v>64000</v>
      </c>
      <c r="L188" s="260"/>
      <c r="M188" s="260"/>
      <c r="O188">
        <f t="shared" ref="O188:O209" si="15">IF(ISBLANK(C188),I188,C188)</f>
        <v>12000</v>
      </c>
      <c r="P188">
        <f t="shared" si="12"/>
        <v>6000</v>
      </c>
      <c r="Q188">
        <f t="shared" si="12"/>
        <v>18000</v>
      </c>
    </row>
    <row r="189" spans="1:17" ht="15" customHeight="1" x14ac:dyDescent="0.3">
      <c r="B189" s="206" t="s">
        <v>1084</v>
      </c>
      <c r="C189" s="462">
        <v>12000</v>
      </c>
      <c r="D189" s="462">
        <f t="shared" si="13"/>
        <v>6000</v>
      </c>
      <c r="E189" s="462">
        <f t="shared" si="14"/>
        <v>18000</v>
      </c>
      <c r="F189" s="260"/>
      <c r="G189" s="260"/>
      <c r="I189" s="462">
        <v>12000</v>
      </c>
      <c r="J189" s="462">
        <v>5000</v>
      </c>
      <c r="K189" s="462">
        <v>64000</v>
      </c>
      <c r="L189" s="260"/>
      <c r="M189" s="260"/>
      <c r="O189">
        <f t="shared" si="15"/>
        <v>12000</v>
      </c>
      <c r="P189">
        <f t="shared" si="12"/>
        <v>6000</v>
      </c>
      <c r="Q189">
        <f t="shared" si="12"/>
        <v>18000</v>
      </c>
    </row>
    <row r="190" spans="1:17" ht="15" customHeight="1" x14ac:dyDescent="0.3">
      <c r="B190" s="206" t="s">
        <v>1085</v>
      </c>
      <c r="C190" s="462">
        <v>12000</v>
      </c>
      <c r="D190" s="462">
        <f t="shared" si="13"/>
        <v>6000</v>
      </c>
      <c r="E190" s="462">
        <f t="shared" si="14"/>
        <v>18000</v>
      </c>
      <c r="F190" s="260"/>
      <c r="G190" s="260"/>
      <c r="I190" s="462">
        <v>12000</v>
      </c>
      <c r="J190" s="462">
        <v>5000</v>
      </c>
      <c r="K190" s="462">
        <v>64000</v>
      </c>
      <c r="L190" s="260"/>
      <c r="M190" s="260"/>
      <c r="O190">
        <f t="shared" si="15"/>
        <v>12000</v>
      </c>
      <c r="P190">
        <f t="shared" si="12"/>
        <v>6000</v>
      </c>
      <c r="Q190">
        <f t="shared" si="12"/>
        <v>18000</v>
      </c>
    </row>
    <row r="191" spans="1:17" ht="15" customHeight="1" x14ac:dyDescent="0.3">
      <c r="B191" s="206" t="s">
        <v>1086</v>
      </c>
      <c r="C191" s="462">
        <v>12000</v>
      </c>
      <c r="D191" s="462">
        <f t="shared" si="13"/>
        <v>6000</v>
      </c>
      <c r="E191" s="462">
        <f t="shared" si="14"/>
        <v>18000</v>
      </c>
      <c r="F191" s="260"/>
      <c r="G191" s="260"/>
      <c r="I191" s="462">
        <v>12000</v>
      </c>
      <c r="J191" s="462">
        <v>5000</v>
      </c>
      <c r="K191" s="462">
        <v>64000</v>
      </c>
      <c r="L191" s="260"/>
      <c r="M191" s="260"/>
      <c r="O191">
        <f t="shared" si="15"/>
        <v>12000</v>
      </c>
      <c r="P191">
        <f t="shared" si="12"/>
        <v>6000</v>
      </c>
      <c r="Q191">
        <f t="shared" si="12"/>
        <v>18000</v>
      </c>
    </row>
    <row r="192" spans="1:17" ht="15" customHeight="1" x14ac:dyDescent="0.3">
      <c r="B192" s="206" t="s">
        <v>1087</v>
      </c>
      <c r="C192" s="462">
        <v>12000</v>
      </c>
      <c r="D192" s="462">
        <f t="shared" si="13"/>
        <v>6000</v>
      </c>
      <c r="E192" s="462">
        <f t="shared" si="14"/>
        <v>18000</v>
      </c>
      <c r="F192" s="260"/>
      <c r="G192" s="260"/>
      <c r="I192" s="462">
        <v>12000</v>
      </c>
      <c r="J192" s="462">
        <v>5000</v>
      </c>
      <c r="K192" s="462">
        <v>64000</v>
      </c>
      <c r="L192" s="260"/>
      <c r="M192" s="260"/>
      <c r="O192">
        <f t="shared" si="15"/>
        <v>12000</v>
      </c>
      <c r="P192">
        <f t="shared" si="12"/>
        <v>6000</v>
      </c>
      <c r="Q192">
        <f t="shared" si="12"/>
        <v>18000</v>
      </c>
    </row>
    <row r="193" spans="2:17" ht="15" customHeight="1" x14ac:dyDescent="0.3">
      <c r="B193" s="206" t="s">
        <v>1443</v>
      </c>
      <c r="C193" s="462">
        <v>12000</v>
      </c>
      <c r="D193" s="462">
        <f t="shared" si="13"/>
        <v>6000</v>
      </c>
      <c r="E193" s="462">
        <f t="shared" si="14"/>
        <v>18000</v>
      </c>
      <c r="F193" s="260"/>
      <c r="G193" s="260"/>
      <c r="I193" s="462">
        <v>12000</v>
      </c>
      <c r="J193" s="462">
        <v>5000</v>
      </c>
      <c r="K193" s="462">
        <v>64000</v>
      </c>
      <c r="L193" s="260"/>
      <c r="M193" s="260"/>
      <c r="O193">
        <f t="shared" si="15"/>
        <v>12000</v>
      </c>
      <c r="P193">
        <f t="shared" si="12"/>
        <v>6000</v>
      </c>
      <c r="Q193">
        <f t="shared" si="12"/>
        <v>18000</v>
      </c>
    </row>
    <row r="194" spans="2:17" ht="15" customHeight="1" x14ac:dyDescent="0.3">
      <c r="B194" s="205" t="s">
        <v>1444</v>
      </c>
      <c r="C194" s="397"/>
      <c r="D194" s="397"/>
      <c r="E194" s="397"/>
      <c r="I194" s="397"/>
      <c r="J194" s="397"/>
      <c r="K194" s="397"/>
      <c r="O194"/>
      <c r="P194"/>
      <c r="Q194"/>
    </row>
    <row r="195" spans="2:17" ht="15" customHeight="1" x14ac:dyDescent="0.3">
      <c r="B195" s="206" t="s">
        <v>1082</v>
      </c>
      <c r="C195" s="462">
        <v>12000</v>
      </c>
      <c r="D195" s="462">
        <f t="shared" si="13"/>
        <v>6000</v>
      </c>
      <c r="E195" s="462">
        <f t="shared" si="14"/>
        <v>18000</v>
      </c>
      <c r="F195" s="260"/>
      <c r="G195" s="260"/>
      <c r="I195" s="462">
        <v>12000</v>
      </c>
      <c r="J195" s="462">
        <v>5000</v>
      </c>
      <c r="K195" s="462">
        <v>64000</v>
      </c>
      <c r="L195" s="260"/>
      <c r="M195" s="260"/>
      <c r="O195">
        <f t="shared" si="15"/>
        <v>12000</v>
      </c>
      <c r="P195">
        <f t="shared" si="12"/>
        <v>6000</v>
      </c>
      <c r="Q195">
        <f t="shared" si="12"/>
        <v>18000</v>
      </c>
    </row>
    <row r="196" spans="2:17" ht="15" customHeight="1" x14ac:dyDescent="0.3">
      <c r="B196" s="206" t="s">
        <v>1083</v>
      </c>
      <c r="C196" s="462">
        <v>12000</v>
      </c>
      <c r="D196" s="462">
        <f t="shared" si="13"/>
        <v>6000</v>
      </c>
      <c r="E196" s="462">
        <f t="shared" si="14"/>
        <v>18000</v>
      </c>
      <c r="F196" s="260"/>
      <c r="G196" s="260"/>
      <c r="I196" s="462">
        <v>12000</v>
      </c>
      <c r="J196" s="462">
        <v>5000</v>
      </c>
      <c r="K196" s="462">
        <v>64000</v>
      </c>
      <c r="L196" s="260"/>
      <c r="M196" s="260"/>
      <c r="O196">
        <f t="shared" si="15"/>
        <v>12000</v>
      </c>
      <c r="P196">
        <f t="shared" si="12"/>
        <v>6000</v>
      </c>
      <c r="Q196">
        <f t="shared" si="12"/>
        <v>18000</v>
      </c>
    </row>
    <row r="197" spans="2:17" ht="15" customHeight="1" x14ac:dyDescent="0.3">
      <c r="B197" s="206" t="s">
        <v>1084</v>
      </c>
      <c r="C197" s="462">
        <v>12000</v>
      </c>
      <c r="D197" s="462">
        <f t="shared" si="13"/>
        <v>6000</v>
      </c>
      <c r="E197" s="462">
        <f t="shared" si="14"/>
        <v>18000</v>
      </c>
      <c r="F197" s="260"/>
      <c r="G197" s="260"/>
      <c r="I197" s="462">
        <v>12000</v>
      </c>
      <c r="J197" s="462">
        <v>5000</v>
      </c>
      <c r="K197" s="462">
        <v>64000</v>
      </c>
      <c r="L197" s="260"/>
      <c r="M197" s="260"/>
      <c r="O197">
        <f t="shared" si="15"/>
        <v>12000</v>
      </c>
      <c r="P197">
        <f t="shared" si="12"/>
        <v>6000</v>
      </c>
      <c r="Q197">
        <f t="shared" si="12"/>
        <v>18000</v>
      </c>
    </row>
    <row r="198" spans="2:17" ht="15" customHeight="1" x14ac:dyDescent="0.3">
      <c r="B198" s="206" t="s">
        <v>1085</v>
      </c>
      <c r="C198" s="462">
        <v>12000</v>
      </c>
      <c r="D198" s="462">
        <f t="shared" si="13"/>
        <v>6000</v>
      </c>
      <c r="E198" s="462">
        <f t="shared" si="14"/>
        <v>18000</v>
      </c>
      <c r="F198" s="260"/>
      <c r="G198" s="260"/>
      <c r="I198" s="462">
        <v>12000</v>
      </c>
      <c r="J198" s="462">
        <v>5000</v>
      </c>
      <c r="K198" s="462">
        <v>64000</v>
      </c>
      <c r="L198" s="260"/>
      <c r="M198" s="260"/>
      <c r="O198">
        <f t="shared" si="15"/>
        <v>12000</v>
      </c>
      <c r="P198">
        <f t="shared" si="12"/>
        <v>6000</v>
      </c>
      <c r="Q198">
        <f t="shared" si="12"/>
        <v>18000</v>
      </c>
    </row>
    <row r="199" spans="2:17" ht="15" customHeight="1" x14ac:dyDescent="0.3">
      <c r="B199" s="206" t="s">
        <v>1086</v>
      </c>
      <c r="C199" s="462">
        <v>12000</v>
      </c>
      <c r="D199" s="462">
        <f t="shared" si="13"/>
        <v>6000</v>
      </c>
      <c r="E199" s="462">
        <f t="shared" si="14"/>
        <v>18000</v>
      </c>
      <c r="F199" s="260"/>
      <c r="G199" s="260"/>
      <c r="I199" s="462">
        <v>12000</v>
      </c>
      <c r="J199" s="462">
        <v>5000</v>
      </c>
      <c r="K199" s="462">
        <v>64000</v>
      </c>
      <c r="L199" s="260"/>
      <c r="M199" s="260"/>
      <c r="O199">
        <f t="shared" si="15"/>
        <v>12000</v>
      </c>
      <c r="P199">
        <f t="shared" si="12"/>
        <v>6000</v>
      </c>
      <c r="Q199">
        <f t="shared" si="12"/>
        <v>18000</v>
      </c>
    </row>
    <row r="200" spans="2:17" ht="15" customHeight="1" x14ac:dyDescent="0.3">
      <c r="B200" s="206" t="s">
        <v>1087</v>
      </c>
      <c r="C200" s="462">
        <v>12000</v>
      </c>
      <c r="D200" s="462">
        <f t="shared" si="13"/>
        <v>6000</v>
      </c>
      <c r="E200" s="462">
        <f t="shared" si="14"/>
        <v>18000</v>
      </c>
      <c r="F200" s="260"/>
      <c r="G200" s="260"/>
      <c r="I200" s="462">
        <v>12000</v>
      </c>
      <c r="J200" s="462">
        <v>5000</v>
      </c>
      <c r="K200" s="462">
        <v>64000</v>
      </c>
      <c r="L200" s="260"/>
      <c r="M200" s="260"/>
      <c r="O200">
        <f t="shared" si="15"/>
        <v>12000</v>
      </c>
      <c r="P200">
        <f t="shared" si="12"/>
        <v>6000</v>
      </c>
      <c r="Q200">
        <f t="shared" si="12"/>
        <v>18000</v>
      </c>
    </row>
    <row r="201" spans="2:17" ht="15" customHeight="1" x14ac:dyDescent="0.3">
      <c r="B201" s="206" t="s">
        <v>1443</v>
      </c>
      <c r="C201" s="462">
        <v>12000</v>
      </c>
      <c r="D201" s="462">
        <f t="shared" si="13"/>
        <v>6000</v>
      </c>
      <c r="E201" s="462">
        <f t="shared" si="14"/>
        <v>18000</v>
      </c>
      <c r="F201" s="260"/>
      <c r="G201" s="260"/>
      <c r="I201" s="462">
        <v>12000</v>
      </c>
      <c r="J201" s="462">
        <v>5000</v>
      </c>
      <c r="K201" s="462">
        <v>64000</v>
      </c>
      <c r="L201" s="260"/>
      <c r="M201" s="260"/>
      <c r="O201">
        <f t="shared" si="15"/>
        <v>12000</v>
      </c>
      <c r="P201">
        <f t="shared" si="12"/>
        <v>6000</v>
      </c>
      <c r="Q201">
        <f t="shared" si="12"/>
        <v>18000</v>
      </c>
    </row>
    <row r="202" spans="2:17" ht="15" customHeight="1" x14ac:dyDescent="0.3">
      <c r="B202" s="207" t="s">
        <v>227</v>
      </c>
      <c r="C202" s="282"/>
      <c r="D202" s="282"/>
      <c r="E202" s="282"/>
      <c r="F202" s="260"/>
      <c r="G202" s="260"/>
      <c r="I202" s="282"/>
      <c r="J202" s="282"/>
      <c r="K202" s="282"/>
      <c r="L202" s="260"/>
      <c r="M202" s="260"/>
      <c r="O202"/>
      <c r="P202"/>
      <c r="Q202"/>
    </row>
    <row r="203" spans="2:17" ht="15" customHeight="1" x14ac:dyDescent="0.3">
      <c r="B203" s="206" t="s">
        <v>1437</v>
      </c>
      <c r="C203" s="462">
        <v>12000</v>
      </c>
      <c r="D203" s="462">
        <f t="shared" si="13"/>
        <v>6000</v>
      </c>
      <c r="E203" s="462">
        <f t="shared" si="14"/>
        <v>18000</v>
      </c>
      <c r="F203" s="260"/>
      <c r="G203" s="260"/>
      <c r="I203" s="462">
        <v>12000</v>
      </c>
      <c r="J203" s="462">
        <v>5000</v>
      </c>
      <c r="K203" s="462">
        <v>64000</v>
      </c>
      <c r="L203" s="260"/>
      <c r="M203" s="260"/>
      <c r="O203">
        <f t="shared" si="15"/>
        <v>12000</v>
      </c>
      <c r="P203">
        <f t="shared" si="12"/>
        <v>6000</v>
      </c>
      <c r="Q203">
        <f t="shared" si="12"/>
        <v>18000</v>
      </c>
    </row>
    <row r="204" spans="2:17" ht="15" customHeight="1" x14ac:dyDescent="0.3">
      <c r="B204" s="206" t="s">
        <v>1438</v>
      </c>
      <c r="C204" s="462">
        <v>12000</v>
      </c>
      <c r="D204" s="462">
        <f t="shared" si="13"/>
        <v>6000</v>
      </c>
      <c r="E204" s="462">
        <f t="shared" si="14"/>
        <v>18000</v>
      </c>
      <c r="F204" s="260"/>
      <c r="G204" s="260"/>
      <c r="I204" s="462">
        <v>12000</v>
      </c>
      <c r="J204" s="462">
        <v>5000</v>
      </c>
      <c r="K204" s="462">
        <v>64000</v>
      </c>
      <c r="L204" s="260"/>
      <c r="M204" s="260"/>
      <c r="O204">
        <f t="shared" si="15"/>
        <v>12000</v>
      </c>
      <c r="P204">
        <f t="shared" si="12"/>
        <v>6000</v>
      </c>
      <c r="Q204">
        <f t="shared" si="12"/>
        <v>18000</v>
      </c>
    </row>
    <row r="205" spans="2:17" ht="15" customHeight="1" x14ac:dyDescent="0.3">
      <c r="B205" s="206" t="s">
        <v>1441</v>
      </c>
      <c r="C205" s="462">
        <v>12000</v>
      </c>
      <c r="D205" s="462">
        <f t="shared" si="13"/>
        <v>6000</v>
      </c>
      <c r="E205" s="462">
        <f t="shared" si="14"/>
        <v>18000</v>
      </c>
      <c r="F205" s="260"/>
      <c r="G205" s="260"/>
      <c r="I205" s="462">
        <v>12000</v>
      </c>
      <c r="J205" s="462">
        <v>5000</v>
      </c>
      <c r="K205" s="462">
        <v>64000</v>
      </c>
      <c r="L205" s="260"/>
      <c r="M205" s="260"/>
      <c r="O205">
        <f t="shared" si="15"/>
        <v>12000</v>
      </c>
      <c r="P205">
        <f t="shared" si="12"/>
        <v>6000</v>
      </c>
      <c r="Q205">
        <f t="shared" si="12"/>
        <v>18000</v>
      </c>
    </row>
    <row r="206" spans="2:17" ht="15" customHeight="1" x14ac:dyDescent="0.3">
      <c r="B206" s="206" t="s">
        <v>1442</v>
      </c>
      <c r="C206" s="462">
        <v>12000</v>
      </c>
      <c r="D206" s="462">
        <f t="shared" si="13"/>
        <v>6000</v>
      </c>
      <c r="E206" s="462">
        <f t="shared" si="14"/>
        <v>18000</v>
      </c>
      <c r="F206" s="260"/>
      <c r="G206" s="260"/>
      <c r="I206" s="462">
        <v>12000</v>
      </c>
      <c r="J206" s="462">
        <v>5000</v>
      </c>
      <c r="K206" s="462">
        <v>64000</v>
      </c>
      <c r="L206" s="260"/>
      <c r="M206" s="260"/>
      <c r="O206">
        <f t="shared" si="15"/>
        <v>12000</v>
      </c>
      <c r="P206">
        <f t="shared" si="12"/>
        <v>6000</v>
      </c>
      <c r="Q206">
        <f t="shared" si="12"/>
        <v>18000</v>
      </c>
    </row>
    <row r="207" spans="2:17" ht="15" customHeight="1" x14ac:dyDescent="0.3">
      <c r="B207" s="207" t="s">
        <v>920</v>
      </c>
      <c r="C207" s="282"/>
      <c r="D207" s="282"/>
      <c r="E207" s="282"/>
      <c r="F207" s="260"/>
      <c r="G207" s="260"/>
      <c r="I207" s="282"/>
      <c r="J207" s="282"/>
      <c r="K207" s="282"/>
      <c r="L207" s="260"/>
      <c r="M207" s="260"/>
      <c r="O207"/>
      <c r="P207"/>
      <c r="Q207"/>
    </row>
    <row r="208" spans="2:17" ht="15" customHeight="1" x14ac:dyDescent="0.3">
      <c r="B208" s="206" t="s">
        <v>920</v>
      </c>
      <c r="C208" s="462">
        <v>12000</v>
      </c>
      <c r="D208" s="462">
        <f t="shared" si="13"/>
        <v>6000</v>
      </c>
      <c r="E208" s="462">
        <f t="shared" si="14"/>
        <v>18000</v>
      </c>
      <c r="F208" s="260"/>
      <c r="G208" s="260"/>
      <c r="I208" s="462">
        <v>12000</v>
      </c>
      <c r="J208" s="462">
        <v>5000</v>
      </c>
      <c r="K208" s="462">
        <v>64000</v>
      </c>
      <c r="L208" s="260"/>
      <c r="M208" s="260"/>
      <c r="O208">
        <f t="shared" si="15"/>
        <v>12000</v>
      </c>
      <c r="P208">
        <f t="shared" si="12"/>
        <v>6000</v>
      </c>
      <c r="Q208">
        <f t="shared" si="12"/>
        <v>18000</v>
      </c>
    </row>
    <row r="209" spans="1:17" x14ac:dyDescent="0.3">
      <c r="B209" s="206" t="s">
        <v>980</v>
      </c>
      <c r="C209" s="462">
        <v>12000</v>
      </c>
      <c r="D209" s="462">
        <f t="shared" si="13"/>
        <v>6000</v>
      </c>
      <c r="E209" s="462">
        <f t="shared" si="14"/>
        <v>18000</v>
      </c>
      <c r="F209" s="260"/>
      <c r="G209" s="260"/>
      <c r="I209" s="462">
        <v>12000</v>
      </c>
      <c r="J209" s="462">
        <v>5000</v>
      </c>
      <c r="K209" s="462">
        <v>64000</v>
      </c>
      <c r="L209" s="260"/>
      <c r="M209" s="260"/>
      <c r="O209">
        <f t="shared" si="15"/>
        <v>12000</v>
      </c>
      <c r="P209">
        <f t="shared" si="12"/>
        <v>6000</v>
      </c>
      <c r="Q209">
        <f t="shared" si="12"/>
        <v>18000</v>
      </c>
    </row>
    <row r="211" spans="1:17" ht="19.5" customHeight="1" thickBot="1" x14ac:dyDescent="0.4">
      <c r="A211" s="206"/>
      <c r="B211" s="573" t="s">
        <v>1527</v>
      </c>
      <c r="C211" s="786" t="s">
        <v>1480</v>
      </c>
      <c r="D211" s="786"/>
      <c r="E211" s="786"/>
      <c r="F211" s="786"/>
      <c r="G211" s="786"/>
      <c r="I211" s="786" t="s">
        <v>1480</v>
      </c>
      <c r="J211" s="786"/>
      <c r="K211" s="786"/>
      <c r="L211" s="786"/>
      <c r="M211" s="786"/>
    </row>
    <row r="212" spans="1:17" ht="19.5" customHeight="1" x14ac:dyDescent="0.3">
      <c r="B212" s="286"/>
      <c r="C212" s="214"/>
      <c r="D212" s="214" t="s">
        <v>985</v>
      </c>
      <c r="E212" s="214" t="s">
        <v>986</v>
      </c>
      <c r="F212" s="319" t="s">
        <v>592</v>
      </c>
      <c r="G212" s="215" t="s">
        <v>591</v>
      </c>
      <c r="I212" s="214"/>
      <c r="J212" s="214" t="s">
        <v>985</v>
      </c>
      <c r="K212" s="214" t="s">
        <v>986</v>
      </c>
      <c r="L212" s="319" t="s">
        <v>592</v>
      </c>
      <c r="M212" s="215" t="s">
        <v>591</v>
      </c>
      <c r="O212" s="214"/>
      <c r="P212" s="214" t="s">
        <v>985</v>
      </c>
      <c r="Q212" s="214" t="s">
        <v>986</v>
      </c>
    </row>
    <row r="213" spans="1:17" ht="15" customHeight="1" x14ac:dyDescent="0.3">
      <c r="B213" s="205" t="s">
        <v>1450</v>
      </c>
      <c r="C213" s="22"/>
      <c r="D213" s="214"/>
      <c r="E213" s="214"/>
    </row>
    <row r="214" spans="1:17" ht="15" customHeight="1" x14ac:dyDescent="0.3">
      <c r="B214" s="206" t="s">
        <v>1082</v>
      </c>
      <c r="C214" s="463">
        <v>0.15</v>
      </c>
      <c r="D214" s="462">
        <f>C214*0.5</f>
        <v>7.4999999999999997E-2</v>
      </c>
      <c r="E214" s="462">
        <f>C214*1.5</f>
        <v>0.22499999999999998</v>
      </c>
      <c r="F214" s="260"/>
      <c r="G214" s="260"/>
      <c r="I214" s="463">
        <v>0.15</v>
      </c>
      <c r="J214" s="463">
        <v>7.0000000000000007E-2</v>
      </c>
      <c r="K214" s="463">
        <v>7.6</v>
      </c>
      <c r="L214" s="260"/>
      <c r="M214" s="260"/>
      <c r="O214">
        <f>IF(ISBLANK(C214),I214,C214)</f>
        <v>0.15</v>
      </c>
      <c r="P214">
        <f t="shared" ref="P214:Q236" si="16">IF(ISBLANK(D214),J214,D214)</f>
        <v>7.4999999999999997E-2</v>
      </c>
      <c r="Q214">
        <f t="shared" si="16"/>
        <v>0.22499999999999998</v>
      </c>
    </row>
    <row r="215" spans="1:17" ht="15" customHeight="1" x14ac:dyDescent="0.3">
      <c r="B215" s="206" t="s">
        <v>1083</v>
      </c>
      <c r="C215" s="463">
        <v>0.15</v>
      </c>
      <c r="D215" s="462">
        <f t="shared" ref="D215:D236" si="17">C215*0.5</f>
        <v>7.4999999999999997E-2</v>
      </c>
      <c r="E215" s="462">
        <f t="shared" ref="E215:E220" si="18">C215*1.5</f>
        <v>0.22499999999999998</v>
      </c>
      <c r="F215" s="260"/>
      <c r="G215" s="260"/>
      <c r="I215" s="463">
        <v>0.15</v>
      </c>
      <c r="J215" s="463">
        <v>7.0000000000000007E-2</v>
      </c>
      <c r="K215" s="463">
        <v>7.6</v>
      </c>
      <c r="L215" s="260"/>
      <c r="M215" s="260"/>
      <c r="O215">
        <f t="shared" ref="O215:O236" si="19">IF(ISBLANK(C215),I215,C215)</f>
        <v>0.15</v>
      </c>
      <c r="P215">
        <f t="shared" si="16"/>
        <v>7.4999999999999997E-2</v>
      </c>
      <c r="Q215">
        <f t="shared" si="16"/>
        <v>0.22499999999999998</v>
      </c>
    </row>
    <row r="216" spans="1:17" ht="15" customHeight="1" x14ac:dyDescent="0.3">
      <c r="B216" s="206" t="s">
        <v>1084</v>
      </c>
      <c r="C216" s="463">
        <v>0.15</v>
      </c>
      <c r="D216" s="462">
        <f t="shared" si="17"/>
        <v>7.4999999999999997E-2</v>
      </c>
      <c r="E216" s="462">
        <f t="shared" si="18"/>
        <v>0.22499999999999998</v>
      </c>
      <c r="F216" s="260"/>
      <c r="G216" s="260"/>
      <c r="I216" s="463">
        <v>0.15</v>
      </c>
      <c r="J216" s="463">
        <v>7.0000000000000007E-2</v>
      </c>
      <c r="K216" s="463">
        <v>7.6</v>
      </c>
      <c r="L216" s="260"/>
      <c r="M216" s="260"/>
      <c r="O216">
        <f t="shared" si="19"/>
        <v>0.15</v>
      </c>
      <c r="P216">
        <f t="shared" si="16"/>
        <v>7.4999999999999997E-2</v>
      </c>
      <c r="Q216">
        <f t="shared" si="16"/>
        <v>0.22499999999999998</v>
      </c>
    </row>
    <row r="217" spans="1:17" ht="15" customHeight="1" x14ac:dyDescent="0.3">
      <c r="B217" s="206" t="s">
        <v>1085</v>
      </c>
      <c r="C217" s="463">
        <v>0.15</v>
      </c>
      <c r="D217" s="462">
        <f t="shared" si="17"/>
        <v>7.4999999999999997E-2</v>
      </c>
      <c r="E217" s="462">
        <f t="shared" si="18"/>
        <v>0.22499999999999998</v>
      </c>
      <c r="F217" s="260"/>
      <c r="G217" s="260"/>
      <c r="I217" s="463">
        <v>0.15</v>
      </c>
      <c r="J217" s="463">
        <v>7.0000000000000007E-2</v>
      </c>
      <c r="K217" s="463">
        <v>7.6</v>
      </c>
      <c r="L217" s="260"/>
      <c r="M217" s="260"/>
      <c r="O217">
        <f t="shared" si="19"/>
        <v>0.15</v>
      </c>
      <c r="P217">
        <f t="shared" si="16"/>
        <v>7.4999999999999997E-2</v>
      </c>
      <c r="Q217">
        <f t="shared" si="16"/>
        <v>0.22499999999999998</v>
      </c>
    </row>
    <row r="218" spans="1:17" ht="15" customHeight="1" x14ac:dyDescent="0.3">
      <c r="B218" s="206" t="s">
        <v>1086</v>
      </c>
      <c r="C218" s="463">
        <v>0.15</v>
      </c>
      <c r="D218" s="462">
        <f t="shared" si="17"/>
        <v>7.4999999999999997E-2</v>
      </c>
      <c r="E218" s="462">
        <f t="shared" si="18"/>
        <v>0.22499999999999998</v>
      </c>
      <c r="F218" s="260"/>
      <c r="G218" s="260"/>
      <c r="I218" s="463">
        <v>0.15</v>
      </c>
      <c r="J218" s="463">
        <v>7.0000000000000007E-2</v>
      </c>
      <c r="K218" s="463">
        <v>7.6</v>
      </c>
      <c r="L218" s="260"/>
      <c r="M218" s="260"/>
      <c r="O218">
        <f t="shared" si="19"/>
        <v>0.15</v>
      </c>
      <c r="P218">
        <f t="shared" si="16"/>
        <v>7.4999999999999997E-2</v>
      </c>
      <c r="Q218">
        <f t="shared" si="16"/>
        <v>0.22499999999999998</v>
      </c>
    </row>
    <row r="219" spans="1:17" ht="15" customHeight="1" x14ac:dyDescent="0.3">
      <c r="B219" s="206" t="s">
        <v>1087</v>
      </c>
      <c r="C219" s="463">
        <v>0.15</v>
      </c>
      <c r="D219" s="462">
        <f t="shared" si="17"/>
        <v>7.4999999999999997E-2</v>
      </c>
      <c r="E219" s="462">
        <f t="shared" si="18"/>
        <v>0.22499999999999998</v>
      </c>
      <c r="F219" s="260"/>
      <c r="G219" s="260"/>
      <c r="I219" s="463">
        <v>0.15</v>
      </c>
      <c r="J219" s="463">
        <v>7.0000000000000007E-2</v>
      </c>
      <c r="K219" s="463">
        <v>7.6</v>
      </c>
      <c r="L219" s="260"/>
      <c r="M219" s="260"/>
      <c r="O219">
        <f t="shared" si="19"/>
        <v>0.15</v>
      </c>
      <c r="P219">
        <f t="shared" si="16"/>
        <v>7.4999999999999997E-2</v>
      </c>
      <c r="Q219">
        <f t="shared" si="16"/>
        <v>0.22499999999999998</v>
      </c>
    </row>
    <row r="220" spans="1:17" ht="15" customHeight="1" x14ac:dyDescent="0.3">
      <c r="B220" s="206" t="s">
        <v>1443</v>
      </c>
      <c r="C220" s="463">
        <v>0.15</v>
      </c>
      <c r="D220" s="462">
        <f t="shared" si="17"/>
        <v>7.4999999999999997E-2</v>
      </c>
      <c r="E220" s="462">
        <f t="shared" si="18"/>
        <v>0.22499999999999998</v>
      </c>
      <c r="F220" s="260"/>
      <c r="G220" s="260"/>
      <c r="I220" s="463">
        <v>0.15</v>
      </c>
      <c r="J220" s="463">
        <v>7.0000000000000007E-2</v>
      </c>
      <c r="K220" s="463">
        <v>7.6</v>
      </c>
      <c r="L220" s="260"/>
      <c r="M220" s="260"/>
      <c r="O220">
        <f t="shared" si="19"/>
        <v>0.15</v>
      </c>
      <c r="P220">
        <f t="shared" si="16"/>
        <v>7.4999999999999997E-2</v>
      </c>
      <c r="Q220">
        <f t="shared" si="16"/>
        <v>0.22499999999999998</v>
      </c>
    </row>
    <row r="221" spans="1:17" ht="15" customHeight="1" x14ac:dyDescent="0.3">
      <c r="B221" s="205" t="s">
        <v>1444</v>
      </c>
      <c r="C221" s="464"/>
      <c r="D221" s="397"/>
      <c r="E221" s="397"/>
      <c r="I221" s="464"/>
      <c r="J221" s="464"/>
      <c r="K221" s="464"/>
      <c r="O221"/>
      <c r="P221"/>
      <c r="Q221"/>
    </row>
    <row r="222" spans="1:17" ht="15" customHeight="1" x14ac:dyDescent="0.3">
      <c r="B222" s="206" t="s">
        <v>1082</v>
      </c>
      <c r="C222" s="463">
        <v>0.15</v>
      </c>
      <c r="D222" s="462">
        <f t="shared" si="17"/>
        <v>7.4999999999999997E-2</v>
      </c>
      <c r="E222" s="462">
        <f t="shared" ref="E222:E228" si="20">C222*1.5</f>
        <v>0.22499999999999998</v>
      </c>
      <c r="F222" s="260"/>
      <c r="G222" s="260"/>
      <c r="I222" s="463">
        <v>0.15</v>
      </c>
      <c r="J222" s="463">
        <v>7.0000000000000007E-2</v>
      </c>
      <c r="K222" s="463">
        <v>7.6</v>
      </c>
      <c r="L222" s="260"/>
      <c r="M222" s="260"/>
      <c r="O222">
        <f t="shared" si="19"/>
        <v>0.15</v>
      </c>
      <c r="P222">
        <f t="shared" si="16"/>
        <v>7.4999999999999997E-2</v>
      </c>
      <c r="Q222">
        <f t="shared" si="16"/>
        <v>0.22499999999999998</v>
      </c>
    </row>
    <row r="223" spans="1:17" ht="15" customHeight="1" x14ac:dyDescent="0.3">
      <c r="B223" s="206" t="s">
        <v>1083</v>
      </c>
      <c r="C223" s="463">
        <v>0.15</v>
      </c>
      <c r="D223" s="462">
        <f t="shared" si="17"/>
        <v>7.4999999999999997E-2</v>
      </c>
      <c r="E223" s="462">
        <f t="shared" si="20"/>
        <v>0.22499999999999998</v>
      </c>
      <c r="F223" s="260"/>
      <c r="G223" s="260"/>
      <c r="I223" s="463">
        <v>0.15</v>
      </c>
      <c r="J223" s="463">
        <v>7.0000000000000007E-2</v>
      </c>
      <c r="K223" s="463">
        <v>7.6</v>
      </c>
      <c r="L223" s="260"/>
      <c r="M223" s="260"/>
      <c r="O223">
        <f t="shared" si="19"/>
        <v>0.15</v>
      </c>
      <c r="P223">
        <f t="shared" si="16"/>
        <v>7.4999999999999997E-2</v>
      </c>
      <c r="Q223">
        <f t="shared" si="16"/>
        <v>0.22499999999999998</v>
      </c>
    </row>
    <row r="224" spans="1:17" ht="15" customHeight="1" x14ac:dyDescent="0.3">
      <c r="B224" s="206" t="s">
        <v>1084</v>
      </c>
      <c r="C224" s="463">
        <v>0.15</v>
      </c>
      <c r="D224" s="462">
        <f t="shared" si="17"/>
        <v>7.4999999999999997E-2</v>
      </c>
      <c r="E224" s="462">
        <f t="shared" si="20"/>
        <v>0.22499999999999998</v>
      </c>
      <c r="F224" s="260"/>
      <c r="G224" s="260"/>
      <c r="I224" s="463">
        <v>0.15</v>
      </c>
      <c r="J224" s="463">
        <v>7.0000000000000007E-2</v>
      </c>
      <c r="K224" s="463">
        <v>7.6</v>
      </c>
      <c r="L224" s="260"/>
      <c r="M224" s="260"/>
      <c r="O224">
        <f t="shared" si="19"/>
        <v>0.15</v>
      </c>
      <c r="P224">
        <f t="shared" si="16"/>
        <v>7.4999999999999997E-2</v>
      </c>
      <c r="Q224">
        <f t="shared" si="16"/>
        <v>0.22499999999999998</v>
      </c>
    </row>
    <row r="225" spans="2:17" ht="15" customHeight="1" x14ac:dyDescent="0.3">
      <c r="B225" s="206" t="s">
        <v>1085</v>
      </c>
      <c r="C225" s="463">
        <v>0.15</v>
      </c>
      <c r="D225" s="462">
        <f t="shared" si="17"/>
        <v>7.4999999999999997E-2</v>
      </c>
      <c r="E225" s="462">
        <f t="shared" si="20"/>
        <v>0.22499999999999998</v>
      </c>
      <c r="F225" s="260"/>
      <c r="G225" s="260"/>
      <c r="I225" s="463">
        <v>0.15</v>
      </c>
      <c r="J225" s="463">
        <v>7.0000000000000007E-2</v>
      </c>
      <c r="K225" s="463">
        <v>7.6</v>
      </c>
      <c r="L225" s="260"/>
      <c r="M225" s="260"/>
      <c r="O225">
        <f t="shared" si="19"/>
        <v>0.15</v>
      </c>
      <c r="P225">
        <f t="shared" si="16"/>
        <v>7.4999999999999997E-2</v>
      </c>
      <c r="Q225">
        <f t="shared" si="16"/>
        <v>0.22499999999999998</v>
      </c>
    </row>
    <row r="226" spans="2:17" ht="15" customHeight="1" x14ac:dyDescent="0.3">
      <c r="B226" s="206" t="s">
        <v>1086</v>
      </c>
      <c r="C226" s="463">
        <v>0.15</v>
      </c>
      <c r="D226" s="462">
        <f t="shared" si="17"/>
        <v>7.4999999999999997E-2</v>
      </c>
      <c r="E226" s="462">
        <f t="shared" si="20"/>
        <v>0.22499999999999998</v>
      </c>
      <c r="F226" s="260"/>
      <c r="G226" s="260"/>
      <c r="I226" s="463">
        <v>0.15</v>
      </c>
      <c r="J226" s="463">
        <v>7.0000000000000007E-2</v>
      </c>
      <c r="K226" s="463">
        <v>7.6</v>
      </c>
      <c r="L226" s="260"/>
      <c r="M226" s="260"/>
      <c r="O226">
        <f t="shared" si="19"/>
        <v>0.15</v>
      </c>
      <c r="P226">
        <f t="shared" si="16"/>
        <v>7.4999999999999997E-2</v>
      </c>
      <c r="Q226">
        <f t="shared" si="16"/>
        <v>0.22499999999999998</v>
      </c>
    </row>
    <row r="227" spans="2:17" ht="15" customHeight="1" x14ac:dyDescent="0.3">
      <c r="B227" s="206" t="s">
        <v>1087</v>
      </c>
      <c r="C227" s="463">
        <v>0.15</v>
      </c>
      <c r="D227" s="462">
        <f t="shared" si="17"/>
        <v>7.4999999999999997E-2</v>
      </c>
      <c r="E227" s="462">
        <f t="shared" si="20"/>
        <v>0.22499999999999998</v>
      </c>
      <c r="F227" s="260"/>
      <c r="G227" s="260"/>
      <c r="I227" s="463">
        <v>0.15</v>
      </c>
      <c r="J227" s="463">
        <v>7.0000000000000007E-2</v>
      </c>
      <c r="K227" s="463">
        <v>7.6</v>
      </c>
      <c r="L227" s="260"/>
      <c r="M227" s="260"/>
      <c r="O227">
        <f t="shared" si="19"/>
        <v>0.15</v>
      </c>
      <c r="P227">
        <f t="shared" si="16"/>
        <v>7.4999999999999997E-2</v>
      </c>
      <c r="Q227">
        <f t="shared" si="16"/>
        <v>0.22499999999999998</v>
      </c>
    </row>
    <row r="228" spans="2:17" ht="15" customHeight="1" x14ac:dyDescent="0.3">
      <c r="B228" s="206" t="s">
        <v>1443</v>
      </c>
      <c r="C228" s="463">
        <v>0.15</v>
      </c>
      <c r="D228" s="462">
        <f t="shared" si="17"/>
        <v>7.4999999999999997E-2</v>
      </c>
      <c r="E228" s="462">
        <f t="shared" si="20"/>
        <v>0.22499999999999998</v>
      </c>
      <c r="F228" s="260"/>
      <c r="G228" s="260"/>
      <c r="I228" s="463">
        <v>0.15</v>
      </c>
      <c r="J228" s="463">
        <v>7.0000000000000007E-2</v>
      </c>
      <c r="K228" s="463">
        <v>7.6</v>
      </c>
      <c r="L228" s="260"/>
      <c r="M228" s="260"/>
      <c r="O228">
        <f t="shared" si="19"/>
        <v>0.15</v>
      </c>
      <c r="P228">
        <f t="shared" si="16"/>
        <v>7.4999999999999997E-2</v>
      </c>
      <c r="Q228">
        <f t="shared" si="16"/>
        <v>0.22499999999999998</v>
      </c>
    </row>
    <row r="229" spans="2:17" ht="15" customHeight="1" x14ac:dyDescent="0.3">
      <c r="B229" s="207" t="s">
        <v>227</v>
      </c>
      <c r="C229" s="465"/>
      <c r="D229" s="282"/>
      <c r="E229" s="282"/>
      <c r="F229" s="260"/>
      <c r="G229" s="260"/>
      <c r="I229" s="465"/>
      <c r="J229" s="465"/>
      <c r="K229" s="465"/>
      <c r="L229" s="260"/>
      <c r="M229" s="260"/>
      <c r="O229"/>
      <c r="P229"/>
      <c r="Q229"/>
    </row>
    <row r="230" spans="2:17" ht="15" customHeight="1" x14ac:dyDescent="0.3">
      <c r="B230" s="206" t="s">
        <v>1437</v>
      </c>
      <c r="C230" s="463">
        <v>0.15</v>
      </c>
      <c r="D230" s="462">
        <f t="shared" si="17"/>
        <v>7.4999999999999997E-2</v>
      </c>
      <c r="E230" s="462">
        <f t="shared" ref="E230:E233" si="21">C230*1.5</f>
        <v>0.22499999999999998</v>
      </c>
      <c r="F230" s="260"/>
      <c r="G230" s="260"/>
      <c r="I230" s="463">
        <v>0.15</v>
      </c>
      <c r="J230" s="463">
        <v>7.0000000000000007E-2</v>
      </c>
      <c r="K230" s="463">
        <v>7.6</v>
      </c>
      <c r="L230" s="260"/>
      <c r="M230" s="260"/>
      <c r="O230">
        <f t="shared" si="19"/>
        <v>0.15</v>
      </c>
      <c r="P230">
        <f t="shared" si="16"/>
        <v>7.4999999999999997E-2</v>
      </c>
      <c r="Q230">
        <f t="shared" si="16"/>
        <v>0.22499999999999998</v>
      </c>
    </row>
    <row r="231" spans="2:17" ht="15" customHeight="1" x14ac:dyDescent="0.3">
      <c r="B231" s="206" t="s">
        <v>1438</v>
      </c>
      <c r="C231" s="463">
        <v>0.15</v>
      </c>
      <c r="D231" s="462">
        <f t="shared" si="17"/>
        <v>7.4999999999999997E-2</v>
      </c>
      <c r="E231" s="462">
        <f t="shared" si="21"/>
        <v>0.22499999999999998</v>
      </c>
      <c r="F231" s="260"/>
      <c r="G231" s="260"/>
      <c r="I231" s="463">
        <v>0.15</v>
      </c>
      <c r="J231" s="463">
        <v>7.0000000000000007E-2</v>
      </c>
      <c r="K231" s="463">
        <v>7.6</v>
      </c>
      <c r="L231" s="260"/>
      <c r="M231" s="260"/>
      <c r="O231">
        <f t="shared" si="19"/>
        <v>0.15</v>
      </c>
      <c r="P231">
        <f t="shared" si="16"/>
        <v>7.4999999999999997E-2</v>
      </c>
      <c r="Q231">
        <f t="shared" si="16"/>
        <v>0.22499999999999998</v>
      </c>
    </row>
    <row r="232" spans="2:17" ht="15" customHeight="1" x14ac:dyDescent="0.3">
      <c r="B232" s="206" t="s">
        <v>1441</v>
      </c>
      <c r="C232" s="463">
        <v>0.15</v>
      </c>
      <c r="D232" s="462">
        <f t="shared" si="17"/>
        <v>7.4999999999999997E-2</v>
      </c>
      <c r="E232" s="462">
        <f t="shared" si="21"/>
        <v>0.22499999999999998</v>
      </c>
      <c r="F232" s="260"/>
      <c r="G232" s="260"/>
      <c r="I232" s="463">
        <v>0.15</v>
      </c>
      <c r="J232" s="463">
        <v>7.0000000000000007E-2</v>
      </c>
      <c r="K232" s="463">
        <v>7.6</v>
      </c>
      <c r="L232" s="260"/>
      <c r="M232" s="260"/>
      <c r="O232">
        <f t="shared" si="19"/>
        <v>0.15</v>
      </c>
      <c r="P232">
        <f t="shared" si="16"/>
        <v>7.4999999999999997E-2</v>
      </c>
      <c r="Q232">
        <f t="shared" si="16"/>
        <v>0.22499999999999998</v>
      </c>
    </row>
    <row r="233" spans="2:17" ht="15" customHeight="1" x14ac:dyDescent="0.3">
      <c r="B233" s="206" t="s">
        <v>1442</v>
      </c>
      <c r="C233" s="463">
        <v>0.15</v>
      </c>
      <c r="D233" s="462">
        <f t="shared" si="17"/>
        <v>7.4999999999999997E-2</v>
      </c>
      <c r="E233" s="462">
        <f t="shared" si="21"/>
        <v>0.22499999999999998</v>
      </c>
      <c r="F233" s="260"/>
      <c r="G233" s="260"/>
      <c r="I233" s="463">
        <v>0.15</v>
      </c>
      <c r="J233" s="463">
        <v>7.0000000000000007E-2</v>
      </c>
      <c r="K233" s="463">
        <v>7.6</v>
      </c>
      <c r="L233" s="260"/>
      <c r="M233" s="260"/>
      <c r="O233">
        <f t="shared" si="19"/>
        <v>0.15</v>
      </c>
      <c r="P233">
        <f t="shared" si="16"/>
        <v>7.4999999999999997E-2</v>
      </c>
      <c r="Q233">
        <f t="shared" si="16"/>
        <v>0.22499999999999998</v>
      </c>
    </row>
    <row r="234" spans="2:17" ht="15" customHeight="1" x14ac:dyDescent="0.3">
      <c r="B234" s="207" t="s">
        <v>920</v>
      </c>
      <c r="C234" s="465"/>
      <c r="D234" s="282"/>
      <c r="E234" s="282"/>
      <c r="F234" s="260"/>
      <c r="G234" s="260"/>
      <c r="I234" s="465"/>
      <c r="J234" s="465"/>
      <c r="K234" s="465"/>
      <c r="L234" s="260"/>
      <c r="M234" s="260"/>
      <c r="O234"/>
      <c r="P234"/>
      <c r="Q234"/>
    </row>
    <row r="235" spans="2:17" ht="15" customHeight="1" x14ac:dyDescent="0.3">
      <c r="B235" s="206" t="s">
        <v>920</v>
      </c>
      <c r="C235" s="463">
        <v>0.15</v>
      </c>
      <c r="D235" s="462">
        <f t="shared" si="17"/>
        <v>7.4999999999999997E-2</v>
      </c>
      <c r="E235" s="462">
        <f t="shared" ref="E235:E236" si="22">C235*1.5</f>
        <v>0.22499999999999998</v>
      </c>
      <c r="F235" s="260"/>
      <c r="G235" s="260"/>
      <c r="I235" s="463">
        <v>0.15</v>
      </c>
      <c r="J235" s="463">
        <v>7.0000000000000007E-2</v>
      </c>
      <c r="K235" s="463">
        <v>7.6</v>
      </c>
      <c r="L235" s="260"/>
      <c r="M235" s="260"/>
      <c r="O235">
        <f t="shared" si="19"/>
        <v>0.15</v>
      </c>
      <c r="P235">
        <f t="shared" si="16"/>
        <v>7.4999999999999997E-2</v>
      </c>
      <c r="Q235">
        <f t="shared" si="16"/>
        <v>0.22499999999999998</v>
      </c>
    </row>
    <row r="236" spans="2:17" x14ac:dyDescent="0.3">
      <c r="B236" s="206" t="s">
        <v>980</v>
      </c>
      <c r="C236" s="463">
        <v>0.15</v>
      </c>
      <c r="D236" s="462">
        <f t="shared" si="17"/>
        <v>7.4999999999999997E-2</v>
      </c>
      <c r="E236" s="462">
        <f t="shared" si="22"/>
        <v>0.22499999999999998</v>
      </c>
      <c r="F236" s="260"/>
      <c r="G236" s="260"/>
      <c r="I236" s="463">
        <v>0.15</v>
      </c>
      <c r="J236" s="463">
        <v>7.0000000000000007E-2</v>
      </c>
      <c r="K236" s="463">
        <v>7.6</v>
      </c>
      <c r="L236" s="260"/>
      <c r="M236" s="260"/>
      <c r="O236">
        <f t="shared" si="19"/>
        <v>0.15</v>
      </c>
      <c r="P236">
        <f t="shared" si="16"/>
        <v>7.4999999999999997E-2</v>
      </c>
      <c r="Q236">
        <f t="shared" si="16"/>
        <v>0.22499999999999998</v>
      </c>
    </row>
    <row r="238" spans="2:17" x14ac:dyDescent="0.3">
      <c r="B238" s="781" t="s">
        <v>1095</v>
      </c>
      <c r="C238" s="781"/>
      <c r="D238" s="781"/>
      <c r="E238" s="781"/>
      <c r="F238" s="781"/>
      <c r="G238" s="781"/>
      <c r="I238" s="787" t="s">
        <v>1096</v>
      </c>
      <c r="J238" s="787"/>
      <c r="K238" s="787"/>
      <c r="L238" s="787"/>
      <c r="M238" s="787"/>
      <c r="O238" s="204" t="s">
        <v>1097</v>
      </c>
    </row>
    <row r="239" spans="2:17" ht="18.600000000000001" thickBot="1" x14ac:dyDescent="0.4">
      <c r="B239" s="573" t="s">
        <v>1528</v>
      </c>
      <c r="C239" s="786" t="s">
        <v>1479</v>
      </c>
      <c r="D239" s="786"/>
      <c r="E239" s="786"/>
      <c r="F239" s="786"/>
      <c r="G239" s="786"/>
      <c r="I239" s="786" t="s">
        <v>1479</v>
      </c>
      <c r="J239" s="786"/>
      <c r="K239" s="786"/>
      <c r="L239" s="786"/>
      <c r="M239" s="786"/>
    </row>
    <row r="240" spans="2:17" x14ac:dyDescent="0.3">
      <c r="B240" s="286"/>
      <c r="C240" s="214" t="s">
        <v>984</v>
      </c>
      <c r="D240" s="214" t="s">
        <v>985</v>
      </c>
      <c r="E240" s="214" t="s">
        <v>986</v>
      </c>
      <c r="F240" s="319" t="s">
        <v>592</v>
      </c>
      <c r="G240" s="215" t="s">
        <v>591</v>
      </c>
      <c r="I240" s="214" t="s">
        <v>984</v>
      </c>
      <c r="J240" s="214" t="s">
        <v>985</v>
      </c>
      <c r="K240" s="214" t="s">
        <v>986</v>
      </c>
      <c r="L240" s="319" t="s">
        <v>592</v>
      </c>
      <c r="M240" s="215" t="s">
        <v>591</v>
      </c>
      <c r="O240" s="214"/>
      <c r="P240" s="214" t="s">
        <v>985</v>
      </c>
      <c r="Q240" s="214" t="s">
        <v>986</v>
      </c>
    </row>
    <row r="241" spans="2:17" x14ac:dyDescent="0.3">
      <c r="B241" s="205" t="s">
        <v>1450</v>
      </c>
      <c r="C241" s="22"/>
      <c r="D241" s="214"/>
      <c r="E241" s="214"/>
    </row>
    <row r="242" spans="2:17" x14ac:dyDescent="0.3">
      <c r="B242" s="206" t="s">
        <v>1082</v>
      </c>
      <c r="C242" s="462">
        <v>12000</v>
      </c>
      <c r="D242" s="462">
        <f>C242*0.5</f>
        <v>6000</v>
      </c>
      <c r="E242" s="462">
        <f>C242*1.5</f>
        <v>18000</v>
      </c>
      <c r="F242" s="260"/>
      <c r="G242" s="260"/>
      <c r="I242" s="462">
        <v>12000</v>
      </c>
      <c r="J242" s="462">
        <v>5000</v>
      </c>
      <c r="K242" s="462">
        <v>64000</v>
      </c>
      <c r="L242" s="260"/>
      <c r="M242" s="260"/>
      <c r="O242">
        <f>IF(ISBLANK(C242),I242,C242)</f>
        <v>12000</v>
      </c>
      <c r="P242">
        <f t="shared" ref="P242:P248" si="23">IF(ISBLANK(D242),J242,D242)</f>
        <v>6000</v>
      </c>
      <c r="Q242">
        <f t="shared" ref="Q242:Q248" si="24">IF(ISBLANK(E242),K242,E242)</f>
        <v>18000</v>
      </c>
    </row>
    <row r="243" spans="2:17" x14ac:dyDescent="0.3">
      <c r="B243" s="206" t="s">
        <v>1083</v>
      </c>
      <c r="C243" s="462">
        <v>12000</v>
      </c>
      <c r="D243" s="462">
        <f t="shared" ref="D243:D264" si="25">C243*0.5</f>
        <v>6000</v>
      </c>
      <c r="E243" s="462">
        <f t="shared" ref="E243:E248" si="26">C243*1.5</f>
        <v>18000</v>
      </c>
      <c r="F243" s="260"/>
      <c r="G243" s="260"/>
      <c r="I243" s="462">
        <v>12000</v>
      </c>
      <c r="J243" s="462">
        <v>5000</v>
      </c>
      <c r="K243" s="462">
        <v>64000</v>
      </c>
      <c r="L243" s="260"/>
      <c r="M243" s="260"/>
      <c r="O243">
        <f t="shared" ref="O243:O248" si="27">IF(ISBLANK(C243),I243,C243)</f>
        <v>12000</v>
      </c>
      <c r="P243">
        <f t="shared" si="23"/>
        <v>6000</v>
      </c>
      <c r="Q243">
        <f t="shared" si="24"/>
        <v>18000</v>
      </c>
    </row>
    <row r="244" spans="2:17" x14ac:dyDescent="0.3">
      <c r="B244" s="206" t="s">
        <v>1084</v>
      </c>
      <c r="C244" s="462">
        <v>12000</v>
      </c>
      <c r="D244" s="462">
        <f t="shared" si="25"/>
        <v>6000</v>
      </c>
      <c r="E244" s="462">
        <f t="shared" si="26"/>
        <v>18000</v>
      </c>
      <c r="F244" s="260"/>
      <c r="G244" s="260"/>
      <c r="I244" s="462">
        <v>12000</v>
      </c>
      <c r="J244" s="462">
        <v>5000</v>
      </c>
      <c r="K244" s="462">
        <v>64000</v>
      </c>
      <c r="L244" s="260"/>
      <c r="M244" s="260"/>
      <c r="O244">
        <f t="shared" si="27"/>
        <v>12000</v>
      </c>
      <c r="P244">
        <f t="shared" si="23"/>
        <v>6000</v>
      </c>
      <c r="Q244">
        <f t="shared" si="24"/>
        <v>18000</v>
      </c>
    </row>
    <row r="245" spans="2:17" x14ac:dyDescent="0.3">
      <c r="B245" s="206" t="s">
        <v>1085</v>
      </c>
      <c r="C245" s="462">
        <v>12000</v>
      </c>
      <c r="D245" s="462">
        <f t="shared" si="25"/>
        <v>6000</v>
      </c>
      <c r="E245" s="462">
        <f t="shared" si="26"/>
        <v>18000</v>
      </c>
      <c r="F245" s="260"/>
      <c r="G245" s="260"/>
      <c r="I245" s="462">
        <v>12000</v>
      </c>
      <c r="J245" s="462">
        <v>5000</v>
      </c>
      <c r="K245" s="462">
        <v>64000</v>
      </c>
      <c r="L245" s="260"/>
      <c r="M245" s="260"/>
      <c r="O245">
        <f t="shared" si="27"/>
        <v>12000</v>
      </c>
      <c r="P245">
        <f t="shared" si="23"/>
        <v>6000</v>
      </c>
      <c r="Q245">
        <f t="shared" si="24"/>
        <v>18000</v>
      </c>
    </row>
    <row r="246" spans="2:17" x14ac:dyDescent="0.3">
      <c r="B246" s="206" t="s">
        <v>1086</v>
      </c>
      <c r="C246" s="462">
        <v>12000</v>
      </c>
      <c r="D246" s="462">
        <f t="shared" si="25"/>
        <v>6000</v>
      </c>
      <c r="E246" s="462">
        <f t="shared" si="26"/>
        <v>18000</v>
      </c>
      <c r="F246" s="260"/>
      <c r="G246" s="260"/>
      <c r="I246" s="462">
        <v>12000</v>
      </c>
      <c r="J246" s="462">
        <v>5000</v>
      </c>
      <c r="K246" s="462">
        <v>64000</v>
      </c>
      <c r="L246" s="260"/>
      <c r="M246" s="260"/>
      <c r="O246">
        <f t="shared" si="27"/>
        <v>12000</v>
      </c>
      <c r="P246">
        <f t="shared" si="23"/>
        <v>6000</v>
      </c>
      <c r="Q246">
        <f t="shared" si="24"/>
        <v>18000</v>
      </c>
    </row>
    <row r="247" spans="2:17" x14ac:dyDescent="0.3">
      <c r="B247" s="206" t="s">
        <v>1087</v>
      </c>
      <c r="C247" s="462">
        <v>12000</v>
      </c>
      <c r="D247" s="462">
        <f t="shared" si="25"/>
        <v>6000</v>
      </c>
      <c r="E247" s="462">
        <f t="shared" si="26"/>
        <v>18000</v>
      </c>
      <c r="F247" s="260"/>
      <c r="G247" s="260"/>
      <c r="I247" s="462">
        <v>12000</v>
      </c>
      <c r="J247" s="462">
        <v>5000</v>
      </c>
      <c r="K247" s="462">
        <v>64000</v>
      </c>
      <c r="L247" s="260"/>
      <c r="M247" s="260"/>
      <c r="O247">
        <f t="shared" si="27"/>
        <v>12000</v>
      </c>
      <c r="P247">
        <f t="shared" si="23"/>
        <v>6000</v>
      </c>
      <c r="Q247">
        <f t="shared" si="24"/>
        <v>18000</v>
      </c>
    </row>
    <row r="248" spans="2:17" x14ac:dyDescent="0.3">
      <c r="B248" s="206" t="s">
        <v>1443</v>
      </c>
      <c r="C248" s="462">
        <v>12000</v>
      </c>
      <c r="D248" s="462">
        <f t="shared" si="25"/>
        <v>6000</v>
      </c>
      <c r="E248" s="462">
        <f t="shared" si="26"/>
        <v>18000</v>
      </c>
      <c r="F248" s="260"/>
      <c r="G248" s="260"/>
      <c r="I248" s="462">
        <v>12000</v>
      </c>
      <c r="J248" s="462">
        <v>5000</v>
      </c>
      <c r="K248" s="462">
        <v>64000</v>
      </c>
      <c r="L248" s="260"/>
      <c r="M248" s="260"/>
      <c r="O248">
        <f t="shared" si="27"/>
        <v>12000</v>
      </c>
      <c r="P248">
        <f t="shared" si="23"/>
        <v>6000</v>
      </c>
      <c r="Q248">
        <f t="shared" si="24"/>
        <v>18000</v>
      </c>
    </row>
    <row r="249" spans="2:17" x14ac:dyDescent="0.3">
      <c r="B249" s="205" t="s">
        <v>1444</v>
      </c>
      <c r="C249" s="397"/>
      <c r="D249" s="397"/>
      <c r="E249" s="397"/>
      <c r="I249" s="397"/>
      <c r="J249" s="397"/>
      <c r="K249" s="397"/>
      <c r="O249"/>
      <c r="P249"/>
      <c r="Q249"/>
    </row>
    <row r="250" spans="2:17" x14ac:dyDescent="0.3">
      <c r="B250" s="206" t="s">
        <v>1082</v>
      </c>
      <c r="C250" s="462">
        <v>12000</v>
      </c>
      <c r="D250" s="462">
        <f t="shared" si="25"/>
        <v>6000</v>
      </c>
      <c r="E250" s="462">
        <f t="shared" ref="E250:E256" si="28">C250*1.5</f>
        <v>18000</v>
      </c>
      <c r="F250" s="260"/>
      <c r="G250" s="260"/>
      <c r="I250" s="462">
        <v>12000</v>
      </c>
      <c r="J250" s="462">
        <v>5000</v>
      </c>
      <c r="K250" s="462">
        <v>64000</v>
      </c>
      <c r="L250" s="260"/>
      <c r="M250" s="260"/>
      <c r="O250">
        <f t="shared" ref="O250:O256" si="29">IF(ISBLANK(C250),I250,C250)</f>
        <v>12000</v>
      </c>
      <c r="P250">
        <f t="shared" ref="P250:P256" si="30">IF(ISBLANK(D250),J250,D250)</f>
        <v>6000</v>
      </c>
      <c r="Q250">
        <f t="shared" ref="Q250:Q256" si="31">IF(ISBLANK(E250),K250,E250)</f>
        <v>18000</v>
      </c>
    </row>
    <row r="251" spans="2:17" x14ac:dyDescent="0.3">
      <c r="B251" s="206" t="s">
        <v>1083</v>
      </c>
      <c r="C251" s="462">
        <v>12000</v>
      </c>
      <c r="D251" s="462">
        <f t="shared" si="25"/>
        <v>6000</v>
      </c>
      <c r="E251" s="462">
        <f t="shared" si="28"/>
        <v>18000</v>
      </c>
      <c r="F251" s="260"/>
      <c r="G251" s="260"/>
      <c r="I251" s="462">
        <v>12000</v>
      </c>
      <c r="J251" s="462">
        <v>5000</v>
      </c>
      <c r="K251" s="462">
        <v>64000</v>
      </c>
      <c r="L251" s="260"/>
      <c r="M251" s="260"/>
      <c r="O251">
        <f t="shared" si="29"/>
        <v>12000</v>
      </c>
      <c r="P251">
        <f t="shared" si="30"/>
        <v>6000</v>
      </c>
      <c r="Q251">
        <f t="shared" si="31"/>
        <v>18000</v>
      </c>
    </row>
    <row r="252" spans="2:17" x14ac:dyDescent="0.3">
      <c r="B252" s="206" t="s">
        <v>1084</v>
      </c>
      <c r="C252" s="462">
        <v>12000</v>
      </c>
      <c r="D252" s="462">
        <f t="shared" si="25"/>
        <v>6000</v>
      </c>
      <c r="E252" s="462">
        <f t="shared" si="28"/>
        <v>18000</v>
      </c>
      <c r="F252" s="260"/>
      <c r="G252" s="260"/>
      <c r="I252" s="462">
        <v>12000</v>
      </c>
      <c r="J252" s="462">
        <v>5000</v>
      </c>
      <c r="K252" s="462">
        <v>64000</v>
      </c>
      <c r="L252" s="260"/>
      <c r="M252" s="260"/>
      <c r="O252">
        <f t="shared" si="29"/>
        <v>12000</v>
      </c>
      <c r="P252">
        <f t="shared" si="30"/>
        <v>6000</v>
      </c>
      <c r="Q252">
        <f t="shared" si="31"/>
        <v>18000</v>
      </c>
    </row>
    <row r="253" spans="2:17" x14ac:dyDescent="0.3">
      <c r="B253" s="206" t="s">
        <v>1085</v>
      </c>
      <c r="C253" s="462">
        <v>12000</v>
      </c>
      <c r="D253" s="462">
        <f t="shared" si="25"/>
        <v>6000</v>
      </c>
      <c r="E253" s="462">
        <f t="shared" si="28"/>
        <v>18000</v>
      </c>
      <c r="F253" s="260"/>
      <c r="G253" s="260"/>
      <c r="I253" s="462">
        <v>12000</v>
      </c>
      <c r="J253" s="462">
        <v>5000</v>
      </c>
      <c r="K253" s="462">
        <v>64000</v>
      </c>
      <c r="L253" s="260"/>
      <c r="M253" s="260"/>
      <c r="O253">
        <f t="shared" si="29"/>
        <v>12000</v>
      </c>
      <c r="P253">
        <f t="shared" si="30"/>
        <v>6000</v>
      </c>
      <c r="Q253">
        <f t="shared" si="31"/>
        <v>18000</v>
      </c>
    </row>
    <row r="254" spans="2:17" x14ac:dyDescent="0.3">
      <c r="B254" s="206" t="s">
        <v>1086</v>
      </c>
      <c r="C254" s="462">
        <v>12000</v>
      </c>
      <c r="D254" s="462">
        <f t="shared" si="25"/>
        <v>6000</v>
      </c>
      <c r="E254" s="462">
        <f t="shared" si="28"/>
        <v>18000</v>
      </c>
      <c r="F254" s="260"/>
      <c r="G254" s="260"/>
      <c r="I254" s="462">
        <v>12000</v>
      </c>
      <c r="J254" s="462">
        <v>5000</v>
      </c>
      <c r="K254" s="462">
        <v>64000</v>
      </c>
      <c r="L254" s="260"/>
      <c r="M254" s="260"/>
      <c r="O254">
        <f t="shared" si="29"/>
        <v>12000</v>
      </c>
      <c r="P254">
        <f t="shared" si="30"/>
        <v>6000</v>
      </c>
      <c r="Q254">
        <f t="shared" si="31"/>
        <v>18000</v>
      </c>
    </row>
    <row r="255" spans="2:17" x14ac:dyDescent="0.3">
      <c r="B255" s="206" t="s">
        <v>1087</v>
      </c>
      <c r="C255" s="462">
        <v>12000</v>
      </c>
      <c r="D255" s="462">
        <f t="shared" si="25"/>
        <v>6000</v>
      </c>
      <c r="E255" s="462">
        <f t="shared" si="28"/>
        <v>18000</v>
      </c>
      <c r="F255" s="260"/>
      <c r="G255" s="260"/>
      <c r="I255" s="462">
        <v>12000</v>
      </c>
      <c r="J255" s="462">
        <v>5000</v>
      </c>
      <c r="K255" s="462">
        <v>64000</v>
      </c>
      <c r="L255" s="260"/>
      <c r="M255" s="260"/>
      <c r="O255">
        <f t="shared" si="29"/>
        <v>12000</v>
      </c>
      <c r="P255">
        <f t="shared" si="30"/>
        <v>6000</v>
      </c>
      <c r="Q255">
        <f t="shared" si="31"/>
        <v>18000</v>
      </c>
    </row>
    <row r="256" spans="2:17" x14ac:dyDescent="0.3">
      <c r="B256" s="206" t="s">
        <v>1443</v>
      </c>
      <c r="C256" s="462">
        <v>12000</v>
      </c>
      <c r="D256" s="462">
        <f t="shared" si="25"/>
        <v>6000</v>
      </c>
      <c r="E256" s="462">
        <f t="shared" si="28"/>
        <v>18000</v>
      </c>
      <c r="F256" s="260"/>
      <c r="G256" s="260"/>
      <c r="I256" s="462">
        <v>12000</v>
      </c>
      <c r="J256" s="462">
        <v>5000</v>
      </c>
      <c r="K256" s="462">
        <v>64000</v>
      </c>
      <c r="L256" s="260"/>
      <c r="M256" s="260"/>
      <c r="O256">
        <f t="shared" si="29"/>
        <v>12000</v>
      </c>
      <c r="P256">
        <f t="shared" si="30"/>
        <v>6000</v>
      </c>
      <c r="Q256">
        <f t="shared" si="31"/>
        <v>18000</v>
      </c>
    </row>
    <row r="257" spans="2:17" x14ac:dyDescent="0.3">
      <c r="B257" s="207" t="s">
        <v>227</v>
      </c>
      <c r="C257" s="282"/>
      <c r="D257" s="282"/>
      <c r="E257" s="282"/>
      <c r="F257" s="260"/>
      <c r="G257" s="260"/>
      <c r="I257" s="282"/>
      <c r="J257" s="282"/>
      <c r="K257" s="282"/>
      <c r="L257" s="260"/>
      <c r="M257" s="260"/>
      <c r="O257"/>
      <c r="P257"/>
      <c r="Q257"/>
    </row>
    <row r="258" spans="2:17" x14ac:dyDescent="0.3">
      <c r="B258" s="206" t="s">
        <v>1437</v>
      </c>
      <c r="C258" s="462">
        <v>12000</v>
      </c>
      <c r="D258" s="462">
        <f t="shared" si="25"/>
        <v>6000</v>
      </c>
      <c r="E258" s="462">
        <f t="shared" ref="E258:E261" si="32">C258*1.5</f>
        <v>18000</v>
      </c>
      <c r="F258" s="260"/>
      <c r="G258" s="260"/>
      <c r="I258" s="462">
        <v>12000</v>
      </c>
      <c r="J258" s="462">
        <v>5000</v>
      </c>
      <c r="K258" s="462">
        <v>64000</v>
      </c>
      <c r="L258" s="260"/>
      <c r="M258" s="260"/>
      <c r="O258">
        <f t="shared" ref="O258:O261" si="33">IF(ISBLANK(C258),I258,C258)</f>
        <v>12000</v>
      </c>
      <c r="P258">
        <f t="shared" ref="P258:P261" si="34">IF(ISBLANK(D258),J258,D258)</f>
        <v>6000</v>
      </c>
      <c r="Q258">
        <f t="shared" ref="Q258:Q261" si="35">IF(ISBLANK(E258),K258,E258)</f>
        <v>18000</v>
      </c>
    </row>
    <row r="259" spans="2:17" x14ac:dyDescent="0.3">
      <c r="B259" s="206" t="s">
        <v>1438</v>
      </c>
      <c r="C259" s="462">
        <v>12000</v>
      </c>
      <c r="D259" s="462">
        <f t="shared" si="25"/>
        <v>6000</v>
      </c>
      <c r="E259" s="462">
        <f t="shared" si="32"/>
        <v>18000</v>
      </c>
      <c r="F259" s="260"/>
      <c r="G259" s="260"/>
      <c r="I259" s="462">
        <v>12000</v>
      </c>
      <c r="J259" s="462">
        <v>5000</v>
      </c>
      <c r="K259" s="462">
        <v>64000</v>
      </c>
      <c r="L259" s="260"/>
      <c r="M259" s="260"/>
      <c r="O259">
        <f t="shared" si="33"/>
        <v>12000</v>
      </c>
      <c r="P259">
        <f t="shared" si="34"/>
        <v>6000</v>
      </c>
      <c r="Q259">
        <f t="shared" si="35"/>
        <v>18000</v>
      </c>
    </row>
    <row r="260" spans="2:17" x14ac:dyDescent="0.3">
      <c r="B260" s="206" t="s">
        <v>1441</v>
      </c>
      <c r="C260" s="462">
        <v>12000</v>
      </c>
      <c r="D260" s="462">
        <f t="shared" si="25"/>
        <v>6000</v>
      </c>
      <c r="E260" s="462">
        <f t="shared" si="32"/>
        <v>18000</v>
      </c>
      <c r="F260" s="260"/>
      <c r="G260" s="260"/>
      <c r="I260" s="462">
        <v>12000</v>
      </c>
      <c r="J260" s="462">
        <v>5000</v>
      </c>
      <c r="K260" s="462">
        <v>64000</v>
      </c>
      <c r="L260" s="260"/>
      <c r="M260" s="260"/>
      <c r="O260">
        <f t="shared" si="33"/>
        <v>12000</v>
      </c>
      <c r="P260">
        <f t="shared" si="34"/>
        <v>6000</v>
      </c>
      <c r="Q260">
        <f t="shared" si="35"/>
        <v>18000</v>
      </c>
    </row>
    <row r="261" spans="2:17" x14ac:dyDescent="0.3">
      <c r="B261" s="206" t="s">
        <v>1442</v>
      </c>
      <c r="C261" s="462">
        <v>12000</v>
      </c>
      <c r="D261" s="462">
        <f t="shared" si="25"/>
        <v>6000</v>
      </c>
      <c r="E261" s="462">
        <f t="shared" si="32"/>
        <v>18000</v>
      </c>
      <c r="F261" s="260"/>
      <c r="G261" s="260"/>
      <c r="I261" s="462">
        <v>12000</v>
      </c>
      <c r="J261" s="462">
        <v>5000</v>
      </c>
      <c r="K261" s="462">
        <v>64000</v>
      </c>
      <c r="L261" s="260"/>
      <c r="M261" s="260"/>
      <c r="O261">
        <f t="shared" si="33"/>
        <v>12000</v>
      </c>
      <c r="P261">
        <f t="shared" si="34"/>
        <v>6000</v>
      </c>
      <c r="Q261">
        <f t="shared" si="35"/>
        <v>18000</v>
      </c>
    </row>
    <row r="262" spans="2:17" x14ac:dyDescent="0.3">
      <c r="B262" s="207" t="s">
        <v>920</v>
      </c>
      <c r="C262" s="282"/>
      <c r="D262" s="282"/>
      <c r="E262" s="282"/>
      <c r="F262" s="260"/>
      <c r="G262" s="260"/>
      <c r="I262" s="282"/>
      <c r="J262" s="282"/>
      <c r="K262" s="282"/>
      <c r="L262" s="260"/>
      <c r="M262" s="260"/>
      <c r="O262"/>
      <c r="P262"/>
      <c r="Q262"/>
    </row>
    <row r="263" spans="2:17" x14ac:dyDescent="0.3">
      <c r="B263" s="206" t="s">
        <v>920</v>
      </c>
      <c r="C263" s="462">
        <v>12000</v>
      </c>
      <c r="D263" s="462">
        <f t="shared" si="25"/>
        <v>6000</v>
      </c>
      <c r="E263" s="462">
        <f t="shared" ref="E263:E264" si="36">C263*1.5</f>
        <v>18000</v>
      </c>
      <c r="F263" s="260"/>
      <c r="G263" s="260"/>
      <c r="I263" s="462">
        <v>12000</v>
      </c>
      <c r="J263" s="462">
        <v>5000</v>
      </c>
      <c r="K263" s="462">
        <v>64000</v>
      </c>
      <c r="L263" s="260"/>
      <c r="M263" s="260"/>
      <c r="O263">
        <f t="shared" ref="O263:O264" si="37">IF(ISBLANK(C263),I263,C263)</f>
        <v>12000</v>
      </c>
      <c r="P263">
        <f t="shared" ref="P263:P264" si="38">IF(ISBLANK(D263),J263,D263)</f>
        <v>6000</v>
      </c>
      <c r="Q263">
        <f t="shared" ref="Q263:Q264" si="39">IF(ISBLANK(E263),K263,E263)</f>
        <v>18000</v>
      </c>
    </row>
    <row r="264" spans="2:17" x14ac:dyDescent="0.3">
      <c r="B264" s="206" t="s">
        <v>980</v>
      </c>
      <c r="C264" s="462">
        <v>12000</v>
      </c>
      <c r="D264" s="462">
        <f t="shared" si="25"/>
        <v>6000</v>
      </c>
      <c r="E264" s="462">
        <f t="shared" si="36"/>
        <v>18000</v>
      </c>
      <c r="F264" s="260"/>
      <c r="G264" s="260"/>
      <c r="I264" s="462">
        <v>12000</v>
      </c>
      <c r="J264" s="462">
        <v>5000</v>
      </c>
      <c r="K264" s="462">
        <v>64000</v>
      </c>
      <c r="L264" s="260"/>
      <c r="M264" s="260"/>
      <c r="O264">
        <f t="shared" si="37"/>
        <v>12000</v>
      </c>
      <c r="P264">
        <f t="shared" si="38"/>
        <v>6000</v>
      </c>
      <c r="Q264">
        <f t="shared" si="39"/>
        <v>18000</v>
      </c>
    </row>
    <row r="266" spans="2:17" ht="18.600000000000001" thickBot="1" x14ac:dyDescent="0.4">
      <c r="B266" s="573" t="s">
        <v>1528</v>
      </c>
      <c r="C266" s="786" t="s">
        <v>1480</v>
      </c>
      <c r="D266" s="786"/>
      <c r="E266" s="786"/>
      <c r="F266" s="786"/>
      <c r="G266" s="786"/>
      <c r="I266" s="786" t="s">
        <v>1480</v>
      </c>
      <c r="J266" s="786"/>
      <c r="K266" s="786"/>
      <c r="L266" s="786"/>
      <c r="M266" s="786"/>
    </row>
    <row r="267" spans="2:17" x14ac:dyDescent="0.3">
      <c r="B267" s="286"/>
      <c r="C267" s="214" t="s">
        <v>984</v>
      </c>
      <c r="D267" s="214" t="s">
        <v>985</v>
      </c>
      <c r="E267" s="214" t="s">
        <v>986</v>
      </c>
      <c r="F267" s="319" t="s">
        <v>592</v>
      </c>
      <c r="G267" s="215" t="s">
        <v>591</v>
      </c>
      <c r="I267" s="214" t="s">
        <v>984</v>
      </c>
      <c r="J267" s="214" t="s">
        <v>985</v>
      </c>
      <c r="K267" s="214" t="s">
        <v>986</v>
      </c>
      <c r="L267" s="319" t="s">
        <v>592</v>
      </c>
      <c r="M267" s="215" t="s">
        <v>591</v>
      </c>
      <c r="O267" s="214"/>
      <c r="P267" s="214" t="s">
        <v>985</v>
      </c>
      <c r="Q267" s="214" t="s">
        <v>986</v>
      </c>
    </row>
    <row r="268" spans="2:17" x14ac:dyDescent="0.3">
      <c r="B268" s="205" t="s">
        <v>1450</v>
      </c>
      <c r="C268" s="22"/>
      <c r="D268" s="214"/>
      <c r="E268" s="214"/>
    </row>
    <row r="269" spans="2:17" x14ac:dyDescent="0.3">
      <c r="B269" s="206" t="s">
        <v>1082</v>
      </c>
      <c r="C269" s="463">
        <v>0.15</v>
      </c>
      <c r="D269" s="463">
        <f>C269*0.5</f>
        <v>7.4999999999999997E-2</v>
      </c>
      <c r="E269" s="463">
        <f>C269*1.5</f>
        <v>0.22499999999999998</v>
      </c>
      <c r="F269" s="260"/>
      <c r="G269" s="260"/>
      <c r="I269" s="463">
        <v>0.15</v>
      </c>
      <c r="J269" s="463">
        <v>7.0000000000000007E-2</v>
      </c>
      <c r="K269" s="463">
        <v>7.6</v>
      </c>
      <c r="L269" s="260"/>
      <c r="M269" s="260"/>
      <c r="O269">
        <f>IF(ISBLANK(C269),I269,C269)</f>
        <v>0.15</v>
      </c>
      <c r="P269">
        <f t="shared" ref="P269:P275" si="40">IF(ISBLANK(D269),J269,D269)</f>
        <v>7.4999999999999997E-2</v>
      </c>
      <c r="Q269">
        <f t="shared" ref="Q269:Q275" si="41">IF(ISBLANK(E269),K269,E269)</f>
        <v>0.22499999999999998</v>
      </c>
    </row>
    <row r="270" spans="2:17" x14ac:dyDescent="0.3">
      <c r="B270" s="206" t="s">
        <v>1083</v>
      </c>
      <c r="C270" s="463">
        <v>0.15</v>
      </c>
      <c r="D270" s="463">
        <f t="shared" ref="D270:D291" si="42">C270*0.5</f>
        <v>7.4999999999999997E-2</v>
      </c>
      <c r="E270" s="463">
        <f t="shared" ref="E270:E275" si="43">C270*1.5</f>
        <v>0.22499999999999998</v>
      </c>
      <c r="F270" s="260"/>
      <c r="G270" s="260"/>
      <c r="I270" s="463">
        <v>0.15</v>
      </c>
      <c r="J270" s="463">
        <v>7.0000000000000007E-2</v>
      </c>
      <c r="K270" s="463">
        <v>7.6</v>
      </c>
      <c r="L270" s="260"/>
      <c r="M270" s="260"/>
      <c r="O270">
        <f t="shared" ref="O270:O275" si="44">IF(ISBLANK(C270),I270,C270)</f>
        <v>0.15</v>
      </c>
      <c r="P270">
        <f t="shared" si="40"/>
        <v>7.4999999999999997E-2</v>
      </c>
      <c r="Q270">
        <f t="shared" si="41"/>
        <v>0.22499999999999998</v>
      </c>
    </row>
    <row r="271" spans="2:17" x14ac:dyDescent="0.3">
      <c r="B271" s="206" t="s">
        <v>1084</v>
      </c>
      <c r="C271" s="463">
        <v>0.15</v>
      </c>
      <c r="D271" s="463">
        <f t="shared" si="42"/>
        <v>7.4999999999999997E-2</v>
      </c>
      <c r="E271" s="463">
        <f t="shared" si="43"/>
        <v>0.22499999999999998</v>
      </c>
      <c r="F271" s="260"/>
      <c r="G271" s="260"/>
      <c r="I271" s="463">
        <v>0.15</v>
      </c>
      <c r="J271" s="463">
        <v>7.0000000000000007E-2</v>
      </c>
      <c r="K271" s="463">
        <v>7.6</v>
      </c>
      <c r="L271" s="260"/>
      <c r="M271" s="260"/>
      <c r="O271">
        <f t="shared" si="44"/>
        <v>0.15</v>
      </c>
      <c r="P271">
        <f t="shared" si="40"/>
        <v>7.4999999999999997E-2</v>
      </c>
      <c r="Q271">
        <f t="shared" si="41"/>
        <v>0.22499999999999998</v>
      </c>
    </row>
    <row r="272" spans="2:17" x14ac:dyDescent="0.3">
      <c r="B272" s="206" t="s">
        <v>1085</v>
      </c>
      <c r="C272" s="463">
        <v>0.15</v>
      </c>
      <c r="D272" s="463">
        <f t="shared" si="42"/>
        <v>7.4999999999999997E-2</v>
      </c>
      <c r="E272" s="463">
        <f t="shared" si="43"/>
        <v>0.22499999999999998</v>
      </c>
      <c r="F272" s="260"/>
      <c r="G272" s="260"/>
      <c r="I272" s="463">
        <v>0.15</v>
      </c>
      <c r="J272" s="463">
        <v>7.0000000000000007E-2</v>
      </c>
      <c r="K272" s="463">
        <v>7.6</v>
      </c>
      <c r="L272" s="260"/>
      <c r="M272" s="260"/>
      <c r="O272">
        <f t="shared" si="44"/>
        <v>0.15</v>
      </c>
      <c r="P272">
        <f t="shared" si="40"/>
        <v>7.4999999999999997E-2</v>
      </c>
      <c r="Q272">
        <f t="shared" si="41"/>
        <v>0.22499999999999998</v>
      </c>
    </row>
    <row r="273" spans="2:17" x14ac:dyDescent="0.3">
      <c r="B273" s="206" t="s">
        <v>1086</v>
      </c>
      <c r="C273" s="463">
        <v>0.15</v>
      </c>
      <c r="D273" s="463">
        <f t="shared" si="42"/>
        <v>7.4999999999999997E-2</v>
      </c>
      <c r="E273" s="463">
        <f t="shared" si="43"/>
        <v>0.22499999999999998</v>
      </c>
      <c r="F273" s="260"/>
      <c r="G273" s="260"/>
      <c r="I273" s="463">
        <v>0.15</v>
      </c>
      <c r="J273" s="463">
        <v>7.0000000000000007E-2</v>
      </c>
      <c r="K273" s="463">
        <v>7.6</v>
      </c>
      <c r="L273" s="260"/>
      <c r="M273" s="260"/>
      <c r="O273">
        <f t="shared" si="44"/>
        <v>0.15</v>
      </c>
      <c r="P273">
        <f t="shared" si="40"/>
        <v>7.4999999999999997E-2</v>
      </c>
      <c r="Q273">
        <f t="shared" si="41"/>
        <v>0.22499999999999998</v>
      </c>
    </row>
    <row r="274" spans="2:17" x14ac:dyDescent="0.3">
      <c r="B274" s="206" t="s">
        <v>1087</v>
      </c>
      <c r="C274" s="463">
        <v>0.15</v>
      </c>
      <c r="D274" s="463">
        <f t="shared" si="42"/>
        <v>7.4999999999999997E-2</v>
      </c>
      <c r="E274" s="463">
        <f t="shared" si="43"/>
        <v>0.22499999999999998</v>
      </c>
      <c r="F274" s="260"/>
      <c r="G274" s="260"/>
      <c r="I274" s="463">
        <v>0.15</v>
      </c>
      <c r="J274" s="463">
        <v>7.0000000000000007E-2</v>
      </c>
      <c r="K274" s="463">
        <v>7.6</v>
      </c>
      <c r="L274" s="260"/>
      <c r="M274" s="260"/>
      <c r="O274">
        <f t="shared" si="44"/>
        <v>0.15</v>
      </c>
      <c r="P274">
        <f t="shared" si="40"/>
        <v>7.4999999999999997E-2</v>
      </c>
      <c r="Q274">
        <f t="shared" si="41"/>
        <v>0.22499999999999998</v>
      </c>
    </row>
    <row r="275" spans="2:17" x14ac:dyDescent="0.3">
      <c r="B275" s="206" t="s">
        <v>1443</v>
      </c>
      <c r="C275" s="463">
        <v>0.15</v>
      </c>
      <c r="D275" s="463">
        <f t="shared" si="42"/>
        <v>7.4999999999999997E-2</v>
      </c>
      <c r="E275" s="463">
        <f t="shared" si="43"/>
        <v>0.22499999999999998</v>
      </c>
      <c r="F275" s="260"/>
      <c r="G275" s="260"/>
      <c r="I275" s="463">
        <v>0.15</v>
      </c>
      <c r="J275" s="463">
        <v>7.0000000000000007E-2</v>
      </c>
      <c r="K275" s="463">
        <v>7.6</v>
      </c>
      <c r="L275" s="260"/>
      <c r="M275" s="260"/>
      <c r="O275">
        <f t="shared" si="44"/>
        <v>0.15</v>
      </c>
      <c r="P275">
        <f t="shared" si="40"/>
        <v>7.4999999999999997E-2</v>
      </c>
      <c r="Q275">
        <f t="shared" si="41"/>
        <v>0.22499999999999998</v>
      </c>
    </row>
    <row r="276" spans="2:17" x14ac:dyDescent="0.3">
      <c r="B276" s="205" t="s">
        <v>1444</v>
      </c>
      <c r="C276" s="464"/>
      <c r="D276" s="464"/>
      <c r="E276" s="464"/>
      <c r="I276" s="464"/>
      <c r="J276" s="464"/>
      <c r="K276" s="464"/>
      <c r="O276"/>
      <c r="P276"/>
      <c r="Q276"/>
    </row>
    <row r="277" spans="2:17" x14ac:dyDescent="0.3">
      <c r="B277" s="206" t="s">
        <v>1082</v>
      </c>
      <c r="C277" s="463">
        <v>0.15</v>
      </c>
      <c r="D277" s="463">
        <f t="shared" si="42"/>
        <v>7.4999999999999997E-2</v>
      </c>
      <c r="E277" s="463">
        <f t="shared" ref="E277:E283" si="45">C277*1.5</f>
        <v>0.22499999999999998</v>
      </c>
      <c r="F277" s="260"/>
      <c r="G277" s="260"/>
      <c r="I277" s="463">
        <v>0.15</v>
      </c>
      <c r="J277" s="463">
        <v>7.0000000000000007E-2</v>
      </c>
      <c r="K277" s="463">
        <v>7.6</v>
      </c>
      <c r="L277" s="260"/>
      <c r="M277" s="260"/>
      <c r="O277">
        <f t="shared" ref="O277:O283" si="46">IF(ISBLANK(C277),I277,C277)</f>
        <v>0.15</v>
      </c>
      <c r="P277">
        <f t="shared" ref="P277:P283" si="47">IF(ISBLANK(D277),J277,D277)</f>
        <v>7.4999999999999997E-2</v>
      </c>
      <c r="Q277">
        <f t="shared" ref="Q277:Q283" si="48">IF(ISBLANK(E277),K277,E277)</f>
        <v>0.22499999999999998</v>
      </c>
    </row>
    <row r="278" spans="2:17" x14ac:dyDescent="0.3">
      <c r="B278" s="206" t="s">
        <v>1083</v>
      </c>
      <c r="C278" s="463">
        <v>0.15</v>
      </c>
      <c r="D278" s="463">
        <f t="shared" si="42"/>
        <v>7.4999999999999997E-2</v>
      </c>
      <c r="E278" s="463">
        <f t="shared" si="45"/>
        <v>0.22499999999999998</v>
      </c>
      <c r="F278" s="260"/>
      <c r="G278" s="260"/>
      <c r="I278" s="463">
        <v>0.15</v>
      </c>
      <c r="J278" s="463">
        <v>7.0000000000000007E-2</v>
      </c>
      <c r="K278" s="463">
        <v>7.6</v>
      </c>
      <c r="L278" s="260"/>
      <c r="M278" s="260"/>
      <c r="O278">
        <f t="shared" si="46"/>
        <v>0.15</v>
      </c>
      <c r="P278">
        <f t="shared" si="47"/>
        <v>7.4999999999999997E-2</v>
      </c>
      <c r="Q278">
        <f t="shared" si="48"/>
        <v>0.22499999999999998</v>
      </c>
    </row>
    <row r="279" spans="2:17" x14ac:dyDescent="0.3">
      <c r="B279" s="206" t="s">
        <v>1084</v>
      </c>
      <c r="C279" s="463">
        <v>0.15</v>
      </c>
      <c r="D279" s="463">
        <f t="shared" si="42"/>
        <v>7.4999999999999997E-2</v>
      </c>
      <c r="E279" s="463">
        <f t="shared" si="45"/>
        <v>0.22499999999999998</v>
      </c>
      <c r="F279" s="260"/>
      <c r="G279" s="260"/>
      <c r="I279" s="463">
        <v>0.15</v>
      </c>
      <c r="J279" s="463">
        <v>7.0000000000000007E-2</v>
      </c>
      <c r="K279" s="463">
        <v>7.6</v>
      </c>
      <c r="L279" s="260"/>
      <c r="M279" s="260"/>
      <c r="O279">
        <f t="shared" si="46"/>
        <v>0.15</v>
      </c>
      <c r="P279">
        <f t="shared" si="47"/>
        <v>7.4999999999999997E-2</v>
      </c>
      <c r="Q279">
        <f t="shared" si="48"/>
        <v>0.22499999999999998</v>
      </c>
    </row>
    <row r="280" spans="2:17" x14ac:dyDescent="0.3">
      <c r="B280" s="206" t="s">
        <v>1085</v>
      </c>
      <c r="C280" s="463">
        <v>0.15</v>
      </c>
      <c r="D280" s="463">
        <f t="shared" si="42"/>
        <v>7.4999999999999997E-2</v>
      </c>
      <c r="E280" s="463">
        <f t="shared" si="45"/>
        <v>0.22499999999999998</v>
      </c>
      <c r="F280" s="260"/>
      <c r="G280" s="260"/>
      <c r="I280" s="463">
        <v>0.15</v>
      </c>
      <c r="J280" s="463">
        <v>7.0000000000000007E-2</v>
      </c>
      <c r="K280" s="463">
        <v>7.6</v>
      </c>
      <c r="L280" s="260"/>
      <c r="M280" s="260"/>
      <c r="O280">
        <f t="shared" si="46"/>
        <v>0.15</v>
      </c>
      <c r="P280">
        <f t="shared" si="47"/>
        <v>7.4999999999999997E-2</v>
      </c>
      <c r="Q280">
        <f t="shared" si="48"/>
        <v>0.22499999999999998</v>
      </c>
    </row>
    <row r="281" spans="2:17" x14ac:dyDescent="0.3">
      <c r="B281" s="206" t="s">
        <v>1086</v>
      </c>
      <c r="C281" s="463">
        <v>0.15</v>
      </c>
      <c r="D281" s="463">
        <f t="shared" si="42"/>
        <v>7.4999999999999997E-2</v>
      </c>
      <c r="E281" s="463">
        <f t="shared" si="45"/>
        <v>0.22499999999999998</v>
      </c>
      <c r="F281" s="260"/>
      <c r="G281" s="260"/>
      <c r="I281" s="463">
        <v>0.15</v>
      </c>
      <c r="J281" s="463">
        <v>7.0000000000000007E-2</v>
      </c>
      <c r="K281" s="463">
        <v>7.6</v>
      </c>
      <c r="L281" s="260"/>
      <c r="M281" s="260"/>
      <c r="O281">
        <f t="shared" si="46"/>
        <v>0.15</v>
      </c>
      <c r="P281">
        <f t="shared" si="47"/>
        <v>7.4999999999999997E-2</v>
      </c>
      <c r="Q281">
        <f t="shared" si="48"/>
        <v>0.22499999999999998</v>
      </c>
    </row>
    <row r="282" spans="2:17" x14ac:dyDescent="0.3">
      <c r="B282" s="206" t="s">
        <v>1087</v>
      </c>
      <c r="C282" s="463">
        <v>0.15</v>
      </c>
      <c r="D282" s="463">
        <f t="shared" si="42"/>
        <v>7.4999999999999997E-2</v>
      </c>
      <c r="E282" s="463">
        <f t="shared" si="45"/>
        <v>0.22499999999999998</v>
      </c>
      <c r="F282" s="260"/>
      <c r="G282" s="260"/>
      <c r="I282" s="463">
        <v>0.15</v>
      </c>
      <c r="J282" s="463">
        <v>7.0000000000000007E-2</v>
      </c>
      <c r="K282" s="463">
        <v>7.6</v>
      </c>
      <c r="L282" s="260"/>
      <c r="M282" s="260"/>
      <c r="O282">
        <f t="shared" si="46"/>
        <v>0.15</v>
      </c>
      <c r="P282">
        <f t="shared" si="47"/>
        <v>7.4999999999999997E-2</v>
      </c>
      <c r="Q282">
        <f t="shared" si="48"/>
        <v>0.22499999999999998</v>
      </c>
    </row>
    <row r="283" spans="2:17" x14ac:dyDescent="0.3">
      <c r="B283" s="206" t="s">
        <v>1443</v>
      </c>
      <c r="C283" s="463">
        <v>0.15</v>
      </c>
      <c r="D283" s="463">
        <f t="shared" si="42"/>
        <v>7.4999999999999997E-2</v>
      </c>
      <c r="E283" s="463">
        <f t="shared" si="45"/>
        <v>0.22499999999999998</v>
      </c>
      <c r="F283" s="260"/>
      <c r="G283" s="260"/>
      <c r="I283" s="463">
        <v>0.15</v>
      </c>
      <c r="J283" s="463">
        <v>7.0000000000000007E-2</v>
      </c>
      <c r="K283" s="463">
        <v>7.6</v>
      </c>
      <c r="L283" s="260"/>
      <c r="M283" s="260"/>
      <c r="O283">
        <f t="shared" si="46"/>
        <v>0.15</v>
      </c>
      <c r="P283">
        <f t="shared" si="47"/>
        <v>7.4999999999999997E-2</v>
      </c>
      <c r="Q283">
        <f t="shared" si="48"/>
        <v>0.22499999999999998</v>
      </c>
    </row>
    <row r="284" spans="2:17" x14ac:dyDescent="0.3">
      <c r="B284" s="207" t="s">
        <v>227</v>
      </c>
      <c r="C284" s="465"/>
      <c r="D284" s="465"/>
      <c r="E284" s="465"/>
      <c r="F284" s="260"/>
      <c r="G284" s="260"/>
      <c r="I284" s="465"/>
      <c r="J284" s="465"/>
      <c r="K284" s="465"/>
      <c r="L284" s="260"/>
      <c r="M284" s="260"/>
      <c r="O284"/>
      <c r="P284"/>
      <c r="Q284"/>
    </row>
    <row r="285" spans="2:17" x14ac:dyDescent="0.3">
      <c r="B285" s="206" t="s">
        <v>1437</v>
      </c>
      <c r="C285" s="463">
        <v>0.15</v>
      </c>
      <c r="D285" s="463">
        <f t="shared" si="42"/>
        <v>7.4999999999999997E-2</v>
      </c>
      <c r="E285" s="463">
        <f t="shared" ref="E285:E288" si="49">C285*1.5</f>
        <v>0.22499999999999998</v>
      </c>
      <c r="F285" s="260"/>
      <c r="G285" s="260"/>
      <c r="I285" s="463">
        <v>0.15</v>
      </c>
      <c r="J285" s="463">
        <v>7.0000000000000007E-2</v>
      </c>
      <c r="K285" s="463">
        <v>7.6</v>
      </c>
      <c r="L285" s="260"/>
      <c r="M285" s="260"/>
      <c r="O285">
        <f t="shared" ref="O285:O288" si="50">IF(ISBLANK(C285),I285,C285)</f>
        <v>0.15</v>
      </c>
      <c r="P285">
        <f t="shared" ref="P285:P288" si="51">IF(ISBLANK(D285),J285,D285)</f>
        <v>7.4999999999999997E-2</v>
      </c>
      <c r="Q285">
        <f t="shared" ref="Q285:Q288" si="52">IF(ISBLANK(E285),K285,E285)</f>
        <v>0.22499999999999998</v>
      </c>
    </row>
    <row r="286" spans="2:17" x14ac:dyDescent="0.3">
      <c r="B286" s="206" t="s">
        <v>1438</v>
      </c>
      <c r="C286" s="463">
        <v>0.15</v>
      </c>
      <c r="D286" s="463">
        <f t="shared" si="42"/>
        <v>7.4999999999999997E-2</v>
      </c>
      <c r="E286" s="463">
        <f t="shared" si="49"/>
        <v>0.22499999999999998</v>
      </c>
      <c r="F286" s="260"/>
      <c r="G286" s="260"/>
      <c r="I286" s="463">
        <v>0.15</v>
      </c>
      <c r="J286" s="463">
        <v>7.0000000000000007E-2</v>
      </c>
      <c r="K286" s="463">
        <v>7.6</v>
      </c>
      <c r="L286" s="260"/>
      <c r="M286" s="260"/>
      <c r="O286">
        <f t="shared" si="50"/>
        <v>0.15</v>
      </c>
      <c r="P286">
        <f t="shared" si="51"/>
        <v>7.4999999999999997E-2</v>
      </c>
      <c r="Q286">
        <f t="shared" si="52"/>
        <v>0.22499999999999998</v>
      </c>
    </row>
    <row r="287" spans="2:17" x14ac:dyDescent="0.3">
      <c r="B287" s="206" t="s">
        <v>1441</v>
      </c>
      <c r="C287" s="463">
        <v>0.15</v>
      </c>
      <c r="D287" s="463">
        <f t="shared" si="42"/>
        <v>7.4999999999999997E-2</v>
      </c>
      <c r="E287" s="463">
        <f t="shared" si="49"/>
        <v>0.22499999999999998</v>
      </c>
      <c r="F287" s="260"/>
      <c r="G287" s="260"/>
      <c r="I287" s="463">
        <v>0.15</v>
      </c>
      <c r="J287" s="463">
        <v>7.0000000000000007E-2</v>
      </c>
      <c r="K287" s="463">
        <v>7.6</v>
      </c>
      <c r="L287" s="260"/>
      <c r="M287" s="260"/>
      <c r="O287">
        <f t="shared" si="50"/>
        <v>0.15</v>
      </c>
      <c r="P287">
        <f t="shared" si="51"/>
        <v>7.4999999999999997E-2</v>
      </c>
      <c r="Q287">
        <f t="shared" si="52"/>
        <v>0.22499999999999998</v>
      </c>
    </row>
    <row r="288" spans="2:17" x14ac:dyDescent="0.3">
      <c r="B288" s="206" t="s">
        <v>1442</v>
      </c>
      <c r="C288" s="463">
        <v>0.15</v>
      </c>
      <c r="D288" s="463">
        <f t="shared" si="42"/>
        <v>7.4999999999999997E-2</v>
      </c>
      <c r="E288" s="463">
        <f t="shared" si="49"/>
        <v>0.22499999999999998</v>
      </c>
      <c r="F288" s="260"/>
      <c r="G288" s="260"/>
      <c r="I288" s="463">
        <v>0.15</v>
      </c>
      <c r="J288" s="463">
        <v>7.0000000000000007E-2</v>
      </c>
      <c r="K288" s="463">
        <v>7.6</v>
      </c>
      <c r="L288" s="260"/>
      <c r="M288" s="260"/>
      <c r="O288">
        <f t="shared" si="50"/>
        <v>0.15</v>
      </c>
      <c r="P288">
        <f t="shared" si="51"/>
        <v>7.4999999999999997E-2</v>
      </c>
      <c r="Q288">
        <f t="shared" si="52"/>
        <v>0.22499999999999998</v>
      </c>
    </row>
    <row r="289" spans="2:17" x14ac:dyDescent="0.3">
      <c r="B289" s="207" t="s">
        <v>920</v>
      </c>
      <c r="C289" s="465"/>
      <c r="D289" s="465"/>
      <c r="E289" s="465"/>
      <c r="F289" s="260"/>
      <c r="G289" s="260"/>
      <c r="I289" s="465"/>
      <c r="J289" s="465"/>
      <c r="K289" s="465"/>
      <c r="L289" s="260"/>
      <c r="M289" s="260"/>
      <c r="O289"/>
      <c r="P289"/>
      <c r="Q289"/>
    </row>
    <row r="290" spans="2:17" x14ac:dyDescent="0.3">
      <c r="B290" s="206" t="s">
        <v>920</v>
      </c>
      <c r="C290" s="463">
        <v>0.15</v>
      </c>
      <c r="D290" s="463">
        <f t="shared" si="42"/>
        <v>7.4999999999999997E-2</v>
      </c>
      <c r="E290" s="463">
        <f t="shared" ref="E290:E291" si="53">C290*1.5</f>
        <v>0.22499999999999998</v>
      </c>
      <c r="F290" s="260"/>
      <c r="G290" s="260"/>
      <c r="I290" s="463">
        <v>0.15</v>
      </c>
      <c r="J290" s="463">
        <v>7.0000000000000007E-2</v>
      </c>
      <c r="K290" s="463">
        <v>7.6</v>
      </c>
      <c r="L290" s="260"/>
      <c r="M290" s="260"/>
      <c r="O290">
        <f t="shared" ref="O290:O291" si="54">IF(ISBLANK(C290),I290,C290)</f>
        <v>0.15</v>
      </c>
      <c r="P290">
        <f t="shared" ref="P290:P291" si="55">IF(ISBLANK(D290),J290,D290)</f>
        <v>7.4999999999999997E-2</v>
      </c>
      <c r="Q290">
        <f t="shared" ref="Q290:Q291" si="56">IF(ISBLANK(E290),K290,E290)</f>
        <v>0.22499999999999998</v>
      </c>
    </row>
    <row r="291" spans="2:17" x14ac:dyDescent="0.3">
      <c r="B291" s="206" t="s">
        <v>980</v>
      </c>
      <c r="C291" s="463">
        <v>0.15</v>
      </c>
      <c r="D291" s="463">
        <f t="shared" si="42"/>
        <v>7.4999999999999997E-2</v>
      </c>
      <c r="E291" s="463">
        <f t="shared" si="53"/>
        <v>0.22499999999999998</v>
      </c>
      <c r="F291" s="260"/>
      <c r="G291" s="260"/>
      <c r="I291" s="463">
        <v>0.15</v>
      </c>
      <c r="J291" s="463">
        <v>7.0000000000000007E-2</v>
      </c>
      <c r="K291" s="463">
        <v>7.6</v>
      </c>
      <c r="L291" s="260"/>
      <c r="M291" s="260"/>
      <c r="O291">
        <f t="shared" si="54"/>
        <v>0.15</v>
      </c>
      <c r="P291">
        <f t="shared" si="55"/>
        <v>7.4999999999999997E-2</v>
      </c>
      <c r="Q291">
        <f t="shared" si="56"/>
        <v>0.22499999999999998</v>
      </c>
    </row>
  </sheetData>
  <mergeCells count="32">
    <mergeCell ref="B238:G238"/>
    <mergeCell ref="I238:M238"/>
    <mergeCell ref="C239:G239"/>
    <mergeCell ref="I239:M239"/>
    <mergeCell ref="C266:G266"/>
    <mergeCell ref="I266:M266"/>
    <mergeCell ref="C154:G154"/>
    <mergeCell ref="I10:M10"/>
    <mergeCell ref="B68:G68"/>
    <mergeCell ref="I68:M68"/>
    <mergeCell ref="B126:G126"/>
    <mergeCell ref="I126:M126"/>
    <mergeCell ref="I69:M69"/>
    <mergeCell ref="C127:G127"/>
    <mergeCell ref="C11:G11"/>
    <mergeCell ref="I127:M127"/>
    <mergeCell ref="I154:M154"/>
    <mergeCell ref="I96:M96"/>
    <mergeCell ref="I11:M11"/>
    <mergeCell ref="I38:M38"/>
    <mergeCell ref="C5:E5"/>
    <mergeCell ref="C6:E6"/>
    <mergeCell ref="C69:G69"/>
    <mergeCell ref="C38:G38"/>
    <mergeCell ref="C96:G96"/>
    <mergeCell ref="B10:G10"/>
    <mergeCell ref="B183:G183"/>
    <mergeCell ref="I183:M183"/>
    <mergeCell ref="C184:G184"/>
    <mergeCell ref="I184:M184"/>
    <mergeCell ref="C211:G211"/>
    <mergeCell ref="I211:M211"/>
  </mergeCells>
  <dataValidations disablePrompts="1" count="1">
    <dataValidation allowBlank="1" showDropDown="1" showInputMessage="1" showErrorMessage="1" sqref="H37:H67" xr:uid="{00000000-0002-0000-0800-00000000000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FFCC"/>
  </sheetPr>
  <dimension ref="A1:Q315"/>
  <sheetViews>
    <sheetView zoomScale="80" zoomScaleNormal="80" workbookViewId="0">
      <pane ySplit="2" topLeftCell="A150" activePane="bottomLeft" state="frozen"/>
      <selection activeCell="C101" sqref="C101"/>
      <selection pane="bottomLeft" activeCell="C143" sqref="C143"/>
    </sheetView>
  </sheetViews>
  <sheetFormatPr defaultColWidth="9.109375" defaultRowHeight="14.4" zeroHeight="1" x14ac:dyDescent="0.3"/>
  <cols>
    <col min="1" max="1" width="9.109375" customWidth="1"/>
    <col min="2" max="2" width="24" customWidth="1"/>
    <col min="3" max="3" width="12.88671875" customWidth="1"/>
    <col min="4" max="4" width="13.33203125" customWidth="1"/>
    <col min="5" max="5" width="12.6640625" customWidth="1"/>
    <col min="6" max="6" width="13.109375" customWidth="1"/>
    <col min="7" max="7" width="16.88671875" customWidth="1"/>
    <col min="8" max="8" width="12" customWidth="1"/>
    <col min="9" max="9" width="14" customWidth="1"/>
    <col min="10" max="10" width="16.88671875" customWidth="1"/>
    <col min="11" max="14" width="9.109375" customWidth="1"/>
    <col min="15" max="15" width="8.88671875" customWidth="1"/>
    <col min="16" max="16" width="9.6640625" customWidth="1"/>
    <col min="17" max="17" width="7.6640625" customWidth="1"/>
  </cols>
  <sheetData>
    <row r="1" spans="1:17" ht="36.9" customHeight="1" x14ac:dyDescent="0.5">
      <c r="A1" s="204"/>
      <c r="B1" s="217" t="s">
        <v>1058</v>
      </c>
      <c r="C1" s="204"/>
      <c r="D1" s="204"/>
      <c r="E1" s="204"/>
      <c r="F1" s="204"/>
      <c r="G1" s="204"/>
      <c r="H1" s="204"/>
      <c r="I1" s="204"/>
    </row>
    <row r="2" spans="1:17" ht="29.4" customHeight="1" x14ac:dyDescent="0.4">
      <c r="A2" s="204"/>
      <c r="B2" s="317" t="s">
        <v>1068</v>
      </c>
      <c r="C2" s="317"/>
      <c r="D2" s="317"/>
      <c r="E2" s="317"/>
      <c r="F2" s="317"/>
      <c r="G2" s="317"/>
      <c r="H2" s="317"/>
      <c r="I2" s="204"/>
      <c r="Q2" s="93"/>
    </row>
    <row r="3" spans="1:17" x14ac:dyDescent="0.3">
      <c r="A3" s="204"/>
      <c r="B3" s="204"/>
      <c r="C3" s="204"/>
      <c r="D3" s="204"/>
      <c r="E3" s="204"/>
      <c r="F3" s="204"/>
      <c r="G3" s="204"/>
      <c r="H3" s="204"/>
      <c r="I3" s="204"/>
      <c r="Q3" s="93"/>
    </row>
    <row r="4" spans="1:17" x14ac:dyDescent="0.3">
      <c r="A4" s="204"/>
      <c r="B4" s="204" t="s">
        <v>1065</v>
      </c>
      <c r="C4" s="215"/>
      <c r="D4" s="215"/>
      <c r="E4" s="204"/>
      <c r="F4" s="204"/>
      <c r="G4" s="204"/>
      <c r="H4" s="204"/>
      <c r="I4" s="204"/>
      <c r="Q4" s="93"/>
    </row>
    <row r="5" spans="1:17" x14ac:dyDescent="0.3">
      <c r="A5" s="204"/>
      <c r="B5" s="318" t="s">
        <v>586</v>
      </c>
      <c r="C5" s="783" t="str">
        <f>'General input'!$C$4</f>
        <v>South Africa</v>
      </c>
      <c r="D5" s="784"/>
      <c r="E5" s="785"/>
      <c r="F5" s="204"/>
      <c r="G5" s="204"/>
      <c r="H5" s="204"/>
      <c r="I5" s="204"/>
      <c r="Q5" s="93"/>
    </row>
    <row r="6" spans="1:17" x14ac:dyDescent="0.3">
      <c r="A6" s="204"/>
      <c r="B6" s="318" t="s">
        <v>987</v>
      </c>
      <c r="C6" s="783" t="str">
        <f>VLOOKUP('General input'!$U$20,'General input'!$R$20:S25,2)</f>
        <v>Children (0.5-5 years)</v>
      </c>
      <c r="D6" s="784"/>
      <c r="E6" s="785"/>
      <c r="F6" s="204"/>
      <c r="G6" s="204"/>
      <c r="H6" s="204"/>
      <c r="I6" s="204"/>
      <c r="Q6" s="93"/>
    </row>
    <row r="7" spans="1:17" x14ac:dyDescent="0.3">
      <c r="A7" s="204"/>
      <c r="B7" s="261"/>
      <c r="C7" s="262"/>
      <c r="D7" s="263"/>
      <c r="E7" s="204"/>
      <c r="F7" s="204"/>
      <c r="G7" s="204"/>
      <c r="H7" s="204"/>
      <c r="I7" s="204"/>
    </row>
    <row r="8" spans="1:17" x14ac:dyDescent="0.3">
      <c r="A8" s="204"/>
      <c r="B8" s="236" t="s">
        <v>1069</v>
      </c>
      <c r="C8" s="262"/>
      <c r="D8" s="263"/>
      <c r="E8" s="204"/>
      <c r="F8" s="204"/>
      <c r="G8" s="204"/>
      <c r="H8" s="204"/>
      <c r="I8" s="204"/>
    </row>
    <row r="9" spans="1:17" x14ac:dyDescent="0.3">
      <c r="A9" s="204"/>
      <c r="B9" s="236"/>
      <c r="C9" s="262"/>
      <c r="D9" s="263"/>
      <c r="E9" s="204"/>
      <c r="F9" s="204"/>
      <c r="G9" s="204"/>
      <c r="H9" s="204"/>
      <c r="I9" s="204"/>
    </row>
    <row r="10" spans="1:17" x14ac:dyDescent="0.3">
      <c r="A10" s="204"/>
      <c r="B10" s="781" t="s">
        <v>1095</v>
      </c>
      <c r="C10" s="781"/>
      <c r="D10" s="781"/>
      <c r="E10" s="781"/>
      <c r="F10" s="781"/>
      <c r="G10" s="781"/>
      <c r="H10" s="204"/>
      <c r="I10" s="787" t="s">
        <v>1096</v>
      </c>
      <c r="J10" s="787"/>
      <c r="K10" s="787"/>
      <c r="L10" s="787"/>
      <c r="M10" s="787"/>
      <c r="O10" s="84" t="s">
        <v>1097</v>
      </c>
      <c r="P10" s="84"/>
      <c r="Q10" s="84"/>
    </row>
    <row r="11" spans="1:17" ht="18.600000000000001" thickBot="1" x14ac:dyDescent="0.4">
      <c r="A11" s="204"/>
      <c r="B11" s="215"/>
      <c r="C11" s="786" t="s">
        <v>1385</v>
      </c>
      <c r="D11" s="786"/>
      <c r="E11" s="786"/>
      <c r="F11" s="786"/>
      <c r="G11" s="786"/>
      <c r="H11" s="204"/>
      <c r="I11" s="786" t="s">
        <v>1385</v>
      </c>
      <c r="J11" s="786"/>
      <c r="K11" s="786"/>
      <c r="L11" s="786"/>
      <c r="M11" s="786"/>
      <c r="N11" s="204"/>
      <c r="O11" s="204"/>
    </row>
    <row r="12" spans="1:17" ht="19.5" customHeight="1" x14ac:dyDescent="0.3">
      <c r="A12" s="204"/>
      <c r="B12" s="215"/>
      <c r="C12" s="237" t="s">
        <v>1492</v>
      </c>
      <c r="D12" s="214" t="s">
        <v>985</v>
      </c>
      <c r="E12" s="214" t="s">
        <v>986</v>
      </c>
      <c r="F12" s="319" t="s">
        <v>592</v>
      </c>
      <c r="G12" s="215" t="s">
        <v>591</v>
      </c>
      <c r="I12" s="237" t="s">
        <v>1492</v>
      </c>
      <c r="J12" s="214" t="s">
        <v>985</v>
      </c>
      <c r="K12" s="214" t="s">
        <v>986</v>
      </c>
      <c r="L12" s="319" t="s">
        <v>592</v>
      </c>
      <c r="M12" s="215" t="s">
        <v>591</v>
      </c>
      <c r="O12" s="237" t="s">
        <v>1382</v>
      </c>
      <c r="P12" s="214" t="s">
        <v>985</v>
      </c>
      <c r="Q12" s="214" t="s">
        <v>986</v>
      </c>
    </row>
    <row r="13" spans="1:17" x14ac:dyDescent="0.3">
      <c r="A13" s="204"/>
      <c r="B13" s="205" t="s">
        <v>1450</v>
      </c>
      <c r="C13" s="265"/>
      <c r="D13" s="265"/>
      <c r="E13" s="266"/>
      <c r="F13" s="210"/>
      <c r="G13" s="204"/>
      <c r="I13" s="204"/>
    </row>
    <row r="14" spans="1:17" x14ac:dyDescent="0.3">
      <c r="A14" s="204"/>
      <c r="B14" s="206" t="s">
        <v>1082</v>
      </c>
      <c r="C14" s="91">
        <v>8.9999999999999993E-3</v>
      </c>
      <c r="D14" s="91">
        <v>7.0000000000000001E-3</v>
      </c>
      <c r="E14" s="92">
        <v>1.0999999999999999E-2</v>
      </c>
      <c r="F14" s="11" t="s">
        <v>595</v>
      </c>
      <c r="G14" s="204"/>
      <c r="I14" s="91">
        <v>8.9999999999999993E-3</v>
      </c>
      <c r="J14" s="91">
        <v>7.0000000000000001E-3</v>
      </c>
      <c r="K14" s="92">
        <v>1.0999999999999999E-2</v>
      </c>
      <c r="L14" s="11" t="s">
        <v>595</v>
      </c>
      <c r="M14" s="204"/>
      <c r="O14">
        <f t="shared" ref="O14:Q20" si="0">IF(ISBLANK(C14),I14,C14)</f>
        <v>8.9999999999999993E-3</v>
      </c>
      <c r="P14">
        <f t="shared" si="0"/>
        <v>7.0000000000000001E-3</v>
      </c>
      <c r="Q14">
        <f t="shared" si="0"/>
        <v>1.0999999999999999E-2</v>
      </c>
    </row>
    <row r="15" spans="1:17" x14ac:dyDescent="0.3">
      <c r="A15" s="204"/>
      <c r="B15" s="206" t="s">
        <v>1083</v>
      </c>
      <c r="C15" s="91">
        <v>8.9999999999999993E-3</v>
      </c>
      <c r="D15" s="91">
        <v>7.0000000000000001E-3</v>
      </c>
      <c r="E15" s="92">
        <v>1.0999999999999999E-2</v>
      </c>
      <c r="F15" s="11" t="s">
        <v>595</v>
      </c>
      <c r="G15" s="204"/>
      <c r="I15" s="91">
        <v>8.9999999999999993E-3</v>
      </c>
      <c r="J15" s="91">
        <v>7.0000000000000001E-3</v>
      </c>
      <c r="K15" s="92">
        <v>1.0999999999999999E-2</v>
      </c>
      <c r="L15" s="11" t="s">
        <v>595</v>
      </c>
      <c r="M15" s="204"/>
      <c r="O15">
        <f t="shared" si="0"/>
        <v>8.9999999999999993E-3</v>
      </c>
      <c r="P15">
        <f t="shared" si="0"/>
        <v>7.0000000000000001E-3</v>
      </c>
      <c r="Q15">
        <f t="shared" si="0"/>
        <v>1.0999999999999999E-2</v>
      </c>
    </row>
    <row r="16" spans="1:17" x14ac:dyDescent="0.3">
      <c r="A16" s="204"/>
      <c r="B16" s="206" t="s">
        <v>1084</v>
      </c>
      <c r="C16" s="91">
        <v>8.9999999999999993E-3</v>
      </c>
      <c r="D16" s="91">
        <v>7.0000000000000001E-3</v>
      </c>
      <c r="E16" s="92">
        <v>1.0999999999999999E-2</v>
      </c>
      <c r="F16" s="11" t="s">
        <v>595</v>
      </c>
      <c r="G16" s="204"/>
      <c r="I16" s="91">
        <v>8.9999999999999993E-3</v>
      </c>
      <c r="J16" s="91">
        <v>7.0000000000000001E-3</v>
      </c>
      <c r="K16" s="92">
        <v>1.0999999999999999E-2</v>
      </c>
      <c r="L16" s="11" t="s">
        <v>595</v>
      </c>
      <c r="M16" s="204"/>
      <c r="O16">
        <f t="shared" si="0"/>
        <v>8.9999999999999993E-3</v>
      </c>
      <c r="P16">
        <f t="shared" si="0"/>
        <v>7.0000000000000001E-3</v>
      </c>
      <c r="Q16">
        <f t="shared" si="0"/>
        <v>1.0999999999999999E-2</v>
      </c>
    </row>
    <row r="17" spans="1:17" x14ac:dyDescent="0.3">
      <c r="A17" s="204"/>
      <c r="B17" s="206" t="s">
        <v>1085</v>
      </c>
      <c r="C17" s="91">
        <v>8.9999999999999993E-3</v>
      </c>
      <c r="D17" s="91">
        <v>7.0000000000000001E-3</v>
      </c>
      <c r="E17" s="92">
        <v>1.0999999999999999E-2</v>
      </c>
      <c r="F17" s="11" t="s">
        <v>595</v>
      </c>
      <c r="G17" s="204"/>
      <c r="I17" s="91">
        <v>8.9999999999999993E-3</v>
      </c>
      <c r="J17" s="91">
        <v>7.0000000000000001E-3</v>
      </c>
      <c r="K17" s="92">
        <v>1.0999999999999999E-2</v>
      </c>
      <c r="L17" s="11" t="s">
        <v>595</v>
      </c>
      <c r="M17" s="204"/>
      <c r="O17">
        <f t="shared" si="0"/>
        <v>8.9999999999999993E-3</v>
      </c>
      <c r="P17">
        <f t="shared" si="0"/>
        <v>7.0000000000000001E-3</v>
      </c>
      <c r="Q17">
        <f t="shared" si="0"/>
        <v>1.0999999999999999E-2</v>
      </c>
    </row>
    <row r="18" spans="1:17" x14ac:dyDescent="0.3">
      <c r="A18" s="204"/>
      <c r="B18" s="206" t="s">
        <v>1086</v>
      </c>
      <c r="C18" s="91">
        <v>8.9999999999999993E-3</v>
      </c>
      <c r="D18" s="91">
        <v>7.0000000000000001E-3</v>
      </c>
      <c r="E18" s="92">
        <v>1.0999999999999999E-2</v>
      </c>
      <c r="F18" s="11" t="s">
        <v>595</v>
      </c>
      <c r="G18" s="204"/>
      <c r="I18" s="91">
        <v>8.9999999999999993E-3</v>
      </c>
      <c r="J18" s="91">
        <v>7.0000000000000001E-3</v>
      </c>
      <c r="K18" s="92">
        <v>1.0999999999999999E-2</v>
      </c>
      <c r="L18" s="11" t="s">
        <v>595</v>
      </c>
      <c r="M18" s="204"/>
      <c r="O18">
        <f t="shared" si="0"/>
        <v>8.9999999999999993E-3</v>
      </c>
      <c r="P18">
        <f t="shared" si="0"/>
        <v>7.0000000000000001E-3</v>
      </c>
      <c r="Q18">
        <f t="shared" si="0"/>
        <v>1.0999999999999999E-2</v>
      </c>
    </row>
    <row r="19" spans="1:17" x14ac:dyDescent="0.3">
      <c r="A19" s="204"/>
      <c r="B19" s="206" t="s">
        <v>1087</v>
      </c>
      <c r="C19" s="91">
        <v>8.9999999999999993E-3</v>
      </c>
      <c r="D19" s="91">
        <v>7.0000000000000001E-3</v>
      </c>
      <c r="E19" s="92">
        <v>1.0999999999999999E-2</v>
      </c>
      <c r="F19" s="11" t="s">
        <v>595</v>
      </c>
      <c r="G19" s="204"/>
      <c r="I19" s="91">
        <v>8.9999999999999993E-3</v>
      </c>
      <c r="J19" s="91">
        <v>7.0000000000000001E-3</v>
      </c>
      <c r="K19" s="92">
        <v>1.0999999999999999E-2</v>
      </c>
      <c r="L19" s="11" t="s">
        <v>595</v>
      </c>
      <c r="M19" s="204"/>
      <c r="O19">
        <f t="shared" si="0"/>
        <v>8.9999999999999993E-3</v>
      </c>
      <c r="P19">
        <f t="shared" si="0"/>
        <v>7.0000000000000001E-3</v>
      </c>
      <c r="Q19">
        <f t="shared" si="0"/>
        <v>1.0999999999999999E-2</v>
      </c>
    </row>
    <row r="20" spans="1:17" x14ac:dyDescent="0.3">
      <c r="A20" s="204"/>
      <c r="B20" s="206" t="s">
        <v>1443</v>
      </c>
      <c r="C20" s="91">
        <v>8.9999999999999993E-3</v>
      </c>
      <c r="D20" s="91">
        <v>7.0000000000000001E-3</v>
      </c>
      <c r="E20" s="92">
        <v>1.0999999999999999E-2</v>
      </c>
      <c r="F20" s="11" t="s">
        <v>595</v>
      </c>
      <c r="G20" s="204"/>
      <c r="I20" s="91">
        <v>8.9999999999999993E-3</v>
      </c>
      <c r="J20" s="91">
        <v>7.0000000000000001E-3</v>
      </c>
      <c r="K20" s="92">
        <v>1.0999999999999999E-2</v>
      </c>
      <c r="L20" s="11" t="s">
        <v>595</v>
      </c>
      <c r="M20" s="204"/>
      <c r="O20">
        <f t="shared" si="0"/>
        <v>8.9999999999999993E-3</v>
      </c>
      <c r="P20">
        <f t="shared" si="0"/>
        <v>7.0000000000000001E-3</v>
      </c>
      <c r="Q20">
        <f t="shared" si="0"/>
        <v>1.0999999999999999E-2</v>
      </c>
    </row>
    <row r="21" spans="1:17" x14ac:dyDescent="0.3">
      <c r="A21" s="204"/>
      <c r="B21" s="205" t="s">
        <v>1444</v>
      </c>
      <c r="C21" s="265"/>
      <c r="D21" s="265"/>
      <c r="E21" s="266"/>
      <c r="F21" s="210"/>
      <c r="G21" s="204"/>
      <c r="I21" s="265"/>
      <c r="J21" s="265"/>
      <c r="K21" s="266"/>
      <c r="L21" s="210"/>
      <c r="M21" s="204"/>
    </row>
    <row r="22" spans="1:17" x14ac:dyDescent="0.3">
      <c r="A22" s="204"/>
      <c r="B22" s="206" t="s">
        <v>1082</v>
      </c>
      <c r="C22" s="91">
        <v>8.9999999999999993E-3</v>
      </c>
      <c r="D22" s="91">
        <v>7.0000000000000001E-3</v>
      </c>
      <c r="E22" s="92">
        <v>1.0999999999999999E-2</v>
      </c>
      <c r="F22" s="11" t="s">
        <v>595</v>
      </c>
      <c r="G22" s="204"/>
      <c r="I22" s="91">
        <v>8.9999999999999993E-3</v>
      </c>
      <c r="J22" s="91">
        <v>7.0000000000000001E-3</v>
      </c>
      <c r="K22" s="92">
        <v>1.0999999999999999E-2</v>
      </c>
      <c r="L22" s="11" t="s">
        <v>595</v>
      </c>
      <c r="M22" s="204"/>
      <c r="O22">
        <f t="shared" ref="O22:Q28" si="1">IF(ISBLANK(C22),I22,C22)</f>
        <v>8.9999999999999993E-3</v>
      </c>
      <c r="P22">
        <f t="shared" si="1"/>
        <v>7.0000000000000001E-3</v>
      </c>
      <c r="Q22">
        <f t="shared" si="1"/>
        <v>1.0999999999999999E-2</v>
      </c>
    </row>
    <row r="23" spans="1:17" x14ac:dyDescent="0.3">
      <c r="A23" s="204"/>
      <c r="B23" s="206" t="s">
        <v>1083</v>
      </c>
      <c r="C23" s="91">
        <v>8.9999999999999993E-3</v>
      </c>
      <c r="D23" s="91">
        <v>7.0000000000000001E-3</v>
      </c>
      <c r="E23" s="92">
        <v>1.0999999999999999E-2</v>
      </c>
      <c r="F23" s="11" t="s">
        <v>595</v>
      </c>
      <c r="G23" s="204"/>
      <c r="I23" s="91">
        <v>8.9999999999999993E-3</v>
      </c>
      <c r="J23" s="91">
        <v>7.0000000000000001E-3</v>
      </c>
      <c r="K23" s="92">
        <v>1.0999999999999999E-2</v>
      </c>
      <c r="L23" s="11" t="s">
        <v>595</v>
      </c>
      <c r="M23" s="204"/>
      <c r="O23">
        <f t="shared" si="1"/>
        <v>8.9999999999999993E-3</v>
      </c>
      <c r="P23">
        <f t="shared" si="1"/>
        <v>7.0000000000000001E-3</v>
      </c>
      <c r="Q23">
        <f t="shared" si="1"/>
        <v>1.0999999999999999E-2</v>
      </c>
    </row>
    <row r="24" spans="1:17" x14ac:dyDescent="0.3">
      <c r="A24" s="204"/>
      <c r="B24" s="206" t="s">
        <v>1084</v>
      </c>
      <c r="C24" s="91">
        <v>8.9999999999999993E-3</v>
      </c>
      <c r="D24" s="91">
        <v>7.0000000000000001E-3</v>
      </c>
      <c r="E24" s="92">
        <v>1.0999999999999999E-2</v>
      </c>
      <c r="F24" s="11" t="s">
        <v>595</v>
      </c>
      <c r="G24" s="204"/>
      <c r="I24" s="91">
        <v>8.9999999999999993E-3</v>
      </c>
      <c r="J24" s="91">
        <v>7.0000000000000001E-3</v>
      </c>
      <c r="K24" s="92">
        <v>1.0999999999999999E-2</v>
      </c>
      <c r="L24" s="11" t="s">
        <v>595</v>
      </c>
      <c r="M24" s="204"/>
      <c r="O24">
        <f t="shared" si="1"/>
        <v>8.9999999999999993E-3</v>
      </c>
      <c r="P24">
        <f t="shared" si="1"/>
        <v>7.0000000000000001E-3</v>
      </c>
      <c r="Q24">
        <f t="shared" si="1"/>
        <v>1.0999999999999999E-2</v>
      </c>
    </row>
    <row r="25" spans="1:17" x14ac:dyDescent="0.3">
      <c r="A25" s="204"/>
      <c r="B25" s="206" t="s">
        <v>1085</v>
      </c>
      <c r="C25" s="91">
        <v>8.9999999999999993E-3</v>
      </c>
      <c r="D25" s="91">
        <v>7.0000000000000001E-3</v>
      </c>
      <c r="E25" s="92">
        <v>1.0999999999999999E-2</v>
      </c>
      <c r="F25" s="11" t="s">
        <v>595</v>
      </c>
      <c r="G25" s="204"/>
      <c r="I25" s="91">
        <v>8.9999999999999993E-3</v>
      </c>
      <c r="J25" s="91">
        <v>7.0000000000000001E-3</v>
      </c>
      <c r="K25" s="92">
        <v>1.0999999999999999E-2</v>
      </c>
      <c r="L25" s="11" t="s">
        <v>595</v>
      </c>
      <c r="M25" s="204"/>
      <c r="O25">
        <f t="shared" si="1"/>
        <v>8.9999999999999993E-3</v>
      </c>
      <c r="P25">
        <f t="shared" si="1"/>
        <v>7.0000000000000001E-3</v>
      </c>
      <c r="Q25">
        <f t="shared" si="1"/>
        <v>1.0999999999999999E-2</v>
      </c>
    </row>
    <row r="26" spans="1:17" x14ac:dyDescent="0.3">
      <c r="A26" s="204"/>
      <c r="B26" s="206" t="s">
        <v>1086</v>
      </c>
      <c r="C26" s="91">
        <v>8.9999999999999993E-3</v>
      </c>
      <c r="D26" s="91">
        <v>7.0000000000000001E-3</v>
      </c>
      <c r="E26" s="92">
        <v>1.0999999999999999E-2</v>
      </c>
      <c r="F26" s="11" t="s">
        <v>595</v>
      </c>
      <c r="G26" s="204"/>
      <c r="I26" s="91">
        <v>8.9999999999999993E-3</v>
      </c>
      <c r="J26" s="91">
        <v>7.0000000000000001E-3</v>
      </c>
      <c r="K26" s="92">
        <v>1.0999999999999999E-2</v>
      </c>
      <c r="L26" s="11" t="s">
        <v>595</v>
      </c>
      <c r="M26" s="204"/>
      <c r="O26">
        <f t="shared" si="1"/>
        <v>8.9999999999999993E-3</v>
      </c>
      <c r="P26">
        <f t="shared" si="1"/>
        <v>7.0000000000000001E-3</v>
      </c>
      <c r="Q26">
        <f t="shared" si="1"/>
        <v>1.0999999999999999E-2</v>
      </c>
    </row>
    <row r="27" spans="1:17" x14ac:dyDescent="0.3">
      <c r="A27" s="204"/>
      <c r="B27" s="206" t="s">
        <v>1087</v>
      </c>
      <c r="C27" s="91">
        <v>8.9999999999999993E-3</v>
      </c>
      <c r="D27" s="91">
        <v>7.0000000000000001E-3</v>
      </c>
      <c r="E27" s="92">
        <v>1.0999999999999999E-2</v>
      </c>
      <c r="F27" s="11" t="s">
        <v>595</v>
      </c>
      <c r="G27" s="204"/>
      <c r="I27" s="91">
        <v>8.9999999999999993E-3</v>
      </c>
      <c r="J27" s="91">
        <v>7.0000000000000001E-3</v>
      </c>
      <c r="K27" s="92">
        <v>1.0999999999999999E-2</v>
      </c>
      <c r="L27" s="11" t="s">
        <v>595</v>
      </c>
      <c r="M27" s="204"/>
      <c r="O27">
        <f t="shared" si="1"/>
        <v>8.9999999999999993E-3</v>
      </c>
      <c r="P27">
        <f t="shared" si="1"/>
        <v>7.0000000000000001E-3</v>
      </c>
      <c r="Q27">
        <f t="shared" si="1"/>
        <v>1.0999999999999999E-2</v>
      </c>
    </row>
    <row r="28" spans="1:17" x14ac:dyDescent="0.3">
      <c r="A28" s="204"/>
      <c r="B28" s="206" t="s">
        <v>1443</v>
      </c>
      <c r="C28" s="91">
        <v>8.9999999999999993E-3</v>
      </c>
      <c r="D28" s="91">
        <v>7.0000000000000001E-3</v>
      </c>
      <c r="E28" s="92">
        <v>1.0999999999999999E-2</v>
      </c>
      <c r="F28" s="11" t="s">
        <v>595</v>
      </c>
      <c r="G28" s="204"/>
      <c r="I28" s="91">
        <v>8.9999999999999993E-3</v>
      </c>
      <c r="J28" s="91">
        <v>7.0000000000000001E-3</v>
      </c>
      <c r="K28" s="92">
        <v>1.0999999999999999E-2</v>
      </c>
      <c r="L28" s="11" t="s">
        <v>595</v>
      </c>
      <c r="M28" s="204"/>
      <c r="O28">
        <f t="shared" si="1"/>
        <v>8.9999999999999993E-3</v>
      </c>
      <c r="P28">
        <f t="shared" si="1"/>
        <v>7.0000000000000001E-3</v>
      </c>
      <c r="Q28">
        <f t="shared" si="1"/>
        <v>1.0999999999999999E-2</v>
      </c>
    </row>
    <row r="29" spans="1:17" x14ac:dyDescent="0.3">
      <c r="A29" s="204"/>
      <c r="B29" s="207" t="s">
        <v>227</v>
      </c>
      <c r="C29" s="265"/>
      <c r="D29" s="265"/>
      <c r="E29" s="266"/>
      <c r="F29" s="210"/>
      <c r="G29" s="204"/>
      <c r="I29" s="265"/>
      <c r="J29" s="265"/>
      <c r="K29" s="266"/>
      <c r="L29" s="210"/>
      <c r="M29" s="204"/>
    </row>
    <row r="30" spans="1:17" ht="15" customHeight="1" x14ac:dyDescent="0.3">
      <c r="A30" s="204"/>
      <c r="B30" s="206" t="s">
        <v>1437</v>
      </c>
      <c r="C30" s="91">
        <v>8.9999999999999993E-3</v>
      </c>
      <c r="D30" s="91">
        <v>7.0000000000000001E-3</v>
      </c>
      <c r="E30" s="92">
        <v>1.0999999999999999E-2</v>
      </c>
      <c r="F30" s="11" t="s">
        <v>595</v>
      </c>
      <c r="G30" s="204"/>
      <c r="I30" s="91">
        <v>8.9999999999999993E-3</v>
      </c>
      <c r="J30" s="91">
        <v>7.0000000000000001E-3</v>
      </c>
      <c r="K30" s="92">
        <v>1.0999999999999999E-2</v>
      </c>
      <c r="L30" s="11" t="s">
        <v>595</v>
      </c>
      <c r="M30" s="204"/>
      <c r="O30">
        <f t="shared" ref="O30:Q33" si="2">IF(ISBLANK(C30),I30,C30)</f>
        <v>8.9999999999999993E-3</v>
      </c>
      <c r="P30">
        <f t="shared" si="2"/>
        <v>7.0000000000000001E-3</v>
      </c>
      <c r="Q30">
        <f t="shared" si="2"/>
        <v>1.0999999999999999E-2</v>
      </c>
    </row>
    <row r="31" spans="1:17" ht="15" customHeight="1" x14ac:dyDescent="0.3">
      <c r="A31" s="204"/>
      <c r="B31" s="206" t="s">
        <v>1438</v>
      </c>
      <c r="C31" s="91">
        <v>8.9999999999999993E-3</v>
      </c>
      <c r="D31" s="91">
        <v>7.0000000000000001E-3</v>
      </c>
      <c r="E31" s="92">
        <v>1.0999999999999999E-2</v>
      </c>
      <c r="F31" s="11" t="s">
        <v>595</v>
      </c>
      <c r="G31" s="204"/>
      <c r="I31" s="91">
        <v>8.9999999999999993E-3</v>
      </c>
      <c r="J31" s="91">
        <v>7.0000000000000001E-3</v>
      </c>
      <c r="K31" s="92">
        <v>1.0999999999999999E-2</v>
      </c>
      <c r="L31" s="11" t="s">
        <v>595</v>
      </c>
      <c r="M31" s="204"/>
      <c r="O31">
        <f t="shared" si="2"/>
        <v>8.9999999999999993E-3</v>
      </c>
      <c r="P31">
        <f t="shared" si="2"/>
        <v>7.0000000000000001E-3</v>
      </c>
      <c r="Q31">
        <f t="shared" si="2"/>
        <v>1.0999999999999999E-2</v>
      </c>
    </row>
    <row r="32" spans="1:17" ht="15" customHeight="1" x14ac:dyDescent="0.3">
      <c r="A32" s="204"/>
      <c r="B32" s="206" t="s">
        <v>1441</v>
      </c>
      <c r="C32" s="91">
        <v>8.9999999999999993E-3</v>
      </c>
      <c r="D32" s="91">
        <v>7.0000000000000001E-3</v>
      </c>
      <c r="E32" s="92">
        <v>1.0999999999999999E-2</v>
      </c>
      <c r="F32" s="11" t="s">
        <v>595</v>
      </c>
      <c r="G32" s="204"/>
      <c r="I32" s="91">
        <v>8.9999999999999993E-3</v>
      </c>
      <c r="J32" s="91">
        <v>7.0000000000000001E-3</v>
      </c>
      <c r="K32" s="92">
        <v>1.0999999999999999E-2</v>
      </c>
      <c r="L32" s="11" t="s">
        <v>595</v>
      </c>
      <c r="M32" s="204"/>
      <c r="O32">
        <f t="shared" si="2"/>
        <v>8.9999999999999993E-3</v>
      </c>
      <c r="P32">
        <f t="shared" si="2"/>
        <v>7.0000000000000001E-3</v>
      </c>
      <c r="Q32">
        <f t="shared" si="2"/>
        <v>1.0999999999999999E-2</v>
      </c>
    </row>
    <row r="33" spans="1:17" ht="15" customHeight="1" x14ac:dyDescent="0.3">
      <c r="A33" s="204"/>
      <c r="B33" s="206" t="s">
        <v>1442</v>
      </c>
      <c r="C33" s="91">
        <v>8.9999999999999993E-3</v>
      </c>
      <c r="D33" s="91">
        <v>7.0000000000000001E-3</v>
      </c>
      <c r="E33" s="92">
        <v>1.0999999999999999E-2</v>
      </c>
      <c r="F33" s="11" t="s">
        <v>595</v>
      </c>
      <c r="G33" s="204"/>
      <c r="I33" s="91">
        <v>8.9999999999999993E-3</v>
      </c>
      <c r="J33" s="91">
        <v>7.0000000000000001E-3</v>
      </c>
      <c r="K33" s="92">
        <v>1.0999999999999999E-2</v>
      </c>
      <c r="L33" s="11" t="s">
        <v>595</v>
      </c>
      <c r="M33" s="204"/>
      <c r="O33">
        <f t="shared" si="2"/>
        <v>8.9999999999999993E-3</v>
      </c>
      <c r="P33">
        <f t="shared" si="2"/>
        <v>7.0000000000000001E-3</v>
      </c>
      <c r="Q33">
        <f t="shared" si="2"/>
        <v>1.0999999999999999E-2</v>
      </c>
    </row>
    <row r="34" spans="1:17" ht="15" customHeight="1" x14ac:dyDescent="0.3">
      <c r="A34" s="204"/>
      <c r="B34" s="207" t="s">
        <v>920</v>
      </c>
      <c r="C34" s="265"/>
      <c r="D34" s="265"/>
      <c r="E34" s="266"/>
      <c r="F34" s="210"/>
      <c r="G34" s="204"/>
      <c r="I34" s="265"/>
      <c r="J34" s="265"/>
      <c r="K34" s="266"/>
      <c r="L34" s="210"/>
      <c r="M34" s="204"/>
    </row>
    <row r="35" spans="1:17" ht="15" customHeight="1" x14ac:dyDescent="0.3">
      <c r="A35" s="204"/>
      <c r="B35" s="206" t="s">
        <v>920</v>
      </c>
      <c r="C35" s="91">
        <v>8.9999999999999993E-3</v>
      </c>
      <c r="D35" s="91">
        <v>7.0000000000000001E-3</v>
      </c>
      <c r="E35" s="92">
        <v>1.0999999999999999E-2</v>
      </c>
      <c r="F35" s="11" t="s">
        <v>595</v>
      </c>
      <c r="G35" s="204"/>
      <c r="I35" s="91">
        <v>8.9999999999999993E-3</v>
      </c>
      <c r="J35" s="91">
        <v>7.0000000000000001E-3</v>
      </c>
      <c r="K35" s="92">
        <v>1.0999999999999999E-2</v>
      </c>
      <c r="L35" s="11" t="s">
        <v>595</v>
      </c>
      <c r="M35" s="204"/>
      <c r="O35">
        <f t="shared" ref="O35:Q36" si="3">IF(ISBLANK(C35),I35,C35)</f>
        <v>8.9999999999999993E-3</v>
      </c>
      <c r="P35">
        <f t="shared" si="3"/>
        <v>7.0000000000000001E-3</v>
      </c>
      <c r="Q35">
        <f t="shared" si="3"/>
        <v>1.0999999999999999E-2</v>
      </c>
    </row>
    <row r="36" spans="1:17" ht="15" customHeight="1" x14ac:dyDescent="0.3">
      <c r="A36" s="204"/>
      <c r="B36" s="206" t="s">
        <v>980</v>
      </c>
      <c r="C36" s="91">
        <v>8.9999999999999993E-3</v>
      </c>
      <c r="D36" s="91">
        <v>7.0000000000000001E-3</v>
      </c>
      <c r="E36" s="92">
        <v>1.0999999999999999E-2</v>
      </c>
      <c r="F36" s="11" t="s">
        <v>595</v>
      </c>
      <c r="G36" s="204"/>
      <c r="I36" s="91">
        <v>8.9999999999999993E-3</v>
      </c>
      <c r="J36" s="91">
        <v>7.0000000000000001E-3</v>
      </c>
      <c r="K36" s="92">
        <v>1.0999999999999999E-2</v>
      </c>
      <c r="L36" s="11" t="s">
        <v>595</v>
      </c>
      <c r="M36" s="204"/>
      <c r="O36">
        <f t="shared" si="3"/>
        <v>8.9999999999999993E-3</v>
      </c>
      <c r="P36">
        <f t="shared" si="3"/>
        <v>7.0000000000000001E-3</v>
      </c>
      <c r="Q36">
        <f t="shared" si="3"/>
        <v>1.0999999999999999E-2</v>
      </c>
    </row>
    <row r="37" spans="1:17" x14ac:dyDescent="0.3">
      <c r="A37" s="204"/>
      <c r="B37" s="236"/>
      <c r="C37" s="264"/>
      <c r="D37" s="264"/>
      <c r="E37" s="204"/>
      <c r="F37" s="204"/>
      <c r="G37" s="204"/>
      <c r="H37" s="204"/>
      <c r="I37" s="204"/>
    </row>
    <row r="38" spans="1:17" x14ac:dyDescent="0.3">
      <c r="A38" s="204"/>
      <c r="B38" s="236"/>
      <c r="C38" s="264"/>
      <c r="D38" s="264"/>
      <c r="E38" s="204"/>
      <c r="F38" s="204"/>
      <c r="G38" s="204"/>
      <c r="H38" s="204"/>
      <c r="I38" s="204"/>
    </row>
    <row r="39" spans="1:17" x14ac:dyDescent="0.3">
      <c r="A39" s="204"/>
      <c r="B39" s="236" t="s">
        <v>1070</v>
      </c>
      <c r="C39" s="264"/>
      <c r="D39" s="264"/>
      <c r="E39" s="204"/>
      <c r="F39" s="204"/>
      <c r="G39" s="204"/>
      <c r="H39" s="204"/>
      <c r="I39" s="204"/>
    </row>
    <row r="40" spans="1:17" x14ac:dyDescent="0.3">
      <c r="A40" s="204"/>
      <c r="B40" s="236"/>
      <c r="C40" s="264"/>
      <c r="D40" s="264"/>
      <c r="E40" s="204"/>
      <c r="F40" s="204"/>
      <c r="G40" s="204"/>
      <c r="H40" s="204"/>
      <c r="I40" s="204"/>
    </row>
    <row r="41" spans="1:17" x14ac:dyDescent="0.3">
      <c r="A41" s="204"/>
      <c r="B41" s="781" t="s">
        <v>1095</v>
      </c>
      <c r="C41" s="781"/>
      <c r="D41" s="781"/>
      <c r="E41" s="781"/>
      <c r="F41" s="781"/>
      <c r="G41" s="781"/>
      <c r="H41" s="204"/>
      <c r="I41" s="787" t="s">
        <v>1096</v>
      </c>
      <c r="J41" s="787"/>
      <c r="K41" s="787"/>
      <c r="L41" s="787"/>
      <c r="M41" s="787"/>
      <c r="O41" s="84" t="s">
        <v>1097</v>
      </c>
      <c r="P41" s="84"/>
      <c r="Q41" s="84"/>
    </row>
    <row r="42" spans="1:17" ht="18.600000000000001" thickBot="1" x14ac:dyDescent="0.4">
      <c r="A42" s="204"/>
      <c r="B42" s="215"/>
      <c r="C42" s="786" t="s">
        <v>1386</v>
      </c>
      <c r="D42" s="786"/>
      <c r="E42" s="786"/>
      <c r="F42" s="786"/>
      <c r="G42" s="786"/>
      <c r="H42" s="204"/>
      <c r="I42" s="786" t="s">
        <v>1386</v>
      </c>
      <c r="J42" s="786"/>
      <c r="K42" s="786"/>
      <c r="L42" s="786"/>
      <c r="M42" s="786"/>
      <c r="N42" s="204"/>
      <c r="O42" s="204"/>
    </row>
    <row r="43" spans="1:17" ht="19.5" customHeight="1" x14ac:dyDescent="0.3">
      <c r="A43" s="204"/>
      <c r="C43" s="237" t="s">
        <v>1382</v>
      </c>
      <c r="D43" s="214" t="s">
        <v>985</v>
      </c>
      <c r="E43" s="214" t="s">
        <v>986</v>
      </c>
      <c r="F43" s="319" t="s">
        <v>592</v>
      </c>
      <c r="G43" s="215" t="s">
        <v>591</v>
      </c>
      <c r="I43" s="237" t="s">
        <v>1382</v>
      </c>
      <c r="J43" s="214" t="s">
        <v>985</v>
      </c>
      <c r="K43" s="214" t="s">
        <v>986</v>
      </c>
      <c r="L43" s="319" t="s">
        <v>592</v>
      </c>
      <c r="M43" s="215" t="s">
        <v>591</v>
      </c>
      <c r="O43" s="237" t="s">
        <v>1382</v>
      </c>
      <c r="P43" s="214" t="s">
        <v>985</v>
      </c>
      <c r="Q43" s="214" t="s">
        <v>986</v>
      </c>
    </row>
    <row r="44" spans="1:17" x14ac:dyDescent="0.3">
      <c r="A44" s="204"/>
      <c r="B44" s="205" t="s">
        <v>1450</v>
      </c>
      <c r="C44" s="265"/>
      <c r="D44" s="265"/>
      <c r="E44" s="266"/>
      <c r="F44" s="210"/>
      <c r="H44" s="204"/>
      <c r="I44" s="204"/>
    </row>
    <row r="45" spans="1:17" x14ac:dyDescent="0.3">
      <c r="A45" s="204"/>
      <c r="B45" s="206" t="s">
        <v>1082</v>
      </c>
      <c r="C45" s="91">
        <v>3.1E-2</v>
      </c>
      <c r="D45" s="91">
        <v>2.5000000000000001E-2</v>
      </c>
      <c r="E45" s="92">
        <v>3.6999999999999998E-2</v>
      </c>
      <c r="F45" s="210" t="s">
        <v>595</v>
      </c>
      <c r="H45" s="204"/>
      <c r="I45" s="91">
        <v>3.1E-2</v>
      </c>
      <c r="J45" s="91">
        <v>2.5000000000000001E-2</v>
      </c>
      <c r="K45" s="92">
        <v>3.6999999999999998E-2</v>
      </c>
      <c r="L45" s="210" t="s">
        <v>595</v>
      </c>
      <c r="O45">
        <f t="shared" ref="O45:Q51" si="4">IF(ISBLANK(C45),I45,C45)</f>
        <v>3.1E-2</v>
      </c>
      <c r="P45">
        <f t="shared" si="4"/>
        <v>2.5000000000000001E-2</v>
      </c>
      <c r="Q45">
        <f t="shared" si="4"/>
        <v>3.6999999999999998E-2</v>
      </c>
    </row>
    <row r="46" spans="1:17" x14ac:dyDescent="0.3">
      <c r="A46" s="204"/>
      <c r="B46" s="206" t="s">
        <v>1083</v>
      </c>
      <c r="C46" s="91">
        <v>3.1E-2</v>
      </c>
      <c r="D46" s="91">
        <v>2.5000000000000001E-2</v>
      </c>
      <c r="E46" s="92">
        <v>3.6999999999999998E-2</v>
      </c>
      <c r="F46" s="210" t="s">
        <v>595</v>
      </c>
      <c r="H46" s="204"/>
      <c r="I46" s="91">
        <v>3.1E-2</v>
      </c>
      <c r="J46" s="91">
        <v>2.5000000000000001E-2</v>
      </c>
      <c r="K46" s="92">
        <v>3.6999999999999998E-2</v>
      </c>
      <c r="L46" s="210" t="s">
        <v>595</v>
      </c>
      <c r="O46">
        <f t="shared" si="4"/>
        <v>3.1E-2</v>
      </c>
      <c r="P46">
        <f t="shared" si="4"/>
        <v>2.5000000000000001E-2</v>
      </c>
      <c r="Q46">
        <f t="shared" si="4"/>
        <v>3.6999999999999998E-2</v>
      </c>
    </row>
    <row r="47" spans="1:17" x14ac:dyDescent="0.3">
      <c r="A47" s="204"/>
      <c r="B47" s="206" t="s">
        <v>1084</v>
      </c>
      <c r="C47" s="91">
        <v>3.1E-2</v>
      </c>
      <c r="D47" s="91">
        <v>2.5000000000000001E-2</v>
      </c>
      <c r="E47" s="92">
        <v>3.6999999999999998E-2</v>
      </c>
      <c r="F47" s="210" t="s">
        <v>595</v>
      </c>
      <c r="H47" s="204"/>
      <c r="I47" s="91">
        <v>3.1E-2</v>
      </c>
      <c r="J47" s="91">
        <v>2.5000000000000001E-2</v>
      </c>
      <c r="K47" s="92">
        <v>3.6999999999999998E-2</v>
      </c>
      <c r="L47" s="210" t="s">
        <v>595</v>
      </c>
      <c r="O47">
        <f t="shared" si="4"/>
        <v>3.1E-2</v>
      </c>
      <c r="P47">
        <f t="shared" si="4"/>
        <v>2.5000000000000001E-2</v>
      </c>
      <c r="Q47">
        <f t="shared" si="4"/>
        <v>3.6999999999999998E-2</v>
      </c>
    </row>
    <row r="48" spans="1:17" x14ac:dyDescent="0.3">
      <c r="A48" s="204"/>
      <c r="B48" s="206" t="s">
        <v>1085</v>
      </c>
      <c r="C48" s="91">
        <v>3.1E-2</v>
      </c>
      <c r="D48" s="91">
        <v>2.5000000000000001E-2</v>
      </c>
      <c r="E48" s="92">
        <v>3.6999999999999998E-2</v>
      </c>
      <c r="F48" s="210" t="s">
        <v>595</v>
      </c>
      <c r="H48" s="204"/>
      <c r="I48" s="91">
        <v>3.1E-2</v>
      </c>
      <c r="J48" s="91">
        <v>2.5000000000000001E-2</v>
      </c>
      <c r="K48" s="92">
        <v>3.6999999999999998E-2</v>
      </c>
      <c r="L48" s="210" t="s">
        <v>595</v>
      </c>
      <c r="O48">
        <f t="shared" si="4"/>
        <v>3.1E-2</v>
      </c>
      <c r="P48">
        <f t="shared" si="4"/>
        <v>2.5000000000000001E-2</v>
      </c>
      <c r="Q48">
        <f t="shared" si="4"/>
        <v>3.6999999999999998E-2</v>
      </c>
    </row>
    <row r="49" spans="1:17" x14ac:dyDescent="0.3">
      <c r="A49" s="204"/>
      <c r="B49" s="206" t="s">
        <v>1086</v>
      </c>
      <c r="C49" s="91">
        <v>3.1E-2</v>
      </c>
      <c r="D49" s="91">
        <v>2.5000000000000001E-2</v>
      </c>
      <c r="E49" s="92">
        <v>3.6999999999999998E-2</v>
      </c>
      <c r="F49" s="210" t="s">
        <v>595</v>
      </c>
      <c r="H49" s="204"/>
      <c r="I49" s="91">
        <v>3.1E-2</v>
      </c>
      <c r="J49" s="91">
        <v>2.5000000000000001E-2</v>
      </c>
      <c r="K49" s="92">
        <v>3.6999999999999998E-2</v>
      </c>
      <c r="L49" s="210" t="s">
        <v>595</v>
      </c>
      <c r="O49">
        <f t="shared" si="4"/>
        <v>3.1E-2</v>
      </c>
      <c r="P49">
        <f t="shared" si="4"/>
        <v>2.5000000000000001E-2</v>
      </c>
      <c r="Q49">
        <f t="shared" si="4"/>
        <v>3.6999999999999998E-2</v>
      </c>
    </row>
    <row r="50" spans="1:17" x14ac:dyDescent="0.3">
      <c r="A50" s="204"/>
      <c r="B50" s="206" t="s">
        <v>1087</v>
      </c>
      <c r="C50" s="91">
        <v>3.1E-2</v>
      </c>
      <c r="D50" s="91">
        <v>2.5000000000000001E-2</v>
      </c>
      <c r="E50" s="92">
        <v>3.6999999999999998E-2</v>
      </c>
      <c r="F50" s="210" t="s">
        <v>595</v>
      </c>
      <c r="H50" s="204"/>
      <c r="I50" s="91">
        <v>3.1E-2</v>
      </c>
      <c r="J50" s="91">
        <v>2.5000000000000001E-2</v>
      </c>
      <c r="K50" s="92">
        <v>3.6999999999999998E-2</v>
      </c>
      <c r="L50" s="210" t="s">
        <v>595</v>
      </c>
      <c r="O50">
        <f t="shared" si="4"/>
        <v>3.1E-2</v>
      </c>
      <c r="P50">
        <f t="shared" si="4"/>
        <v>2.5000000000000001E-2</v>
      </c>
      <c r="Q50">
        <f t="shared" si="4"/>
        <v>3.6999999999999998E-2</v>
      </c>
    </row>
    <row r="51" spans="1:17" x14ac:dyDescent="0.3">
      <c r="A51" s="204"/>
      <c r="B51" s="206" t="s">
        <v>1443</v>
      </c>
      <c r="C51" s="91">
        <v>3.1E-2</v>
      </c>
      <c r="D51" s="91">
        <v>2.5000000000000001E-2</v>
      </c>
      <c r="E51" s="92">
        <v>3.6999999999999998E-2</v>
      </c>
      <c r="F51" s="210" t="s">
        <v>595</v>
      </c>
      <c r="H51" s="204"/>
      <c r="I51" s="91">
        <v>3.1E-2</v>
      </c>
      <c r="J51" s="91">
        <v>2.5000000000000001E-2</v>
      </c>
      <c r="K51" s="92">
        <v>3.6999999999999998E-2</v>
      </c>
      <c r="L51" s="210" t="s">
        <v>595</v>
      </c>
      <c r="O51">
        <f t="shared" si="4"/>
        <v>3.1E-2</v>
      </c>
      <c r="P51">
        <f t="shared" si="4"/>
        <v>2.5000000000000001E-2</v>
      </c>
      <c r="Q51">
        <f t="shared" si="4"/>
        <v>3.6999999999999998E-2</v>
      </c>
    </row>
    <row r="52" spans="1:17" x14ac:dyDescent="0.3">
      <c r="A52" s="204"/>
      <c r="B52" s="205" t="s">
        <v>1444</v>
      </c>
      <c r="C52" s="265"/>
      <c r="D52" s="265"/>
      <c r="E52" s="266"/>
      <c r="F52" s="210"/>
      <c r="H52" s="204"/>
      <c r="I52" s="265"/>
      <c r="J52" s="265"/>
      <c r="K52" s="266"/>
      <c r="L52" s="210"/>
    </row>
    <row r="53" spans="1:17" x14ac:dyDescent="0.3">
      <c r="A53" s="204"/>
      <c r="B53" s="206" t="s">
        <v>1082</v>
      </c>
      <c r="C53" s="91">
        <v>3.1E-2</v>
      </c>
      <c r="D53" s="91">
        <v>2.5000000000000001E-2</v>
      </c>
      <c r="E53" s="92">
        <v>3.6999999999999998E-2</v>
      </c>
      <c r="F53" s="210" t="s">
        <v>595</v>
      </c>
      <c r="H53" s="204"/>
      <c r="I53" s="91">
        <v>3.1E-2</v>
      </c>
      <c r="J53" s="91">
        <v>2.5000000000000001E-2</v>
      </c>
      <c r="K53" s="92">
        <v>3.6999999999999998E-2</v>
      </c>
      <c r="L53" s="210" t="s">
        <v>595</v>
      </c>
      <c r="O53">
        <f t="shared" ref="O53:Q59" si="5">IF(ISBLANK(C53),I53,C53)</f>
        <v>3.1E-2</v>
      </c>
      <c r="P53">
        <f t="shared" si="5"/>
        <v>2.5000000000000001E-2</v>
      </c>
      <c r="Q53">
        <f t="shared" si="5"/>
        <v>3.6999999999999998E-2</v>
      </c>
    </row>
    <row r="54" spans="1:17" x14ac:dyDescent="0.3">
      <c r="A54" s="204"/>
      <c r="B54" s="206" t="s">
        <v>1083</v>
      </c>
      <c r="C54" s="91">
        <v>3.1E-2</v>
      </c>
      <c r="D54" s="91">
        <v>2.5000000000000001E-2</v>
      </c>
      <c r="E54" s="92">
        <v>3.6999999999999998E-2</v>
      </c>
      <c r="F54" s="210" t="s">
        <v>595</v>
      </c>
      <c r="H54" s="204"/>
      <c r="I54" s="91">
        <v>3.1E-2</v>
      </c>
      <c r="J54" s="91">
        <v>2.5000000000000001E-2</v>
      </c>
      <c r="K54" s="92">
        <v>3.6999999999999998E-2</v>
      </c>
      <c r="L54" s="210" t="s">
        <v>595</v>
      </c>
      <c r="O54">
        <f t="shared" si="5"/>
        <v>3.1E-2</v>
      </c>
      <c r="P54">
        <f t="shared" si="5"/>
        <v>2.5000000000000001E-2</v>
      </c>
      <c r="Q54">
        <f t="shared" si="5"/>
        <v>3.6999999999999998E-2</v>
      </c>
    </row>
    <row r="55" spans="1:17" x14ac:dyDescent="0.3">
      <c r="A55" s="204"/>
      <c r="B55" s="206" t="s">
        <v>1084</v>
      </c>
      <c r="C55" s="91">
        <v>3.1E-2</v>
      </c>
      <c r="D55" s="91">
        <v>2.5000000000000001E-2</v>
      </c>
      <c r="E55" s="92">
        <v>3.6999999999999998E-2</v>
      </c>
      <c r="F55" s="210" t="s">
        <v>595</v>
      </c>
      <c r="H55" s="204"/>
      <c r="I55" s="91">
        <v>3.1E-2</v>
      </c>
      <c r="J55" s="91">
        <v>2.5000000000000001E-2</v>
      </c>
      <c r="K55" s="92">
        <v>3.6999999999999998E-2</v>
      </c>
      <c r="L55" s="210" t="s">
        <v>595</v>
      </c>
      <c r="O55">
        <f t="shared" si="5"/>
        <v>3.1E-2</v>
      </c>
      <c r="P55">
        <f t="shared" si="5"/>
        <v>2.5000000000000001E-2</v>
      </c>
      <c r="Q55">
        <f t="shared" si="5"/>
        <v>3.6999999999999998E-2</v>
      </c>
    </row>
    <row r="56" spans="1:17" x14ac:dyDescent="0.3">
      <c r="A56" s="204"/>
      <c r="B56" s="206" t="s">
        <v>1085</v>
      </c>
      <c r="C56" s="91">
        <v>3.1E-2</v>
      </c>
      <c r="D56" s="91">
        <v>2.5000000000000001E-2</v>
      </c>
      <c r="E56" s="92">
        <v>3.6999999999999998E-2</v>
      </c>
      <c r="F56" s="210" t="s">
        <v>595</v>
      </c>
      <c r="H56" s="204"/>
      <c r="I56" s="91">
        <v>3.1E-2</v>
      </c>
      <c r="J56" s="91">
        <v>2.5000000000000001E-2</v>
      </c>
      <c r="K56" s="92">
        <v>3.6999999999999998E-2</v>
      </c>
      <c r="L56" s="210" t="s">
        <v>595</v>
      </c>
      <c r="O56">
        <f t="shared" si="5"/>
        <v>3.1E-2</v>
      </c>
      <c r="P56">
        <f t="shared" si="5"/>
        <v>2.5000000000000001E-2</v>
      </c>
      <c r="Q56">
        <f t="shared" si="5"/>
        <v>3.6999999999999998E-2</v>
      </c>
    </row>
    <row r="57" spans="1:17" x14ac:dyDescent="0.3">
      <c r="A57" s="204"/>
      <c r="B57" s="206" t="s">
        <v>1086</v>
      </c>
      <c r="C57" s="91">
        <v>3.1E-2</v>
      </c>
      <c r="D57" s="91">
        <v>2.5000000000000001E-2</v>
      </c>
      <c r="E57" s="92">
        <v>3.6999999999999998E-2</v>
      </c>
      <c r="F57" s="210" t="s">
        <v>595</v>
      </c>
      <c r="H57" s="204"/>
      <c r="I57" s="91">
        <v>3.1E-2</v>
      </c>
      <c r="J57" s="91">
        <v>2.5000000000000001E-2</v>
      </c>
      <c r="K57" s="92">
        <v>3.6999999999999998E-2</v>
      </c>
      <c r="L57" s="210" t="s">
        <v>595</v>
      </c>
      <c r="O57">
        <f t="shared" si="5"/>
        <v>3.1E-2</v>
      </c>
      <c r="P57">
        <f t="shared" si="5"/>
        <v>2.5000000000000001E-2</v>
      </c>
      <c r="Q57">
        <f t="shared" si="5"/>
        <v>3.6999999999999998E-2</v>
      </c>
    </row>
    <row r="58" spans="1:17" x14ac:dyDescent="0.3">
      <c r="A58" s="204"/>
      <c r="B58" s="206" t="s">
        <v>1087</v>
      </c>
      <c r="C58" s="91">
        <v>3.1E-2</v>
      </c>
      <c r="D58" s="91">
        <v>2.5000000000000001E-2</v>
      </c>
      <c r="E58" s="92">
        <v>3.6999999999999998E-2</v>
      </c>
      <c r="F58" s="210" t="s">
        <v>595</v>
      </c>
      <c r="H58" s="204"/>
      <c r="I58" s="91">
        <v>3.1E-2</v>
      </c>
      <c r="J58" s="91">
        <v>2.5000000000000001E-2</v>
      </c>
      <c r="K58" s="92">
        <v>3.6999999999999998E-2</v>
      </c>
      <c r="L58" s="210" t="s">
        <v>595</v>
      </c>
      <c r="O58">
        <f t="shared" si="5"/>
        <v>3.1E-2</v>
      </c>
      <c r="P58">
        <f t="shared" si="5"/>
        <v>2.5000000000000001E-2</v>
      </c>
      <c r="Q58">
        <f t="shared" si="5"/>
        <v>3.6999999999999998E-2</v>
      </c>
    </row>
    <row r="59" spans="1:17" x14ac:dyDescent="0.3">
      <c r="A59" s="204"/>
      <c r="B59" s="206" t="s">
        <v>1443</v>
      </c>
      <c r="C59" s="91">
        <v>3.1E-2</v>
      </c>
      <c r="D59" s="91">
        <v>2.5000000000000001E-2</v>
      </c>
      <c r="E59" s="92">
        <v>3.6999999999999998E-2</v>
      </c>
      <c r="F59" s="210" t="s">
        <v>595</v>
      </c>
      <c r="H59" s="204"/>
      <c r="I59" s="91">
        <v>3.1E-2</v>
      </c>
      <c r="J59" s="91">
        <v>2.5000000000000001E-2</v>
      </c>
      <c r="K59" s="92">
        <v>3.6999999999999998E-2</v>
      </c>
      <c r="L59" s="210" t="s">
        <v>595</v>
      </c>
      <c r="O59">
        <f t="shared" si="5"/>
        <v>3.1E-2</v>
      </c>
      <c r="P59">
        <f t="shared" si="5"/>
        <v>2.5000000000000001E-2</v>
      </c>
      <c r="Q59">
        <f t="shared" si="5"/>
        <v>3.6999999999999998E-2</v>
      </c>
    </row>
    <row r="60" spans="1:17" x14ac:dyDescent="0.3">
      <c r="A60" s="204"/>
      <c r="B60" s="207" t="s">
        <v>227</v>
      </c>
      <c r="C60" s="265"/>
      <c r="D60" s="265"/>
      <c r="E60" s="266"/>
      <c r="F60" s="210"/>
      <c r="H60" s="204"/>
      <c r="I60" s="265"/>
      <c r="J60" s="265"/>
      <c r="K60" s="266"/>
      <c r="L60" s="210"/>
    </row>
    <row r="61" spans="1:17" x14ac:dyDescent="0.3">
      <c r="A61" s="204"/>
      <c r="B61" s="206" t="s">
        <v>1437</v>
      </c>
      <c r="C61" s="91">
        <v>3.1E-2</v>
      </c>
      <c r="D61" s="91">
        <v>2.5000000000000001E-2</v>
      </c>
      <c r="E61" s="92">
        <v>3.6999999999999998E-2</v>
      </c>
      <c r="F61" s="210" t="s">
        <v>595</v>
      </c>
      <c r="H61" s="204"/>
      <c r="I61" s="91">
        <v>3.1E-2</v>
      </c>
      <c r="J61" s="91">
        <v>2.5000000000000001E-2</v>
      </c>
      <c r="K61" s="92">
        <v>3.6999999999999998E-2</v>
      </c>
      <c r="L61" s="210" t="s">
        <v>595</v>
      </c>
      <c r="O61">
        <f t="shared" ref="O61:Q64" si="6">IF(ISBLANK(C61),I61,C61)</f>
        <v>3.1E-2</v>
      </c>
      <c r="P61">
        <f t="shared" si="6"/>
        <v>2.5000000000000001E-2</v>
      </c>
      <c r="Q61">
        <f t="shared" si="6"/>
        <v>3.6999999999999998E-2</v>
      </c>
    </row>
    <row r="62" spans="1:17" x14ac:dyDescent="0.3">
      <c r="A62" s="204"/>
      <c r="B62" s="206" t="s">
        <v>1438</v>
      </c>
      <c r="C62" s="91">
        <v>3.1E-2</v>
      </c>
      <c r="D62" s="91">
        <v>2.5000000000000001E-2</v>
      </c>
      <c r="E62" s="92">
        <v>3.6999999999999998E-2</v>
      </c>
      <c r="F62" s="210" t="s">
        <v>595</v>
      </c>
      <c r="H62" s="204"/>
      <c r="I62" s="91">
        <v>3.1E-2</v>
      </c>
      <c r="J62" s="91">
        <v>2.5000000000000001E-2</v>
      </c>
      <c r="K62" s="92">
        <v>3.6999999999999998E-2</v>
      </c>
      <c r="L62" s="210" t="s">
        <v>595</v>
      </c>
      <c r="O62">
        <f t="shared" si="6"/>
        <v>3.1E-2</v>
      </c>
      <c r="P62">
        <f t="shared" si="6"/>
        <v>2.5000000000000001E-2</v>
      </c>
      <c r="Q62">
        <f t="shared" si="6"/>
        <v>3.6999999999999998E-2</v>
      </c>
    </row>
    <row r="63" spans="1:17" x14ac:dyDescent="0.3">
      <c r="A63" s="204"/>
      <c r="B63" s="206" t="s">
        <v>1441</v>
      </c>
      <c r="C63" s="91">
        <v>3.1E-2</v>
      </c>
      <c r="D63" s="91">
        <v>2.5000000000000001E-2</v>
      </c>
      <c r="E63" s="92">
        <v>3.6999999999999998E-2</v>
      </c>
      <c r="F63" s="210" t="s">
        <v>595</v>
      </c>
      <c r="H63" s="204"/>
      <c r="I63" s="91">
        <v>3.1E-2</v>
      </c>
      <c r="J63" s="91">
        <v>2.5000000000000001E-2</v>
      </c>
      <c r="K63" s="92">
        <v>3.6999999999999998E-2</v>
      </c>
      <c r="L63" s="210" t="s">
        <v>595</v>
      </c>
      <c r="O63">
        <f t="shared" si="6"/>
        <v>3.1E-2</v>
      </c>
      <c r="P63">
        <f t="shared" si="6"/>
        <v>2.5000000000000001E-2</v>
      </c>
      <c r="Q63">
        <f t="shared" si="6"/>
        <v>3.6999999999999998E-2</v>
      </c>
    </row>
    <row r="64" spans="1:17" x14ac:dyDescent="0.3">
      <c r="A64" s="204"/>
      <c r="B64" s="206" t="s">
        <v>1442</v>
      </c>
      <c r="C64" s="91">
        <v>3.1E-2</v>
      </c>
      <c r="D64" s="91">
        <v>2.5000000000000001E-2</v>
      </c>
      <c r="E64" s="92">
        <v>3.6999999999999998E-2</v>
      </c>
      <c r="F64" s="210" t="s">
        <v>595</v>
      </c>
      <c r="H64" s="204"/>
      <c r="I64" s="91">
        <v>3.1E-2</v>
      </c>
      <c r="J64" s="91">
        <v>2.5000000000000001E-2</v>
      </c>
      <c r="K64" s="92">
        <v>3.6999999999999998E-2</v>
      </c>
      <c r="L64" s="210" t="s">
        <v>595</v>
      </c>
      <c r="O64">
        <f t="shared" si="6"/>
        <v>3.1E-2</v>
      </c>
      <c r="P64">
        <f t="shared" si="6"/>
        <v>2.5000000000000001E-2</v>
      </c>
      <c r="Q64">
        <f t="shared" si="6"/>
        <v>3.6999999999999998E-2</v>
      </c>
    </row>
    <row r="65" spans="1:17" x14ac:dyDescent="0.3">
      <c r="A65" s="204"/>
      <c r="B65" s="207" t="s">
        <v>920</v>
      </c>
      <c r="C65" s="265"/>
      <c r="D65" s="265"/>
      <c r="E65" s="266"/>
      <c r="F65" s="210"/>
      <c r="H65" s="204"/>
      <c r="I65" s="265"/>
      <c r="J65" s="265"/>
      <c r="K65" s="266"/>
      <c r="L65" s="210"/>
    </row>
    <row r="66" spans="1:17" x14ac:dyDescent="0.3">
      <c r="A66" s="204"/>
      <c r="B66" s="206" t="s">
        <v>920</v>
      </c>
      <c r="C66" s="91">
        <v>3.1E-2</v>
      </c>
      <c r="D66" s="91">
        <v>2.5000000000000001E-2</v>
      </c>
      <c r="E66" s="92">
        <v>3.6999999999999998E-2</v>
      </c>
      <c r="F66" s="210" t="s">
        <v>595</v>
      </c>
      <c r="H66" s="204"/>
      <c r="I66" s="91">
        <v>3.1E-2</v>
      </c>
      <c r="J66" s="91">
        <v>2.5000000000000001E-2</v>
      </c>
      <c r="K66" s="92">
        <v>3.6999999999999998E-2</v>
      </c>
      <c r="L66" s="210" t="s">
        <v>595</v>
      </c>
      <c r="O66">
        <f t="shared" ref="O66:Q67" si="7">IF(ISBLANK(C66),I66,C66)</f>
        <v>3.1E-2</v>
      </c>
      <c r="P66">
        <f t="shared" si="7"/>
        <v>2.5000000000000001E-2</v>
      </c>
      <c r="Q66">
        <f t="shared" si="7"/>
        <v>3.6999999999999998E-2</v>
      </c>
    </row>
    <row r="67" spans="1:17" x14ac:dyDescent="0.3">
      <c r="A67" s="204"/>
      <c r="B67" s="206" t="s">
        <v>980</v>
      </c>
      <c r="C67" s="91">
        <v>3.1E-2</v>
      </c>
      <c r="D67" s="91">
        <v>2.5000000000000001E-2</v>
      </c>
      <c r="E67" s="92">
        <v>3.6999999999999998E-2</v>
      </c>
      <c r="F67" s="210" t="s">
        <v>595</v>
      </c>
      <c r="H67" s="204"/>
      <c r="I67" s="91">
        <v>3.1E-2</v>
      </c>
      <c r="J67" s="91">
        <v>2.5000000000000001E-2</v>
      </c>
      <c r="K67" s="92">
        <v>3.6999999999999998E-2</v>
      </c>
      <c r="L67" s="210" t="s">
        <v>595</v>
      </c>
      <c r="O67">
        <f t="shared" si="7"/>
        <v>3.1E-2</v>
      </c>
      <c r="P67">
        <f t="shared" si="7"/>
        <v>2.5000000000000001E-2</v>
      </c>
      <c r="Q67">
        <f t="shared" si="7"/>
        <v>3.6999999999999998E-2</v>
      </c>
    </row>
    <row r="68" spans="1:17" s="204" customFormat="1" x14ac:dyDescent="0.3">
      <c r="B68" s="720"/>
      <c r="C68" s="264"/>
      <c r="D68" s="264"/>
    </row>
    <row r="69" spans="1:17" s="204" customFormat="1" x14ac:dyDescent="0.3">
      <c r="B69" s="720"/>
      <c r="C69" s="264"/>
      <c r="D69" s="264"/>
    </row>
    <row r="70" spans="1:17" x14ac:dyDescent="0.3">
      <c r="A70" s="204"/>
      <c r="B70" s="236" t="s">
        <v>1577</v>
      </c>
      <c r="C70" s="204"/>
      <c r="D70" s="204"/>
      <c r="E70" s="204"/>
      <c r="F70" s="204"/>
      <c r="G70" s="204"/>
      <c r="H70" s="204"/>
      <c r="I70" s="204"/>
      <c r="J70" s="204"/>
      <c r="K70" s="204"/>
      <c r="L70" s="204"/>
      <c r="M70" s="204"/>
      <c r="N70" s="204"/>
      <c r="O70" s="204"/>
      <c r="P70" s="204"/>
      <c r="Q70" s="204"/>
    </row>
    <row r="71" spans="1:17" x14ac:dyDescent="0.3">
      <c r="A71" s="204"/>
      <c r="B71" s="236"/>
      <c r="C71" s="204"/>
      <c r="D71" s="204"/>
      <c r="E71" s="204"/>
      <c r="F71" s="204"/>
      <c r="G71" s="204"/>
      <c r="H71" s="204"/>
      <c r="I71" s="204"/>
      <c r="J71" s="204"/>
      <c r="K71" s="204"/>
      <c r="L71" s="204"/>
      <c r="M71" s="204"/>
      <c r="N71" s="204"/>
      <c r="O71" s="204"/>
      <c r="P71" s="204"/>
      <c r="Q71" s="204"/>
    </row>
    <row r="72" spans="1:17" x14ac:dyDescent="0.3">
      <c r="A72" s="204"/>
      <c r="B72" s="781" t="s">
        <v>1095</v>
      </c>
      <c r="C72" s="781"/>
      <c r="D72" s="781"/>
      <c r="E72" s="781"/>
      <c r="F72" s="781"/>
      <c r="G72" s="781"/>
      <c r="H72" s="204"/>
      <c r="I72" s="787" t="s">
        <v>1096</v>
      </c>
      <c r="J72" s="787"/>
      <c r="K72" s="787"/>
      <c r="L72" s="787"/>
      <c r="M72" s="787"/>
      <c r="O72" s="84" t="s">
        <v>1097</v>
      </c>
      <c r="P72" s="84"/>
      <c r="Q72" s="84"/>
    </row>
    <row r="73" spans="1:17" ht="19.5" customHeight="1" thickBot="1" x14ac:dyDescent="0.4">
      <c r="A73" s="204"/>
      <c r="B73" s="215"/>
      <c r="C73" s="786" t="s">
        <v>1387</v>
      </c>
      <c r="D73" s="786"/>
      <c r="E73" s="786"/>
      <c r="F73" s="786"/>
      <c r="G73" s="786"/>
      <c r="H73" s="204"/>
      <c r="I73" s="786" t="s">
        <v>1387</v>
      </c>
      <c r="J73" s="786"/>
      <c r="K73" s="786"/>
      <c r="L73" s="786"/>
      <c r="M73" s="786"/>
      <c r="N73" s="204"/>
      <c r="O73" s="204"/>
    </row>
    <row r="74" spans="1:17" x14ac:dyDescent="0.3">
      <c r="A74" s="204"/>
      <c r="B74" s="236"/>
      <c r="C74" s="237" t="s">
        <v>1382</v>
      </c>
      <c r="D74" s="214" t="s">
        <v>985</v>
      </c>
      <c r="E74" s="214" t="s">
        <v>986</v>
      </c>
      <c r="F74" s="319" t="s">
        <v>592</v>
      </c>
      <c r="G74" s="215" t="s">
        <v>591</v>
      </c>
      <c r="H74" s="204"/>
      <c r="I74" s="237" t="s">
        <v>1382</v>
      </c>
      <c r="J74" s="214" t="s">
        <v>985</v>
      </c>
      <c r="K74" s="214" t="s">
        <v>986</v>
      </c>
      <c r="L74" s="319" t="s">
        <v>592</v>
      </c>
      <c r="M74" s="215" t="s">
        <v>591</v>
      </c>
      <c r="O74" s="237" t="s">
        <v>1382</v>
      </c>
      <c r="P74" s="214" t="s">
        <v>985</v>
      </c>
      <c r="Q74" s="214" t="s">
        <v>986</v>
      </c>
    </row>
    <row r="75" spans="1:17" x14ac:dyDescent="0.3">
      <c r="A75" s="204"/>
      <c r="B75" s="205" t="s">
        <v>1450</v>
      </c>
      <c r="C75" s="265"/>
      <c r="D75" s="265"/>
      <c r="E75" s="266"/>
      <c r="F75" s="210"/>
      <c r="G75" s="204"/>
      <c r="H75" s="204"/>
      <c r="I75" s="204"/>
      <c r="J75" s="204"/>
      <c r="K75" s="204"/>
      <c r="L75" s="204"/>
      <c r="M75" s="204"/>
      <c r="N75" s="204"/>
    </row>
    <row r="76" spans="1:17" x14ac:dyDescent="0.3">
      <c r="A76" s="204"/>
      <c r="B76" s="206" t="s">
        <v>1082</v>
      </c>
      <c r="C76" s="388">
        <f>'Life table (HE)'!G118</f>
        <v>63.242588803029129</v>
      </c>
      <c r="D76" s="388">
        <f>C76*0.75</f>
        <v>47.431941602271849</v>
      </c>
      <c r="E76" s="478">
        <f t="shared" ref="E76:E98" si="8">D76*0.75</f>
        <v>35.573956201703886</v>
      </c>
      <c r="F76" s="210" t="s">
        <v>1383</v>
      </c>
      <c r="G76" s="204" t="s">
        <v>1384</v>
      </c>
      <c r="H76" s="204"/>
      <c r="I76" s="204"/>
      <c r="J76" s="204"/>
      <c r="K76" s="204"/>
      <c r="L76" s="204"/>
      <c r="M76" s="204"/>
      <c r="N76" s="204"/>
      <c r="O76">
        <f>IF(ISBLANK(C76),I76,C76)</f>
        <v>63.242588803029129</v>
      </c>
      <c r="P76">
        <f t="shared" ref="P76:Q82" si="9">IF(ISBLANK(D76),J76,D76)</f>
        <v>47.431941602271849</v>
      </c>
      <c r="Q76">
        <f t="shared" si="9"/>
        <v>35.573956201703886</v>
      </c>
    </row>
    <row r="77" spans="1:17" x14ac:dyDescent="0.3">
      <c r="A77" s="204"/>
      <c r="B77" s="206" t="s">
        <v>1083</v>
      </c>
      <c r="C77" s="388">
        <f>'Life table (HE)'!G119</f>
        <v>62.924657046299728</v>
      </c>
      <c r="D77" s="388">
        <f t="shared" ref="D77" si="10">C77*0.75</f>
        <v>47.193492784724796</v>
      </c>
      <c r="E77" s="478">
        <f t="shared" si="8"/>
        <v>35.395119588543594</v>
      </c>
      <c r="F77" s="210"/>
      <c r="G77" s="204"/>
      <c r="H77" s="204"/>
      <c r="I77" s="204"/>
      <c r="J77" s="204"/>
      <c r="K77" s="204"/>
      <c r="L77" s="204"/>
      <c r="M77" s="204"/>
      <c r="N77" s="204"/>
      <c r="O77">
        <f t="shared" ref="O77:O82" si="11">IF(ISBLANK(C77),I77,C77)</f>
        <v>62.924657046299728</v>
      </c>
      <c r="P77">
        <f t="shared" si="9"/>
        <v>47.193492784724796</v>
      </c>
      <c r="Q77">
        <f t="shared" si="9"/>
        <v>35.395119588543594</v>
      </c>
    </row>
    <row r="78" spans="1:17" x14ac:dyDescent="0.3">
      <c r="A78" s="204"/>
      <c r="B78" s="206" t="s">
        <v>1084</v>
      </c>
      <c r="C78" s="388">
        <f>'Life table (HE)'!G120</f>
        <v>61.656636902696874</v>
      </c>
      <c r="D78" s="388">
        <f t="shared" ref="D78" si="12">C78*0.75</f>
        <v>46.242477677022656</v>
      </c>
      <c r="E78" s="478">
        <f t="shared" si="8"/>
        <v>34.68185825776699</v>
      </c>
      <c r="F78" s="210"/>
      <c r="G78" s="204"/>
      <c r="H78" s="204"/>
      <c r="I78" s="204"/>
      <c r="J78" s="204"/>
      <c r="K78" s="204"/>
      <c r="L78" s="204"/>
      <c r="M78" s="204"/>
      <c r="N78" s="204"/>
      <c r="O78">
        <f t="shared" si="11"/>
        <v>61.656636902696874</v>
      </c>
      <c r="P78">
        <f t="shared" si="9"/>
        <v>46.242477677022656</v>
      </c>
      <c r="Q78">
        <f t="shared" si="9"/>
        <v>34.68185825776699</v>
      </c>
    </row>
    <row r="79" spans="1:17" x14ac:dyDescent="0.3">
      <c r="A79" s="204"/>
      <c r="B79" s="206" t="s">
        <v>1085</v>
      </c>
      <c r="C79" s="388">
        <f>'Life table (HE)'!G121</f>
        <v>55.670967444057503</v>
      </c>
      <c r="D79" s="388">
        <f t="shared" ref="D79" si="13">C79*0.75</f>
        <v>41.753225583043125</v>
      </c>
      <c r="E79" s="478">
        <f t="shared" si="8"/>
        <v>31.314919187282342</v>
      </c>
      <c r="F79" s="210"/>
      <c r="G79" s="204"/>
      <c r="H79" s="204"/>
      <c r="I79" s="204"/>
      <c r="J79" s="204"/>
      <c r="K79" s="204"/>
      <c r="L79" s="204"/>
      <c r="M79" s="204"/>
      <c r="N79" s="204"/>
      <c r="O79">
        <f t="shared" si="11"/>
        <v>55.670967444057503</v>
      </c>
      <c r="P79">
        <f t="shared" si="9"/>
        <v>41.753225583043125</v>
      </c>
      <c r="Q79">
        <f t="shared" si="9"/>
        <v>31.314919187282342</v>
      </c>
    </row>
    <row r="80" spans="1:17" x14ac:dyDescent="0.3">
      <c r="A80" s="204"/>
      <c r="B80" s="206" t="s">
        <v>1086</v>
      </c>
      <c r="C80" s="388">
        <f>'Life table (HE)'!G122</f>
        <v>30.332301348908373</v>
      </c>
      <c r="D80" s="388">
        <f t="shared" ref="D80" si="14">C80*0.75</f>
        <v>22.74922601168128</v>
      </c>
      <c r="E80" s="478">
        <f t="shared" si="8"/>
        <v>17.061919508760958</v>
      </c>
      <c r="F80" s="210"/>
      <c r="G80" s="204"/>
      <c r="H80" s="204"/>
      <c r="I80" s="204"/>
      <c r="J80" s="204"/>
      <c r="K80" s="204"/>
      <c r="L80" s="204"/>
      <c r="M80" s="204"/>
      <c r="N80" s="204"/>
      <c r="O80">
        <f t="shared" si="11"/>
        <v>30.332301348908373</v>
      </c>
      <c r="P80">
        <f t="shared" si="9"/>
        <v>22.74922601168128</v>
      </c>
      <c r="Q80">
        <f t="shared" si="9"/>
        <v>17.061919508760958</v>
      </c>
    </row>
    <row r="81" spans="1:17" x14ac:dyDescent="0.3">
      <c r="A81" s="204"/>
      <c r="B81" s="206" t="s">
        <v>1087</v>
      </c>
      <c r="C81" s="388">
        <f>'Life table (HE)'!G123</f>
        <v>16.663657932552432</v>
      </c>
      <c r="D81" s="388">
        <f t="shared" ref="D81" si="15">C81*0.75</f>
        <v>12.497743449414324</v>
      </c>
      <c r="E81" s="478">
        <f t="shared" si="8"/>
        <v>9.3733075870607436</v>
      </c>
      <c r="F81" s="210"/>
      <c r="G81" s="204"/>
      <c r="H81" s="204"/>
      <c r="I81" s="204"/>
      <c r="J81" s="204"/>
      <c r="K81" s="204"/>
      <c r="L81" s="204"/>
      <c r="M81" s="204"/>
      <c r="N81" s="204"/>
      <c r="O81">
        <f t="shared" si="11"/>
        <v>16.663657932552432</v>
      </c>
      <c r="P81">
        <f t="shared" si="9"/>
        <v>12.497743449414324</v>
      </c>
      <c r="Q81">
        <f t="shared" si="9"/>
        <v>9.3733075870607436</v>
      </c>
    </row>
    <row r="82" spans="1:17" x14ac:dyDescent="0.3">
      <c r="A82" s="204"/>
      <c r="B82" s="206" t="s">
        <v>1443</v>
      </c>
      <c r="C82" s="388">
        <f>'Life table (HE)'!G124</f>
        <v>7.6709164280651745</v>
      </c>
      <c r="D82" s="388">
        <f t="shared" ref="D82" si="16">C82*0.75</f>
        <v>5.7531873210488804</v>
      </c>
      <c r="E82" s="478">
        <f t="shared" si="8"/>
        <v>4.3148904907866603</v>
      </c>
      <c r="F82" s="210"/>
      <c r="G82" s="204"/>
      <c r="H82" s="204"/>
      <c r="I82" s="204"/>
      <c r="J82" s="204"/>
      <c r="K82" s="204"/>
      <c r="L82" s="204"/>
      <c r="M82" s="204"/>
      <c r="N82" s="204"/>
      <c r="O82">
        <f t="shared" si="11"/>
        <v>7.6709164280651745</v>
      </c>
      <c r="P82">
        <f t="shared" si="9"/>
        <v>5.7531873210488804</v>
      </c>
      <c r="Q82">
        <f t="shared" si="9"/>
        <v>4.3148904907866603</v>
      </c>
    </row>
    <row r="83" spans="1:17" x14ac:dyDescent="0.3">
      <c r="A83" s="204"/>
      <c r="B83" s="205" t="s">
        <v>1444</v>
      </c>
      <c r="C83" s="265"/>
      <c r="D83" s="479"/>
      <c r="E83" s="480"/>
      <c r="F83" s="210"/>
      <c r="G83" s="204"/>
      <c r="H83" s="204"/>
      <c r="I83" s="204"/>
      <c r="J83" s="204"/>
      <c r="K83" s="204"/>
      <c r="L83" s="204"/>
      <c r="M83" s="204"/>
      <c r="N83" s="204"/>
    </row>
    <row r="84" spans="1:17" x14ac:dyDescent="0.3">
      <c r="A84" s="204"/>
      <c r="B84" s="206" t="s">
        <v>1082</v>
      </c>
      <c r="C84" s="388">
        <f>C76</f>
        <v>63.242588803029129</v>
      </c>
      <c r="D84" s="388">
        <f t="shared" ref="D84" si="17">C84*0.75</f>
        <v>47.431941602271849</v>
      </c>
      <c r="E84" s="478">
        <f t="shared" si="8"/>
        <v>35.573956201703886</v>
      </c>
      <c r="F84" s="210" t="s">
        <v>1383</v>
      </c>
      <c r="G84" s="204" t="s">
        <v>1384</v>
      </c>
      <c r="H84" s="204"/>
      <c r="I84" s="204"/>
      <c r="J84" s="204"/>
      <c r="K84" s="204"/>
      <c r="L84" s="204"/>
      <c r="M84" s="204"/>
      <c r="N84" s="204"/>
      <c r="O84">
        <f t="shared" ref="O84:Q90" si="18">IF(ISBLANK(C84),I84,C84)</f>
        <v>63.242588803029129</v>
      </c>
      <c r="P84">
        <f t="shared" si="18"/>
        <v>47.431941602271849</v>
      </c>
      <c r="Q84">
        <f t="shared" si="18"/>
        <v>35.573956201703886</v>
      </c>
    </row>
    <row r="85" spans="1:17" x14ac:dyDescent="0.3">
      <c r="A85" s="204"/>
      <c r="B85" s="206" t="s">
        <v>1083</v>
      </c>
      <c r="C85" s="388">
        <f t="shared" ref="C85:C90" si="19">C77</f>
        <v>62.924657046299728</v>
      </c>
      <c r="D85" s="388">
        <f t="shared" ref="D85" si="20">C85*0.75</f>
        <v>47.193492784724796</v>
      </c>
      <c r="E85" s="478">
        <f t="shared" si="8"/>
        <v>35.395119588543594</v>
      </c>
      <c r="F85" s="210"/>
      <c r="G85" s="204"/>
      <c r="H85" s="204"/>
      <c r="I85" s="204"/>
      <c r="J85" s="204"/>
      <c r="K85" s="204"/>
      <c r="L85" s="204"/>
      <c r="M85" s="204"/>
      <c r="N85" s="204"/>
      <c r="O85">
        <f t="shared" si="18"/>
        <v>62.924657046299728</v>
      </c>
      <c r="P85">
        <f t="shared" si="18"/>
        <v>47.193492784724796</v>
      </c>
      <c r="Q85">
        <f t="shared" si="18"/>
        <v>35.395119588543594</v>
      </c>
    </row>
    <row r="86" spans="1:17" x14ac:dyDescent="0.3">
      <c r="A86" s="204"/>
      <c r="B86" s="206" t="s">
        <v>1084</v>
      </c>
      <c r="C86" s="388">
        <f t="shared" si="19"/>
        <v>61.656636902696874</v>
      </c>
      <c r="D86" s="388">
        <f t="shared" ref="D86" si="21">C86*0.75</f>
        <v>46.242477677022656</v>
      </c>
      <c r="E86" s="478">
        <f t="shared" si="8"/>
        <v>34.68185825776699</v>
      </c>
      <c r="F86" s="210"/>
      <c r="G86" s="204"/>
      <c r="H86" s="204"/>
      <c r="I86" s="204"/>
      <c r="J86" s="204"/>
      <c r="K86" s="204"/>
      <c r="L86" s="204"/>
      <c r="M86" s="204"/>
      <c r="N86" s="204"/>
      <c r="O86">
        <f t="shared" si="18"/>
        <v>61.656636902696874</v>
      </c>
      <c r="P86">
        <f t="shared" si="18"/>
        <v>46.242477677022656</v>
      </c>
      <c r="Q86">
        <f t="shared" si="18"/>
        <v>34.68185825776699</v>
      </c>
    </row>
    <row r="87" spans="1:17" x14ac:dyDescent="0.3">
      <c r="A87" s="204"/>
      <c r="B87" s="206" t="s">
        <v>1085</v>
      </c>
      <c r="C87" s="388">
        <f t="shared" si="19"/>
        <v>55.670967444057503</v>
      </c>
      <c r="D87" s="388">
        <f t="shared" ref="D87" si="22">C87*0.75</f>
        <v>41.753225583043125</v>
      </c>
      <c r="E87" s="478">
        <f t="shared" si="8"/>
        <v>31.314919187282342</v>
      </c>
      <c r="F87" s="210"/>
      <c r="G87" s="204"/>
      <c r="H87" s="204"/>
      <c r="I87" s="204"/>
      <c r="J87" s="204"/>
      <c r="K87" s="204"/>
      <c r="L87" s="204"/>
      <c r="M87" s="204"/>
      <c r="N87" s="204"/>
      <c r="O87">
        <f t="shared" si="18"/>
        <v>55.670967444057503</v>
      </c>
      <c r="P87">
        <f t="shared" si="18"/>
        <v>41.753225583043125</v>
      </c>
      <c r="Q87">
        <f t="shared" si="18"/>
        <v>31.314919187282342</v>
      </c>
    </row>
    <row r="88" spans="1:17" x14ac:dyDescent="0.3">
      <c r="A88" s="204"/>
      <c r="B88" s="206" t="s">
        <v>1086</v>
      </c>
      <c r="C88" s="388">
        <f t="shared" si="19"/>
        <v>30.332301348908373</v>
      </c>
      <c r="D88" s="388">
        <f t="shared" ref="D88" si="23">C88*0.75</f>
        <v>22.74922601168128</v>
      </c>
      <c r="E88" s="478">
        <f t="shared" si="8"/>
        <v>17.061919508760958</v>
      </c>
      <c r="F88" s="210"/>
      <c r="G88" s="204"/>
      <c r="H88" s="204"/>
      <c r="I88" s="204"/>
      <c r="J88" s="204"/>
      <c r="K88" s="204"/>
      <c r="L88" s="204"/>
      <c r="M88" s="204"/>
      <c r="N88" s="204"/>
      <c r="O88">
        <f t="shared" si="18"/>
        <v>30.332301348908373</v>
      </c>
      <c r="P88">
        <f t="shared" si="18"/>
        <v>22.74922601168128</v>
      </c>
      <c r="Q88">
        <f t="shared" si="18"/>
        <v>17.061919508760958</v>
      </c>
    </row>
    <row r="89" spans="1:17" x14ac:dyDescent="0.3">
      <c r="A89" s="204"/>
      <c r="B89" s="206" t="s">
        <v>1087</v>
      </c>
      <c r="C89" s="388">
        <f t="shared" si="19"/>
        <v>16.663657932552432</v>
      </c>
      <c r="D89" s="388">
        <f t="shared" ref="D89" si="24">C89*0.75</f>
        <v>12.497743449414324</v>
      </c>
      <c r="E89" s="478">
        <f t="shared" si="8"/>
        <v>9.3733075870607436</v>
      </c>
      <c r="F89" s="210"/>
      <c r="G89" s="204"/>
      <c r="H89" s="204"/>
      <c r="I89" s="204"/>
      <c r="J89" s="204"/>
      <c r="K89" s="204"/>
      <c r="L89" s="204"/>
      <c r="M89" s="204"/>
      <c r="N89" s="204"/>
      <c r="O89">
        <f t="shared" si="18"/>
        <v>16.663657932552432</v>
      </c>
      <c r="P89">
        <f t="shared" si="18"/>
        <v>12.497743449414324</v>
      </c>
      <c r="Q89">
        <f t="shared" si="18"/>
        <v>9.3733075870607436</v>
      </c>
    </row>
    <row r="90" spans="1:17" x14ac:dyDescent="0.3">
      <c r="A90" s="204"/>
      <c r="B90" s="206" t="s">
        <v>1443</v>
      </c>
      <c r="C90" s="388">
        <f t="shared" si="19"/>
        <v>7.6709164280651745</v>
      </c>
      <c r="D90" s="388">
        <f t="shared" ref="D90" si="25">C90*0.75</f>
        <v>5.7531873210488804</v>
      </c>
      <c r="E90" s="478">
        <f t="shared" si="8"/>
        <v>4.3148904907866603</v>
      </c>
      <c r="F90" s="210"/>
      <c r="G90" s="204"/>
      <c r="H90" s="204"/>
      <c r="I90" s="204"/>
      <c r="J90" s="204"/>
      <c r="K90" s="204"/>
      <c r="L90" s="204"/>
      <c r="M90" s="204"/>
      <c r="N90" s="204"/>
      <c r="O90">
        <f t="shared" si="18"/>
        <v>7.6709164280651745</v>
      </c>
      <c r="P90">
        <f t="shared" si="18"/>
        <v>5.7531873210488804</v>
      </c>
      <c r="Q90">
        <f t="shared" si="18"/>
        <v>4.3148904907866603</v>
      </c>
    </row>
    <row r="91" spans="1:17" x14ac:dyDescent="0.3">
      <c r="A91" s="204"/>
      <c r="B91" s="207" t="s">
        <v>227</v>
      </c>
      <c r="C91" s="265"/>
      <c r="D91" s="479"/>
      <c r="E91" s="480"/>
      <c r="F91" s="210"/>
      <c r="G91" s="204"/>
      <c r="H91" s="204"/>
      <c r="I91" s="204"/>
      <c r="J91" s="204"/>
      <c r="K91" s="204"/>
      <c r="L91" s="204"/>
      <c r="M91" s="204"/>
      <c r="N91" s="204"/>
    </row>
    <row r="92" spans="1:17" x14ac:dyDescent="0.3">
      <c r="A92" s="204"/>
      <c r="B92" s="206" t="s">
        <v>1437</v>
      </c>
      <c r="C92" s="388">
        <f>C80</f>
        <v>30.332301348908373</v>
      </c>
      <c r="D92" s="388">
        <f t="shared" ref="D92" si="26">C92*0.75</f>
        <v>22.74922601168128</v>
      </c>
      <c r="E92" s="478">
        <f t="shared" si="8"/>
        <v>17.061919508760958</v>
      </c>
      <c r="F92" s="210"/>
      <c r="G92" s="204"/>
      <c r="H92" s="204"/>
      <c r="I92" s="204"/>
      <c r="J92" s="204"/>
      <c r="K92" s="204"/>
      <c r="L92" s="204"/>
      <c r="M92" s="204"/>
      <c r="N92" s="204"/>
      <c r="O92">
        <f t="shared" ref="O92:Q95" si="27">IF(ISBLANK(C92),I92,C92)</f>
        <v>30.332301348908373</v>
      </c>
      <c r="P92">
        <f t="shared" si="27"/>
        <v>22.74922601168128</v>
      </c>
      <c r="Q92">
        <f t="shared" si="27"/>
        <v>17.061919508760958</v>
      </c>
    </row>
    <row r="93" spans="1:17" x14ac:dyDescent="0.3">
      <c r="A93" s="204"/>
      <c r="B93" s="206" t="s">
        <v>1438</v>
      </c>
      <c r="C93" s="388">
        <f>C92</f>
        <v>30.332301348908373</v>
      </c>
      <c r="D93" s="388">
        <f t="shared" ref="D93" si="28">C93*0.75</f>
        <v>22.74922601168128</v>
      </c>
      <c r="E93" s="478">
        <f t="shared" si="8"/>
        <v>17.061919508760958</v>
      </c>
      <c r="F93" s="210"/>
      <c r="G93" s="204"/>
      <c r="H93" s="204"/>
      <c r="I93" s="204"/>
      <c r="J93" s="204"/>
      <c r="K93" s="204"/>
      <c r="L93" s="204"/>
      <c r="M93" s="204"/>
      <c r="N93" s="204"/>
      <c r="O93">
        <f t="shared" si="27"/>
        <v>30.332301348908373</v>
      </c>
      <c r="P93">
        <f t="shared" si="27"/>
        <v>22.74922601168128</v>
      </c>
      <c r="Q93">
        <f t="shared" si="27"/>
        <v>17.061919508760958</v>
      </c>
    </row>
    <row r="94" spans="1:17" x14ac:dyDescent="0.3">
      <c r="A94" s="204"/>
      <c r="B94" s="206" t="s">
        <v>1441</v>
      </c>
      <c r="C94" s="388">
        <f>C76</f>
        <v>63.242588803029129</v>
      </c>
      <c r="D94" s="388">
        <f t="shared" ref="D94" si="29">C94*0.75</f>
        <v>47.431941602271849</v>
      </c>
      <c r="E94" s="478">
        <f t="shared" si="8"/>
        <v>35.573956201703886</v>
      </c>
      <c r="F94" s="210"/>
      <c r="G94" s="204"/>
      <c r="H94" s="204"/>
      <c r="I94" s="204"/>
      <c r="J94" s="204"/>
      <c r="K94" s="204"/>
      <c r="L94" s="204"/>
      <c r="M94" s="204"/>
      <c r="N94" s="204"/>
      <c r="O94">
        <f t="shared" si="27"/>
        <v>63.242588803029129</v>
      </c>
      <c r="P94">
        <f t="shared" si="27"/>
        <v>47.431941602271849</v>
      </c>
      <c r="Q94">
        <f t="shared" si="27"/>
        <v>35.573956201703886</v>
      </c>
    </row>
    <row r="95" spans="1:17" x14ac:dyDescent="0.3">
      <c r="A95" s="204"/>
      <c r="B95" s="206" t="s">
        <v>1442</v>
      </c>
      <c r="C95" s="388">
        <f>C94</f>
        <v>63.242588803029129</v>
      </c>
      <c r="D95" s="388">
        <f t="shared" ref="D95" si="30">C95*0.75</f>
        <v>47.431941602271849</v>
      </c>
      <c r="E95" s="478">
        <f t="shared" si="8"/>
        <v>35.573956201703886</v>
      </c>
      <c r="F95" s="210"/>
      <c r="G95" s="204"/>
      <c r="H95" s="204"/>
      <c r="I95" s="204"/>
      <c r="J95" s="204"/>
      <c r="K95" s="204"/>
      <c r="L95" s="204"/>
      <c r="M95" s="204"/>
      <c r="N95" s="204"/>
      <c r="O95">
        <f t="shared" si="27"/>
        <v>63.242588803029129</v>
      </c>
      <c r="P95">
        <f t="shared" si="27"/>
        <v>47.431941602271849</v>
      </c>
      <c r="Q95">
        <f t="shared" si="27"/>
        <v>35.573956201703886</v>
      </c>
    </row>
    <row r="96" spans="1:17" x14ac:dyDescent="0.3">
      <c r="A96" s="204"/>
      <c r="B96" s="207" t="s">
        <v>920</v>
      </c>
      <c r="C96" s="265"/>
      <c r="D96" s="479"/>
      <c r="E96" s="480"/>
      <c r="F96" s="210"/>
      <c r="G96" s="204"/>
      <c r="H96" s="204"/>
      <c r="I96" s="204"/>
      <c r="J96" s="204"/>
      <c r="K96" s="204"/>
      <c r="L96" s="204"/>
      <c r="M96" s="204"/>
      <c r="N96" s="204"/>
    </row>
    <row r="97" spans="1:17" x14ac:dyDescent="0.3">
      <c r="A97" s="204"/>
      <c r="B97" s="206" t="s">
        <v>920</v>
      </c>
      <c r="C97" s="388">
        <f>C80</f>
        <v>30.332301348908373</v>
      </c>
      <c r="D97" s="388">
        <f t="shared" ref="D97" si="31">C97*0.75</f>
        <v>22.74922601168128</v>
      </c>
      <c r="E97" s="478">
        <f t="shared" si="8"/>
        <v>17.061919508760958</v>
      </c>
      <c r="F97" s="210"/>
      <c r="G97" s="204"/>
      <c r="H97" s="269"/>
      <c r="I97" s="204"/>
      <c r="J97" s="204"/>
      <c r="K97" s="204"/>
      <c r="L97" s="204"/>
      <c r="M97" s="204"/>
      <c r="N97" s="204"/>
      <c r="O97">
        <f t="shared" ref="O97:Q98" si="32">IF(ISBLANK(C97),I97,C97)</f>
        <v>30.332301348908373</v>
      </c>
      <c r="P97">
        <f t="shared" si="32"/>
        <v>22.74922601168128</v>
      </c>
      <c r="Q97">
        <f t="shared" si="32"/>
        <v>17.061919508760958</v>
      </c>
    </row>
    <row r="98" spans="1:17" x14ac:dyDescent="0.3">
      <c r="A98" s="204"/>
      <c r="B98" s="206" t="s">
        <v>980</v>
      </c>
      <c r="C98" s="388">
        <f>C82</f>
        <v>7.6709164280651745</v>
      </c>
      <c r="D98" s="388">
        <f t="shared" ref="D98" si="33">C98*0.75</f>
        <v>5.7531873210488804</v>
      </c>
      <c r="E98" s="478">
        <f t="shared" si="8"/>
        <v>4.3148904907866603</v>
      </c>
      <c r="F98" s="210"/>
      <c r="G98" s="204"/>
      <c r="H98" s="269"/>
      <c r="I98" s="204"/>
      <c r="J98" s="204"/>
      <c r="K98" s="204"/>
      <c r="L98" s="204"/>
      <c r="M98" s="204"/>
      <c r="N98" s="204"/>
      <c r="O98">
        <f t="shared" si="32"/>
        <v>7.6709164280651745</v>
      </c>
      <c r="P98">
        <f t="shared" si="32"/>
        <v>5.7531873210488804</v>
      </c>
      <c r="Q98">
        <f t="shared" si="32"/>
        <v>4.3148904907866603</v>
      </c>
    </row>
    <row r="99" spans="1:17" x14ac:dyDescent="0.3">
      <c r="A99" s="204"/>
      <c r="D99" s="269"/>
      <c r="E99" s="204"/>
      <c r="F99" s="204"/>
      <c r="G99" s="204"/>
      <c r="H99" s="323"/>
      <c r="I99" s="204"/>
    </row>
    <row r="100" spans="1:17" x14ac:dyDescent="0.3">
      <c r="A100" s="204"/>
      <c r="D100" s="269"/>
      <c r="E100" s="204"/>
      <c r="F100" s="204"/>
      <c r="G100" s="204"/>
      <c r="H100" s="323"/>
      <c r="I100" s="204"/>
    </row>
    <row r="101" spans="1:17" x14ac:dyDescent="0.3">
      <c r="A101" s="204"/>
      <c r="B101" s="236" t="s">
        <v>1578</v>
      </c>
      <c r="C101" s="204"/>
      <c r="D101" s="204"/>
      <c r="E101" s="204"/>
      <c r="F101" s="204"/>
      <c r="G101" s="204"/>
      <c r="H101" s="204"/>
      <c r="I101" s="204"/>
    </row>
    <row r="102" spans="1:17" x14ac:dyDescent="0.3">
      <c r="A102" s="204"/>
      <c r="B102" s="236"/>
      <c r="C102" s="204"/>
      <c r="D102" s="204"/>
      <c r="E102" s="204"/>
      <c r="F102" s="204"/>
      <c r="G102" s="204"/>
      <c r="H102" s="204"/>
      <c r="I102" s="204"/>
    </row>
    <row r="103" spans="1:17" x14ac:dyDescent="0.3">
      <c r="A103" s="204"/>
      <c r="B103" s="781" t="s">
        <v>1095</v>
      </c>
      <c r="C103" s="781"/>
      <c r="D103" s="781"/>
      <c r="E103" s="781"/>
      <c r="F103" s="781"/>
      <c r="G103" s="781"/>
      <c r="H103" s="204"/>
      <c r="I103" s="787" t="s">
        <v>1096</v>
      </c>
      <c r="J103" s="787"/>
      <c r="K103" s="787"/>
      <c r="L103" s="787"/>
      <c r="M103" s="787"/>
      <c r="O103" s="84" t="s">
        <v>1097</v>
      </c>
      <c r="P103" s="84"/>
      <c r="Q103" s="84"/>
    </row>
    <row r="104" spans="1:17" ht="18.600000000000001" thickBot="1" x14ac:dyDescent="0.4">
      <c r="A104" s="204"/>
      <c r="B104" s="215"/>
      <c r="C104" s="786" t="s">
        <v>1387</v>
      </c>
      <c r="D104" s="786"/>
      <c r="E104" s="786"/>
      <c r="F104" s="786"/>
      <c r="G104" s="786"/>
      <c r="H104" s="204"/>
      <c r="I104" s="786" t="s">
        <v>1387</v>
      </c>
      <c r="J104" s="786"/>
      <c r="K104" s="786"/>
      <c r="L104" s="786"/>
      <c r="M104" s="786"/>
      <c r="N104" s="204"/>
      <c r="O104" s="204"/>
    </row>
    <row r="105" spans="1:17" x14ac:dyDescent="0.3">
      <c r="A105" s="204"/>
      <c r="B105" s="236"/>
      <c r="C105" s="237" t="s">
        <v>1382</v>
      </c>
      <c r="D105" s="214" t="s">
        <v>985</v>
      </c>
      <c r="E105" s="214" t="s">
        <v>986</v>
      </c>
      <c r="F105" s="319" t="s">
        <v>592</v>
      </c>
      <c r="G105" s="215" t="s">
        <v>591</v>
      </c>
      <c r="H105" s="204"/>
      <c r="I105" s="237" t="s">
        <v>1382</v>
      </c>
      <c r="J105" s="214" t="s">
        <v>985</v>
      </c>
      <c r="K105" s="214" t="s">
        <v>986</v>
      </c>
      <c r="L105" s="319" t="s">
        <v>592</v>
      </c>
      <c r="M105" s="215" t="s">
        <v>591</v>
      </c>
      <c r="O105" s="237" t="s">
        <v>1382</v>
      </c>
      <c r="P105" s="214" t="s">
        <v>985</v>
      </c>
      <c r="Q105" s="214" t="s">
        <v>986</v>
      </c>
    </row>
    <row r="106" spans="1:17" x14ac:dyDescent="0.3">
      <c r="A106" s="204"/>
      <c r="B106" s="205" t="s">
        <v>1450</v>
      </c>
      <c r="C106" s="265"/>
      <c r="D106" s="265"/>
      <c r="E106" s="266"/>
      <c r="F106" s="210"/>
      <c r="G106" s="204"/>
      <c r="H106" s="204"/>
      <c r="I106" s="204"/>
      <c r="J106" s="204"/>
      <c r="K106" s="204"/>
      <c r="L106" s="204"/>
      <c r="M106" s="204"/>
      <c r="N106" s="204"/>
    </row>
    <row r="107" spans="1:17" x14ac:dyDescent="0.3">
      <c r="A107" s="204"/>
      <c r="B107" s="206" t="s">
        <v>1082</v>
      </c>
      <c r="C107" s="388">
        <f>'Life table (HE)'!I118</f>
        <v>44.260797126739924</v>
      </c>
      <c r="D107" s="388">
        <f>C107*0.75</f>
        <v>33.195597845054941</v>
      </c>
      <c r="E107" s="478">
        <f t="shared" ref="E107:E129" si="34">D107*0.75</f>
        <v>24.896698383791204</v>
      </c>
      <c r="F107" s="210" t="s">
        <v>1388</v>
      </c>
      <c r="G107" s="204" t="s">
        <v>1389</v>
      </c>
      <c r="H107" s="204"/>
      <c r="I107" s="204"/>
      <c r="J107" s="204"/>
      <c r="K107" s="204"/>
      <c r="L107" s="204"/>
      <c r="M107" s="204"/>
      <c r="N107" s="204"/>
      <c r="O107">
        <f>IF(ISBLANK(C107),I107,C107)</f>
        <v>44.260797126739924</v>
      </c>
      <c r="P107">
        <f t="shared" ref="P107:Q113" si="35">IF(ISBLANK(D107),J107,D107)</f>
        <v>33.195597845054941</v>
      </c>
      <c r="Q107">
        <f t="shared" si="35"/>
        <v>24.896698383791204</v>
      </c>
    </row>
    <row r="108" spans="1:17" x14ac:dyDescent="0.3">
      <c r="A108" s="204"/>
      <c r="B108" s="206" t="s">
        <v>1083</v>
      </c>
      <c r="C108" s="388">
        <f>'Life table (HE)'!I119</f>
        <v>43.852403461945975</v>
      </c>
      <c r="D108" s="388">
        <f t="shared" ref="D108" si="36">C108*0.75</f>
        <v>32.88930259645948</v>
      </c>
      <c r="E108" s="478">
        <f t="shared" si="34"/>
        <v>24.666976947344608</v>
      </c>
      <c r="F108" s="210"/>
      <c r="G108" s="204"/>
      <c r="H108" s="204"/>
      <c r="I108" s="204"/>
      <c r="J108" s="204"/>
      <c r="K108" s="204"/>
      <c r="L108" s="204"/>
      <c r="M108" s="204"/>
      <c r="N108" s="204"/>
      <c r="O108">
        <f t="shared" ref="O108:O113" si="37">IF(ISBLANK(C108),I108,C108)</f>
        <v>43.852403461945975</v>
      </c>
      <c r="P108">
        <f t="shared" si="35"/>
        <v>32.88930259645948</v>
      </c>
      <c r="Q108">
        <f t="shared" si="35"/>
        <v>24.666976947344608</v>
      </c>
    </row>
    <row r="109" spans="1:17" x14ac:dyDescent="0.3">
      <c r="A109" s="204"/>
      <c r="B109" s="206" t="s">
        <v>1084</v>
      </c>
      <c r="C109" s="388">
        <f>'Life table (HE)'!I120</f>
        <v>42.742762947974903</v>
      </c>
      <c r="D109" s="388">
        <f t="shared" ref="D109" si="38">C109*0.75</f>
        <v>32.057072210981175</v>
      </c>
      <c r="E109" s="478">
        <f t="shared" si="34"/>
        <v>24.042804158235882</v>
      </c>
      <c r="F109" s="210"/>
      <c r="G109" s="204"/>
      <c r="H109" s="204"/>
      <c r="I109" s="204"/>
      <c r="J109" s="204"/>
      <c r="K109" s="204"/>
      <c r="L109" s="204"/>
      <c r="M109" s="204"/>
      <c r="N109" s="204"/>
      <c r="O109">
        <f t="shared" si="37"/>
        <v>42.742762947974903</v>
      </c>
      <c r="P109">
        <f t="shared" si="35"/>
        <v>32.057072210981175</v>
      </c>
      <c r="Q109">
        <f t="shared" si="35"/>
        <v>24.042804158235882</v>
      </c>
    </row>
    <row r="110" spans="1:17" x14ac:dyDescent="0.3">
      <c r="A110" s="204"/>
      <c r="B110" s="206" t="s">
        <v>1085</v>
      </c>
      <c r="C110" s="388">
        <f>'Life table (HE)'!I121</f>
        <v>37.724750020024487</v>
      </c>
      <c r="D110" s="388">
        <f t="shared" ref="D110" si="39">C110*0.75</f>
        <v>28.293562515018365</v>
      </c>
      <c r="E110" s="478">
        <f t="shared" si="34"/>
        <v>21.220171886263774</v>
      </c>
      <c r="F110" s="210"/>
      <c r="G110" s="204"/>
      <c r="H110" s="204"/>
      <c r="I110" s="204"/>
      <c r="J110" s="204"/>
      <c r="K110" s="204"/>
      <c r="L110" s="204"/>
      <c r="M110" s="204"/>
      <c r="N110" s="204"/>
      <c r="O110">
        <f t="shared" si="37"/>
        <v>37.724750020024487</v>
      </c>
      <c r="P110">
        <f t="shared" si="35"/>
        <v>28.293562515018365</v>
      </c>
      <c r="Q110">
        <f t="shared" si="35"/>
        <v>21.220171886263774</v>
      </c>
    </row>
    <row r="111" spans="1:17" x14ac:dyDescent="0.3">
      <c r="A111" s="204"/>
      <c r="B111" s="206" t="s">
        <v>1086</v>
      </c>
      <c r="C111" s="388">
        <f>'Life table (HE)'!I122</f>
        <v>18.283688511859314</v>
      </c>
      <c r="D111" s="388">
        <f t="shared" ref="D111" si="40">C111*0.75</f>
        <v>13.712766383894486</v>
      </c>
      <c r="E111" s="478">
        <f t="shared" si="34"/>
        <v>10.284574787920864</v>
      </c>
      <c r="F111" s="210"/>
      <c r="G111" s="204"/>
      <c r="H111" s="204"/>
      <c r="I111" s="204"/>
      <c r="J111" s="204"/>
      <c r="K111" s="204"/>
      <c r="L111" s="204"/>
      <c r="M111" s="204"/>
      <c r="N111" s="204"/>
      <c r="O111">
        <f t="shared" si="37"/>
        <v>18.283688511859314</v>
      </c>
      <c r="P111">
        <f t="shared" si="35"/>
        <v>13.712766383894486</v>
      </c>
      <c r="Q111">
        <f t="shared" si="35"/>
        <v>10.284574787920864</v>
      </c>
    </row>
    <row r="112" spans="1:17" x14ac:dyDescent="0.3">
      <c r="A112" s="204"/>
      <c r="B112" s="206" t="s">
        <v>1087</v>
      </c>
      <c r="C112" s="388">
        <f>'Life table (HE)'!I123</f>
        <v>9.2012352414126983</v>
      </c>
      <c r="D112" s="388">
        <f t="shared" ref="D112" si="41">C112*0.75</f>
        <v>6.9009264310595242</v>
      </c>
      <c r="E112" s="478">
        <f t="shared" si="34"/>
        <v>5.1756948232946431</v>
      </c>
      <c r="F112" s="210"/>
      <c r="G112" s="204"/>
      <c r="H112" s="204"/>
      <c r="I112" s="204"/>
      <c r="J112" s="204"/>
      <c r="K112" s="204"/>
      <c r="L112" s="204"/>
      <c r="M112" s="204"/>
      <c r="N112" s="204"/>
      <c r="O112">
        <f t="shared" si="37"/>
        <v>9.2012352414126983</v>
      </c>
      <c r="P112">
        <f t="shared" si="35"/>
        <v>6.9009264310595242</v>
      </c>
      <c r="Q112">
        <f t="shared" si="35"/>
        <v>5.1756948232946431</v>
      </c>
    </row>
    <row r="113" spans="1:17" x14ac:dyDescent="0.3">
      <c r="A113" s="204"/>
      <c r="B113" s="206" t="s">
        <v>1443</v>
      </c>
      <c r="C113" s="388">
        <f>'Life table (HE)'!I124</f>
        <v>4.0109687819067172</v>
      </c>
      <c r="D113" s="388">
        <f t="shared" ref="D113" si="42">C113*0.75</f>
        <v>3.0082265864300379</v>
      </c>
      <c r="E113" s="478">
        <f t="shared" si="34"/>
        <v>2.2561699398225286</v>
      </c>
      <c r="F113" s="210"/>
      <c r="G113" s="204"/>
      <c r="H113" s="204"/>
      <c r="I113" s="204"/>
      <c r="J113" s="204"/>
      <c r="K113" s="204"/>
      <c r="L113" s="204"/>
      <c r="M113" s="204"/>
      <c r="N113" s="204"/>
      <c r="O113">
        <f t="shared" si="37"/>
        <v>4.0109687819067172</v>
      </c>
      <c r="P113">
        <f t="shared" si="35"/>
        <v>3.0082265864300379</v>
      </c>
      <c r="Q113">
        <f t="shared" si="35"/>
        <v>2.2561699398225286</v>
      </c>
    </row>
    <row r="114" spans="1:17" x14ac:dyDescent="0.3">
      <c r="A114" s="204"/>
      <c r="B114" s="205" t="s">
        <v>1444</v>
      </c>
      <c r="C114" s="265"/>
      <c r="D114" s="479"/>
      <c r="E114" s="480"/>
      <c r="F114" s="210"/>
      <c r="G114" s="204"/>
      <c r="H114" s="204"/>
      <c r="I114" s="204"/>
      <c r="J114" s="204"/>
      <c r="K114" s="204"/>
      <c r="L114" s="204"/>
      <c r="M114" s="204"/>
      <c r="N114" s="204"/>
    </row>
    <row r="115" spans="1:17" x14ac:dyDescent="0.3">
      <c r="A115" s="204"/>
      <c r="B115" s="206" t="s">
        <v>1082</v>
      </c>
      <c r="C115" s="388">
        <f>C107</f>
        <v>44.260797126739924</v>
      </c>
      <c r="D115" s="388">
        <f t="shared" ref="D115" si="43">C115*0.75</f>
        <v>33.195597845054941</v>
      </c>
      <c r="E115" s="478">
        <f t="shared" si="34"/>
        <v>24.896698383791204</v>
      </c>
      <c r="F115" s="210" t="s">
        <v>1388</v>
      </c>
      <c r="G115" s="204" t="s">
        <v>1389</v>
      </c>
      <c r="H115" s="204"/>
      <c r="I115" s="204"/>
      <c r="J115" s="204"/>
      <c r="K115" s="204"/>
      <c r="L115" s="204"/>
      <c r="M115" s="204"/>
      <c r="N115" s="204"/>
      <c r="O115">
        <f t="shared" ref="O115:Q121" si="44">IF(ISBLANK(C115),I115,C115)</f>
        <v>44.260797126739924</v>
      </c>
      <c r="P115">
        <f t="shared" si="44"/>
        <v>33.195597845054941</v>
      </c>
      <c r="Q115">
        <f t="shared" si="44"/>
        <v>24.896698383791204</v>
      </c>
    </row>
    <row r="116" spans="1:17" x14ac:dyDescent="0.3">
      <c r="A116" s="204"/>
      <c r="B116" s="206" t="s">
        <v>1083</v>
      </c>
      <c r="C116" s="388">
        <f t="shared" ref="C116:C121" si="45">C108</f>
        <v>43.852403461945975</v>
      </c>
      <c r="D116" s="388">
        <f t="shared" ref="D116" si="46">C116*0.75</f>
        <v>32.88930259645948</v>
      </c>
      <c r="E116" s="478">
        <f t="shared" si="34"/>
        <v>24.666976947344608</v>
      </c>
      <c r="F116" s="210"/>
      <c r="G116" s="204"/>
      <c r="H116" s="204"/>
      <c r="I116" s="204"/>
      <c r="J116" s="204"/>
      <c r="K116" s="204"/>
      <c r="L116" s="204"/>
      <c r="M116" s="204"/>
      <c r="N116" s="204"/>
      <c r="O116">
        <f t="shared" si="44"/>
        <v>43.852403461945975</v>
      </c>
      <c r="P116">
        <f t="shared" si="44"/>
        <v>32.88930259645948</v>
      </c>
      <c r="Q116">
        <f t="shared" si="44"/>
        <v>24.666976947344608</v>
      </c>
    </row>
    <row r="117" spans="1:17" x14ac:dyDescent="0.3">
      <c r="A117" s="204"/>
      <c r="B117" s="206" t="s">
        <v>1084</v>
      </c>
      <c r="C117" s="388">
        <f t="shared" si="45"/>
        <v>42.742762947974903</v>
      </c>
      <c r="D117" s="388">
        <f t="shared" ref="D117" si="47">C117*0.75</f>
        <v>32.057072210981175</v>
      </c>
      <c r="E117" s="478">
        <f t="shared" si="34"/>
        <v>24.042804158235882</v>
      </c>
      <c r="F117" s="210"/>
      <c r="G117" s="204"/>
      <c r="H117" s="204"/>
      <c r="I117" s="204"/>
      <c r="J117" s="204"/>
      <c r="K117" s="204"/>
      <c r="L117" s="204"/>
      <c r="M117" s="204"/>
      <c r="N117" s="204"/>
      <c r="O117">
        <f t="shared" si="44"/>
        <v>42.742762947974903</v>
      </c>
      <c r="P117">
        <f t="shared" si="44"/>
        <v>32.057072210981175</v>
      </c>
      <c r="Q117">
        <f t="shared" si="44"/>
        <v>24.042804158235882</v>
      </c>
    </row>
    <row r="118" spans="1:17" x14ac:dyDescent="0.3">
      <c r="A118" s="204"/>
      <c r="B118" s="206" t="s">
        <v>1085</v>
      </c>
      <c r="C118" s="388">
        <f t="shared" si="45"/>
        <v>37.724750020024487</v>
      </c>
      <c r="D118" s="388">
        <f t="shared" ref="D118" si="48">C118*0.75</f>
        <v>28.293562515018365</v>
      </c>
      <c r="E118" s="478">
        <f t="shared" si="34"/>
        <v>21.220171886263774</v>
      </c>
      <c r="F118" s="210"/>
      <c r="G118" s="204"/>
      <c r="H118" s="204"/>
      <c r="I118" s="204"/>
      <c r="J118" s="204"/>
      <c r="K118" s="204"/>
      <c r="L118" s="204"/>
      <c r="M118" s="204"/>
      <c r="N118" s="204"/>
      <c r="O118">
        <f t="shared" si="44"/>
        <v>37.724750020024487</v>
      </c>
      <c r="P118">
        <f t="shared" si="44"/>
        <v>28.293562515018365</v>
      </c>
      <c r="Q118">
        <f t="shared" si="44"/>
        <v>21.220171886263774</v>
      </c>
    </row>
    <row r="119" spans="1:17" x14ac:dyDescent="0.3">
      <c r="A119" s="204"/>
      <c r="B119" s="206" t="s">
        <v>1086</v>
      </c>
      <c r="C119" s="388">
        <f t="shared" si="45"/>
        <v>18.283688511859314</v>
      </c>
      <c r="D119" s="388">
        <f t="shared" ref="D119" si="49">C119*0.75</f>
        <v>13.712766383894486</v>
      </c>
      <c r="E119" s="478">
        <f t="shared" si="34"/>
        <v>10.284574787920864</v>
      </c>
      <c r="F119" s="210"/>
      <c r="G119" s="204"/>
      <c r="H119" s="204"/>
      <c r="I119" s="204"/>
      <c r="J119" s="204"/>
      <c r="K119" s="204"/>
      <c r="L119" s="204"/>
      <c r="M119" s="204"/>
      <c r="N119" s="204"/>
      <c r="O119">
        <f t="shared" si="44"/>
        <v>18.283688511859314</v>
      </c>
      <c r="P119">
        <f t="shared" si="44"/>
        <v>13.712766383894486</v>
      </c>
      <c r="Q119">
        <f t="shared" si="44"/>
        <v>10.284574787920864</v>
      </c>
    </row>
    <row r="120" spans="1:17" x14ac:dyDescent="0.3">
      <c r="A120" s="204"/>
      <c r="B120" s="206" t="s">
        <v>1087</v>
      </c>
      <c r="C120" s="388">
        <f t="shared" si="45"/>
        <v>9.2012352414126983</v>
      </c>
      <c r="D120" s="388">
        <f t="shared" ref="D120" si="50">C120*0.75</f>
        <v>6.9009264310595242</v>
      </c>
      <c r="E120" s="478">
        <f t="shared" si="34"/>
        <v>5.1756948232946431</v>
      </c>
      <c r="F120" s="210"/>
      <c r="G120" s="204"/>
      <c r="H120" s="204"/>
      <c r="I120" s="204"/>
      <c r="J120" s="204"/>
      <c r="K120" s="204"/>
      <c r="L120" s="204"/>
      <c r="M120" s="204"/>
      <c r="N120" s="204"/>
      <c r="O120">
        <f t="shared" si="44"/>
        <v>9.2012352414126983</v>
      </c>
      <c r="P120">
        <f t="shared" si="44"/>
        <v>6.9009264310595242</v>
      </c>
      <c r="Q120">
        <f t="shared" si="44"/>
        <v>5.1756948232946431</v>
      </c>
    </row>
    <row r="121" spans="1:17" x14ac:dyDescent="0.3">
      <c r="A121" s="204"/>
      <c r="B121" s="206" t="s">
        <v>1443</v>
      </c>
      <c r="C121" s="388">
        <f t="shared" si="45"/>
        <v>4.0109687819067172</v>
      </c>
      <c r="D121" s="388">
        <f t="shared" ref="D121" si="51">C121*0.75</f>
        <v>3.0082265864300379</v>
      </c>
      <c r="E121" s="478">
        <f t="shared" si="34"/>
        <v>2.2561699398225286</v>
      </c>
      <c r="F121" s="210"/>
      <c r="G121" s="204"/>
      <c r="H121" s="204"/>
      <c r="I121" s="204"/>
      <c r="J121" s="204"/>
      <c r="K121" s="204"/>
      <c r="L121" s="204"/>
      <c r="M121" s="204"/>
      <c r="N121" s="204"/>
      <c r="O121">
        <f t="shared" si="44"/>
        <v>4.0109687819067172</v>
      </c>
      <c r="P121">
        <f t="shared" si="44"/>
        <v>3.0082265864300379</v>
      </c>
      <c r="Q121">
        <f t="shared" si="44"/>
        <v>2.2561699398225286</v>
      </c>
    </row>
    <row r="122" spans="1:17" x14ac:dyDescent="0.3">
      <c r="A122" s="204"/>
      <c r="B122" s="207" t="s">
        <v>227</v>
      </c>
      <c r="C122" s="265"/>
      <c r="D122" s="479"/>
      <c r="E122" s="480"/>
      <c r="F122" s="210"/>
      <c r="G122" s="204"/>
      <c r="H122" s="204"/>
      <c r="I122" s="204"/>
      <c r="J122" s="204"/>
      <c r="K122" s="204"/>
      <c r="L122" s="204"/>
      <c r="M122" s="204"/>
      <c r="N122" s="204"/>
    </row>
    <row r="123" spans="1:17" x14ac:dyDescent="0.3">
      <c r="A123" s="204"/>
      <c r="B123" s="206" t="s">
        <v>1437</v>
      </c>
      <c r="C123" s="388">
        <f>C109</f>
        <v>42.742762947974903</v>
      </c>
      <c r="D123" s="388">
        <f t="shared" ref="D123" si="52">C123*0.75</f>
        <v>32.057072210981175</v>
      </c>
      <c r="E123" s="478">
        <f t="shared" si="34"/>
        <v>24.042804158235882</v>
      </c>
      <c r="F123" s="210"/>
      <c r="G123" s="204"/>
      <c r="H123" s="204"/>
      <c r="I123" s="204"/>
      <c r="J123" s="204"/>
      <c r="K123" s="204"/>
      <c r="L123" s="204"/>
      <c r="M123" s="204"/>
      <c r="N123" s="204"/>
      <c r="O123">
        <f t="shared" ref="O123:Q126" si="53">IF(ISBLANK(C123),I123,C123)</f>
        <v>42.742762947974903</v>
      </c>
      <c r="P123">
        <f t="shared" si="53"/>
        <v>32.057072210981175</v>
      </c>
      <c r="Q123">
        <f t="shared" si="53"/>
        <v>24.042804158235882</v>
      </c>
    </row>
    <row r="124" spans="1:17" x14ac:dyDescent="0.3">
      <c r="A124" s="204"/>
      <c r="B124" s="206" t="s">
        <v>1438</v>
      </c>
      <c r="C124" s="388">
        <f>'Life table (HE)'!I115</f>
        <v>0</v>
      </c>
      <c r="D124" s="388">
        <f t="shared" ref="D124" si="54">C124*0.75</f>
        <v>0</v>
      </c>
      <c r="E124" s="478">
        <f t="shared" si="34"/>
        <v>0</v>
      </c>
      <c r="F124" s="210"/>
      <c r="G124" s="204"/>
      <c r="H124" s="204"/>
      <c r="I124" s="204"/>
      <c r="J124" s="204"/>
      <c r="K124" s="204"/>
      <c r="L124" s="204"/>
      <c r="M124" s="204"/>
      <c r="N124" s="204"/>
      <c r="O124">
        <f t="shared" si="53"/>
        <v>0</v>
      </c>
      <c r="P124">
        <f t="shared" si="53"/>
        <v>0</v>
      </c>
      <c r="Q124">
        <f t="shared" si="53"/>
        <v>0</v>
      </c>
    </row>
    <row r="125" spans="1:17" x14ac:dyDescent="0.3">
      <c r="A125" s="204"/>
      <c r="B125" s="206" t="s">
        <v>1441</v>
      </c>
      <c r="C125" s="388">
        <f>C111</f>
        <v>18.283688511859314</v>
      </c>
      <c r="D125" s="388">
        <f t="shared" ref="D125" si="55">C125*0.75</f>
        <v>13.712766383894486</v>
      </c>
      <c r="E125" s="478">
        <f t="shared" si="34"/>
        <v>10.284574787920864</v>
      </c>
      <c r="F125" s="210"/>
      <c r="G125" s="204"/>
      <c r="H125" s="204"/>
      <c r="I125" s="204"/>
      <c r="J125" s="204"/>
      <c r="K125" s="204"/>
      <c r="L125" s="204"/>
      <c r="M125" s="204"/>
      <c r="N125" s="204"/>
      <c r="O125">
        <f t="shared" si="53"/>
        <v>18.283688511859314</v>
      </c>
      <c r="P125">
        <f t="shared" si="53"/>
        <v>13.712766383894486</v>
      </c>
      <c r="Q125">
        <f t="shared" si="53"/>
        <v>10.284574787920864</v>
      </c>
    </row>
    <row r="126" spans="1:17" x14ac:dyDescent="0.3">
      <c r="A126" s="204"/>
      <c r="B126" s="206" t="s">
        <v>1442</v>
      </c>
      <c r="C126" s="388">
        <f>'Life table (HE)'!I117</f>
        <v>44.23471065784166</v>
      </c>
      <c r="D126" s="388">
        <f t="shared" ref="D126" si="56">C126*0.75</f>
        <v>33.176032993381241</v>
      </c>
      <c r="E126" s="478">
        <f t="shared" si="34"/>
        <v>24.882024745035931</v>
      </c>
      <c r="F126" s="210"/>
      <c r="G126" s="204"/>
      <c r="H126" s="204"/>
      <c r="I126" s="204"/>
      <c r="J126" s="204"/>
      <c r="K126" s="204"/>
      <c r="L126" s="204"/>
      <c r="M126" s="204"/>
      <c r="N126" s="204"/>
      <c r="O126">
        <f t="shared" si="53"/>
        <v>44.23471065784166</v>
      </c>
      <c r="P126">
        <f t="shared" si="53"/>
        <v>33.176032993381241</v>
      </c>
      <c r="Q126">
        <f t="shared" si="53"/>
        <v>24.882024745035931</v>
      </c>
    </row>
    <row r="127" spans="1:17" x14ac:dyDescent="0.3">
      <c r="A127" s="204"/>
      <c r="B127" s="207" t="s">
        <v>920</v>
      </c>
      <c r="C127" s="265"/>
      <c r="D127" s="479"/>
      <c r="E127" s="480"/>
      <c r="F127" s="210"/>
      <c r="G127" s="204"/>
      <c r="H127" s="204"/>
      <c r="I127" s="204"/>
      <c r="J127" s="204"/>
      <c r="K127" s="204"/>
      <c r="L127" s="204"/>
      <c r="M127" s="204"/>
      <c r="N127" s="204"/>
    </row>
    <row r="128" spans="1:17" x14ac:dyDescent="0.3">
      <c r="A128" s="204"/>
      <c r="B128" s="206" t="s">
        <v>920</v>
      </c>
      <c r="C128" s="388">
        <f>C111</f>
        <v>18.283688511859314</v>
      </c>
      <c r="D128" s="388">
        <f t="shared" ref="D128" si="57">C128*0.75</f>
        <v>13.712766383894486</v>
      </c>
      <c r="E128" s="478">
        <f t="shared" si="34"/>
        <v>10.284574787920864</v>
      </c>
      <c r="F128" s="210"/>
      <c r="G128" s="204"/>
      <c r="H128" s="269"/>
      <c r="I128" s="204"/>
      <c r="J128" s="204"/>
      <c r="K128" s="204"/>
      <c r="L128" s="204"/>
      <c r="M128" s="204"/>
      <c r="N128" s="204"/>
      <c r="O128">
        <f t="shared" ref="O128:Q129" si="58">IF(ISBLANK(C128),I128,C128)</f>
        <v>18.283688511859314</v>
      </c>
      <c r="P128">
        <f t="shared" si="58"/>
        <v>13.712766383894486</v>
      </c>
      <c r="Q128">
        <f t="shared" si="58"/>
        <v>10.284574787920864</v>
      </c>
    </row>
    <row r="129" spans="1:17" x14ac:dyDescent="0.3">
      <c r="A129" s="204"/>
      <c r="B129" s="206" t="s">
        <v>980</v>
      </c>
      <c r="C129" s="388">
        <f>C113</f>
        <v>4.0109687819067172</v>
      </c>
      <c r="D129" s="388">
        <f t="shared" ref="D129" si="59">C129*0.75</f>
        <v>3.0082265864300379</v>
      </c>
      <c r="E129" s="478">
        <f t="shared" si="34"/>
        <v>2.2561699398225286</v>
      </c>
      <c r="F129" s="210"/>
      <c r="G129" s="204"/>
      <c r="H129" s="269"/>
      <c r="I129" s="204"/>
      <c r="J129" s="204"/>
      <c r="K129" s="204"/>
      <c r="L129" s="204"/>
      <c r="M129" s="204"/>
      <c r="N129" s="204"/>
      <c r="O129">
        <f t="shared" si="58"/>
        <v>4.0109687819067172</v>
      </c>
      <c r="P129">
        <f t="shared" si="58"/>
        <v>3.0082265864300379</v>
      </c>
      <c r="Q129">
        <f t="shared" si="58"/>
        <v>2.2561699398225286</v>
      </c>
    </row>
    <row r="130" spans="1:17" s="204" customFormat="1" x14ac:dyDescent="0.3"/>
    <row r="131" spans="1:17" x14ac:dyDescent="0.3">
      <c r="A131" s="204"/>
      <c r="B131" s="236" t="s">
        <v>1579</v>
      </c>
      <c r="C131" s="204"/>
      <c r="D131" s="204"/>
      <c r="E131" s="204"/>
      <c r="F131" s="204"/>
      <c r="G131" s="204"/>
      <c r="H131" s="204"/>
      <c r="I131" s="204"/>
    </row>
    <row r="132" spans="1:17" x14ac:dyDescent="0.3">
      <c r="A132" s="204"/>
      <c r="B132" s="236"/>
      <c r="C132" s="204"/>
      <c r="D132" s="204"/>
      <c r="E132" s="204"/>
      <c r="F132" s="204"/>
      <c r="G132" s="204"/>
      <c r="H132" s="204"/>
      <c r="I132" s="204"/>
    </row>
    <row r="133" spans="1:17" x14ac:dyDescent="0.3">
      <c r="A133" s="204"/>
      <c r="B133" s="781" t="s">
        <v>1095</v>
      </c>
      <c r="C133" s="781"/>
      <c r="D133" s="781"/>
      <c r="E133" s="781"/>
      <c r="F133" s="781"/>
      <c r="G133" s="781"/>
      <c r="H133" s="204"/>
      <c r="I133" s="787" t="s">
        <v>1096</v>
      </c>
      <c r="J133" s="787"/>
      <c r="K133" s="787"/>
      <c r="L133" s="787"/>
      <c r="M133" s="787"/>
      <c r="O133" s="84" t="s">
        <v>1097</v>
      </c>
      <c r="P133" s="84"/>
      <c r="Q133" s="84"/>
    </row>
    <row r="134" spans="1:17" ht="19.5" customHeight="1" thickBot="1" x14ac:dyDescent="0.4">
      <c r="A134" s="204"/>
      <c r="B134" s="215" t="s">
        <v>1520</v>
      </c>
      <c r="C134" s="786" t="s">
        <v>1512</v>
      </c>
      <c r="D134" s="786"/>
      <c r="E134" s="786"/>
      <c r="F134" s="786"/>
      <c r="G134" s="786"/>
      <c r="H134" s="204"/>
      <c r="I134" s="786" t="s">
        <v>1512</v>
      </c>
      <c r="J134" s="786"/>
      <c r="K134" s="786"/>
      <c r="L134" s="786"/>
      <c r="M134" s="786"/>
      <c r="N134" s="204"/>
      <c r="O134" s="204"/>
    </row>
    <row r="135" spans="1:17" x14ac:dyDescent="0.3">
      <c r="A135" s="204"/>
      <c r="B135" s="236"/>
      <c r="C135" s="237" t="s">
        <v>1382</v>
      </c>
      <c r="D135" s="214" t="s">
        <v>985</v>
      </c>
      <c r="E135" s="214" t="s">
        <v>986</v>
      </c>
      <c r="F135" s="319" t="s">
        <v>592</v>
      </c>
      <c r="G135" s="215" t="s">
        <v>591</v>
      </c>
      <c r="H135" s="204"/>
      <c r="I135" s="237" t="s">
        <v>1382</v>
      </c>
      <c r="J135" s="214" t="s">
        <v>985</v>
      </c>
      <c r="K135" s="214" t="s">
        <v>986</v>
      </c>
      <c r="L135" s="319" t="s">
        <v>592</v>
      </c>
      <c r="M135" s="215" t="s">
        <v>591</v>
      </c>
      <c r="O135" s="237" t="s">
        <v>1382</v>
      </c>
      <c r="P135" s="214" t="s">
        <v>985</v>
      </c>
      <c r="Q135" s="214" t="s">
        <v>986</v>
      </c>
    </row>
    <row r="136" spans="1:17" x14ac:dyDescent="0.3">
      <c r="A136" s="204"/>
      <c r="B136" s="205" t="s">
        <v>1450</v>
      </c>
      <c r="C136" s="265"/>
      <c r="D136" s="265"/>
      <c r="E136" s="266"/>
      <c r="F136" s="210"/>
      <c r="G136" s="204"/>
      <c r="H136" s="204"/>
      <c r="I136" s="204"/>
      <c r="J136" s="204"/>
      <c r="K136" s="204"/>
      <c r="L136" s="204"/>
      <c r="M136" s="204"/>
      <c r="N136" s="204"/>
    </row>
    <row r="137" spans="1:17" x14ac:dyDescent="0.3">
      <c r="A137" s="204"/>
      <c r="B137" s="206" t="s">
        <v>1082</v>
      </c>
      <c r="C137" s="388">
        <v>0</v>
      </c>
      <c r="D137" s="388">
        <f>C137*0.75</f>
        <v>0</v>
      </c>
      <c r="E137" s="478">
        <f t="shared" ref="E137:E143" si="60">D137*0.75</f>
        <v>0</v>
      </c>
      <c r="F137" s="210" t="s">
        <v>1383</v>
      </c>
      <c r="G137" s="204" t="s">
        <v>1384</v>
      </c>
      <c r="H137" s="204"/>
      <c r="I137" s="204"/>
      <c r="J137" s="204"/>
      <c r="K137" s="204"/>
      <c r="L137" s="204"/>
      <c r="M137" s="204"/>
      <c r="N137" s="204"/>
      <c r="O137">
        <f>IF(ISBLANK(C137),I137,C137)</f>
        <v>0</v>
      </c>
      <c r="P137">
        <f t="shared" ref="P137:Q143" si="61">IF(ISBLANK(D137),J137,D137)</f>
        <v>0</v>
      </c>
      <c r="Q137">
        <f t="shared" si="61"/>
        <v>0</v>
      </c>
    </row>
    <row r="138" spans="1:17" x14ac:dyDescent="0.3">
      <c r="A138" s="204"/>
      <c r="B138" s="206" t="s">
        <v>1083</v>
      </c>
      <c r="C138" s="388">
        <v>0</v>
      </c>
      <c r="D138" s="388">
        <f t="shared" ref="D138:D143" si="62">C138*0.75</f>
        <v>0</v>
      </c>
      <c r="E138" s="478">
        <f t="shared" si="60"/>
        <v>0</v>
      </c>
      <c r="F138" s="210"/>
      <c r="G138" s="204"/>
      <c r="H138" s="204"/>
      <c r="I138" s="204"/>
      <c r="J138" s="204"/>
      <c r="K138" s="204"/>
      <c r="L138" s="204"/>
      <c r="M138" s="204"/>
      <c r="N138" s="204"/>
      <c r="O138">
        <f t="shared" ref="O138:O143" si="63">IF(ISBLANK(C138),I138,C138)</f>
        <v>0</v>
      </c>
      <c r="P138">
        <f t="shared" si="61"/>
        <v>0</v>
      </c>
      <c r="Q138">
        <f t="shared" si="61"/>
        <v>0</v>
      </c>
    </row>
    <row r="139" spans="1:17" x14ac:dyDescent="0.3">
      <c r="A139" s="204"/>
      <c r="B139" s="206" t="s">
        <v>1084</v>
      </c>
      <c r="C139" s="388">
        <v>0</v>
      </c>
      <c r="D139" s="388">
        <f t="shared" si="62"/>
        <v>0</v>
      </c>
      <c r="E139" s="478">
        <f t="shared" si="60"/>
        <v>0</v>
      </c>
      <c r="F139" s="210"/>
      <c r="G139" s="204"/>
      <c r="H139" s="204"/>
      <c r="I139" s="204"/>
      <c r="J139" s="204"/>
      <c r="K139" s="204"/>
      <c r="L139" s="204"/>
      <c r="M139" s="204"/>
      <c r="N139" s="204"/>
      <c r="O139">
        <f t="shared" si="63"/>
        <v>0</v>
      </c>
      <c r="P139">
        <f t="shared" si="61"/>
        <v>0</v>
      </c>
      <c r="Q139">
        <f t="shared" si="61"/>
        <v>0</v>
      </c>
    </row>
    <row r="140" spans="1:17" x14ac:dyDescent="0.3">
      <c r="A140" s="204"/>
      <c r="B140" s="206" t="s">
        <v>1085</v>
      </c>
      <c r="C140" s="388">
        <v>0</v>
      </c>
      <c r="D140" s="388">
        <f t="shared" si="62"/>
        <v>0</v>
      </c>
      <c r="E140" s="478">
        <f t="shared" si="60"/>
        <v>0</v>
      </c>
      <c r="F140" s="210"/>
      <c r="G140" s="204"/>
      <c r="H140" s="204"/>
      <c r="I140" s="204"/>
      <c r="J140" s="204"/>
      <c r="K140" s="204"/>
      <c r="L140" s="204"/>
      <c r="M140" s="204"/>
      <c r="N140" s="204"/>
      <c r="O140">
        <f t="shared" si="63"/>
        <v>0</v>
      </c>
      <c r="P140">
        <f t="shared" si="61"/>
        <v>0</v>
      </c>
      <c r="Q140">
        <f t="shared" si="61"/>
        <v>0</v>
      </c>
    </row>
    <row r="141" spans="1:17" x14ac:dyDescent="0.3">
      <c r="A141" s="204"/>
      <c r="B141" s="206" t="s">
        <v>1086</v>
      </c>
      <c r="C141" s="388">
        <v>0</v>
      </c>
      <c r="D141" s="388">
        <f t="shared" si="62"/>
        <v>0</v>
      </c>
      <c r="E141" s="478">
        <f t="shared" si="60"/>
        <v>0</v>
      </c>
      <c r="F141" s="210"/>
      <c r="G141" s="204"/>
      <c r="H141" s="204"/>
      <c r="I141" s="204"/>
      <c r="J141" s="204"/>
      <c r="K141" s="204"/>
      <c r="L141" s="204"/>
      <c r="M141" s="204"/>
      <c r="N141" s="204"/>
      <c r="O141">
        <f t="shared" si="63"/>
        <v>0</v>
      </c>
      <c r="P141">
        <f t="shared" si="61"/>
        <v>0</v>
      </c>
      <c r="Q141">
        <f t="shared" si="61"/>
        <v>0</v>
      </c>
    </row>
    <row r="142" spans="1:17" x14ac:dyDescent="0.3">
      <c r="A142" s="204"/>
      <c r="B142" s="206" t="s">
        <v>1087</v>
      </c>
      <c r="C142" s="388">
        <v>0</v>
      </c>
      <c r="D142" s="388">
        <f t="shared" si="62"/>
        <v>0</v>
      </c>
      <c r="E142" s="478">
        <f t="shared" si="60"/>
        <v>0</v>
      </c>
      <c r="F142" s="210"/>
      <c r="G142" s="204"/>
      <c r="H142" s="204"/>
      <c r="I142" s="204"/>
      <c r="J142" s="204"/>
      <c r="K142" s="204"/>
      <c r="L142" s="204"/>
      <c r="M142" s="204"/>
      <c r="N142" s="204"/>
      <c r="O142">
        <f t="shared" si="63"/>
        <v>0</v>
      </c>
      <c r="P142">
        <f t="shared" si="61"/>
        <v>0</v>
      </c>
      <c r="Q142">
        <f t="shared" si="61"/>
        <v>0</v>
      </c>
    </row>
    <row r="143" spans="1:17" x14ac:dyDescent="0.3">
      <c r="A143" s="204"/>
      <c r="B143" s="206" t="s">
        <v>1443</v>
      </c>
      <c r="C143" s="388">
        <v>0</v>
      </c>
      <c r="D143" s="388">
        <f t="shared" si="62"/>
        <v>0</v>
      </c>
      <c r="E143" s="478">
        <f t="shared" si="60"/>
        <v>0</v>
      </c>
      <c r="F143" s="210"/>
      <c r="G143" s="204"/>
      <c r="H143" s="204"/>
      <c r="I143" s="204"/>
      <c r="J143" s="204"/>
      <c r="K143" s="204"/>
      <c r="L143" s="204"/>
      <c r="M143" s="204"/>
      <c r="N143" s="204"/>
      <c r="O143">
        <f t="shared" si="63"/>
        <v>0</v>
      </c>
      <c r="P143">
        <f t="shared" si="61"/>
        <v>0</v>
      </c>
      <c r="Q143">
        <f t="shared" si="61"/>
        <v>0</v>
      </c>
    </row>
    <row r="144" spans="1:17" x14ac:dyDescent="0.3">
      <c r="A144" s="204"/>
      <c r="B144" s="205" t="s">
        <v>1444</v>
      </c>
      <c r="C144" s="265"/>
      <c r="D144" s="479"/>
      <c r="E144" s="480"/>
      <c r="F144" s="210"/>
      <c r="G144" s="204"/>
      <c r="H144" s="204"/>
      <c r="I144" s="204"/>
      <c r="J144" s="204"/>
      <c r="K144" s="204"/>
      <c r="L144" s="204"/>
      <c r="M144" s="204"/>
      <c r="N144" s="204"/>
    </row>
    <row r="145" spans="1:17" x14ac:dyDescent="0.3">
      <c r="A145" s="204"/>
      <c r="B145" s="206" t="s">
        <v>1082</v>
      </c>
      <c r="C145" s="388">
        <v>0</v>
      </c>
      <c r="D145" s="388">
        <f t="shared" ref="D145:D151" si="64">C145*0.75</f>
        <v>0</v>
      </c>
      <c r="E145" s="478">
        <f t="shared" ref="E145:E151" si="65">D145*0.75</f>
        <v>0</v>
      </c>
      <c r="F145" s="210" t="s">
        <v>1383</v>
      </c>
      <c r="G145" s="204" t="s">
        <v>1384</v>
      </c>
      <c r="H145" s="204"/>
      <c r="I145" s="204"/>
      <c r="J145" s="204"/>
      <c r="K145" s="204"/>
      <c r="L145" s="204"/>
      <c r="M145" s="204"/>
      <c r="N145" s="204"/>
      <c r="O145">
        <f t="shared" ref="O145:Q151" si="66">IF(ISBLANK(C145),I145,C145)</f>
        <v>0</v>
      </c>
      <c r="P145">
        <f t="shared" si="66"/>
        <v>0</v>
      </c>
      <c r="Q145">
        <f t="shared" si="66"/>
        <v>0</v>
      </c>
    </row>
    <row r="146" spans="1:17" x14ac:dyDescent="0.3">
      <c r="A146" s="204"/>
      <c r="B146" s="206" t="s">
        <v>1083</v>
      </c>
      <c r="C146" s="388">
        <v>0</v>
      </c>
      <c r="D146" s="388">
        <f t="shared" si="64"/>
        <v>0</v>
      </c>
      <c r="E146" s="478">
        <f t="shared" si="65"/>
        <v>0</v>
      </c>
      <c r="F146" s="210"/>
      <c r="G146" s="204"/>
      <c r="H146" s="204"/>
      <c r="I146" s="204"/>
      <c r="J146" s="204"/>
      <c r="K146" s="204"/>
      <c r="L146" s="204"/>
      <c r="M146" s="204"/>
      <c r="N146" s="204"/>
      <c r="O146">
        <f t="shared" si="66"/>
        <v>0</v>
      </c>
      <c r="P146">
        <f t="shared" si="66"/>
        <v>0</v>
      </c>
      <c r="Q146">
        <f t="shared" si="66"/>
        <v>0</v>
      </c>
    </row>
    <row r="147" spans="1:17" x14ac:dyDescent="0.3">
      <c r="A147" s="204"/>
      <c r="B147" s="206" t="s">
        <v>1084</v>
      </c>
      <c r="C147" s="388">
        <v>0</v>
      </c>
      <c r="D147" s="388">
        <f t="shared" si="64"/>
        <v>0</v>
      </c>
      <c r="E147" s="478">
        <f t="shared" si="65"/>
        <v>0</v>
      </c>
      <c r="F147" s="210"/>
      <c r="G147" s="204"/>
      <c r="H147" s="204"/>
      <c r="I147" s="204"/>
      <c r="J147" s="204"/>
      <c r="K147" s="204"/>
      <c r="L147" s="204"/>
      <c r="M147" s="204"/>
      <c r="N147" s="204"/>
      <c r="O147">
        <f t="shared" si="66"/>
        <v>0</v>
      </c>
      <c r="P147">
        <f t="shared" si="66"/>
        <v>0</v>
      </c>
      <c r="Q147">
        <f t="shared" si="66"/>
        <v>0</v>
      </c>
    </row>
    <row r="148" spans="1:17" x14ac:dyDescent="0.3">
      <c r="A148" s="204"/>
      <c r="B148" s="206" t="s">
        <v>1085</v>
      </c>
      <c r="C148" s="388">
        <v>0</v>
      </c>
      <c r="D148" s="388">
        <f t="shared" si="64"/>
        <v>0</v>
      </c>
      <c r="E148" s="478">
        <f t="shared" si="65"/>
        <v>0</v>
      </c>
      <c r="F148" s="210"/>
      <c r="G148" s="204"/>
      <c r="H148" s="204"/>
      <c r="I148" s="204"/>
      <c r="J148" s="204"/>
      <c r="K148" s="204"/>
      <c r="L148" s="204"/>
      <c r="M148" s="204"/>
      <c r="N148" s="204"/>
      <c r="O148">
        <f t="shared" si="66"/>
        <v>0</v>
      </c>
      <c r="P148">
        <f t="shared" si="66"/>
        <v>0</v>
      </c>
      <c r="Q148">
        <f t="shared" si="66"/>
        <v>0</v>
      </c>
    </row>
    <row r="149" spans="1:17" x14ac:dyDescent="0.3">
      <c r="A149" s="204"/>
      <c r="B149" s="206" t="s">
        <v>1086</v>
      </c>
      <c r="C149" s="388">
        <v>0</v>
      </c>
      <c r="D149" s="388">
        <f t="shared" si="64"/>
        <v>0</v>
      </c>
      <c r="E149" s="478">
        <f t="shared" si="65"/>
        <v>0</v>
      </c>
      <c r="F149" s="210"/>
      <c r="G149" s="204"/>
      <c r="H149" s="204"/>
      <c r="I149" s="204"/>
      <c r="J149" s="204"/>
      <c r="K149" s="204"/>
      <c r="L149" s="204"/>
      <c r="M149" s="204"/>
      <c r="N149" s="204"/>
      <c r="O149">
        <f t="shared" si="66"/>
        <v>0</v>
      </c>
      <c r="P149">
        <f t="shared" si="66"/>
        <v>0</v>
      </c>
      <c r="Q149">
        <f t="shared" si="66"/>
        <v>0</v>
      </c>
    </row>
    <row r="150" spans="1:17" x14ac:dyDescent="0.3">
      <c r="A150" s="204"/>
      <c r="B150" s="206" t="s">
        <v>1087</v>
      </c>
      <c r="C150" s="388">
        <v>0</v>
      </c>
      <c r="D150" s="388">
        <f t="shared" si="64"/>
        <v>0</v>
      </c>
      <c r="E150" s="478">
        <f t="shared" si="65"/>
        <v>0</v>
      </c>
      <c r="F150" s="210"/>
      <c r="G150" s="204"/>
      <c r="H150" s="204"/>
      <c r="I150" s="204"/>
      <c r="J150" s="204"/>
      <c r="K150" s="204"/>
      <c r="L150" s="204"/>
      <c r="M150" s="204"/>
      <c r="N150" s="204"/>
      <c r="O150">
        <f t="shared" si="66"/>
        <v>0</v>
      </c>
      <c r="P150">
        <f t="shared" si="66"/>
        <v>0</v>
      </c>
      <c r="Q150">
        <f t="shared" si="66"/>
        <v>0</v>
      </c>
    </row>
    <row r="151" spans="1:17" x14ac:dyDescent="0.3">
      <c r="A151" s="204"/>
      <c r="B151" s="206" t="s">
        <v>1443</v>
      </c>
      <c r="C151" s="388">
        <v>0</v>
      </c>
      <c r="D151" s="388">
        <f t="shared" si="64"/>
        <v>0</v>
      </c>
      <c r="E151" s="478">
        <f t="shared" si="65"/>
        <v>0</v>
      </c>
      <c r="F151" s="210"/>
      <c r="G151" s="204"/>
      <c r="H151" s="204"/>
      <c r="I151" s="204"/>
      <c r="J151" s="204"/>
      <c r="K151" s="204"/>
      <c r="L151" s="204"/>
      <c r="M151" s="204"/>
      <c r="N151" s="204"/>
      <c r="O151">
        <f t="shared" si="66"/>
        <v>0</v>
      </c>
      <c r="P151">
        <f t="shared" si="66"/>
        <v>0</v>
      </c>
      <c r="Q151">
        <f t="shared" si="66"/>
        <v>0</v>
      </c>
    </row>
    <row r="152" spans="1:17" x14ac:dyDescent="0.3">
      <c r="A152" s="204"/>
      <c r="B152" s="207" t="s">
        <v>227</v>
      </c>
      <c r="C152" s="265"/>
      <c r="D152" s="479"/>
      <c r="E152" s="480"/>
      <c r="F152" s="210"/>
      <c r="G152" s="204"/>
      <c r="H152" s="204"/>
      <c r="I152" s="204"/>
      <c r="J152" s="204"/>
      <c r="K152" s="204"/>
      <c r="L152" s="204"/>
      <c r="M152" s="204"/>
      <c r="N152" s="204"/>
    </row>
    <row r="153" spans="1:17" x14ac:dyDescent="0.3">
      <c r="A153" s="204"/>
      <c r="B153" s="206" t="s">
        <v>1437</v>
      </c>
      <c r="C153" s="388">
        <v>0</v>
      </c>
      <c r="D153" s="388">
        <f t="shared" ref="D153:D156" si="67">C153*0.75</f>
        <v>0</v>
      </c>
      <c r="E153" s="478">
        <f t="shared" ref="E153:E156" si="68">D153*0.75</f>
        <v>0</v>
      </c>
      <c r="F153" s="210"/>
      <c r="G153" s="204"/>
      <c r="H153" s="204"/>
      <c r="I153" s="204"/>
      <c r="J153" s="204"/>
      <c r="K153" s="204"/>
      <c r="L153" s="204"/>
      <c r="M153" s="204"/>
      <c r="N153" s="204"/>
      <c r="O153">
        <f t="shared" ref="O153:Q156" si="69">IF(ISBLANK(C153),I153,C153)</f>
        <v>0</v>
      </c>
      <c r="P153">
        <f t="shared" si="69"/>
        <v>0</v>
      </c>
      <c r="Q153">
        <f t="shared" si="69"/>
        <v>0</v>
      </c>
    </row>
    <row r="154" spans="1:17" x14ac:dyDescent="0.3">
      <c r="A154" s="204"/>
      <c r="B154" s="206" t="s">
        <v>1438</v>
      </c>
      <c r="C154" s="388">
        <v>0</v>
      </c>
      <c r="D154" s="388">
        <f t="shared" si="67"/>
        <v>0</v>
      </c>
      <c r="E154" s="478">
        <f t="shared" si="68"/>
        <v>0</v>
      </c>
      <c r="F154" s="210"/>
      <c r="G154" s="204"/>
      <c r="H154" s="204"/>
      <c r="I154" s="204"/>
      <c r="J154" s="204"/>
      <c r="K154" s="204"/>
      <c r="L154" s="204"/>
      <c r="M154" s="204"/>
      <c r="N154" s="204"/>
      <c r="O154">
        <f t="shared" si="69"/>
        <v>0</v>
      </c>
      <c r="P154">
        <f t="shared" si="69"/>
        <v>0</v>
      </c>
      <c r="Q154">
        <f t="shared" si="69"/>
        <v>0</v>
      </c>
    </row>
    <row r="155" spans="1:17" x14ac:dyDescent="0.3">
      <c r="A155" s="204"/>
      <c r="B155" s="206" t="s">
        <v>1441</v>
      </c>
      <c r="C155" s="388">
        <v>0</v>
      </c>
      <c r="D155" s="388">
        <f t="shared" si="67"/>
        <v>0</v>
      </c>
      <c r="E155" s="478">
        <f t="shared" si="68"/>
        <v>0</v>
      </c>
      <c r="F155" s="210"/>
      <c r="G155" s="204"/>
      <c r="H155" s="204"/>
      <c r="I155" s="204"/>
      <c r="J155" s="204"/>
      <c r="K155" s="204"/>
      <c r="L155" s="204"/>
      <c r="M155" s="204"/>
      <c r="N155" s="204"/>
      <c r="O155">
        <f t="shared" si="69"/>
        <v>0</v>
      </c>
      <c r="P155">
        <f t="shared" si="69"/>
        <v>0</v>
      </c>
      <c r="Q155">
        <f t="shared" si="69"/>
        <v>0</v>
      </c>
    </row>
    <row r="156" spans="1:17" x14ac:dyDescent="0.3">
      <c r="A156" s="204"/>
      <c r="B156" s="206" t="s">
        <v>1442</v>
      </c>
      <c r="C156" s="388">
        <v>0</v>
      </c>
      <c r="D156" s="388">
        <f t="shared" si="67"/>
        <v>0</v>
      </c>
      <c r="E156" s="478">
        <f t="shared" si="68"/>
        <v>0</v>
      </c>
      <c r="F156" s="210"/>
      <c r="G156" s="204"/>
      <c r="H156" s="204"/>
      <c r="I156" s="204"/>
      <c r="J156" s="204"/>
      <c r="K156" s="204"/>
      <c r="L156" s="204"/>
      <c r="M156" s="204"/>
      <c r="N156" s="204"/>
      <c r="O156">
        <f t="shared" si="69"/>
        <v>0</v>
      </c>
      <c r="P156">
        <f t="shared" si="69"/>
        <v>0</v>
      </c>
      <c r="Q156">
        <f t="shared" si="69"/>
        <v>0</v>
      </c>
    </row>
    <row r="157" spans="1:17" x14ac:dyDescent="0.3">
      <c r="A157" s="204"/>
      <c r="B157" s="207" t="s">
        <v>920</v>
      </c>
      <c r="C157" s="265"/>
      <c r="D157" s="479"/>
      <c r="E157" s="480"/>
      <c r="F157" s="210"/>
      <c r="G157" s="204"/>
      <c r="H157" s="204"/>
      <c r="I157" s="204"/>
      <c r="J157" s="204"/>
      <c r="K157" s="204"/>
      <c r="L157" s="204"/>
      <c r="M157" s="204"/>
      <c r="N157" s="204"/>
    </row>
    <row r="158" spans="1:17" x14ac:dyDescent="0.3">
      <c r="A158" s="204"/>
      <c r="B158" s="206" t="s">
        <v>920</v>
      </c>
      <c r="C158" s="388">
        <v>0</v>
      </c>
      <c r="D158" s="388">
        <f t="shared" ref="D158:D159" si="70">C158*0.75</f>
        <v>0</v>
      </c>
      <c r="E158" s="478">
        <f t="shared" ref="E158:E159" si="71">D158*0.75</f>
        <v>0</v>
      </c>
      <c r="F158" s="210"/>
      <c r="G158" s="204"/>
      <c r="H158" s="269"/>
      <c r="I158" s="204"/>
      <c r="J158" s="204"/>
      <c r="K158" s="204"/>
      <c r="L158" s="204"/>
      <c r="M158" s="204"/>
      <c r="N158" s="204"/>
      <c r="O158">
        <f t="shared" ref="O158:Q159" si="72">IF(ISBLANK(C158),I158,C158)</f>
        <v>0</v>
      </c>
      <c r="P158">
        <f t="shared" si="72"/>
        <v>0</v>
      </c>
      <c r="Q158">
        <f t="shared" si="72"/>
        <v>0</v>
      </c>
    </row>
    <row r="159" spans="1:17" x14ac:dyDescent="0.3">
      <c r="A159" s="204"/>
      <c r="B159" s="206" t="s">
        <v>980</v>
      </c>
      <c r="C159" s="388">
        <v>0</v>
      </c>
      <c r="D159" s="388">
        <f t="shared" si="70"/>
        <v>0</v>
      </c>
      <c r="E159" s="478">
        <f t="shared" si="71"/>
        <v>0</v>
      </c>
      <c r="F159" s="210"/>
      <c r="G159" s="204"/>
      <c r="H159" s="269"/>
      <c r="I159" s="204"/>
      <c r="J159" s="204"/>
      <c r="K159" s="204"/>
      <c r="L159" s="204"/>
      <c r="M159" s="204"/>
      <c r="N159" s="204"/>
      <c r="O159">
        <f t="shared" si="72"/>
        <v>0</v>
      </c>
      <c r="P159">
        <f t="shared" si="72"/>
        <v>0</v>
      </c>
      <c r="Q159">
        <f t="shared" si="72"/>
        <v>0</v>
      </c>
    </row>
    <row r="160" spans="1:17" s="204" customFormat="1" x14ac:dyDescent="0.3">
      <c r="D160" s="269"/>
      <c r="H160" s="269"/>
    </row>
    <row r="161" spans="1:17" x14ac:dyDescent="0.3">
      <c r="A161" s="204"/>
      <c r="B161" s="781" t="s">
        <v>1095</v>
      </c>
      <c r="C161" s="781"/>
      <c r="D161" s="781"/>
      <c r="E161" s="781"/>
      <c r="F161" s="781"/>
      <c r="G161" s="781"/>
      <c r="H161" s="204"/>
      <c r="I161" s="787" t="s">
        <v>1096</v>
      </c>
      <c r="J161" s="787"/>
      <c r="K161" s="787"/>
      <c r="L161" s="787"/>
      <c r="M161" s="787"/>
      <c r="O161" s="84" t="s">
        <v>1097</v>
      </c>
      <c r="P161" s="84"/>
      <c r="Q161" s="84"/>
    </row>
    <row r="162" spans="1:17" ht="19.5" customHeight="1" thickBot="1" x14ac:dyDescent="0.4">
      <c r="A162" s="204"/>
      <c r="B162" s="215" t="s">
        <v>1520</v>
      </c>
      <c r="C162" s="786" t="s">
        <v>1513</v>
      </c>
      <c r="D162" s="786"/>
      <c r="E162" s="786"/>
      <c r="F162" s="786"/>
      <c r="G162" s="786"/>
      <c r="H162" s="204"/>
      <c r="I162" s="786" t="s">
        <v>1513</v>
      </c>
      <c r="J162" s="786"/>
      <c r="K162" s="786"/>
      <c r="L162" s="786"/>
      <c r="M162" s="786"/>
      <c r="N162" s="204"/>
      <c r="O162" s="204"/>
    </row>
    <row r="163" spans="1:17" x14ac:dyDescent="0.3">
      <c r="A163" s="204"/>
      <c r="B163" s="236"/>
      <c r="C163" s="237" t="s">
        <v>1382</v>
      </c>
      <c r="D163" s="214" t="s">
        <v>985</v>
      </c>
      <c r="E163" s="214" t="s">
        <v>986</v>
      </c>
      <c r="F163" s="319" t="s">
        <v>592</v>
      </c>
      <c r="G163" s="215" t="s">
        <v>591</v>
      </c>
      <c r="H163" s="204"/>
      <c r="I163" s="237" t="s">
        <v>1382</v>
      </c>
      <c r="J163" s="214" t="s">
        <v>985</v>
      </c>
      <c r="K163" s="214" t="s">
        <v>986</v>
      </c>
      <c r="L163" s="319" t="s">
        <v>592</v>
      </c>
      <c r="M163" s="215" t="s">
        <v>591</v>
      </c>
      <c r="O163" s="237" t="s">
        <v>1382</v>
      </c>
      <c r="P163" s="214" t="s">
        <v>985</v>
      </c>
      <c r="Q163" s="214" t="s">
        <v>986</v>
      </c>
    </row>
    <row r="164" spans="1:17" x14ac:dyDescent="0.3">
      <c r="A164" s="204"/>
      <c r="B164" s="205" t="s">
        <v>1450</v>
      </c>
      <c r="C164" s="265"/>
      <c r="D164" s="265"/>
      <c r="E164" s="266"/>
      <c r="F164" s="210"/>
      <c r="G164" s="204"/>
      <c r="H164" s="204"/>
      <c r="I164" s="204"/>
      <c r="J164" s="204"/>
      <c r="K164" s="204"/>
      <c r="L164" s="204"/>
      <c r="M164" s="204"/>
      <c r="N164" s="204"/>
    </row>
    <row r="165" spans="1:17" x14ac:dyDescent="0.3">
      <c r="A165" s="204"/>
      <c r="B165" s="206" t="s">
        <v>1082</v>
      </c>
      <c r="C165" s="388">
        <v>0</v>
      </c>
      <c r="D165" s="388">
        <f>C165*0.75</f>
        <v>0</v>
      </c>
      <c r="E165" s="478">
        <f t="shared" ref="E165:E171" si="73">D165*0.75</f>
        <v>0</v>
      </c>
      <c r="F165" s="210" t="s">
        <v>1383</v>
      </c>
      <c r="G165" s="204" t="s">
        <v>1384</v>
      </c>
      <c r="H165" s="204"/>
      <c r="I165" s="204"/>
      <c r="J165" s="204"/>
      <c r="K165" s="204"/>
      <c r="L165" s="204"/>
      <c r="M165" s="204"/>
      <c r="N165" s="204"/>
      <c r="O165">
        <f>IF(ISBLANK(C165),I165,C165)</f>
        <v>0</v>
      </c>
      <c r="P165">
        <f t="shared" ref="P165:Q171" si="74">IF(ISBLANK(D165),J165,D165)</f>
        <v>0</v>
      </c>
      <c r="Q165">
        <f t="shared" si="74"/>
        <v>0</v>
      </c>
    </row>
    <row r="166" spans="1:17" x14ac:dyDescent="0.3">
      <c r="A166" s="204"/>
      <c r="B166" s="206" t="s">
        <v>1083</v>
      </c>
      <c r="C166" s="388">
        <v>0</v>
      </c>
      <c r="D166" s="388">
        <f t="shared" ref="D166:D171" si="75">C166*0.75</f>
        <v>0</v>
      </c>
      <c r="E166" s="478">
        <f t="shared" si="73"/>
        <v>0</v>
      </c>
      <c r="F166" s="210"/>
      <c r="G166" s="204"/>
      <c r="H166" s="204"/>
      <c r="I166" s="204"/>
      <c r="J166" s="204"/>
      <c r="K166" s="204"/>
      <c r="L166" s="204"/>
      <c r="M166" s="204"/>
      <c r="N166" s="204"/>
      <c r="O166">
        <f t="shared" ref="O166:O171" si="76">IF(ISBLANK(C166),I166,C166)</f>
        <v>0</v>
      </c>
      <c r="P166">
        <f t="shared" si="74"/>
        <v>0</v>
      </c>
      <c r="Q166">
        <f t="shared" si="74"/>
        <v>0</v>
      </c>
    </row>
    <row r="167" spans="1:17" x14ac:dyDescent="0.3">
      <c r="A167" s="204"/>
      <c r="B167" s="206" t="s">
        <v>1084</v>
      </c>
      <c r="C167" s="388">
        <v>0</v>
      </c>
      <c r="D167" s="388">
        <f t="shared" si="75"/>
        <v>0</v>
      </c>
      <c r="E167" s="478">
        <f t="shared" si="73"/>
        <v>0</v>
      </c>
      <c r="F167" s="210"/>
      <c r="G167" s="204"/>
      <c r="H167" s="204"/>
      <c r="I167" s="204"/>
      <c r="J167" s="204"/>
      <c r="K167" s="204"/>
      <c r="L167" s="204"/>
      <c r="M167" s="204"/>
      <c r="N167" s="204"/>
      <c r="O167">
        <f t="shared" si="76"/>
        <v>0</v>
      </c>
      <c r="P167">
        <f t="shared" si="74"/>
        <v>0</v>
      </c>
      <c r="Q167">
        <f t="shared" si="74"/>
        <v>0</v>
      </c>
    </row>
    <row r="168" spans="1:17" x14ac:dyDescent="0.3">
      <c r="A168" s="204"/>
      <c r="B168" s="206" t="s">
        <v>1085</v>
      </c>
      <c r="C168" s="388">
        <v>0</v>
      </c>
      <c r="D168" s="388">
        <f t="shared" si="75"/>
        <v>0</v>
      </c>
      <c r="E168" s="478">
        <f t="shared" si="73"/>
        <v>0</v>
      </c>
      <c r="F168" s="210"/>
      <c r="G168" s="204"/>
      <c r="H168" s="204"/>
      <c r="I168" s="204"/>
      <c r="J168" s="204"/>
      <c r="K168" s="204"/>
      <c r="L168" s="204"/>
      <c r="M168" s="204"/>
      <c r="N168" s="204"/>
      <c r="O168">
        <f t="shared" si="76"/>
        <v>0</v>
      </c>
      <c r="P168">
        <f t="shared" si="74"/>
        <v>0</v>
      </c>
      <c r="Q168">
        <f t="shared" si="74"/>
        <v>0</v>
      </c>
    </row>
    <row r="169" spans="1:17" x14ac:dyDescent="0.3">
      <c r="A169" s="204"/>
      <c r="B169" s="206" t="s">
        <v>1086</v>
      </c>
      <c r="C169" s="388">
        <v>0</v>
      </c>
      <c r="D169" s="388">
        <f t="shared" si="75"/>
        <v>0</v>
      </c>
      <c r="E169" s="478">
        <f t="shared" si="73"/>
        <v>0</v>
      </c>
      <c r="F169" s="210"/>
      <c r="G169" s="204"/>
      <c r="H169" s="204"/>
      <c r="I169" s="204"/>
      <c r="J169" s="204"/>
      <c r="K169" s="204"/>
      <c r="L169" s="204"/>
      <c r="M169" s="204"/>
      <c r="N169" s="204"/>
      <c r="O169">
        <f t="shared" si="76"/>
        <v>0</v>
      </c>
      <c r="P169">
        <f t="shared" si="74"/>
        <v>0</v>
      </c>
      <c r="Q169">
        <f t="shared" si="74"/>
        <v>0</v>
      </c>
    </row>
    <row r="170" spans="1:17" x14ac:dyDescent="0.3">
      <c r="A170" s="204"/>
      <c r="B170" s="206" t="s">
        <v>1087</v>
      </c>
      <c r="C170" s="388">
        <v>0</v>
      </c>
      <c r="D170" s="388">
        <f t="shared" si="75"/>
        <v>0</v>
      </c>
      <c r="E170" s="478">
        <f t="shared" si="73"/>
        <v>0</v>
      </c>
      <c r="F170" s="210"/>
      <c r="G170" s="204"/>
      <c r="H170" s="204"/>
      <c r="I170" s="204"/>
      <c r="J170" s="204"/>
      <c r="K170" s="204"/>
      <c r="L170" s="204"/>
      <c r="M170" s="204"/>
      <c r="N170" s="204"/>
      <c r="O170">
        <f t="shared" si="76"/>
        <v>0</v>
      </c>
      <c r="P170">
        <f t="shared" si="74"/>
        <v>0</v>
      </c>
      <c r="Q170">
        <f t="shared" si="74"/>
        <v>0</v>
      </c>
    </row>
    <row r="171" spans="1:17" x14ac:dyDescent="0.3">
      <c r="A171" s="204"/>
      <c r="B171" s="206" t="s">
        <v>1443</v>
      </c>
      <c r="C171" s="388">
        <v>0</v>
      </c>
      <c r="D171" s="388">
        <f t="shared" si="75"/>
        <v>0</v>
      </c>
      <c r="E171" s="478">
        <f t="shared" si="73"/>
        <v>0</v>
      </c>
      <c r="F171" s="210"/>
      <c r="G171" s="204"/>
      <c r="H171" s="204"/>
      <c r="I171" s="204"/>
      <c r="J171" s="204"/>
      <c r="K171" s="204"/>
      <c r="L171" s="204"/>
      <c r="M171" s="204"/>
      <c r="N171" s="204"/>
      <c r="O171">
        <f t="shared" si="76"/>
        <v>0</v>
      </c>
      <c r="P171">
        <f t="shared" si="74"/>
        <v>0</v>
      </c>
      <c r="Q171">
        <f t="shared" si="74"/>
        <v>0</v>
      </c>
    </row>
    <row r="172" spans="1:17" x14ac:dyDescent="0.3">
      <c r="A172" s="204"/>
      <c r="B172" s="205" t="s">
        <v>1444</v>
      </c>
      <c r="C172" s="265"/>
      <c r="D172" s="479"/>
      <c r="E172" s="480"/>
      <c r="F172" s="210"/>
      <c r="G172" s="204"/>
      <c r="H172" s="204"/>
      <c r="I172" s="204"/>
      <c r="J172" s="204"/>
      <c r="K172" s="204"/>
      <c r="L172" s="204"/>
      <c r="M172" s="204"/>
      <c r="N172" s="204"/>
    </row>
    <row r="173" spans="1:17" x14ac:dyDescent="0.3">
      <c r="A173" s="204"/>
      <c r="B173" s="206" t="s">
        <v>1082</v>
      </c>
      <c r="C173" s="388">
        <v>0</v>
      </c>
      <c r="D173" s="388">
        <f t="shared" ref="D173:D179" si="77">C173*0.75</f>
        <v>0</v>
      </c>
      <c r="E173" s="478">
        <f t="shared" ref="E173:E179" si="78">D173*0.75</f>
        <v>0</v>
      </c>
      <c r="F173" s="210" t="s">
        <v>1383</v>
      </c>
      <c r="G173" s="204" t="s">
        <v>1384</v>
      </c>
      <c r="H173" s="204"/>
      <c r="I173" s="204"/>
      <c r="J173" s="204"/>
      <c r="K173" s="204"/>
      <c r="L173" s="204"/>
      <c r="M173" s="204"/>
      <c r="N173" s="204"/>
      <c r="O173">
        <f t="shared" ref="O173:Q179" si="79">IF(ISBLANK(C173),I173,C173)</f>
        <v>0</v>
      </c>
      <c r="P173">
        <f t="shared" si="79"/>
        <v>0</v>
      </c>
      <c r="Q173">
        <f t="shared" si="79"/>
        <v>0</v>
      </c>
    </row>
    <row r="174" spans="1:17" x14ac:dyDescent="0.3">
      <c r="A174" s="204"/>
      <c r="B174" s="206" t="s">
        <v>1083</v>
      </c>
      <c r="C174" s="388">
        <v>0</v>
      </c>
      <c r="D174" s="388">
        <f t="shared" si="77"/>
        <v>0</v>
      </c>
      <c r="E174" s="478">
        <f t="shared" si="78"/>
        <v>0</v>
      </c>
      <c r="F174" s="210"/>
      <c r="G174" s="204"/>
      <c r="H174" s="204"/>
      <c r="I174" s="204"/>
      <c r="J174" s="204"/>
      <c r="K174" s="204"/>
      <c r="L174" s="204"/>
      <c r="M174" s="204"/>
      <c r="N174" s="204"/>
      <c r="O174">
        <f t="shared" si="79"/>
        <v>0</v>
      </c>
      <c r="P174">
        <f t="shared" si="79"/>
        <v>0</v>
      </c>
      <c r="Q174">
        <f t="shared" si="79"/>
        <v>0</v>
      </c>
    </row>
    <row r="175" spans="1:17" x14ac:dyDescent="0.3">
      <c r="A175" s="204"/>
      <c r="B175" s="206" t="s">
        <v>1084</v>
      </c>
      <c r="C175" s="388">
        <v>0</v>
      </c>
      <c r="D175" s="388">
        <f t="shared" si="77"/>
        <v>0</v>
      </c>
      <c r="E175" s="478">
        <f t="shared" si="78"/>
        <v>0</v>
      </c>
      <c r="F175" s="210"/>
      <c r="G175" s="204"/>
      <c r="H175" s="204"/>
      <c r="I175" s="204"/>
      <c r="J175" s="204"/>
      <c r="K175" s="204"/>
      <c r="L175" s="204"/>
      <c r="M175" s="204"/>
      <c r="N175" s="204"/>
      <c r="O175">
        <f t="shared" si="79"/>
        <v>0</v>
      </c>
      <c r="P175">
        <f t="shared" si="79"/>
        <v>0</v>
      </c>
      <c r="Q175">
        <f t="shared" si="79"/>
        <v>0</v>
      </c>
    </row>
    <row r="176" spans="1:17" x14ac:dyDescent="0.3">
      <c r="A176" s="204"/>
      <c r="B176" s="206" t="s">
        <v>1085</v>
      </c>
      <c r="C176" s="388">
        <v>0</v>
      </c>
      <c r="D176" s="388">
        <f t="shared" si="77"/>
        <v>0</v>
      </c>
      <c r="E176" s="478">
        <f t="shared" si="78"/>
        <v>0</v>
      </c>
      <c r="F176" s="210"/>
      <c r="G176" s="204"/>
      <c r="H176" s="204"/>
      <c r="I176" s="204"/>
      <c r="J176" s="204"/>
      <c r="K176" s="204"/>
      <c r="L176" s="204"/>
      <c r="M176" s="204"/>
      <c r="N176" s="204"/>
      <c r="O176">
        <f t="shared" si="79"/>
        <v>0</v>
      </c>
      <c r="P176">
        <f t="shared" si="79"/>
        <v>0</v>
      </c>
      <c r="Q176">
        <f t="shared" si="79"/>
        <v>0</v>
      </c>
    </row>
    <row r="177" spans="1:17" x14ac:dyDescent="0.3">
      <c r="A177" s="204"/>
      <c r="B177" s="206" t="s">
        <v>1086</v>
      </c>
      <c r="C177" s="388">
        <v>0</v>
      </c>
      <c r="D177" s="388">
        <f t="shared" si="77"/>
        <v>0</v>
      </c>
      <c r="E177" s="478">
        <f t="shared" si="78"/>
        <v>0</v>
      </c>
      <c r="F177" s="210"/>
      <c r="G177" s="204"/>
      <c r="H177" s="204"/>
      <c r="I177" s="204"/>
      <c r="J177" s="204"/>
      <c r="K177" s="204"/>
      <c r="L177" s="204"/>
      <c r="M177" s="204"/>
      <c r="N177" s="204"/>
      <c r="O177">
        <f t="shared" si="79"/>
        <v>0</v>
      </c>
      <c r="P177">
        <f t="shared" si="79"/>
        <v>0</v>
      </c>
      <c r="Q177">
        <f t="shared" si="79"/>
        <v>0</v>
      </c>
    </row>
    <row r="178" spans="1:17" x14ac:dyDescent="0.3">
      <c r="A178" s="204"/>
      <c r="B178" s="206" t="s">
        <v>1087</v>
      </c>
      <c r="C178" s="388">
        <v>0</v>
      </c>
      <c r="D178" s="388">
        <f t="shared" si="77"/>
        <v>0</v>
      </c>
      <c r="E178" s="478">
        <f t="shared" si="78"/>
        <v>0</v>
      </c>
      <c r="F178" s="210"/>
      <c r="G178" s="204"/>
      <c r="H178" s="204"/>
      <c r="I178" s="204"/>
      <c r="J178" s="204"/>
      <c r="K178" s="204"/>
      <c r="L178" s="204"/>
      <c r="M178" s="204"/>
      <c r="N178" s="204"/>
      <c r="O178">
        <f t="shared" si="79"/>
        <v>0</v>
      </c>
      <c r="P178">
        <f t="shared" si="79"/>
        <v>0</v>
      </c>
      <c r="Q178">
        <f t="shared" si="79"/>
        <v>0</v>
      </c>
    </row>
    <row r="179" spans="1:17" x14ac:dyDescent="0.3">
      <c r="A179" s="204"/>
      <c r="B179" s="206" t="s">
        <v>1443</v>
      </c>
      <c r="C179" s="388">
        <v>0</v>
      </c>
      <c r="D179" s="388">
        <f t="shared" si="77"/>
        <v>0</v>
      </c>
      <c r="E179" s="478">
        <f t="shared" si="78"/>
        <v>0</v>
      </c>
      <c r="F179" s="210"/>
      <c r="G179" s="204"/>
      <c r="H179" s="204"/>
      <c r="I179" s="204"/>
      <c r="J179" s="204"/>
      <c r="K179" s="204"/>
      <c r="L179" s="204"/>
      <c r="M179" s="204"/>
      <c r="N179" s="204"/>
      <c r="O179">
        <f t="shared" si="79"/>
        <v>0</v>
      </c>
      <c r="P179">
        <f t="shared" si="79"/>
        <v>0</v>
      </c>
      <c r="Q179">
        <f t="shared" si="79"/>
        <v>0</v>
      </c>
    </row>
    <row r="180" spans="1:17" x14ac:dyDescent="0.3">
      <c r="A180" s="204"/>
      <c r="B180" s="207" t="s">
        <v>227</v>
      </c>
      <c r="C180" s="265"/>
      <c r="D180" s="479"/>
      <c r="E180" s="480"/>
      <c r="F180" s="210"/>
      <c r="G180" s="204"/>
      <c r="H180" s="204"/>
      <c r="I180" s="204"/>
      <c r="J180" s="204"/>
      <c r="K180" s="204"/>
      <c r="L180" s="204"/>
      <c r="M180" s="204"/>
      <c r="N180" s="204"/>
    </row>
    <row r="181" spans="1:17" x14ac:dyDescent="0.3">
      <c r="A181" s="204"/>
      <c r="B181" s="206" t="s">
        <v>1437</v>
      </c>
      <c r="C181" s="388">
        <v>0</v>
      </c>
      <c r="D181" s="388">
        <f t="shared" ref="D181:D184" si="80">C181*0.75</f>
        <v>0</v>
      </c>
      <c r="E181" s="478">
        <f t="shared" ref="E181:E184" si="81">D181*0.75</f>
        <v>0</v>
      </c>
      <c r="F181" s="210"/>
      <c r="G181" s="204"/>
      <c r="H181" s="204"/>
      <c r="I181" s="204"/>
      <c r="J181" s="204"/>
      <c r="K181" s="204"/>
      <c r="L181" s="204"/>
      <c r="M181" s="204"/>
      <c r="N181" s="204"/>
      <c r="O181">
        <f t="shared" ref="O181:Q184" si="82">IF(ISBLANK(C181),I181,C181)</f>
        <v>0</v>
      </c>
      <c r="P181">
        <f t="shared" si="82"/>
        <v>0</v>
      </c>
      <c r="Q181">
        <f t="shared" si="82"/>
        <v>0</v>
      </c>
    </row>
    <row r="182" spans="1:17" x14ac:dyDescent="0.3">
      <c r="A182" s="204"/>
      <c r="B182" s="206" t="s">
        <v>1438</v>
      </c>
      <c r="C182" s="388">
        <v>0</v>
      </c>
      <c r="D182" s="388">
        <f t="shared" si="80"/>
        <v>0</v>
      </c>
      <c r="E182" s="478">
        <f t="shared" si="81"/>
        <v>0</v>
      </c>
      <c r="F182" s="210"/>
      <c r="G182" s="204"/>
      <c r="H182" s="204"/>
      <c r="I182" s="204"/>
      <c r="J182" s="204"/>
      <c r="K182" s="204"/>
      <c r="L182" s="204"/>
      <c r="M182" s="204"/>
      <c r="N182" s="204"/>
      <c r="O182">
        <f t="shared" si="82"/>
        <v>0</v>
      </c>
      <c r="P182">
        <f t="shared" si="82"/>
        <v>0</v>
      </c>
      <c r="Q182">
        <f t="shared" si="82"/>
        <v>0</v>
      </c>
    </row>
    <row r="183" spans="1:17" x14ac:dyDescent="0.3">
      <c r="A183" s="204"/>
      <c r="B183" s="206" t="s">
        <v>1441</v>
      </c>
      <c r="C183" s="388">
        <v>0</v>
      </c>
      <c r="D183" s="388">
        <f t="shared" si="80"/>
        <v>0</v>
      </c>
      <c r="E183" s="478">
        <f t="shared" si="81"/>
        <v>0</v>
      </c>
      <c r="F183" s="210"/>
      <c r="G183" s="204"/>
      <c r="H183" s="204"/>
      <c r="I183" s="204"/>
      <c r="J183" s="204"/>
      <c r="K183" s="204"/>
      <c r="L183" s="204"/>
      <c r="M183" s="204"/>
      <c r="N183" s="204"/>
      <c r="O183">
        <f t="shared" si="82"/>
        <v>0</v>
      </c>
      <c r="P183">
        <f t="shared" si="82"/>
        <v>0</v>
      </c>
      <c r="Q183">
        <f t="shared" si="82"/>
        <v>0</v>
      </c>
    </row>
    <row r="184" spans="1:17" x14ac:dyDescent="0.3">
      <c r="A184" s="204"/>
      <c r="B184" s="206" t="s">
        <v>1442</v>
      </c>
      <c r="C184" s="388">
        <v>0</v>
      </c>
      <c r="D184" s="388">
        <f t="shared" si="80"/>
        <v>0</v>
      </c>
      <c r="E184" s="478">
        <f t="shared" si="81"/>
        <v>0</v>
      </c>
      <c r="F184" s="210"/>
      <c r="G184" s="204"/>
      <c r="H184" s="204"/>
      <c r="I184" s="204"/>
      <c r="J184" s="204"/>
      <c r="K184" s="204"/>
      <c r="L184" s="204"/>
      <c r="M184" s="204"/>
      <c r="N184" s="204"/>
      <c r="O184">
        <f t="shared" si="82"/>
        <v>0</v>
      </c>
      <c r="P184">
        <f t="shared" si="82"/>
        <v>0</v>
      </c>
      <c r="Q184">
        <f t="shared" si="82"/>
        <v>0</v>
      </c>
    </row>
    <row r="185" spans="1:17" x14ac:dyDescent="0.3">
      <c r="A185" s="204"/>
      <c r="B185" s="207" t="s">
        <v>920</v>
      </c>
      <c r="C185" s="265"/>
      <c r="D185" s="479"/>
      <c r="E185" s="480"/>
      <c r="F185" s="210"/>
      <c r="G185" s="204"/>
      <c r="H185" s="204"/>
      <c r="I185" s="204"/>
      <c r="J185" s="204"/>
      <c r="K185" s="204"/>
      <c r="L185" s="204"/>
      <c r="M185" s="204"/>
      <c r="N185" s="204"/>
    </row>
    <row r="186" spans="1:17" x14ac:dyDescent="0.3">
      <c r="A186" s="204"/>
      <c r="B186" s="206" t="s">
        <v>920</v>
      </c>
      <c r="C186" s="388">
        <v>0</v>
      </c>
      <c r="D186" s="388">
        <f t="shared" ref="D186:D187" si="83">C186*0.75</f>
        <v>0</v>
      </c>
      <c r="E186" s="478">
        <f t="shared" ref="E186:E187" si="84">D186*0.75</f>
        <v>0</v>
      </c>
      <c r="F186" s="210"/>
      <c r="G186" s="204"/>
      <c r="H186" s="269"/>
      <c r="I186" s="204"/>
      <c r="J186" s="204"/>
      <c r="K186" s="204"/>
      <c r="L186" s="204"/>
      <c r="M186" s="204"/>
      <c r="N186" s="204"/>
      <c r="O186">
        <f t="shared" ref="O186:Q187" si="85">IF(ISBLANK(C186),I186,C186)</f>
        <v>0</v>
      </c>
      <c r="P186">
        <f t="shared" si="85"/>
        <v>0</v>
      </c>
      <c r="Q186">
        <f t="shared" si="85"/>
        <v>0</v>
      </c>
    </row>
    <row r="187" spans="1:17" x14ac:dyDescent="0.3">
      <c r="A187" s="204"/>
      <c r="B187" s="206" t="s">
        <v>980</v>
      </c>
      <c r="C187" s="388">
        <v>0</v>
      </c>
      <c r="D187" s="388">
        <f t="shared" si="83"/>
        <v>0</v>
      </c>
      <c r="E187" s="478">
        <f t="shared" si="84"/>
        <v>0</v>
      </c>
      <c r="F187" s="210"/>
      <c r="G187" s="204"/>
      <c r="H187" s="269"/>
      <c r="I187" s="204"/>
      <c r="J187" s="204"/>
      <c r="K187" s="204"/>
      <c r="L187" s="204"/>
      <c r="M187" s="204"/>
      <c r="N187" s="204"/>
      <c r="O187">
        <f t="shared" si="85"/>
        <v>0</v>
      </c>
      <c r="P187">
        <f t="shared" si="85"/>
        <v>0</v>
      </c>
      <c r="Q187">
        <f t="shared" si="85"/>
        <v>0</v>
      </c>
    </row>
    <row r="188" spans="1:17" s="204" customFormat="1" x14ac:dyDescent="0.3">
      <c r="D188" s="269"/>
      <c r="H188" s="269"/>
    </row>
    <row r="189" spans="1:17" x14ac:dyDescent="0.3">
      <c r="A189" s="204"/>
      <c r="B189" s="781" t="s">
        <v>1095</v>
      </c>
      <c r="C189" s="781"/>
      <c r="D189" s="781"/>
      <c r="E189" s="781"/>
      <c r="F189" s="781"/>
      <c r="G189" s="781"/>
      <c r="H189" s="204"/>
      <c r="I189" s="787" t="s">
        <v>1096</v>
      </c>
      <c r="J189" s="787"/>
      <c r="K189" s="787"/>
      <c r="L189" s="787"/>
      <c r="M189" s="787"/>
      <c r="O189" s="84" t="s">
        <v>1097</v>
      </c>
      <c r="P189" s="84"/>
      <c r="Q189" s="84"/>
    </row>
    <row r="190" spans="1:17" ht="19.5" customHeight="1" thickBot="1" x14ac:dyDescent="0.4">
      <c r="A190" s="204"/>
      <c r="B190" s="215" t="s">
        <v>1521</v>
      </c>
      <c r="C190" s="786" t="s">
        <v>1512</v>
      </c>
      <c r="D190" s="786"/>
      <c r="E190" s="786"/>
      <c r="F190" s="786"/>
      <c r="G190" s="786"/>
      <c r="H190" s="204"/>
      <c r="I190" s="786" t="s">
        <v>1512</v>
      </c>
      <c r="J190" s="786"/>
      <c r="K190" s="786"/>
      <c r="L190" s="786"/>
      <c r="M190" s="786"/>
      <c r="N190" s="204"/>
      <c r="O190" s="204"/>
    </row>
    <row r="191" spans="1:17" x14ac:dyDescent="0.3">
      <c r="A191" s="204"/>
      <c r="B191" s="236"/>
      <c r="C191" s="237" t="s">
        <v>1382</v>
      </c>
      <c r="D191" s="214" t="s">
        <v>985</v>
      </c>
      <c r="E191" s="214" t="s">
        <v>986</v>
      </c>
      <c r="F191" s="319" t="s">
        <v>592</v>
      </c>
      <c r="G191" s="215" t="s">
        <v>591</v>
      </c>
      <c r="H191" s="204"/>
      <c r="I191" s="237" t="s">
        <v>1382</v>
      </c>
      <c r="J191" s="214" t="s">
        <v>985</v>
      </c>
      <c r="K191" s="214" t="s">
        <v>986</v>
      </c>
      <c r="L191" s="319" t="s">
        <v>592</v>
      </c>
      <c r="M191" s="215" t="s">
        <v>591</v>
      </c>
      <c r="O191" s="237" t="s">
        <v>1382</v>
      </c>
      <c r="P191" s="214" t="s">
        <v>985</v>
      </c>
      <c r="Q191" s="214" t="s">
        <v>986</v>
      </c>
    </row>
    <row r="192" spans="1:17" x14ac:dyDescent="0.3">
      <c r="A192" s="204"/>
      <c r="B192" s="205" t="s">
        <v>1450</v>
      </c>
      <c r="C192" s="265"/>
      <c r="D192" s="265"/>
      <c r="E192" s="266"/>
      <c r="F192" s="210"/>
      <c r="G192" s="204"/>
      <c r="H192" s="204"/>
      <c r="I192" s="204"/>
      <c r="J192" s="204"/>
      <c r="K192" s="204"/>
      <c r="L192" s="204"/>
      <c r="M192" s="204"/>
      <c r="N192" s="204"/>
    </row>
    <row r="193" spans="1:17" x14ac:dyDescent="0.3">
      <c r="A193" s="204"/>
      <c r="B193" s="206" t="s">
        <v>1082</v>
      </c>
      <c r="C193" s="388">
        <v>0</v>
      </c>
      <c r="D193" s="388">
        <f>C193*0.75</f>
        <v>0</v>
      </c>
      <c r="E193" s="478">
        <f t="shared" ref="E193:E199" si="86">D193*0.75</f>
        <v>0</v>
      </c>
      <c r="F193" s="210" t="s">
        <v>1383</v>
      </c>
      <c r="G193" s="204" t="s">
        <v>1384</v>
      </c>
      <c r="H193" s="204"/>
      <c r="I193" s="204"/>
      <c r="J193" s="204"/>
      <c r="K193" s="204"/>
      <c r="L193" s="204"/>
      <c r="M193" s="204"/>
      <c r="N193" s="204"/>
      <c r="O193">
        <f>IF(ISBLANK(C193),I193,C193)</f>
        <v>0</v>
      </c>
      <c r="P193">
        <f t="shared" ref="P193:Q199" si="87">IF(ISBLANK(D193),J193,D193)</f>
        <v>0</v>
      </c>
      <c r="Q193">
        <f t="shared" si="87"/>
        <v>0</v>
      </c>
    </row>
    <row r="194" spans="1:17" x14ac:dyDescent="0.3">
      <c r="A194" s="204"/>
      <c r="B194" s="206" t="s">
        <v>1083</v>
      </c>
      <c r="C194" s="388">
        <v>0</v>
      </c>
      <c r="D194" s="388">
        <f t="shared" ref="D194:D199" si="88">C194*0.75</f>
        <v>0</v>
      </c>
      <c r="E194" s="478">
        <f t="shared" si="86"/>
        <v>0</v>
      </c>
      <c r="F194" s="210"/>
      <c r="G194" s="204"/>
      <c r="H194" s="204"/>
      <c r="I194" s="204"/>
      <c r="J194" s="204"/>
      <c r="K194" s="204"/>
      <c r="L194" s="204"/>
      <c r="M194" s="204"/>
      <c r="N194" s="204"/>
      <c r="O194">
        <f t="shared" ref="O194:O199" si="89">IF(ISBLANK(C194),I194,C194)</f>
        <v>0</v>
      </c>
      <c r="P194">
        <f t="shared" si="87"/>
        <v>0</v>
      </c>
      <c r="Q194">
        <f t="shared" si="87"/>
        <v>0</v>
      </c>
    </row>
    <row r="195" spans="1:17" x14ac:dyDescent="0.3">
      <c r="A195" s="204"/>
      <c r="B195" s="206" t="s">
        <v>1084</v>
      </c>
      <c r="C195" s="388">
        <v>0</v>
      </c>
      <c r="D195" s="388">
        <f t="shared" si="88"/>
        <v>0</v>
      </c>
      <c r="E195" s="478">
        <f t="shared" si="86"/>
        <v>0</v>
      </c>
      <c r="F195" s="210"/>
      <c r="G195" s="204"/>
      <c r="H195" s="204"/>
      <c r="I195" s="204"/>
      <c r="J195" s="204"/>
      <c r="K195" s="204"/>
      <c r="L195" s="204"/>
      <c r="M195" s="204"/>
      <c r="N195" s="204"/>
      <c r="O195">
        <f t="shared" si="89"/>
        <v>0</v>
      </c>
      <c r="P195">
        <f t="shared" si="87"/>
        <v>0</v>
      </c>
      <c r="Q195">
        <f t="shared" si="87"/>
        <v>0</v>
      </c>
    </row>
    <row r="196" spans="1:17" x14ac:dyDescent="0.3">
      <c r="A196" s="204"/>
      <c r="B196" s="206" t="s">
        <v>1085</v>
      </c>
      <c r="C196" s="388">
        <v>0</v>
      </c>
      <c r="D196" s="388">
        <f t="shared" si="88"/>
        <v>0</v>
      </c>
      <c r="E196" s="478">
        <f t="shared" si="86"/>
        <v>0</v>
      </c>
      <c r="F196" s="210"/>
      <c r="G196" s="204"/>
      <c r="H196" s="204"/>
      <c r="I196" s="204"/>
      <c r="J196" s="204"/>
      <c r="K196" s="204"/>
      <c r="L196" s="204"/>
      <c r="M196" s="204"/>
      <c r="N196" s="204"/>
      <c r="O196">
        <f t="shared" si="89"/>
        <v>0</v>
      </c>
      <c r="P196">
        <f t="shared" si="87"/>
        <v>0</v>
      </c>
      <c r="Q196">
        <f t="shared" si="87"/>
        <v>0</v>
      </c>
    </row>
    <row r="197" spans="1:17" x14ac:dyDescent="0.3">
      <c r="A197" s="204"/>
      <c r="B197" s="206" t="s">
        <v>1086</v>
      </c>
      <c r="C197" s="388">
        <v>0</v>
      </c>
      <c r="D197" s="388">
        <f t="shared" si="88"/>
        <v>0</v>
      </c>
      <c r="E197" s="478">
        <f t="shared" si="86"/>
        <v>0</v>
      </c>
      <c r="F197" s="210"/>
      <c r="G197" s="204"/>
      <c r="H197" s="204"/>
      <c r="I197" s="204"/>
      <c r="J197" s="204"/>
      <c r="K197" s="204"/>
      <c r="L197" s="204"/>
      <c r="M197" s="204"/>
      <c r="N197" s="204"/>
      <c r="O197">
        <f t="shared" si="89"/>
        <v>0</v>
      </c>
      <c r="P197">
        <f t="shared" si="87"/>
        <v>0</v>
      </c>
      <c r="Q197">
        <f t="shared" si="87"/>
        <v>0</v>
      </c>
    </row>
    <row r="198" spans="1:17" x14ac:dyDescent="0.3">
      <c r="A198" s="204"/>
      <c r="B198" s="206" t="s">
        <v>1087</v>
      </c>
      <c r="C198" s="388">
        <v>0</v>
      </c>
      <c r="D198" s="388">
        <f t="shared" si="88"/>
        <v>0</v>
      </c>
      <c r="E198" s="478">
        <f t="shared" si="86"/>
        <v>0</v>
      </c>
      <c r="F198" s="210"/>
      <c r="G198" s="204"/>
      <c r="H198" s="204"/>
      <c r="I198" s="204"/>
      <c r="J198" s="204"/>
      <c r="K198" s="204"/>
      <c r="L198" s="204"/>
      <c r="M198" s="204"/>
      <c r="N198" s="204"/>
      <c r="O198">
        <f t="shared" si="89"/>
        <v>0</v>
      </c>
      <c r="P198">
        <f t="shared" si="87"/>
        <v>0</v>
      </c>
      <c r="Q198">
        <f t="shared" si="87"/>
        <v>0</v>
      </c>
    </row>
    <row r="199" spans="1:17" x14ac:dyDescent="0.3">
      <c r="A199" s="204"/>
      <c r="B199" s="206" t="s">
        <v>1443</v>
      </c>
      <c r="C199" s="388">
        <v>0</v>
      </c>
      <c r="D199" s="388">
        <f t="shared" si="88"/>
        <v>0</v>
      </c>
      <c r="E199" s="478">
        <f t="shared" si="86"/>
        <v>0</v>
      </c>
      <c r="F199" s="210"/>
      <c r="G199" s="204"/>
      <c r="H199" s="204"/>
      <c r="I199" s="204"/>
      <c r="J199" s="204"/>
      <c r="K199" s="204"/>
      <c r="L199" s="204"/>
      <c r="M199" s="204"/>
      <c r="N199" s="204"/>
      <c r="O199">
        <f t="shared" si="89"/>
        <v>0</v>
      </c>
      <c r="P199">
        <f t="shared" si="87"/>
        <v>0</v>
      </c>
      <c r="Q199">
        <f t="shared" si="87"/>
        <v>0</v>
      </c>
    </row>
    <row r="200" spans="1:17" x14ac:dyDescent="0.3">
      <c r="A200" s="204"/>
      <c r="B200" s="205" t="s">
        <v>1444</v>
      </c>
      <c r="C200" s="265"/>
      <c r="D200" s="479"/>
      <c r="E200" s="480"/>
      <c r="F200" s="210"/>
      <c r="G200" s="204"/>
      <c r="H200" s="204"/>
      <c r="I200" s="204"/>
      <c r="J200" s="204"/>
      <c r="K200" s="204"/>
      <c r="L200" s="204"/>
      <c r="M200" s="204"/>
      <c r="N200" s="204"/>
    </row>
    <row r="201" spans="1:17" x14ac:dyDescent="0.3">
      <c r="A201" s="204"/>
      <c r="B201" s="206" t="s">
        <v>1082</v>
      </c>
      <c r="C201" s="388">
        <v>0</v>
      </c>
      <c r="D201" s="388">
        <f t="shared" ref="D201:D207" si="90">C201*0.75</f>
        <v>0</v>
      </c>
      <c r="E201" s="478">
        <f t="shared" ref="E201:E207" si="91">D201*0.75</f>
        <v>0</v>
      </c>
      <c r="F201" s="210" t="s">
        <v>1383</v>
      </c>
      <c r="G201" s="204" t="s">
        <v>1384</v>
      </c>
      <c r="H201" s="204"/>
      <c r="I201" s="204"/>
      <c r="J201" s="204"/>
      <c r="K201" s="204"/>
      <c r="L201" s="204"/>
      <c r="M201" s="204"/>
      <c r="N201" s="204"/>
      <c r="O201">
        <f t="shared" ref="O201:Q207" si="92">IF(ISBLANK(C201),I201,C201)</f>
        <v>0</v>
      </c>
      <c r="P201">
        <f t="shared" si="92"/>
        <v>0</v>
      </c>
      <c r="Q201">
        <f t="shared" si="92"/>
        <v>0</v>
      </c>
    </row>
    <row r="202" spans="1:17" x14ac:dyDescent="0.3">
      <c r="A202" s="204"/>
      <c r="B202" s="206" t="s">
        <v>1083</v>
      </c>
      <c r="C202" s="388">
        <v>0</v>
      </c>
      <c r="D202" s="388">
        <f t="shared" si="90"/>
        <v>0</v>
      </c>
      <c r="E202" s="478">
        <f t="shared" si="91"/>
        <v>0</v>
      </c>
      <c r="F202" s="210"/>
      <c r="G202" s="204"/>
      <c r="H202" s="204"/>
      <c r="I202" s="204"/>
      <c r="J202" s="204"/>
      <c r="K202" s="204"/>
      <c r="L202" s="204"/>
      <c r="M202" s="204"/>
      <c r="N202" s="204"/>
      <c r="O202">
        <f t="shared" si="92"/>
        <v>0</v>
      </c>
      <c r="P202">
        <f t="shared" si="92"/>
        <v>0</v>
      </c>
      <c r="Q202">
        <f t="shared" si="92"/>
        <v>0</v>
      </c>
    </row>
    <row r="203" spans="1:17" x14ac:dyDescent="0.3">
      <c r="A203" s="204"/>
      <c r="B203" s="206" t="s">
        <v>1084</v>
      </c>
      <c r="C203" s="388">
        <v>0</v>
      </c>
      <c r="D203" s="388">
        <f t="shared" si="90"/>
        <v>0</v>
      </c>
      <c r="E203" s="478">
        <f t="shared" si="91"/>
        <v>0</v>
      </c>
      <c r="F203" s="210"/>
      <c r="G203" s="204"/>
      <c r="H203" s="204"/>
      <c r="I203" s="204"/>
      <c r="J203" s="204"/>
      <c r="K203" s="204"/>
      <c r="L203" s="204"/>
      <c r="M203" s="204"/>
      <c r="N203" s="204"/>
      <c r="O203">
        <f t="shared" si="92"/>
        <v>0</v>
      </c>
      <c r="P203">
        <f t="shared" si="92"/>
        <v>0</v>
      </c>
      <c r="Q203">
        <f t="shared" si="92"/>
        <v>0</v>
      </c>
    </row>
    <row r="204" spans="1:17" x14ac:dyDescent="0.3">
      <c r="A204" s="204"/>
      <c r="B204" s="206" t="s">
        <v>1085</v>
      </c>
      <c r="C204" s="388">
        <v>0</v>
      </c>
      <c r="D204" s="388">
        <f t="shared" si="90"/>
        <v>0</v>
      </c>
      <c r="E204" s="478">
        <f t="shared" si="91"/>
        <v>0</v>
      </c>
      <c r="F204" s="210"/>
      <c r="G204" s="204"/>
      <c r="H204" s="204"/>
      <c r="I204" s="204"/>
      <c r="J204" s="204"/>
      <c r="K204" s="204"/>
      <c r="L204" s="204"/>
      <c r="M204" s="204"/>
      <c r="N204" s="204"/>
      <c r="O204">
        <f t="shared" si="92"/>
        <v>0</v>
      </c>
      <c r="P204">
        <f t="shared" si="92"/>
        <v>0</v>
      </c>
      <c r="Q204">
        <f t="shared" si="92"/>
        <v>0</v>
      </c>
    </row>
    <row r="205" spans="1:17" x14ac:dyDescent="0.3">
      <c r="A205" s="204"/>
      <c r="B205" s="206" t="s">
        <v>1086</v>
      </c>
      <c r="C205" s="388">
        <v>0</v>
      </c>
      <c r="D205" s="388">
        <f t="shared" si="90"/>
        <v>0</v>
      </c>
      <c r="E205" s="478">
        <f t="shared" si="91"/>
        <v>0</v>
      </c>
      <c r="F205" s="210"/>
      <c r="G205" s="204"/>
      <c r="H205" s="204"/>
      <c r="I205" s="204"/>
      <c r="J205" s="204"/>
      <c r="K205" s="204"/>
      <c r="L205" s="204"/>
      <c r="M205" s="204"/>
      <c r="N205" s="204"/>
      <c r="O205">
        <f t="shared" si="92"/>
        <v>0</v>
      </c>
      <c r="P205">
        <f t="shared" si="92"/>
        <v>0</v>
      </c>
      <c r="Q205">
        <f t="shared" si="92"/>
        <v>0</v>
      </c>
    </row>
    <row r="206" spans="1:17" x14ac:dyDescent="0.3">
      <c r="A206" s="204"/>
      <c r="B206" s="206" t="s">
        <v>1087</v>
      </c>
      <c r="C206" s="388">
        <v>0</v>
      </c>
      <c r="D206" s="388">
        <f t="shared" si="90"/>
        <v>0</v>
      </c>
      <c r="E206" s="478">
        <f t="shared" si="91"/>
        <v>0</v>
      </c>
      <c r="F206" s="210"/>
      <c r="G206" s="204"/>
      <c r="H206" s="204"/>
      <c r="I206" s="204"/>
      <c r="J206" s="204"/>
      <c r="K206" s="204"/>
      <c r="L206" s="204"/>
      <c r="M206" s="204"/>
      <c r="N206" s="204"/>
      <c r="O206">
        <f t="shared" si="92"/>
        <v>0</v>
      </c>
      <c r="P206">
        <f t="shared" si="92"/>
        <v>0</v>
      </c>
      <c r="Q206">
        <f t="shared" si="92"/>
        <v>0</v>
      </c>
    </row>
    <row r="207" spans="1:17" x14ac:dyDescent="0.3">
      <c r="A207" s="204"/>
      <c r="B207" s="206" t="s">
        <v>1443</v>
      </c>
      <c r="C207" s="388">
        <v>0</v>
      </c>
      <c r="D207" s="388">
        <f t="shared" si="90"/>
        <v>0</v>
      </c>
      <c r="E207" s="478">
        <f t="shared" si="91"/>
        <v>0</v>
      </c>
      <c r="F207" s="210"/>
      <c r="G207" s="204"/>
      <c r="H207" s="204"/>
      <c r="I207" s="204"/>
      <c r="J207" s="204"/>
      <c r="K207" s="204"/>
      <c r="L207" s="204"/>
      <c r="M207" s="204"/>
      <c r="N207" s="204"/>
      <c r="O207">
        <f t="shared" si="92"/>
        <v>0</v>
      </c>
      <c r="P207">
        <f t="shared" si="92"/>
        <v>0</v>
      </c>
      <c r="Q207">
        <f t="shared" si="92"/>
        <v>0</v>
      </c>
    </row>
    <row r="208" spans="1:17" x14ac:dyDescent="0.3">
      <c r="A208" s="204"/>
      <c r="B208" s="207" t="s">
        <v>227</v>
      </c>
      <c r="C208" s="265"/>
      <c r="D208" s="479"/>
      <c r="E208" s="480"/>
      <c r="F208" s="210"/>
      <c r="G208" s="204"/>
      <c r="H208" s="204"/>
      <c r="I208" s="204"/>
      <c r="J208" s="204"/>
      <c r="K208" s="204"/>
      <c r="L208" s="204"/>
      <c r="M208" s="204"/>
      <c r="N208" s="204"/>
    </row>
    <row r="209" spans="1:17" x14ac:dyDescent="0.3">
      <c r="A209" s="204"/>
      <c r="B209" s="206" t="s">
        <v>1437</v>
      </c>
      <c r="C209" s="388">
        <v>0</v>
      </c>
      <c r="D209" s="388">
        <f t="shared" ref="D209:D212" si="93">C209*0.75</f>
        <v>0</v>
      </c>
      <c r="E209" s="478">
        <f t="shared" ref="E209:E212" si="94">D209*0.75</f>
        <v>0</v>
      </c>
      <c r="F209" s="210"/>
      <c r="G209" s="204"/>
      <c r="H209" s="204"/>
      <c r="I209" s="204"/>
      <c r="J209" s="204"/>
      <c r="K209" s="204"/>
      <c r="L209" s="204"/>
      <c r="M209" s="204"/>
      <c r="N209" s="204"/>
      <c r="O209">
        <f t="shared" ref="O209:Q212" si="95">IF(ISBLANK(C209),I209,C209)</f>
        <v>0</v>
      </c>
      <c r="P209">
        <f t="shared" si="95"/>
        <v>0</v>
      </c>
      <c r="Q209">
        <f t="shared" si="95"/>
        <v>0</v>
      </c>
    </row>
    <row r="210" spans="1:17" x14ac:dyDescent="0.3">
      <c r="A210" s="204"/>
      <c r="B210" s="206" t="s">
        <v>1438</v>
      </c>
      <c r="C210" s="388">
        <v>0</v>
      </c>
      <c r="D210" s="388">
        <f t="shared" si="93"/>
        <v>0</v>
      </c>
      <c r="E210" s="478">
        <f t="shared" si="94"/>
        <v>0</v>
      </c>
      <c r="F210" s="210"/>
      <c r="G210" s="204"/>
      <c r="H210" s="204"/>
      <c r="I210" s="204"/>
      <c r="J210" s="204"/>
      <c r="K210" s="204"/>
      <c r="L210" s="204"/>
      <c r="M210" s="204"/>
      <c r="N210" s="204"/>
      <c r="O210">
        <f t="shared" si="95"/>
        <v>0</v>
      </c>
      <c r="P210">
        <f t="shared" si="95"/>
        <v>0</v>
      </c>
      <c r="Q210">
        <f t="shared" si="95"/>
        <v>0</v>
      </c>
    </row>
    <row r="211" spans="1:17" x14ac:dyDescent="0.3">
      <c r="A211" s="204"/>
      <c r="B211" s="206" t="s">
        <v>1441</v>
      </c>
      <c r="C211" s="388">
        <v>0</v>
      </c>
      <c r="D211" s="388">
        <f t="shared" si="93"/>
        <v>0</v>
      </c>
      <c r="E211" s="478">
        <f t="shared" si="94"/>
        <v>0</v>
      </c>
      <c r="F211" s="210"/>
      <c r="G211" s="204"/>
      <c r="H211" s="204"/>
      <c r="I211" s="204"/>
      <c r="J211" s="204"/>
      <c r="K211" s="204"/>
      <c r="L211" s="204"/>
      <c r="M211" s="204"/>
      <c r="N211" s="204"/>
      <c r="O211">
        <f t="shared" si="95"/>
        <v>0</v>
      </c>
      <c r="P211">
        <f t="shared" si="95"/>
        <v>0</v>
      </c>
      <c r="Q211">
        <f t="shared" si="95"/>
        <v>0</v>
      </c>
    </row>
    <row r="212" spans="1:17" x14ac:dyDescent="0.3">
      <c r="A212" s="204"/>
      <c r="B212" s="206" t="s">
        <v>1442</v>
      </c>
      <c r="C212" s="388">
        <v>0</v>
      </c>
      <c r="D212" s="388">
        <f t="shared" si="93"/>
        <v>0</v>
      </c>
      <c r="E212" s="478">
        <f t="shared" si="94"/>
        <v>0</v>
      </c>
      <c r="F212" s="210"/>
      <c r="G212" s="204"/>
      <c r="H212" s="204"/>
      <c r="I212" s="204"/>
      <c r="J212" s="204"/>
      <c r="K212" s="204"/>
      <c r="L212" s="204"/>
      <c r="M212" s="204"/>
      <c r="N212" s="204"/>
      <c r="O212">
        <f t="shared" si="95"/>
        <v>0</v>
      </c>
      <c r="P212">
        <f t="shared" si="95"/>
        <v>0</v>
      </c>
      <c r="Q212">
        <f t="shared" si="95"/>
        <v>0</v>
      </c>
    </row>
    <row r="213" spans="1:17" x14ac:dyDescent="0.3">
      <c r="A213" s="204"/>
      <c r="B213" s="207" t="s">
        <v>920</v>
      </c>
      <c r="C213" s="265"/>
      <c r="D213" s="479"/>
      <c r="E213" s="480"/>
      <c r="F213" s="210"/>
      <c r="G213" s="204"/>
      <c r="H213" s="204"/>
      <c r="I213" s="204"/>
      <c r="J213" s="204"/>
      <c r="K213" s="204"/>
      <c r="L213" s="204"/>
      <c r="M213" s="204"/>
      <c r="N213" s="204"/>
    </row>
    <row r="214" spans="1:17" x14ac:dyDescent="0.3">
      <c r="A214" s="204"/>
      <c r="B214" s="206" t="s">
        <v>920</v>
      </c>
      <c r="C214" s="388">
        <v>0</v>
      </c>
      <c r="D214" s="388">
        <f t="shared" ref="D214:D215" si="96">C214*0.75</f>
        <v>0</v>
      </c>
      <c r="E214" s="478">
        <f t="shared" ref="E214:E215" si="97">D214*0.75</f>
        <v>0</v>
      </c>
      <c r="F214" s="210"/>
      <c r="G214" s="204"/>
      <c r="H214" s="269"/>
      <c r="I214" s="204"/>
      <c r="J214" s="204"/>
      <c r="K214" s="204"/>
      <c r="L214" s="204"/>
      <c r="M214" s="204"/>
      <c r="N214" s="204"/>
      <c r="O214">
        <f t="shared" ref="O214:Q215" si="98">IF(ISBLANK(C214),I214,C214)</f>
        <v>0</v>
      </c>
      <c r="P214">
        <f t="shared" si="98"/>
        <v>0</v>
      </c>
      <c r="Q214">
        <f t="shared" si="98"/>
        <v>0</v>
      </c>
    </row>
    <row r="215" spans="1:17" x14ac:dyDescent="0.3">
      <c r="A215" s="204"/>
      <c r="B215" s="206" t="s">
        <v>980</v>
      </c>
      <c r="C215" s="388">
        <v>0</v>
      </c>
      <c r="D215" s="388">
        <f t="shared" si="96"/>
        <v>0</v>
      </c>
      <c r="E215" s="478">
        <f t="shared" si="97"/>
        <v>0</v>
      </c>
      <c r="F215" s="210"/>
      <c r="G215" s="204"/>
      <c r="H215" s="269"/>
      <c r="I215" s="204"/>
      <c r="J215" s="204"/>
      <c r="K215" s="204"/>
      <c r="L215" s="204"/>
      <c r="M215" s="204"/>
      <c r="N215" s="204"/>
      <c r="O215">
        <f t="shared" si="98"/>
        <v>0</v>
      </c>
      <c r="P215">
        <f t="shared" si="98"/>
        <v>0</v>
      </c>
      <c r="Q215">
        <f t="shared" si="98"/>
        <v>0</v>
      </c>
    </row>
    <row r="216" spans="1:17" s="204" customFormat="1" x14ac:dyDescent="0.3">
      <c r="D216" s="269"/>
      <c r="H216" s="269"/>
    </row>
    <row r="217" spans="1:17" x14ac:dyDescent="0.3">
      <c r="A217" s="204"/>
      <c r="B217" s="781" t="s">
        <v>1095</v>
      </c>
      <c r="C217" s="781"/>
      <c r="D217" s="781"/>
      <c r="E217" s="781"/>
      <c r="F217" s="781"/>
      <c r="G217" s="781"/>
      <c r="H217" s="204"/>
      <c r="I217" s="787" t="s">
        <v>1096</v>
      </c>
      <c r="J217" s="787"/>
      <c r="K217" s="787"/>
      <c r="L217" s="787"/>
      <c r="M217" s="787"/>
      <c r="O217" s="84" t="s">
        <v>1097</v>
      </c>
      <c r="P217" s="84"/>
      <c r="Q217" s="84"/>
    </row>
    <row r="218" spans="1:17" ht="19.5" customHeight="1" thickBot="1" x14ac:dyDescent="0.4">
      <c r="A218" s="204"/>
      <c r="B218" s="215" t="s">
        <v>1521</v>
      </c>
      <c r="C218" s="786" t="s">
        <v>1513</v>
      </c>
      <c r="D218" s="786"/>
      <c r="E218" s="786"/>
      <c r="F218" s="786"/>
      <c r="G218" s="786"/>
      <c r="H218" s="204"/>
      <c r="I218" s="786" t="s">
        <v>1513</v>
      </c>
      <c r="J218" s="786"/>
      <c r="K218" s="786"/>
      <c r="L218" s="786"/>
      <c r="M218" s="786"/>
      <c r="N218" s="204"/>
      <c r="O218" s="204"/>
    </row>
    <row r="219" spans="1:17" x14ac:dyDescent="0.3">
      <c r="A219" s="204"/>
      <c r="B219" s="236"/>
      <c r="C219" s="237" t="s">
        <v>1382</v>
      </c>
      <c r="D219" s="214" t="s">
        <v>985</v>
      </c>
      <c r="E219" s="214" t="s">
        <v>986</v>
      </c>
      <c r="F219" s="319" t="s">
        <v>592</v>
      </c>
      <c r="G219" s="215" t="s">
        <v>591</v>
      </c>
      <c r="H219" s="204"/>
      <c r="I219" s="237" t="s">
        <v>1382</v>
      </c>
      <c r="J219" s="214" t="s">
        <v>985</v>
      </c>
      <c r="K219" s="214" t="s">
        <v>986</v>
      </c>
      <c r="L219" s="319" t="s">
        <v>592</v>
      </c>
      <c r="M219" s="215" t="s">
        <v>591</v>
      </c>
      <c r="O219" s="237" t="s">
        <v>1382</v>
      </c>
      <c r="P219" s="214" t="s">
        <v>985</v>
      </c>
      <c r="Q219" s="214" t="s">
        <v>986</v>
      </c>
    </row>
    <row r="220" spans="1:17" x14ac:dyDescent="0.3">
      <c r="A220" s="204"/>
      <c r="B220" s="205" t="s">
        <v>1450</v>
      </c>
      <c r="C220" s="265"/>
      <c r="D220" s="265"/>
      <c r="E220" s="266"/>
      <c r="F220" s="210"/>
      <c r="G220" s="204"/>
      <c r="H220" s="204"/>
      <c r="I220" s="204"/>
      <c r="J220" s="204"/>
      <c r="K220" s="204"/>
      <c r="L220" s="204"/>
      <c r="M220" s="204"/>
      <c r="N220" s="204"/>
    </row>
    <row r="221" spans="1:17" x14ac:dyDescent="0.3">
      <c r="A221" s="204"/>
      <c r="B221" s="206" t="s">
        <v>1082</v>
      </c>
      <c r="C221" s="388">
        <v>0</v>
      </c>
      <c r="D221" s="388">
        <f>C221*0.75</f>
        <v>0</v>
      </c>
      <c r="E221" s="478">
        <f t="shared" ref="E221:E227" si="99">D221*0.75</f>
        <v>0</v>
      </c>
      <c r="F221" s="210" t="s">
        <v>1383</v>
      </c>
      <c r="G221" s="204" t="s">
        <v>1384</v>
      </c>
      <c r="H221" s="204"/>
      <c r="I221" s="204"/>
      <c r="J221" s="204"/>
      <c r="K221" s="204"/>
      <c r="L221" s="204"/>
      <c r="M221" s="204"/>
      <c r="N221" s="204"/>
      <c r="O221">
        <f>IF(ISBLANK(C221),I221,C221)</f>
        <v>0</v>
      </c>
      <c r="P221">
        <f t="shared" ref="P221:Q227" si="100">IF(ISBLANK(D221),J221,D221)</f>
        <v>0</v>
      </c>
      <c r="Q221">
        <f t="shared" si="100"/>
        <v>0</v>
      </c>
    </row>
    <row r="222" spans="1:17" x14ac:dyDescent="0.3">
      <c r="A222" s="204"/>
      <c r="B222" s="206" t="s">
        <v>1083</v>
      </c>
      <c r="C222" s="388">
        <v>0</v>
      </c>
      <c r="D222" s="388">
        <f t="shared" ref="D222:D227" si="101">C222*0.75</f>
        <v>0</v>
      </c>
      <c r="E222" s="478">
        <f t="shared" si="99"/>
        <v>0</v>
      </c>
      <c r="F222" s="210"/>
      <c r="G222" s="204"/>
      <c r="H222" s="204"/>
      <c r="I222" s="204"/>
      <c r="J222" s="204"/>
      <c r="K222" s="204"/>
      <c r="L222" s="204"/>
      <c r="M222" s="204"/>
      <c r="N222" s="204"/>
      <c r="O222">
        <f t="shared" ref="O222:O227" si="102">IF(ISBLANK(C222),I222,C222)</f>
        <v>0</v>
      </c>
      <c r="P222">
        <f t="shared" si="100"/>
        <v>0</v>
      </c>
      <c r="Q222">
        <f t="shared" si="100"/>
        <v>0</v>
      </c>
    </row>
    <row r="223" spans="1:17" x14ac:dyDescent="0.3">
      <c r="A223" s="204"/>
      <c r="B223" s="206" t="s">
        <v>1084</v>
      </c>
      <c r="C223" s="388">
        <v>0</v>
      </c>
      <c r="D223" s="388">
        <f t="shared" si="101"/>
        <v>0</v>
      </c>
      <c r="E223" s="478">
        <f t="shared" si="99"/>
        <v>0</v>
      </c>
      <c r="F223" s="210"/>
      <c r="G223" s="204"/>
      <c r="H223" s="204"/>
      <c r="I223" s="204"/>
      <c r="J223" s="204"/>
      <c r="K223" s="204"/>
      <c r="L223" s="204"/>
      <c r="M223" s="204"/>
      <c r="N223" s="204"/>
      <c r="O223">
        <f t="shared" si="102"/>
        <v>0</v>
      </c>
      <c r="P223">
        <f t="shared" si="100"/>
        <v>0</v>
      </c>
      <c r="Q223">
        <f t="shared" si="100"/>
        <v>0</v>
      </c>
    </row>
    <row r="224" spans="1:17" x14ac:dyDescent="0.3">
      <c r="A224" s="204"/>
      <c r="B224" s="206" t="s">
        <v>1085</v>
      </c>
      <c r="C224" s="388">
        <v>0</v>
      </c>
      <c r="D224" s="388">
        <f t="shared" si="101"/>
        <v>0</v>
      </c>
      <c r="E224" s="478">
        <f t="shared" si="99"/>
        <v>0</v>
      </c>
      <c r="F224" s="210"/>
      <c r="G224" s="204"/>
      <c r="H224" s="204"/>
      <c r="I224" s="204"/>
      <c r="J224" s="204"/>
      <c r="K224" s="204"/>
      <c r="L224" s="204"/>
      <c r="M224" s="204"/>
      <c r="N224" s="204"/>
      <c r="O224">
        <f t="shared" si="102"/>
        <v>0</v>
      </c>
      <c r="P224">
        <f t="shared" si="100"/>
        <v>0</v>
      </c>
      <c r="Q224">
        <f t="shared" si="100"/>
        <v>0</v>
      </c>
    </row>
    <row r="225" spans="1:17" x14ac:dyDescent="0.3">
      <c r="A225" s="204"/>
      <c r="B225" s="206" t="s">
        <v>1086</v>
      </c>
      <c r="C225" s="388">
        <v>0</v>
      </c>
      <c r="D225" s="388">
        <f t="shared" si="101"/>
        <v>0</v>
      </c>
      <c r="E225" s="478">
        <f t="shared" si="99"/>
        <v>0</v>
      </c>
      <c r="F225" s="210"/>
      <c r="G225" s="204"/>
      <c r="H225" s="204"/>
      <c r="I225" s="204"/>
      <c r="J225" s="204"/>
      <c r="K225" s="204"/>
      <c r="L225" s="204"/>
      <c r="M225" s="204"/>
      <c r="N225" s="204"/>
      <c r="O225">
        <f t="shared" si="102"/>
        <v>0</v>
      </c>
      <c r="P225">
        <f t="shared" si="100"/>
        <v>0</v>
      </c>
      <c r="Q225">
        <f t="shared" si="100"/>
        <v>0</v>
      </c>
    </row>
    <row r="226" spans="1:17" x14ac:dyDescent="0.3">
      <c r="A226" s="204"/>
      <c r="B226" s="206" t="s">
        <v>1087</v>
      </c>
      <c r="C226" s="388">
        <v>0</v>
      </c>
      <c r="D226" s="388">
        <f t="shared" si="101"/>
        <v>0</v>
      </c>
      <c r="E226" s="478">
        <f t="shared" si="99"/>
        <v>0</v>
      </c>
      <c r="F226" s="210"/>
      <c r="G226" s="204"/>
      <c r="H226" s="204"/>
      <c r="I226" s="204"/>
      <c r="J226" s="204"/>
      <c r="K226" s="204"/>
      <c r="L226" s="204"/>
      <c r="M226" s="204"/>
      <c r="N226" s="204"/>
      <c r="O226">
        <f t="shared" si="102"/>
        <v>0</v>
      </c>
      <c r="P226">
        <f t="shared" si="100"/>
        <v>0</v>
      </c>
      <c r="Q226">
        <f t="shared" si="100"/>
        <v>0</v>
      </c>
    </row>
    <row r="227" spans="1:17" x14ac:dyDescent="0.3">
      <c r="A227" s="204"/>
      <c r="B227" s="206" t="s">
        <v>1443</v>
      </c>
      <c r="C227" s="388">
        <v>0</v>
      </c>
      <c r="D227" s="388">
        <f t="shared" si="101"/>
        <v>0</v>
      </c>
      <c r="E227" s="478">
        <f t="shared" si="99"/>
        <v>0</v>
      </c>
      <c r="F227" s="210"/>
      <c r="G227" s="204"/>
      <c r="H227" s="204"/>
      <c r="I227" s="204"/>
      <c r="J227" s="204"/>
      <c r="K227" s="204"/>
      <c r="L227" s="204"/>
      <c r="M227" s="204"/>
      <c r="N227" s="204"/>
      <c r="O227">
        <f t="shared" si="102"/>
        <v>0</v>
      </c>
      <c r="P227">
        <f t="shared" si="100"/>
        <v>0</v>
      </c>
      <c r="Q227">
        <f t="shared" si="100"/>
        <v>0</v>
      </c>
    </row>
    <row r="228" spans="1:17" x14ac:dyDescent="0.3">
      <c r="A228" s="204"/>
      <c r="B228" s="205" t="s">
        <v>1444</v>
      </c>
      <c r="C228" s="265"/>
      <c r="D228" s="479"/>
      <c r="E228" s="480"/>
      <c r="F228" s="210"/>
      <c r="G228" s="204"/>
      <c r="H228" s="204"/>
      <c r="I228" s="204"/>
      <c r="J228" s="204"/>
      <c r="K228" s="204"/>
      <c r="L228" s="204"/>
      <c r="M228" s="204"/>
      <c r="N228" s="204"/>
    </row>
    <row r="229" spans="1:17" x14ac:dyDescent="0.3">
      <c r="A229" s="204"/>
      <c r="B229" s="206" t="s">
        <v>1082</v>
      </c>
      <c r="C229" s="388">
        <v>0</v>
      </c>
      <c r="D229" s="388">
        <f t="shared" ref="D229:D235" si="103">C229*0.75</f>
        <v>0</v>
      </c>
      <c r="E229" s="478">
        <f t="shared" ref="E229:E235" si="104">D229*0.75</f>
        <v>0</v>
      </c>
      <c r="F229" s="210" t="s">
        <v>1383</v>
      </c>
      <c r="G229" s="204" t="s">
        <v>1384</v>
      </c>
      <c r="H229" s="204"/>
      <c r="I229" s="204"/>
      <c r="J229" s="204"/>
      <c r="K229" s="204"/>
      <c r="L229" s="204"/>
      <c r="M229" s="204"/>
      <c r="N229" s="204"/>
      <c r="O229">
        <f t="shared" ref="O229:Q235" si="105">IF(ISBLANK(C229),I229,C229)</f>
        <v>0</v>
      </c>
      <c r="P229">
        <f t="shared" si="105"/>
        <v>0</v>
      </c>
      <c r="Q229">
        <f t="shared" si="105"/>
        <v>0</v>
      </c>
    </row>
    <row r="230" spans="1:17" x14ac:dyDescent="0.3">
      <c r="A230" s="204"/>
      <c r="B230" s="206" t="s">
        <v>1083</v>
      </c>
      <c r="C230" s="388">
        <v>0</v>
      </c>
      <c r="D230" s="388">
        <f t="shared" si="103"/>
        <v>0</v>
      </c>
      <c r="E230" s="478">
        <f t="shared" si="104"/>
        <v>0</v>
      </c>
      <c r="F230" s="210"/>
      <c r="G230" s="204"/>
      <c r="H230" s="204"/>
      <c r="I230" s="204"/>
      <c r="J230" s="204"/>
      <c r="K230" s="204"/>
      <c r="L230" s="204"/>
      <c r="M230" s="204"/>
      <c r="N230" s="204"/>
      <c r="O230">
        <f t="shared" si="105"/>
        <v>0</v>
      </c>
      <c r="P230">
        <f t="shared" si="105"/>
        <v>0</v>
      </c>
      <c r="Q230">
        <f t="shared" si="105"/>
        <v>0</v>
      </c>
    </row>
    <row r="231" spans="1:17" x14ac:dyDescent="0.3">
      <c r="A231" s="204"/>
      <c r="B231" s="206" t="s">
        <v>1084</v>
      </c>
      <c r="C231" s="388">
        <v>0</v>
      </c>
      <c r="D231" s="388">
        <f t="shared" si="103"/>
        <v>0</v>
      </c>
      <c r="E231" s="478">
        <f t="shared" si="104"/>
        <v>0</v>
      </c>
      <c r="F231" s="210"/>
      <c r="G231" s="204"/>
      <c r="H231" s="204"/>
      <c r="I231" s="204"/>
      <c r="J231" s="204"/>
      <c r="K231" s="204"/>
      <c r="L231" s="204"/>
      <c r="M231" s="204"/>
      <c r="N231" s="204"/>
      <c r="O231">
        <f t="shared" si="105"/>
        <v>0</v>
      </c>
      <c r="P231">
        <f t="shared" si="105"/>
        <v>0</v>
      </c>
      <c r="Q231">
        <f t="shared" si="105"/>
        <v>0</v>
      </c>
    </row>
    <row r="232" spans="1:17" x14ac:dyDescent="0.3">
      <c r="A232" s="204"/>
      <c r="B232" s="206" t="s">
        <v>1085</v>
      </c>
      <c r="C232" s="388">
        <v>0</v>
      </c>
      <c r="D232" s="388">
        <f t="shared" si="103"/>
        <v>0</v>
      </c>
      <c r="E232" s="478">
        <f t="shared" si="104"/>
        <v>0</v>
      </c>
      <c r="F232" s="210"/>
      <c r="G232" s="204"/>
      <c r="H232" s="204"/>
      <c r="I232" s="204"/>
      <c r="J232" s="204"/>
      <c r="K232" s="204"/>
      <c r="L232" s="204"/>
      <c r="M232" s="204"/>
      <c r="N232" s="204"/>
      <c r="O232">
        <f t="shared" si="105"/>
        <v>0</v>
      </c>
      <c r="P232">
        <f t="shared" si="105"/>
        <v>0</v>
      </c>
      <c r="Q232">
        <f t="shared" si="105"/>
        <v>0</v>
      </c>
    </row>
    <row r="233" spans="1:17" x14ac:dyDescent="0.3">
      <c r="A233" s="204"/>
      <c r="B233" s="206" t="s">
        <v>1086</v>
      </c>
      <c r="C233" s="388">
        <v>0</v>
      </c>
      <c r="D233" s="388">
        <f t="shared" si="103"/>
        <v>0</v>
      </c>
      <c r="E233" s="478">
        <f t="shared" si="104"/>
        <v>0</v>
      </c>
      <c r="F233" s="210"/>
      <c r="G233" s="204"/>
      <c r="H233" s="204"/>
      <c r="I233" s="204"/>
      <c r="J233" s="204"/>
      <c r="K233" s="204"/>
      <c r="L233" s="204"/>
      <c r="M233" s="204"/>
      <c r="N233" s="204"/>
      <c r="O233">
        <f t="shared" si="105"/>
        <v>0</v>
      </c>
      <c r="P233">
        <f t="shared" si="105"/>
        <v>0</v>
      </c>
      <c r="Q233">
        <f t="shared" si="105"/>
        <v>0</v>
      </c>
    </row>
    <row r="234" spans="1:17" x14ac:dyDescent="0.3">
      <c r="A234" s="204"/>
      <c r="B234" s="206" t="s">
        <v>1087</v>
      </c>
      <c r="C234" s="388">
        <v>0</v>
      </c>
      <c r="D234" s="388">
        <f t="shared" si="103"/>
        <v>0</v>
      </c>
      <c r="E234" s="478">
        <f t="shared" si="104"/>
        <v>0</v>
      </c>
      <c r="F234" s="210"/>
      <c r="G234" s="204"/>
      <c r="H234" s="204"/>
      <c r="I234" s="204"/>
      <c r="J234" s="204"/>
      <c r="K234" s="204"/>
      <c r="L234" s="204"/>
      <c r="M234" s="204"/>
      <c r="N234" s="204"/>
      <c r="O234">
        <f t="shared" si="105"/>
        <v>0</v>
      </c>
      <c r="P234">
        <f t="shared" si="105"/>
        <v>0</v>
      </c>
      <c r="Q234">
        <f t="shared" si="105"/>
        <v>0</v>
      </c>
    </row>
    <row r="235" spans="1:17" x14ac:dyDescent="0.3">
      <c r="A235" s="204"/>
      <c r="B235" s="206" t="s">
        <v>1443</v>
      </c>
      <c r="C235" s="388">
        <v>0</v>
      </c>
      <c r="D235" s="388">
        <f t="shared" si="103"/>
        <v>0</v>
      </c>
      <c r="E235" s="478">
        <f t="shared" si="104"/>
        <v>0</v>
      </c>
      <c r="F235" s="210"/>
      <c r="G235" s="204"/>
      <c r="H235" s="204"/>
      <c r="I235" s="204"/>
      <c r="J235" s="204"/>
      <c r="K235" s="204"/>
      <c r="L235" s="204"/>
      <c r="M235" s="204"/>
      <c r="N235" s="204"/>
      <c r="O235">
        <f t="shared" si="105"/>
        <v>0</v>
      </c>
      <c r="P235">
        <f t="shared" si="105"/>
        <v>0</v>
      </c>
      <c r="Q235">
        <f t="shared" si="105"/>
        <v>0</v>
      </c>
    </row>
    <row r="236" spans="1:17" x14ac:dyDescent="0.3">
      <c r="A236" s="204"/>
      <c r="B236" s="207" t="s">
        <v>227</v>
      </c>
      <c r="C236" s="265"/>
      <c r="D236" s="479"/>
      <c r="E236" s="480"/>
      <c r="F236" s="210"/>
      <c r="G236" s="204"/>
      <c r="H236" s="204"/>
      <c r="I236" s="204"/>
      <c r="J236" s="204"/>
      <c r="K236" s="204"/>
      <c r="L236" s="204"/>
      <c r="M236" s="204"/>
      <c r="N236" s="204"/>
    </row>
    <row r="237" spans="1:17" x14ac:dyDescent="0.3">
      <c r="A237" s="204"/>
      <c r="B237" s="206" t="s">
        <v>1437</v>
      </c>
      <c r="C237" s="388">
        <v>0</v>
      </c>
      <c r="D237" s="388">
        <f t="shared" ref="D237:D240" si="106">C237*0.75</f>
        <v>0</v>
      </c>
      <c r="E237" s="478">
        <f t="shared" ref="E237:E240" si="107">D237*0.75</f>
        <v>0</v>
      </c>
      <c r="F237" s="210"/>
      <c r="G237" s="204"/>
      <c r="H237" s="204"/>
      <c r="I237" s="204"/>
      <c r="J237" s="204"/>
      <c r="K237" s="204"/>
      <c r="L237" s="204"/>
      <c r="M237" s="204"/>
      <c r="N237" s="204"/>
      <c r="O237">
        <f t="shared" ref="O237:Q240" si="108">IF(ISBLANK(C237),I237,C237)</f>
        <v>0</v>
      </c>
      <c r="P237">
        <f t="shared" si="108"/>
        <v>0</v>
      </c>
      <c r="Q237">
        <f t="shared" si="108"/>
        <v>0</v>
      </c>
    </row>
    <row r="238" spans="1:17" x14ac:dyDescent="0.3">
      <c r="A238" s="204"/>
      <c r="B238" s="206" t="s">
        <v>1438</v>
      </c>
      <c r="C238" s="388">
        <v>0</v>
      </c>
      <c r="D238" s="388">
        <f t="shared" si="106"/>
        <v>0</v>
      </c>
      <c r="E238" s="478">
        <f t="shared" si="107"/>
        <v>0</v>
      </c>
      <c r="F238" s="210"/>
      <c r="G238" s="204"/>
      <c r="H238" s="204"/>
      <c r="I238" s="204"/>
      <c r="J238" s="204"/>
      <c r="K238" s="204"/>
      <c r="L238" s="204"/>
      <c r="M238" s="204"/>
      <c r="N238" s="204"/>
      <c r="O238">
        <f t="shared" si="108"/>
        <v>0</v>
      </c>
      <c r="P238">
        <f t="shared" si="108"/>
        <v>0</v>
      </c>
      <c r="Q238">
        <f t="shared" si="108"/>
        <v>0</v>
      </c>
    </row>
    <row r="239" spans="1:17" x14ac:dyDescent="0.3">
      <c r="A239" s="204"/>
      <c r="B239" s="206" t="s">
        <v>1441</v>
      </c>
      <c r="C239" s="388">
        <v>0</v>
      </c>
      <c r="D239" s="388">
        <f t="shared" si="106"/>
        <v>0</v>
      </c>
      <c r="E239" s="478">
        <f t="shared" si="107"/>
        <v>0</v>
      </c>
      <c r="F239" s="210"/>
      <c r="G239" s="204"/>
      <c r="H239" s="204"/>
      <c r="I239" s="204"/>
      <c r="J239" s="204"/>
      <c r="K239" s="204"/>
      <c r="L239" s="204"/>
      <c r="M239" s="204"/>
      <c r="N239" s="204"/>
      <c r="O239">
        <f t="shared" si="108"/>
        <v>0</v>
      </c>
      <c r="P239">
        <f t="shared" si="108"/>
        <v>0</v>
      </c>
      <c r="Q239">
        <f t="shared" si="108"/>
        <v>0</v>
      </c>
    </row>
    <row r="240" spans="1:17" x14ac:dyDescent="0.3">
      <c r="A240" s="204"/>
      <c r="B240" s="206" t="s">
        <v>1442</v>
      </c>
      <c r="C240" s="388">
        <v>0</v>
      </c>
      <c r="D240" s="388">
        <f t="shared" si="106"/>
        <v>0</v>
      </c>
      <c r="E240" s="478">
        <f t="shared" si="107"/>
        <v>0</v>
      </c>
      <c r="F240" s="210"/>
      <c r="G240" s="204"/>
      <c r="H240" s="204"/>
      <c r="I240" s="204"/>
      <c r="J240" s="204"/>
      <c r="K240" s="204"/>
      <c r="L240" s="204"/>
      <c r="M240" s="204"/>
      <c r="N240" s="204"/>
      <c r="O240">
        <f t="shared" si="108"/>
        <v>0</v>
      </c>
      <c r="P240">
        <f t="shared" si="108"/>
        <v>0</v>
      </c>
      <c r="Q240">
        <f t="shared" si="108"/>
        <v>0</v>
      </c>
    </row>
    <row r="241" spans="1:17" x14ac:dyDescent="0.3">
      <c r="A241" s="204"/>
      <c r="B241" s="207" t="s">
        <v>920</v>
      </c>
      <c r="C241" s="265"/>
      <c r="D241" s="479"/>
      <c r="E241" s="480"/>
      <c r="F241" s="210"/>
      <c r="G241" s="204"/>
      <c r="H241" s="204"/>
      <c r="I241" s="204"/>
      <c r="J241" s="204"/>
      <c r="K241" s="204"/>
      <c r="L241" s="204"/>
      <c r="M241" s="204"/>
      <c r="N241" s="204"/>
    </row>
    <row r="242" spans="1:17" x14ac:dyDescent="0.3">
      <c r="A242" s="204"/>
      <c r="B242" s="206" t="s">
        <v>920</v>
      </c>
      <c r="C242" s="388">
        <v>0</v>
      </c>
      <c r="D242" s="388">
        <f t="shared" ref="D242:D243" si="109">C242*0.75</f>
        <v>0</v>
      </c>
      <c r="E242" s="478">
        <f t="shared" ref="E242:E243" si="110">D242*0.75</f>
        <v>0</v>
      </c>
      <c r="F242" s="210"/>
      <c r="G242" s="204"/>
      <c r="H242" s="269"/>
      <c r="I242" s="204"/>
      <c r="J242" s="204"/>
      <c r="K242" s="204"/>
      <c r="L242" s="204"/>
      <c r="M242" s="204"/>
      <c r="N242" s="204"/>
      <c r="O242">
        <f t="shared" ref="O242:Q243" si="111">IF(ISBLANK(C242),I242,C242)</f>
        <v>0</v>
      </c>
      <c r="P242">
        <f t="shared" si="111"/>
        <v>0</v>
      </c>
      <c r="Q242">
        <f t="shared" si="111"/>
        <v>0</v>
      </c>
    </row>
    <row r="243" spans="1:17" x14ac:dyDescent="0.3">
      <c r="A243" s="204"/>
      <c r="B243" s="206" t="s">
        <v>980</v>
      </c>
      <c r="C243" s="388">
        <v>0</v>
      </c>
      <c r="D243" s="388">
        <f t="shared" si="109"/>
        <v>0</v>
      </c>
      <c r="E243" s="478">
        <f t="shared" si="110"/>
        <v>0</v>
      </c>
      <c r="F243" s="210"/>
      <c r="G243" s="204"/>
      <c r="H243" s="269"/>
      <c r="I243" s="204"/>
      <c r="J243" s="204"/>
      <c r="K243" s="204"/>
      <c r="L243" s="204"/>
      <c r="M243" s="204"/>
      <c r="N243" s="204"/>
      <c r="O243">
        <f t="shared" si="111"/>
        <v>0</v>
      </c>
      <c r="P243">
        <f t="shared" si="111"/>
        <v>0</v>
      </c>
      <c r="Q243">
        <f t="shared" si="111"/>
        <v>0</v>
      </c>
    </row>
    <row r="244" spans="1:17" s="204" customFormat="1" x14ac:dyDescent="0.3">
      <c r="B244" s="218"/>
      <c r="C244" s="219"/>
    </row>
    <row r="245" spans="1:17" s="204" customFormat="1" x14ac:dyDescent="0.3"/>
    <row r="246" spans="1:17" s="204" customFormat="1" x14ac:dyDescent="0.3"/>
    <row r="247" spans="1:17" s="204" customFormat="1" x14ac:dyDescent="0.3"/>
    <row r="248" spans="1:17" s="204" customFormat="1" x14ac:dyDescent="0.3"/>
    <row r="249" spans="1:17" s="204" customFormat="1" x14ac:dyDescent="0.3"/>
    <row r="250" spans="1:17" s="204" customFormat="1" x14ac:dyDescent="0.3"/>
    <row r="251" spans="1:17" s="204" customFormat="1" x14ac:dyDescent="0.3"/>
    <row r="252" spans="1:17" s="204" customFormat="1" x14ac:dyDescent="0.3"/>
    <row r="253" spans="1:17" x14ac:dyDescent="0.3"/>
    <row r="254" spans="1:17" x14ac:dyDescent="0.3"/>
    <row r="255" spans="1:17" x14ac:dyDescent="0.3"/>
    <row r="256" spans="1:17" x14ac:dyDescent="0.3"/>
    <row r="257" x14ac:dyDescent="0.3"/>
    <row r="258" x14ac:dyDescent="0.3"/>
    <row r="259" x14ac:dyDescent="0.3"/>
    <row r="260" x14ac:dyDescent="0.3"/>
    <row r="261" x14ac:dyDescent="0.3"/>
    <row r="262" x14ac:dyDescent="0.3"/>
    <row r="263" x14ac:dyDescent="0.3"/>
    <row r="264" x14ac:dyDescent="0.3"/>
    <row r="265" x14ac:dyDescent="0.3"/>
    <row r="266" x14ac:dyDescent="0.3"/>
    <row r="267" x14ac:dyDescent="0.3"/>
    <row r="268" x14ac:dyDescent="0.3"/>
    <row r="269" x14ac:dyDescent="0.3"/>
    <row r="270" x14ac:dyDescent="0.3"/>
    <row r="271" x14ac:dyDescent="0.3"/>
    <row r="272" x14ac:dyDescent="0.3"/>
    <row r="273" x14ac:dyDescent="0.3"/>
    <row r="274" x14ac:dyDescent="0.3"/>
    <row r="275" x14ac:dyDescent="0.3"/>
    <row r="276" x14ac:dyDescent="0.3"/>
    <row r="277" x14ac:dyDescent="0.3"/>
    <row r="278" x14ac:dyDescent="0.3"/>
    <row r="279" x14ac:dyDescent="0.3"/>
    <row r="280" x14ac:dyDescent="0.3"/>
    <row r="281" x14ac:dyDescent="0.3"/>
    <row r="282" x14ac:dyDescent="0.3"/>
    <row r="283" x14ac:dyDescent="0.3"/>
    <row r="284" x14ac:dyDescent="0.3"/>
    <row r="285" x14ac:dyDescent="0.3"/>
    <row r="286" x14ac:dyDescent="0.3"/>
    <row r="287" x14ac:dyDescent="0.3"/>
    <row r="288" x14ac:dyDescent="0.3"/>
    <row r="289" x14ac:dyDescent="0.3"/>
    <row r="290" x14ac:dyDescent="0.3"/>
    <row r="291" x14ac:dyDescent="0.3"/>
    <row r="292" x14ac:dyDescent="0.3"/>
    <row r="293" x14ac:dyDescent="0.3"/>
    <row r="294" x14ac:dyDescent="0.3"/>
    <row r="295" x14ac:dyDescent="0.3"/>
    <row r="296" x14ac:dyDescent="0.3"/>
    <row r="297" x14ac:dyDescent="0.3"/>
    <row r="298" x14ac:dyDescent="0.3"/>
    <row r="299" x14ac:dyDescent="0.3"/>
    <row r="300" x14ac:dyDescent="0.3"/>
    <row r="301" x14ac:dyDescent="0.3"/>
    <row r="302" x14ac:dyDescent="0.3"/>
    <row r="303" x14ac:dyDescent="0.3"/>
    <row r="304" x14ac:dyDescent="0.3"/>
    <row r="305" x14ac:dyDescent="0.3"/>
    <row r="306" x14ac:dyDescent="0.3"/>
    <row r="307" x14ac:dyDescent="0.3"/>
    <row r="308" x14ac:dyDescent="0.3"/>
    <row r="309" x14ac:dyDescent="0.3"/>
    <row r="310" x14ac:dyDescent="0.3"/>
    <row r="311" x14ac:dyDescent="0.3"/>
    <row r="312" x14ac:dyDescent="0.3"/>
    <row r="313" x14ac:dyDescent="0.3"/>
    <row r="314" x14ac:dyDescent="0.3"/>
    <row r="315" x14ac:dyDescent="0.3"/>
  </sheetData>
  <mergeCells count="34">
    <mergeCell ref="I73:M73"/>
    <mergeCell ref="C73:G73"/>
    <mergeCell ref="C190:G190"/>
    <mergeCell ref="I190:M190"/>
    <mergeCell ref="B217:G217"/>
    <mergeCell ref="I217:M217"/>
    <mergeCell ref="B133:G133"/>
    <mergeCell ref="I133:M133"/>
    <mergeCell ref="C134:G134"/>
    <mergeCell ref="I134:M134"/>
    <mergeCell ref="B103:G103"/>
    <mergeCell ref="I103:M103"/>
    <mergeCell ref="C104:G104"/>
    <mergeCell ref="I104:M104"/>
    <mergeCell ref="C218:G218"/>
    <mergeCell ref="I218:M218"/>
    <mergeCell ref="B161:G161"/>
    <mergeCell ref="I161:M161"/>
    <mergeCell ref="C162:G162"/>
    <mergeCell ref="I162:M162"/>
    <mergeCell ref="B189:G189"/>
    <mergeCell ref="I189:M189"/>
    <mergeCell ref="C5:E5"/>
    <mergeCell ref="C6:E6"/>
    <mergeCell ref="B72:G72"/>
    <mergeCell ref="I72:M72"/>
    <mergeCell ref="B41:G41"/>
    <mergeCell ref="I41:M41"/>
    <mergeCell ref="B10:G10"/>
    <mergeCell ref="I10:M10"/>
    <mergeCell ref="C11:G11"/>
    <mergeCell ref="I11:M11"/>
    <mergeCell ref="C42:G42"/>
    <mergeCell ref="I42:M42"/>
  </mergeCells>
  <dataValidations count="1">
    <dataValidation allowBlank="1" showDropDown="1" showInputMessage="1" showErrorMessage="1" sqref="C74 I74 I43 C43 C12 I12 O12 O43 O74 C105 I105 O105 C135 I135 O135 C163 I163 O163 C191 I191 O191 C219 I219 O219" xr:uid="{00000000-0002-0000-0900-000000000000}"/>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0000"/>
    <pageSetUpPr autoPageBreaks="0"/>
  </sheetPr>
  <dimension ref="A2:AF877"/>
  <sheetViews>
    <sheetView topLeftCell="A170" zoomScale="60" zoomScaleNormal="60" workbookViewId="0">
      <selection activeCell="R177" sqref="R177"/>
    </sheetView>
  </sheetViews>
  <sheetFormatPr defaultColWidth="9.109375" defaultRowHeight="15.6" x14ac:dyDescent="0.3"/>
  <cols>
    <col min="1" max="1" width="9.109375" style="481"/>
    <col min="2" max="2" width="25" style="481" customWidth="1"/>
    <col min="3" max="3" width="13.44140625" style="481" customWidth="1"/>
    <col min="4" max="4" width="14.6640625" style="481" customWidth="1"/>
    <col min="5" max="5" width="13.33203125" style="481" customWidth="1"/>
    <col min="6" max="6" width="14.33203125" style="481" customWidth="1"/>
    <col min="7" max="7" width="16.33203125" style="481" customWidth="1"/>
    <col min="8" max="8" width="15.109375" style="481" bestFit="1" customWidth="1"/>
    <col min="9" max="9" width="29.5546875" style="481" customWidth="1"/>
    <col min="10" max="10" width="23.5546875" style="481" customWidth="1"/>
    <col min="11" max="11" width="19.88671875" style="481" bestFit="1" customWidth="1"/>
    <col min="12" max="12" width="9.6640625" style="481" bestFit="1" customWidth="1"/>
    <col min="13" max="13" width="10.88671875" style="481" bestFit="1" customWidth="1"/>
    <col min="14" max="14" width="13.88671875" style="481" customWidth="1"/>
    <col min="15" max="15" width="5.6640625" style="576" customWidth="1"/>
    <col min="16" max="16" width="2.44140625" style="481" customWidth="1"/>
    <col min="17" max="18" width="12.44140625" style="481" customWidth="1"/>
    <col min="19" max="19" width="2.44140625" style="481" customWidth="1"/>
    <col min="20" max="21" width="12.44140625" style="481" customWidth="1"/>
    <col min="22" max="22" width="2.44140625" style="481" customWidth="1"/>
    <col min="23" max="24" width="12.44140625" style="481" customWidth="1"/>
    <col min="25" max="25" width="2.44140625" style="481" customWidth="1"/>
    <col min="26" max="27" width="12.44140625" style="481" customWidth="1"/>
    <col min="28" max="28" width="2.44140625" style="481" customWidth="1"/>
    <col min="29" max="30" width="12.44140625" style="481" customWidth="1"/>
    <col min="31" max="31" width="2.44140625" style="481" customWidth="1"/>
    <col min="32" max="32" width="10.5546875" style="481" customWidth="1"/>
    <col min="33" max="16384" width="9.109375" style="481"/>
  </cols>
  <sheetData>
    <row r="2" spans="2:16" x14ac:dyDescent="0.3">
      <c r="B2" s="482" t="s">
        <v>558</v>
      </c>
      <c r="C2" s="482"/>
      <c r="D2" s="483"/>
      <c r="E2" s="483"/>
    </row>
    <row r="3" spans="2:16" x14ac:dyDescent="0.3">
      <c r="K3" s="481" t="s">
        <v>1378</v>
      </c>
    </row>
    <row r="4" spans="2:16" x14ac:dyDescent="0.3">
      <c r="B4" s="483" t="s">
        <v>992</v>
      </c>
      <c r="C4" s="483"/>
      <c r="D4" s="483"/>
      <c r="E4" s="483"/>
      <c r="F4" s="483"/>
      <c r="G4" s="483"/>
      <c r="J4" s="483" t="s">
        <v>992</v>
      </c>
      <c r="K4" s="483"/>
      <c r="L4" s="483"/>
      <c r="M4" s="483"/>
    </row>
    <row r="5" spans="2:16" x14ac:dyDescent="0.3">
      <c r="B5" s="484" t="s">
        <v>950</v>
      </c>
      <c r="C5" s="485" t="s">
        <v>724</v>
      </c>
      <c r="D5" s="485" t="s">
        <v>995</v>
      </c>
      <c r="E5" s="485" t="s">
        <v>985</v>
      </c>
      <c r="F5" s="485" t="s">
        <v>986</v>
      </c>
      <c r="G5" s="485" t="s">
        <v>996</v>
      </c>
      <c r="J5" s="484" t="s">
        <v>950</v>
      </c>
      <c r="K5" s="485" t="s">
        <v>724</v>
      </c>
      <c r="L5" s="485" t="s">
        <v>985</v>
      </c>
      <c r="M5" s="485" t="s">
        <v>986</v>
      </c>
      <c r="N5" s="486"/>
      <c r="O5" s="738"/>
    </row>
    <row r="6" spans="2:16" x14ac:dyDescent="0.3">
      <c r="B6" s="487" t="s">
        <v>1445</v>
      </c>
      <c r="C6" s="488"/>
      <c r="D6" s="488"/>
      <c r="E6" s="488"/>
      <c r="F6" s="488"/>
      <c r="G6" s="488"/>
      <c r="J6" s="487" t="s">
        <v>988</v>
      </c>
      <c r="K6" s="488"/>
      <c r="L6" s="488"/>
      <c r="M6" s="488"/>
    </row>
    <row r="7" spans="2:16" x14ac:dyDescent="0.3">
      <c r="B7" s="490" t="s">
        <v>1082</v>
      </c>
      <c r="C7" s="491">
        <f ca="1">IF(AND('PSA inputs'!$I$867=1,'PSA inputs'!$I$869=1),G7,D7)</f>
        <v>19556.824415136874</v>
      </c>
      <c r="D7" s="491">
        <f>'BoD input'!C13</f>
        <v>18978</v>
      </c>
      <c r="E7" s="491">
        <f>'BoD input'!D13</f>
        <v>13664</v>
      </c>
      <c r="F7" s="491">
        <f>'BoD input'!E13</f>
        <v>24292</v>
      </c>
      <c r="G7" s="492">
        <f ca="1">'PSA inputs'!J21*$C$167</f>
        <v>19556.824415136874</v>
      </c>
      <c r="J7" s="493" t="s">
        <v>2</v>
      </c>
      <c r="K7" s="491">
        <f t="shared" ref="K7:K29" ca="1" si="0">C7</f>
        <v>19556.824415136874</v>
      </c>
      <c r="L7" s="491">
        <f t="shared" ref="L7:M21" si="1">E7</f>
        <v>13664</v>
      </c>
      <c r="M7" s="491">
        <f t="shared" si="1"/>
        <v>24292</v>
      </c>
      <c r="N7" s="494"/>
      <c r="O7" s="739"/>
      <c r="P7" s="481" t="s">
        <v>682</v>
      </c>
    </row>
    <row r="8" spans="2:16" x14ac:dyDescent="0.3">
      <c r="B8" s="490" t="s">
        <v>1083</v>
      </c>
      <c r="C8" s="491">
        <f ca="1">IF(AND('PSA inputs'!$I$867=1,'PSA inputs'!$I$869=1),G8,D8)</f>
        <v>19556.824415136874</v>
      </c>
      <c r="D8" s="491">
        <f>'BoD input'!C14</f>
        <v>18978</v>
      </c>
      <c r="E8" s="491">
        <f>'BoD input'!D14</f>
        <v>13664</v>
      </c>
      <c r="F8" s="491">
        <f>'BoD input'!E14</f>
        <v>24292</v>
      </c>
      <c r="G8" s="492">
        <f ca="1">'PSA inputs'!J22*$C$167</f>
        <v>19556.824415136874</v>
      </c>
      <c r="J8" s="493" t="s">
        <v>3</v>
      </c>
      <c r="K8" s="491">
        <f t="shared" ca="1" si="0"/>
        <v>19556.824415136874</v>
      </c>
      <c r="L8" s="491">
        <f t="shared" si="1"/>
        <v>13664</v>
      </c>
      <c r="M8" s="491">
        <f t="shared" si="1"/>
        <v>24292</v>
      </c>
      <c r="N8" s="494"/>
      <c r="O8" s="739"/>
      <c r="P8" s="481" t="s">
        <v>679</v>
      </c>
    </row>
    <row r="9" spans="2:16" x14ac:dyDescent="0.3">
      <c r="B9" s="490" t="s">
        <v>1084</v>
      </c>
      <c r="C9" s="491">
        <f ca="1">IF(AND('PSA inputs'!$I$867=1,'PSA inputs'!$I$869=1),G9,D9)</f>
        <v>19556.824415136874</v>
      </c>
      <c r="D9" s="491">
        <f>'BoD input'!C15</f>
        <v>18978</v>
      </c>
      <c r="E9" s="491">
        <f>'BoD input'!D15</f>
        <v>13664</v>
      </c>
      <c r="F9" s="491">
        <f>'BoD input'!E15</f>
        <v>24292</v>
      </c>
      <c r="G9" s="492">
        <f ca="1">'PSA inputs'!J23*$C$167</f>
        <v>19556.824415136874</v>
      </c>
      <c r="J9" s="493" t="s">
        <v>4</v>
      </c>
      <c r="K9" s="491">
        <f t="shared" ca="1" si="0"/>
        <v>19556.824415136874</v>
      </c>
      <c r="L9" s="491">
        <f t="shared" si="1"/>
        <v>13664</v>
      </c>
      <c r="M9" s="491">
        <f t="shared" si="1"/>
        <v>24292</v>
      </c>
      <c r="N9" s="494"/>
      <c r="O9" s="739"/>
    </row>
    <row r="10" spans="2:16" x14ac:dyDescent="0.3">
      <c r="B10" s="490" t="s">
        <v>1085</v>
      </c>
      <c r="C10" s="491">
        <f ca="1">IF(AND('PSA inputs'!$I$867=1,'PSA inputs'!$I$869=1),G10,D10)</f>
        <v>15657.157664240483</v>
      </c>
      <c r="D10" s="491">
        <f>'BoD input'!C16</f>
        <v>15226</v>
      </c>
      <c r="E10" s="491">
        <f>'BoD input'!D16</f>
        <v>11267</v>
      </c>
      <c r="F10" s="491">
        <f>'BoD input'!E16</f>
        <v>19185</v>
      </c>
      <c r="G10" s="492">
        <f ca="1">'PSA inputs'!J24*$C$167</f>
        <v>15657.157664240483</v>
      </c>
      <c r="J10" s="493" t="s">
        <v>5</v>
      </c>
      <c r="K10" s="491">
        <f t="shared" ca="1" si="0"/>
        <v>15657.157664240483</v>
      </c>
      <c r="L10" s="491">
        <f t="shared" si="1"/>
        <v>11267</v>
      </c>
      <c r="M10" s="491">
        <f t="shared" si="1"/>
        <v>19185</v>
      </c>
      <c r="N10" s="494"/>
      <c r="O10" s="739"/>
    </row>
    <row r="11" spans="2:16" x14ac:dyDescent="0.3">
      <c r="B11" s="490" t="s">
        <v>1086</v>
      </c>
      <c r="C11" s="491">
        <f ca="1">IF(AND('PSA inputs'!$I$867=1,'PSA inputs'!$I$869=1),G11,D11)</f>
        <v>15657.157664240483</v>
      </c>
      <c r="D11" s="491">
        <f>'BoD input'!C17</f>
        <v>15226</v>
      </c>
      <c r="E11" s="491">
        <f>'BoD input'!D17</f>
        <v>11267</v>
      </c>
      <c r="F11" s="491">
        <f>'BoD input'!E17</f>
        <v>19185</v>
      </c>
      <c r="G11" s="492">
        <f ca="1">'PSA inputs'!J25*$C$167</f>
        <v>15657.157664240483</v>
      </c>
      <c r="J11" s="493" t="s">
        <v>6</v>
      </c>
      <c r="K11" s="491">
        <f t="shared" ca="1" si="0"/>
        <v>15657.157664240483</v>
      </c>
      <c r="L11" s="491">
        <f t="shared" si="1"/>
        <v>11267</v>
      </c>
      <c r="M11" s="491">
        <f t="shared" si="1"/>
        <v>19185</v>
      </c>
      <c r="N11" s="494"/>
      <c r="O11" s="739"/>
    </row>
    <row r="12" spans="2:16" x14ac:dyDescent="0.3">
      <c r="B12" s="490" t="s">
        <v>1087</v>
      </c>
      <c r="C12" s="491">
        <f ca="1">IF(AND('PSA inputs'!$I$867=1,'PSA inputs'!$I$869=1),G12,D12)</f>
        <v>15657.157664240483</v>
      </c>
      <c r="D12" s="491">
        <f>'BoD input'!C18</f>
        <v>15226</v>
      </c>
      <c r="E12" s="491">
        <f>'BoD input'!D18</f>
        <v>11267</v>
      </c>
      <c r="F12" s="491">
        <f>'BoD input'!E18</f>
        <v>19185</v>
      </c>
      <c r="G12" s="492">
        <f ca="1">'PSA inputs'!J26*$C$167</f>
        <v>15657.157664240483</v>
      </c>
      <c r="J12" s="493" t="s">
        <v>7</v>
      </c>
      <c r="K12" s="491">
        <f t="shared" ca="1" si="0"/>
        <v>15657.157664240483</v>
      </c>
      <c r="L12" s="491">
        <f t="shared" si="1"/>
        <v>11267</v>
      </c>
      <c r="M12" s="491">
        <f t="shared" si="1"/>
        <v>19185</v>
      </c>
      <c r="N12" s="494"/>
      <c r="O12" s="739"/>
    </row>
    <row r="13" spans="2:16" x14ac:dyDescent="0.3">
      <c r="B13" s="490" t="s">
        <v>1443</v>
      </c>
      <c r="C13" s="491">
        <f ca="1">IF(AND('PSA inputs'!$I$867=1,'PSA inputs'!$I$869=1),G13,D13)</f>
        <v>2603.2229947653195</v>
      </c>
      <c r="D13" s="491">
        <f>'BoD input'!C19</f>
        <v>2488</v>
      </c>
      <c r="E13" s="491">
        <f>'BoD input'!D19</f>
        <v>1018</v>
      </c>
      <c r="F13" s="491">
        <f>'BoD input'!E19</f>
        <v>4042</v>
      </c>
      <c r="G13" s="492">
        <f ca="1">'PSA inputs'!J27*$C$167</f>
        <v>2603.2229947653195</v>
      </c>
      <c r="J13" s="493" t="s">
        <v>1469</v>
      </c>
      <c r="K13" s="491">
        <f t="shared" ca="1" si="0"/>
        <v>2603.2229947653195</v>
      </c>
      <c r="L13" s="491">
        <f t="shared" si="1"/>
        <v>1018</v>
      </c>
      <c r="M13" s="491">
        <f t="shared" si="1"/>
        <v>4042</v>
      </c>
      <c r="N13" s="494"/>
      <c r="O13" s="739"/>
    </row>
    <row r="14" spans="2:16" x14ac:dyDescent="0.3">
      <c r="B14" s="487" t="s">
        <v>1444</v>
      </c>
      <c r="C14" s="557"/>
      <c r="D14" s="496"/>
      <c r="E14" s="496"/>
      <c r="F14" s="496"/>
      <c r="G14" s="496"/>
      <c r="J14" s="487" t="s">
        <v>988</v>
      </c>
      <c r="K14" s="496"/>
      <c r="L14" s="496"/>
      <c r="M14" s="496"/>
    </row>
    <row r="15" spans="2:16" x14ac:dyDescent="0.3">
      <c r="B15" s="490" t="s">
        <v>1082</v>
      </c>
      <c r="C15" s="491">
        <f ca="1">IF(AND('PSA inputs'!$I$867=1,'PSA inputs'!$I$869=1),G15,D15)</f>
        <v>18668.682109453875</v>
      </c>
      <c r="D15" s="491">
        <f>'BoD input'!C21</f>
        <v>18978</v>
      </c>
      <c r="E15" s="491">
        <f>'BoD input'!D21</f>
        <v>13664</v>
      </c>
      <c r="F15" s="491">
        <f>'BoD input'!E21</f>
        <v>24292</v>
      </c>
      <c r="G15" s="492">
        <f ca="1">'PSA inputs'!J29*$C$167</f>
        <v>18668.682109453875</v>
      </c>
      <c r="J15" s="493" t="s">
        <v>2</v>
      </c>
      <c r="K15" s="491">
        <f t="shared" ca="1" si="0"/>
        <v>18668.682109453875</v>
      </c>
      <c r="L15" s="491">
        <f t="shared" si="1"/>
        <v>13664</v>
      </c>
      <c r="M15" s="491">
        <f t="shared" si="1"/>
        <v>24292</v>
      </c>
      <c r="N15" s="494"/>
      <c r="O15" s="739"/>
      <c r="P15" s="481" t="s">
        <v>682</v>
      </c>
    </row>
    <row r="16" spans="2:16" x14ac:dyDescent="0.3">
      <c r="B16" s="490" t="s">
        <v>1083</v>
      </c>
      <c r="C16" s="491">
        <f ca="1">IF(AND('PSA inputs'!$I$867=1,'PSA inputs'!$I$869=1),G16,D16)</f>
        <v>18668.682109453875</v>
      </c>
      <c r="D16" s="491">
        <f>'BoD input'!C22</f>
        <v>18978</v>
      </c>
      <c r="E16" s="491">
        <f>'BoD input'!D22</f>
        <v>13664</v>
      </c>
      <c r="F16" s="491">
        <f>'BoD input'!E22</f>
        <v>24292</v>
      </c>
      <c r="G16" s="492">
        <f ca="1">'PSA inputs'!J30*$C$167</f>
        <v>18668.682109453875</v>
      </c>
      <c r="J16" s="493" t="s">
        <v>3</v>
      </c>
      <c r="K16" s="491">
        <f t="shared" ca="1" si="0"/>
        <v>18668.682109453875</v>
      </c>
      <c r="L16" s="491">
        <f t="shared" si="1"/>
        <v>13664</v>
      </c>
      <c r="M16" s="491">
        <f t="shared" si="1"/>
        <v>24292</v>
      </c>
      <c r="N16" s="494"/>
      <c r="O16" s="739"/>
      <c r="P16" s="481" t="s">
        <v>679</v>
      </c>
    </row>
    <row r="17" spans="2:15" x14ac:dyDescent="0.3">
      <c r="B17" s="490" t="s">
        <v>1084</v>
      </c>
      <c r="C17" s="491">
        <f ca="1">IF(AND('PSA inputs'!$I$867=1,'PSA inputs'!$I$869=1),G17,D17)</f>
        <v>18668.682109453875</v>
      </c>
      <c r="D17" s="491">
        <f>'BoD input'!C23</f>
        <v>18978</v>
      </c>
      <c r="E17" s="491">
        <f>'BoD input'!D23</f>
        <v>13664</v>
      </c>
      <c r="F17" s="491">
        <f>'BoD input'!E23</f>
        <v>24292</v>
      </c>
      <c r="G17" s="492">
        <f ca="1">'PSA inputs'!J31*$C$167</f>
        <v>18668.682109453875</v>
      </c>
      <c r="J17" s="493" t="s">
        <v>4</v>
      </c>
      <c r="K17" s="491">
        <f t="shared" ca="1" si="0"/>
        <v>18668.682109453875</v>
      </c>
      <c r="L17" s="491">
        <f t="shared" si="1"/>
        <v>13664</v>
      </c>
      <c r="M17" s="491">
        <f t="shared" si="1"/>
        <v>24292</v>
      </c>
      <c r="N17" s="494"/>
      <c r="O17" s="739"/>
    </row>
    <row r="18" spans="2:15" x14ac:dyDescent="0.3">
      <c r="B18" s="490" t="s">
        <v>1085</v>
      </c>
      <c r="C18" s="491">
        <f ca="1">IF(AND('PSA inputs'!$I$867=1,'PSA inputs'!$I$869=1),G18,D18)</f>
        <v>15248.635036924008</v>
      </c>
      <c r="D18" s="491">
        <f>'BoD input'!C24</f>
        <v>15470</v>
      </c>
      <c r="E18" s="491">
        <f>'BoD input'!D24</f>
        <v>11602</v>
      </c>
      <c r="F18" s="491">
        <f>'BoD input'!E24</f>
        <v>19337</v>
      </c>
      <c r="G18" s="492">
        <f ca="1">'PSA inputs'!J32*$C$167</f>
        <v>15248.635036924008</v>
      </c>
      <c r="J18" s="493" t="s">
        <v>5</v>
      </c>
      <c r="K18" s="491">
        <f t="shared" ca="1" si="0"/>
        <v>15248.635036924008</v>
      </c>
      <c r="L18" s="491">
        <f t="shared" si="1"/>
        <v>11602</v>
      </c>
      <c r="M18" s="491">
        <f t="shared" si="1"/>
        <v>19337</v>
      </c>
      <c r="N18" s="494"/>
      <c r="O18" s="739"/>
    </row>
    <row r="19" spans="2:15" x14ac:dyDescent="0.3">
      <c r="B19" s="490" t="s">
        <v>1086</v>
      </c>
      <c r="C19" s="491">
        <f ca="1">IF(AND('PSA inputs'!$I$867=1,'PSA inputs'!$I$869=1),G19,D19)</f>
        <v>15248.635036924008</v>
      </c>
      <c r="D19" s="491">
        <f>'BoD input'!C25</f>
        <v>15470</v>
      </c>
      <c r="E19" s="491">
        <f>'BoD input'!D25</f>
        <v>11602</v>
      </c>
      <c r="F19" s="491">
        <f>'BoD input'!E25</f>
        <v>19337</v>
      </c>
      <c r="G19" s="492">
        <f ca="1">'PSA inputs'!J33*$C$167</f>
        <v>15248.635036924008</v>
      </c>
      <c r="J19" s="493" t="s">
        <v>6</v>
      </c>
      <c r="K19" s="491">
        <f t="shared" ca="1" si="0"/>
        <v>15248.635036924008</v>
      </c>
      <c r="L19" s="491">
        <f t="shared" si="1"/>
        <v>11602</v>
      </c>
      <c r="M19" s="491">
        <f t="shared" si="1"/>
        <v>19337</v>
      </c>
      <c r="N19" s="494"/>
      <c r="O19" s="739"/>
    </row>
    <row r="20" spans="2:15" x14ac:dyDescent="0.3">
      <c r="B20" s="490" t="s">
        <v>1087</v>
      </c>
      <c r="C20" s="491">
        <f ca="1">IF(AND('PSA inputs'!$I$867=1,'PSA inputs'!$I$869=1),G20,D20)</f>
        <v>15248.635036924008</v>
      </c>
      <c r="D20" s="491">
        <f>'BoD input'!C26</f>
        <v>15470</v>
      </c>
      <c r="E20" s="491">
        <f>'BoD input'!D26</f>
        <v>11602</v>
      </c>
      <c r="F20" s="491">
        <f>'BoD input'!E26</f>
        <v>19337</v>
      </c>
      <c r="G20" s="492">
        <f ca="1">'PSA inputs'!J34*$C$167</f>
        <v>15248.635036924008</v>
      </c>
      <c r="J20" s="493" t="s">
        <v>7</v>
      </c>
      <c r="K20" s="491">
        <f t="shared" ca="1" si="0"/>
        <v>15248.635036924008</v>
      </c>
      <c r="L20" s="491">
        <f t="shared" si="1"/>
        <v>11602</v>
      </c>
      <c r="M20" s="491">
        <f t="shared" si="1"/>
        <v>19337</v>
      </c>
      <c r="N20" s="494"/>
      <c r="O20" s="739"/>
    </row>
    <row r="21" spans="2:15" x14ac:dyDescent="0.3">
      <c r="B21" s="490" t="s">
        <v>1443</v>
      </c>
      <c r="C21" s="491">
        <f ca="1">IF(AND('PSA inputs'!$I$867=1,'PSA inputs'!$I$869=1),G21,D21)</f>
        <v>1948.0920493680258</v>
      </c>
      <c r="D21" s="491">
        <f>'BoD input'!C27</f>
        <v>2055</v>
      </c>
      <c r="E21" s="491">
        <f>'BoD input'!D27</f>
        <v>838</v>
      </c>
      <c r="F21" s="491">
        <f>'BoD input'!E27</f>
        <v>3255</v>
      </c>
      <c r="G21" s="492">
        <f ca="1">'PSA inputs'!J35*$C$167</f>
        <v>1948.0920493680258</v>
      </c>
      <c r="J21" s="493" t="s">
        <v>1469</v>
      </c>
      <c r="K21" s="491">
        <f t="shared" ca="1" si="0"/>
        <v>1948.0920493680258</v>
      </c>
      <c r="L21" s="491">
        <f t="shared" si="1"/>
        <v>838</v>
      </c>
      <c r="M21" s="491">
        <f t="shared" si="1"/>
        <v>3255</v>
      </c>
      <c r="N21" s="494"/>
      <c r="O21" s="739"/>
    </row>
    <row r="22" spans="2:15" x14ac:dyDescent="0.3">
      <c r="B22" s="497" t="s">
        <v>227</v>
      </c>
      <c r="C22" s="557"/>
      <c r="D22" s="496"/>
      <c r="E22" s="496"/>
      <c r="F22" s="496"/>
      <c r="G22" s="496"/>
      <c r="J22" s="498" t="s">
        <v>227</v>
      </c>
      <c r="K22" s="496"/>
      <c r="L22" s="496"/>
      <c r="M22" s="496"/>
      <c r="N22" s="499"/>
      <c r="O22" s="740"/>
    </row>
    <row r="23" spans="2:15" x14ac:dyDescent="0.3">
      <c r="B23" s="490" t="s">
        <v>1437</v>
      </c>
      <c r="C23" s="491">
        <f ca="1">IF(AND('PSA inputs'!$I$867=1,'PSA inputs'!$I$869=1),G23,D23)</f>
        <v>13687.373686978577</v>
      </c>
      <c r="D23" s="491">
        <f>'BoD input'!C29</f>
        <v>11378</v>
      </c>
      <c r="E23" s="491">
        <f>'BoD input'!D29</f>
        <v>8306</v>
      </c>
      <c r="F23" s="491">
        <f>'BoD input'!E29</f>
        <v>14450</v>
      </c>
      <c r="G23" s="492">
        <f ca="1">'PSA inputs'!J37*$C$167</f>
        <v>13687.373686978577</v>
      </c>
      <c r="J23" s="490" t="s">
        <v>1437</v>
      </c>
      <c r="K23" s="491">
        <f t="shared" ca="1" si="0"/>
        <v>13687.373686978577</v>
      </c>
      <c r="L23" s="491">
        <f t="shared" ref="L23:M29" si="2">E23</f>
        <v>8306</v>
      </c>
      <c r="M23" s="491">
        <f t="shared" si="2"/>
        <v>14450</v>
      </c>
      <c r="N23" s="499"/>
      <c r="O23" s="740"/>
    </row>
    <row r="24" spans="2:15" x14ac:dyDescent="0.3">
      <c r="B24" s="490" t="s">
        <v>1438</v>
      </c>
      <c r="C24" s="491">
        <f ca="1">IF(AND('PSA inputs'!$I$867=1,'PSA inputs'!$I$869=1),G24,D24)</f>
        <v>13687.373686978577</v>
      </c>
      <c r="D24" s="491">
        <f>'BoD input'!C30</f>
        <v>11378</v>
      </c>
      <c r="E24" s="491">
        <f>'BoD input'!D30</f>
        <v>8306</v>
      </c>
      <c r="F24" s="491">
        <f>'BoD input'!E30</f>
        <v>14450</v>
      </c>
      <c r="G24" s="492">
        <f ca="1">'PSA inputs'!J38*$C$167</f>
        <v>13687.373686978577</v>
      </c>
      <c r="J24" s="490" t="s">
        <v>1438</v>
      </c>
      <c r="K24" s="491">
        <f t="shared" ca="1" si="0"/>
        <v>13687.373686978577</v>
      </c>
      <c r="L24" s="491">
        <f t="shared" si="2"/>
        <v>8306</v>
      </c>
      <c r="M24" s="491">
        <f t="shared" si="2"/>
        <v>14450</v>
      </c>
      <c r="N24" s="499"/>
      <c r="O24" s="740"/>
    </row>
    <row r="25" spans="2:15" x14ac:dyDescent="0.3">
      <c r="B25" s="490" t="s">
        <v>1441</v>
      </c>
      <c r="C25" s="491">
        <f ca="1">IF(AND('PSA inputs'!$I$867=1,'PSA inputs'!$I$869=1),G25,D25)</f>
        <v>22687.824875502847</v>
      </c>
      <c r="D25" s="491">
        <f>'BoD input'!C31</f>
        <v>18280</v>
      </c>
      <c r="E25" s="491">
        <f>'BoD input'!D31</f>
        <v>12430</v>
      </c>
      <c r="F25" s="491">
        <f>'BoD input'!E31</f>
        <v>24129</v>
      </c>
      <c r="G25" s="492">
        <f ca="1">'PSA inputs'!J39*$C$167</f>
        <v>22687.824875502847</v>
      </c>
      <c r="J25" s="490" t="s">
        <v>1441</v>
      </c>
      <c r="K25" s="491">
        <f t="shared" ca="1" si="0"/>
        <v>22687.824875502847</v>
      </c>
      <c r="L25" s="491">
        <f t="shared" si="2"/>
        <v>12430</v>
      </c>
      <c r="M25" s="491">
        <f t="shared" si="2"/>
        <v>24129</v>
      </c>
      <c r="N25" s="494"/>
      <c r="O25" s="739"/>
    </row>
    <row r="26" spans="2:15" x14ac:dyDescent="0.3">
      <c r="B26" s="490" t="s">
        <v>1442</v>
      </c>
      <c r="C26" s="491">
        <f ca="1">IF(AND('PSA inputs'!$I$867=1,'PSA inputs'!$I$869=1),G26,D26)</f>
        <v>22687.824875502847</v>
      </c>
      <c r="D26" s="491">
        <f>'BoD input'!C32</f>
        <v>18280</v>
      </c>
      <c r="E26" s="491">
        <f>'BoD input'!D32</f>
        <v>12430</v>
      </c>
      <c r="F26" s="491">
        <f>'BoD input'!E32</f>
        <v>24129</v>
      </c>
      <c r="G26" s="492">
        <f ca="1">'PSA inputs'!J40*$C$167</f>
        <v>22687.824875502847</v>
      </c>
      <c r="J26" s="490" t="s">
        <v>1442</v>
      </c>
      <c r="K26" s="491">
        <f t="shared" ca="1" si="0"/>
        <v>22687.824875502847</v>
      </c>
      <c r="L26" s="491">
        <f t="shared" si="2"/>
        <v>12430</v>
      </c>
      <c r="M26" s="491">
        <f t="shared" si="2"/>
        <v>24129</v>
      </c>
      <c r="N26" s="494"/>
      <c r="O26" s="739"/>
    </row>
    <row r="27" spans="2:15" x14ac:dyDescent="0.3">
      <c r="B27" s="497" t="s">
        <v>920</v>
      </c>
      <c r="C27" s="557"/>
      <c r="D27" s="496"/>
      <c r="E27" s="496"/>
      <c r="F27" s="496"/>
      <c r="G27" s="496"/>
      <c r="J27" s="498" t="s">
        <v>920</v>
      </c>
      <c r="K27" s="496"/>
      <c r="L27" s="496"/>
      <c r="M27" s="496"/>
      <c r="N27" s="499"/>
      <c r="O27" s="740"/>
    </row>
    <row r="28" spans="2:15" x14ac:dyDescent="0.3">
      <c r="B28" s="493" t="s">
        <v>920</v>
      </c>
      <c r="C28" s="491">
        <f>IF(AND('PSA inputs'!$I$867=1,'PSA inputs'!$I$869=1),G28,D28)</f>
        <v>0</v>
      </c>
      <c r="D28" s="491">
        <f>'BoD input'!C34</f>
        <v>0</v>
      </c>
      <c r="E28" s="491">
        <f>'BoD input'!D34</f>
        <v>0</v>
      </c>
      <c r="F28" s="491">
        <f>'BoD input'!E34</f>
        <v>0</v>
      </c>
      <c r="G28" s="492">
        <f>'PSA inputs'!J42*$C$167</f>
        <v>0</v>
      </c>
      <c r="J28" s="490" t="s">
        <v>920</v>
      </c>
      <c r="K28" s="491">
        <f t="shared" si="0"/>
        <v>0</v>
      </c>
      <c r="L28" s="491">
        <f t="shared" si="2"/>
        <v>0</v>
      </c>
      <c r="M28" s="491">
        <f t="shared" si="2"/>
        <v>0</v>
      </c>
      <c r="N28" s="494"/>
      <c r="O28" s="739"/>
    </row>
    <row r="29" spans="2:15" x14ac:dyDescent="0.3">
      <c r="B29" s="493" t="s">
        <v>980</v>
      </c>
      <c r="C29" s="491">
        <f>IF(AND('PSA inputs'!$I$867=1,'PSA inputs'!$I$869=1),G29,D29)</f>
        <v>0</v>
      </c>
      <c r="D29" s="491">
        <f>'BoD input'!C35</f>
        <v>0</v>
      </c>
      <c r="E29" s="491">
        <f>'BoD input'!D35</f>
        <v>0</v>
      </c>
      <c r="F29" s="491">
        <f>'BoD input'!E35</f>
        <v>0</v>
      </c>
      <c r="G29" s="492">
        <f>'PSA inputs'!J43*$C$167</f>
        <v>0</v>
      </c>
      <c r="J29" s="490" t="s">
        <v>980</v>
      </c>
      <c r="K29" s="491">
        <f t="shared" si="0"/>
        <v>0</v>
      </c>
      <c r="L29" s="491">
        <f t="shared" si="2"/>
        <v>0</v>
      </c>
      <c r="M29" s="491">
        <f t="shared" si="2"/>
        <v>0</v>
      </c>
      <c r="N29" s="494"/>
      <c r="O29" s="739"/>
    </row>
    <row r="30" spans="2:15" x14ac:dyDescent="0.3">
      <c r="B30" s="500"/>
      <c r="C30" s="501"/>
      <c r="D30" s="501"/>
      <c r="E30" s="501"/>
      <c r="F30" s="501"/>
      <c r="G30" s="501"/>
      <c r="J30" s="502"/>
      <c r="K30" s="501"/>
      <c r="L30" s="501"/>
      <c r="M30" s="501"/>
      <c r="N30" s="502"/>
      <c r="O30" s="739"/>
    </row>
    <row r="31" spans="2:15" x14ac:dyDescent="0.3">
      <c r="B31" s="483" t="s">
        <v>1354</v>
      </c>
      <c r="C31" s="483"/>
      <c r="D31" s="483"/>
      <c r="E31" s="483"/>
      <c r="F31" s="483"/>
      <c r="G31" s="483"/>
      <c r="J31" s="483" t="s">
        <v>1354</v>
      </c>
      <c r="K31" s="483"/>
      <c r="L31" s="483"/>
      <c r="M31" s="483"/>
    </row>
    <row r="32" spans="2:15" x14ac:dyDescent="0.3">
      <c r="B32" s="484" t="s">
        <v>950</v>
      </c>
      <c r="C32" s="485" t="s">
        <v>724</v>
      </c>
      <c r="D32" s="485" t="s">
        <v>995</v>
      </c>
      <c r="E32" s="485" t="s">
        <v>985</v>
      </c>
      <c r="F32" s="485" t="s">
        <v>986</v>
      </c>
      <c r="G32" s="485" t="s">
        <v>996</v>
      </c>
      <c r="J32" s="484" t="s">
        <v>950</v>
      </c>
      <c r="K32" s="485" t="s">
        <v>724</v>
      </c>
      <c r="L32" s="485" t="s">
        <v>985</v>
      </c>
      <c r="M32" s="485" t="s">
        <v>986</v>
      </c>
      <c r="N32" s="486"/>
      <c r="O32" s="738"/>
    </row>
    <row r="33" spans="2:16" x14ac:dyDescent="0.3">
      <c r="B33" s="487" t="s">
        <v>1445</v>
      </c>
      <c r="C33" s="488"/>
      <c r="D33" s="488"/>
      <c r="E33" s="488"/>
      <c r="F33" s="488"/>
      <c r="G33" s="488"/>
      <c r="J33" s="487" t="s">
        <v>988</v>
      </c>
      <c r="K33" s="488"/>
      <c r="L33" s="488"/>
      <c r="M33" s="488"/>
    </row>
    <row r="34" spans="2:16" x14ac:dyDescent="0.3">
      <c r="B34" s="493" t="s">
        <v>2</v>
      </c>
      <c r="C34" s="491">
        <f ca="1">IF(AND('PSA inputs'!$I$867=1,'PSA inputs'!$I$870=1),G34,D34)</f>
        <v>4759.9571869043966</v>
      </c>
      <c r="D34" s="491">
        <f>'BoD input'!C43</f>
        <v>5279</v>
      </c>
      <c r="E34" s="491">
        <f>'BoD input'!D43</f>
        <v>3801</v>
      </c>
      <c r="F34" s="491">
        <f>'BoD input'!E43</f>
        <v>6757</v>
      </c>
      <c r="G34" s="492">
        <f ca="1">'PSA inputs'!J48*$C$168</f>
        <v>4759.9571869043966</v>
      </c>
      <c r="J34" s="493" t="s">
        <v>2</v>
      </c>
      <c r="K34" s="491">
        <f t="shared" ref="K34:K40" ca="1" si="3">C34</f>
        <v>4759.9571869043966</v>
      </c>
      <c r="L34" s="491">
        <f t="shared" ref="L34:L40" si="4">E34</f>
        <v>3801</v>
      </c>
      <c r="M34" s="491">
        <f t="shared" ref="M34:M40" si="5">F34</f>
        <v>6757</v>
      </c>
      <c r="N34" s="494"/>
      <c r="O34" s="739"/>
      <c r="P34" s="481" t="s">
        <v>682</v>
      </c>
    </row>
    <row r="35" spans="2:16" x14ac:dyDescent="0.3">
      <c r="B35" s="493" t="s">
        <v>3</v>
      </c>
      <c r="C35" s="491">
        <f ca="1">IF(AND('PSA inputs'!$I$867=1,'PSA inputs'!$I$870=1),G35,D35)</f>
        <v>4759.9571869043966</v>
      </c>
      <c r="D35" s="491">
        <f>'BoD input'!C44</f>
        <v>5279</v>
      </c>
      <c r="E35" s="491">
        <f>'BoD input'!D44</f>
        <v>3801</v>
      </c>
      <c r="F35" s="491">
        <f>'BoD input'!E44</f>
        <v>6757</v>
      </c>
      <c r="G35" s="492">
        <f ca="1">'PSA inputs'!J49*$C$168</f>
        <v>4759.9571869043966</v>
      </c>
      <c r="J35" s="493" t="s">
        <v>3</v>
      </c>
      <c r="K35" s="491">
        <f t="shared" ca="1" si="3"/>
        <v>4759.9571869043966</v>
      </c>
      <c r="L35" s="491">
        <f t="shared" si="4"/>
        <v>3801</v>
      </c>
      <c r="M35" s="491">
        <f t="shared" si="5"/>
        <v>6757</v>
      </c>
      <c r="N35" s="494"/>
      <c r="O35" s="739"/>
      <c r="P35" s="481" t="s">
        <v>679</v>
      </c>
    </row>
    <row r="36" spans="2:16" x14ac:dyDescent="0.3">
      <c r="B36" s="493" t="s">
        <v>4</v>
      </c>
      <c r="C36" s="491">
        <f ca="1">IF(AND('PSA inputs'!$I$867=1,'PSA inputs'!$I$870=1),G36,D36)</f>
        <v>4759.9571869043966</v>
      </c>
      <c r="D36" s="491">
        <f>'BoD input'!C45</f>
        <v>5279</v>
      </c>
      <c r="E36" s="491">
        <f>'BoD input'!D45</f>
        <v>3801</v>
      </c>
      <c r="F36" s="491">
        <f>'BoD input'!E45</f>
        <v>6757</v>
      </c>
      <c r="G36" s="492">
        <f ca="1">'PSA inputs'!J50*$C$168</f>
        <v>4759.9571869043966</v>
      </c>
      <c r="J36" s="493" t="s">
        <v>4</v>
      </c>
      <c r="K36" s="491">
        <f t="shared" ca="1" si="3"/>
        <v>4759.9571869043966</v>
      </c>
      <c r="L36" s="491">
        <f t="shared" si="4"/>
        <v>3801</v>
      </c>
      <c r="M36" s="491">
        <f t="shared" si="5"/>
        <v>6757</v>
      </c>
      <c r="N36" s="494"/>
      <c r="O36" s="739"/>
    </row>
    <row r="37" spans="2:16" x14ac:dyDescent="0.3">
      <c r="B37" s="493" t="s">
        <v>5</v>
      </c>
      <c r="C37" s="491">
        <f ca="1">IF(AND('PSA inputs'!$I$867=1,'PSA inputs'!$I$870=1),G37,D37)</f>
        <v>4808.0393067292662</v>
      </c>
      <c r="D37" s="491">
        <f>'BoD input'!C46</f>
        <v>5290</v>
      </c>
      <c r="E37" s="491">
        <f>'BoD input'!D46</f>
        <v>3914</v>
      </c>
      <c r="F37" s="491">
        <f>'BoD input'!E46</f>
        <v>6665</v>
      </c>
      <c r="G37" s="492">
        <f ca="1">'PSA inputs'!J51*$C$168</f>
        <v>4808.0393067292662</v>
      </c>
      <c r="J37" s="493" t="s">
        <v>5</v>
      </c>
      <c r="K37" s="491">
        <f t="shared" ca="1" si="3"/>
        <v>4808.0393067292662</v>
      </c>
      <c r="L37" s="491">
        <f t="shared" si="4"/>
        <v>3914</v>
      </c>
      <c r="M37" s="491">
        <f t="shared" si="5"/>
        <v>6665</v>
      </c>
      <c r="N37" s="494"/>
      <c r="O37" s="739"/>
    </row>
    <row r="38" spans="2:16" x14ac:dyDescent="0.3">
      <c r="B38" s="493" t="s">
        <v>6</v>
      </c>
      <c r="C38" s="491">
        <f ca="1">IF(AND('PSA inputs'!$I$867=1,'PSA inputs'!$I$870=1),G38,D38)</f>
        <v>4808.0393067292662</v>
      </c>
      <c r="D38" s="491">
        <f>'BoD input'!C47</f>
        <v>5290</v>
      </c>
      <c r="E38" s="491">
        <f>'BoD input'!D47</f>
        <v>3914</v>
      </c>
      <c r="F38" s="491">
        <f>'BoD input'!E47</f>
        <v>6665</v>
      </c>
      <c r="G38" s="492">
        <f ca="1">'PSA inputs'!J52*$C$168</f>
        <v>4808.0393067292662</v>
      </c>
      <c r="J38" s="493" t="s">
        <v>6</v>
      </c>
      <c r="K38" s="491">
        <f t="shared" ca="1" si="3"/>
        <v>4808.0393067292662</v>
      </c>
      <c r="L38" s="491">
        <f t="shared" si="4"/>
        <v>3914</v>
      </c>
      <c r="M38" s="491">
        <f t="shared" si="5"/>
        <v>6665</v>
      </c>
      <c r="N38" s="494"/>
      <c r="O38" s="739"/>
    </row>
    <row r="39" spans="2:16" x14ac:dyDescent="0.3">
      <c r="B39" s="493" t="s">
        <v>7</v>
      </c>
      <c r="C39" s="491">
        <f ca="1">IF(AND('PSA inputs'!$I$867=1,'PSA inputs'!$I$870=1),G39,D39)</f>
        <v>4808.0393067292662</v>
      </c>
      <c r="D39" s="491">
        <f>'BoD input'!C48</f>
        <v>5290</v>
      </c>
      <c r="E39" s="491">
        <f>'BoD input'!D48</f>
        <v>3914</v>
      </c>
      <c r="F39" s="491">
        <f>'BoD input'!E48</f>
        <v>6665</v>
      </c>
      <c r="G39" s="492">
        <f ca="1">'PSA inputs'!J53*$C$168</f>
        <v>4808.0393067292662</v>
      </c>
      <c r="J39" s="493" t="s">
        <v>7</v>
      </c>
      <c r="K39" s="491">
        <f t="shared" ca="1" si="3"/>
        <v>4808.0393067292662</v>
      </c>
      <c r="L39" s="491">
        <f t="shared" si="4"/>
        <v>3914</v>
      </c>
      <c r="M39" s="491">
        <f t="shared" si="5"/>
        <v>6665</v>
      </c>
      <c r="N39" s="494"/>
      <c r="O39" s="739"/>
    </row>
    <row r="40" spans="2:16" x14ac:dyDescent="0.3">
      <c r="B40" s="493" t="s">
        <v>1469</v>
      </c>
      <c r="C40" s="491">
        <f ca="1">IF(AND('PSA inputs'!$I$867=1,'PSA inputs'!$I$870=1),G40,D40)</f>
        <v>514.38697230919979</v>
      </c>
      <c r="D40" s="491">
        <f>'BoD input'!C49</f>
        <v>653</v>
      </c>
      <c r="E40" s="491">
        <f>'BoD input'!D49</f>
        <v>270</v>
      </c>
      <c r="F40" s="491">
        <f>'BoD input'!E49</f>
        <v>1036</v>
      </c>
      <c r="G40" s="492">
        <f ca="1">'PSA inputs'!J54*$C$168</f>
        <v>514.38697230919979</v>
      </c>
      <c r="J40" s="493" t="s">
        <v>1469</v>
      </c>
      <c r="K40" s="491">
        <f t="shared" ca="1" si="3"/>
        <v>514.38697230919979</v>
      </c>
      <c r="L40" s="491">
        <f t="shared" si="4"/>
        <v>270</v>
      </c>
      <c r="M40" s="491">
        <f t="shared" si="5"/>
        <v>1036</v>
      </c>
      <c r="N40" s="494"/>
      <c r="O40" s="739"/>
    </row>
    <row r="41" spans="2:16" x14ac:dyDescent="0.3">
      <c r="B41" s="487" t="s">
        <v>1444</v>
      </c>
      <c r="C41" s="557"/>
      <c r="D41" s="496"/>
      <c r="E41" s="496"/>
      <c r="F41" s="496"/>
      <c r="G41" s="496"/>
      <c r="J41" s="487" t="s">
        <v>988</v>
      </c>
      <c r="K41" s="496"/>
      <c r="L41" s="496"/>
      <c r="M41" s="496"/>
    </row>
    <row r="42" spans="2:16" x14ac:dyDescent="0.3">
      <c r="B42" s="493" t="s">
        <v>2</v>
      </c>
      <c r="C42" s="491">
        <f ca="1">IF(AND('PSA inputs'!$I$867=1,'PSA inputs'!$I$870=1),G42,D42)</f>
        <v>5042.8380587534439</v>
      </c>
      <c r="D42" s="491">
        <f>'BoD input'!C51</f>
        <v>5279</v>
      </c>
      <c r="E42" s="491">
        <f>'BoD input'!D51</f>
        <v>3801</v>
      </c>
      <c r="F42" s="491">
        <f>'BoD input'!E51</f>
        <v>6757</v>
      </c>
      <c r="G42" s="492">
        <f ca="1">'PSA inputs'!J56*$C$168</f>
        <v>5042.8380587534439</v>
      </c>
      <c r="J42" s="493" t="s">
        <v>2</v>
      </c>
      <c r="K42" s="491">
        <f t="shared" ref="K42:K48" ca="1" si="6">C42</f>
        <v>5042.8380587534439</v>
      </c>
      <c r="L42" s="491">
        <f t="shared" ref="L42:L48" si="7">E42</f>
        <v>3801</v>
      </c>
      <c r="M42" s="491">
        <f t="shared" ref="M42:M48" si="8">F42</f>
        <v>6757</v>
      </c>
      <c r="N42" s="494"/>
      <c r="O42" s="739"/>
      <c r="P42" s="481" t="s">
        <v>682</v>
      </c>
    </row>
    <row r="43" spans="2:16" x14ac:dyDescent="0.3">
      <c r="B43" s="493" t="s">
        <v>3</v>
      </c>
      <c r="C43" s="491">
        <f ca="1">IF(AND('PSA inputs'!$I$867=1,'PSA inputs'!$I$870=1),G43,D43)</f>
        <v>5042.8380587534439</v>
      </c>
      <c r="D43" s="491">
        <f>'BoD input'!C52</f>
        <v>5279</v>
      </c>
      <c r="E43" s="491">
        <f>'BoD input'!D52</f>
        <v>3801</v>
      </c>
      <c r="F43" s="491">
        <f>'BoD input'!E52</f>
        <v>6757</v>
      </c>
      <c r="G43" s="492">
        <f ca="1">'PSA inputs'!J57*$C$168</f>
        <v>5042.8380587534439</v>
      </c>
      <c r="J43" s="493" t="s">
        <v>3</v>
      </c>
      <c r="K43" s="491">
        <f t="shared" ca="1" si="6"/>
        <v>5042.8380587534439</v>
      </c>
      <c r="L43" s="491">
        <f t="shared" si="7"/>
        <v>3801</v>
      </c>
      <c r="M43" s="491">
        <f t="shared" si="8"/>
        <v>6757</v>
      </c>
      <c r="N43" s="494"/>
      <c r="O43" s="739"/>
      <c r="P43" s="481" t="s">
        <v>679</v>
      </c>
    </row>
    <row r="44" spans="2:16" x14ac:dyDescent="0.3">
      <c r="B44" s="493" t="s">
        <v>4</v>
      </c>
      <c r="C44" s="491">
        <f ca="1">IF(AND('PSA inputs'!$I$867=1,'PSA inputs'!$I$870=1),G44,D44)</f>
        <v>5042.8380587534439</v>
      </c>
      <c r="D44" s="491">
        <f>'BoD input'!C53</f>
        <v>5279</v>
      </c>
      <c r="E44" s="491">
        <f>'BoD input'!D53</f>
        <v>3801</v>
      </c>
      <c r="F44" s="491">
        <f>'BoD input'!E53</f>
        <v>6757</v>
      </c>
      <c r="G44" s="492">
        <f ca="1">'PSA inputs'!J58*$C$168</f>
        <v>5042.8380587534439</v>
      </c>
      <c r="J44" s="493" t="s">
        <v>4</v>
      </c>
      <c r="K44" s="491">
        <f t="shared" ca="1" si="6"/>
        <v>5042.8380587534439</v>
      </c>
      <c r="L44" s="491">
        <f t="shared" si="7"/>
        <v>3801</v>
      </c>
      <c r="M44" s="491">
        <f t="shared" si="8"/>
        <v>6757</v>
      </c>
      <c r="N44" s="494"/>
      <c r="O44" s="739"/>
    </row>
    <row r="45" spans="2:16" x14ac:dyDescent="0.3">
      <c r="B45" s="493" t="s">
        <v>5</v>
      </c>
      <c r="C45" s="491">
        <f ca="1">IF(AND('PSA inputs'!$I$867=1,'PSA inputs'!$I$870=1),G45,D45)</f>
        <v>5081.5975655648845</v>
      </c>
      <c r="D45" s="491">
        <f>'BoD input'!C54</f>
        <v>5290</v>
      </c>
      <c r="E45" s="491">
        <f>'BoD input'!D54</f>
        <v>3967</v>
      </c>
      <c r="F45" s="491">
        <f>'BoD input'!E54</f>
        <v>6612</v>
      </c>
      <c r="G45" s="492">
        <f ca="1">'PSA inputs'!J59*$C$168</f>
        <v>5081.5975655648845</v>
      </c>
      <c r="J45" s="493" t="s">
        <v>5</v>
      </c>
      <c r="K45" s="491">
        <f t="shared" ca="1" si="6"/>
        <v>5081.5975655648845</v>
      </c>
      <c r="L45" s="491">
        <f t="shared" si="7"/>
        <v>3967</v>
      </c>
      <c r="M45" s="491">
        <f t="shared" si="8"/>
        <v>6612</v>
      </c>
      <c r="N45" s="494"/>
      <c r="O45" s="739"/>
    </row>
    <row r="46" spans="2:16" x14ac:dyDescent="0.3">
      <c r="B46" s="493" t="s">
        <v>6</v>
      </c>
      <c r="C46" s="491">
        <f ca="1">IF(AND('PSA inputs'!$I$867=1,'PSA inputs'!$I$870=1),G46,D46)</f>
        <v>5081.5975655648845</v>
      </c>
      <c r="D46" s="491">
        <f>'BoD input'!C55</f>
        <v>5290</v>
      </c>
      <c r="E46" s="491">
        <f>'BoD input'!D55</f>
        <v>3967</v>
      </c>
      <c r="F46" s="491">
        <f>'BoD input'!E55</f>
        <v>6612</v>
      </c>
      <c r="G46" s="492">
        <f ca="1">'PSA inputs'!J60*$C$168</f>
        <v>5081.5975655648845</v>
      </c>
      <c r="J46" s="493" t="s">
        <v>6</v>
      </c>
      <c r="K46" s="491">
        <f t="shared" ca="1" si="6"/>
        <v>5081.5975655648845</v>
      </c>
      <c r="L46" s="491">
        <f t="shared" si="7"/>
        <v>3967</v>
      </c>
      <c r="M46" s="491">
        <f t="shared" si="8"/>
        <v>6612</v>
      </c>
      <c r="N46" s="494"/>
      <c r="O46" s="739"/>
    </row>
    <row r="47" spans="2:16" x14ac:dyDescent="0.3">
      <c r="B47" s="493" t="s">
        <v>7</v>
      </c>
      <c r="C47" s="491">
        <f ca="1">IF(AND('PSA inputs'!$I$867=1,'PSA inputs'!$I$870=1),G47,D47)</f>
        <v>5081.5975655648845</v>
      </c>
      <c r="D47" s="491">
        <f>'BoD input'!C56</f>
        <v>5290</v>
      </c>
      <c r="E47" s="491">
        <f>'BoD input'!D56</f>
        <v>3967</v>
      </c>
      <c r="F47" s="491">
        <f>'BoD input'!E56</f>
        <v>6612</v>
      </c>
      <c r="G47" s="492">
        <f ca="1">'PSA inputs'!J61*$C$168</f>
        <v>5081.5975655648845</v>
      </c>
      <c r="J47" s="493" t="s">
        <v>7</v>
      </c>
      <c r="K47" s="491">
        <f t="shared" ca="1" si="6"/>
        <v>5081.5975655648845</v>
      </c>
      <c r="L47" s="491">
        <f t="shared" si="7"/>
        <v>3967</v>
      </c>
      <c r="M47" s="491">
        <f t="shared" si="8"/>
        <v>6612</v>
      </c>
      <c r="N47" s="494"/>
      <c r="O47" s="739"/>
    </row>
    <row r="48" spans="2:16" x14ac:dyDescent="0.3">
      <c r="B48" s="493" t="s">
        <v>1469</v>
      </c>
      <c r="C48" s="491">
        <f ca="1">IF(AND('PSA inputs'!$I$867=1,'PSA inputs'!$I$870=1),G48,D48)</f>
        <v>582.84396659498555</v>
      </c>
      <c r="D48" s="491">
        <f>'BoD input'!C57</f>
        <v>653</v>
      </c>
      <c r="E48" s="491">
        <f>'BoD input'!D57</f>
        <v>270</v>
      </c>
      <c r="F48" s="491">
        <f>'BoD input'!E57</f>
        <v>1036</v>
      </c>
      <c r="G48" s="492">
        <f ca="1">'PSA inputs'!J62*$C$168</f>
        <v>582.84396659498555</v>
      </c>
      <c r="J48" s="493" t="s">
        <v>1469</v>
      </c>
      <c r="K48" s="491">
        <f t="shared" ca="1" si="6"/>
        <v>582.84396659498555</v>
      </c>
      <c r="L48" s="491">
        <f t="shared" si="7"/>
        <v>270</v>
      </c>
      <c r="M48" s="491">
        <f t="shared" si="8"/>
        <v>1036</v>
      </c>
      <c r="N48" s="494"/>
      <c r="O48" s="739"/>
    </row>
    <row r="49" spans="1:16" x14ac:dyDescent="0.3">
      <c r="B49" s="498" t="s">
        <v>227</v>
      </c>
      <c r="C49" s="557"/>
      <c r="D49" s="496"/>
      <c r="E49" s="496"/>
      <c r="F49" s="496"/>
      <c r="G49" s="496"/>
      <c r="J49" s="498" t="s">
        <v>227</v>
      </c>
      <c r="K49" s="496"/>
      <c r="L49" s="496"/>
      <c r="M49" s="496"/>
      <c r="N49" s="499"/>
      <c r="O49" s="740"/>
    </row>
    <row r="50" spans="1:16" x14ac:dyDescent="0.3">
      <c r="B50" s="490" t="s">
        <v>1437</v>
      </c>
      <c r="C50" s="491">
        <f ca="1">IF(AND('PSA inputs'!$I$867=1,'PSA inputs'!$I$870=1),G50,D50)</f>
        <v>5061.0055855936253</v>
      </c>
      <c r="D50" s="491">
        <f>'BoD input'!C59</f>
        <v>4676</v>
      </c>
      <c r="E50" s="491">
        <f>'BoD input'!D59</f>
        <v>3414</v>
      </c>
      <c r="F50" s="491">
        <f>'BoD input'!E59</f>
        <v>5939</v>
      </c>
      <c r="G50" s="492">
        <f ca="1">'PSA inputs'!J64*$C$168</f>
        <v>5061.0055855936253</v>
      </c>
      <c r="J50" s="490" t="s">
        <v>1437</v>
      </c>
      <c r="K50" s="491">
        <f t="shared" ref="K50:K53" ca="1" si="9">C50</f>
        <v>5061.0055855936253</v>
      </c>
      <c r="L50" s="491">
        <f t="shared" ref="L50:L53" si="10">E50</f>
        <v>3414</v>
      </c>
      <c r="M50" s="491">
        <f t="shared" ref="M50:M53" si="11">F50</f>
        <v>5939</v>
      </c>
      <c r="N50" s="494"/>
      <c r="O50" s="739"/>
    </row>
    <row r="51" spans="1:16" x14ac:dyDescent="0.3">
      <c r="B51" s="490" t="s">
        <v>1438</v>
      </c>
      <c r="C51" s="491">
        <f ca="1">IF(AND('PSA inputs'!$I$867=1,'PSA inputs'!$I$870=1),G51,D51)</f>
        <v>5061.0055855936253</v>
      </c>
      <c r="D51" s="491">
        <f>'BoD input'!C60</f>
        <v>4676</v>
      </c>
      <c r="E51" s="491">
        <f>'BoD input'!D60</f>
        <v>3414</v>
      </c>
      <c r="F51" s="491">
        <f>'BoD input'!E60</f>
        <v>5939</v>
      </c>
      <c r="G51" s="492">
        <f ca="1">'PSA inputs'!J65*$C$168</f>
        <v>5061.0055855936253</v>
      </c>
      <c r="J51" s="490" t="s">
        <v>1438</v>
      </c>
      <c r="K51" s="491">
        <f t="shared" ca="1" si="9"/>
        <v>5061.0055855936253</v>
      </c>
      <c r="L51" s="491">
        <f t="shared" si="10"/>
        <v>3414</v>
      </c>
      <c r="M51" s="491">
        <f t="shared" si="11"/>
        <v>5939</v>
      </c>
      <c r="N51" s="494"/>
      <c r="O51" s="739"/>
    </row>
    <row r="52" spans="1:16" x14ac:dyDescent="0.3">
      <c r="B52" s="490" t="s">
        <v>1441</v>
      </c>
      <c r="C52" s="491">
        <f ca="1">IF(AND('PSA inputs'!$I$867=1,'PSA inputs'!$I$870=1),G52,D52)</f>
        <v>9417.9847038251992</v>
      </c>
      <c r="D52" s="491">
        <f>'BoD input'!C61</f>
        <v>8585</v>
      </c>
      <c r="E52" s="491">
        <f>'BoD input'!D61</f>
        <v>5838</v>
      </c>
      <c r="F52" s="491">
        <f>'BoD input'!E61</f>
        <v>11332</v>
      </c>
      <c r="G52" s="492">
        <f ca="1">'PSA inputs'!J66*$C$168</f>
        <v>9417.9847038251992</v>
      </c>
      <c r="J52" s="490" t="s">
        <v>1441</v>
      </c>
      <c r="K52" s="491">
        <f t="shared" ca="1" si="9"/>
        <v>9417.9847038251992</v>
      </c>
      <c r="L52" s="491">
        <f t="shared" si="10"/>
        <v>5838</v>
      </c>
      <c r="M52" s="491">
        <f t="shared" si="11"/>
        <v>11332</v>
      </c>
      <c r="N52" s="499"/>
      <c r="O52" s="740"/>
    </row>
    <row r="53" spans="1:16" x14ac:dyDescent="0.3">
      <c r="B53" s="490" t="s">
        <v>1442</v>
      </c>
      <c r="C53" s="491">
        <f ca="1">IF(AND('PSA inputs'!$I$867=1,'PSA inputs'!$I$870=1),G53,D53)</f>
        <v>9417.9847038251992</v>
      </c>
      <c r="D53" s="491">
        <f>'BoD input'!C62</f>
        <v>8585</v>
      </c>
      <c r="E53" s="491">
        <f>'BoD input'!D62</f>
        <v>5838</v>
      </c>
      <c r="F53" s="491">
        <f>'BoD input'!E62</f>
        <v>11332</v>
      </c>
      <c r="G53" s="492">
        <f ca="1">'PSA inputs'!J67*$C$168</f>
        <v>9417.9847038251992</v>
      </c>
      <c r="J53" s="490" t="s">
        <v>1442</v>
      </c>
      <c r="K53" s="491">
        <f t="shared" ca="1" si="9"/>
        <v>9417.9847038251992</v>
      </c>
      <c r="L53" s="491">
        <f t="shared" si="10"/>
        <v>5838</v>
      </c>
      <c r="M53" s="491">
        <f t="shared" si="11"/>
        <v>11332</v>
      </c>
      <c r="N53" s="499"/>
      <c r="O53" s="740"/>
    </row>
    <row r="54" spans="1:16" x14ac:dyDescent="0.3">
      <c r="B54" s="498" t="s">
        <v>920</v>
      </c>
      <c r="C54" s="557"/>
      <c r="D54" s="496"/>
      <c r="E54" s="496"/>
      <c r="F54" s="496"/>
      <c r="G54" s="496"/>
      <c r="J54" s="498" t="s">
        <v>920</v>
      </c>
      <c r="K54" s="496"/>
      <c r="L54" s="496"/>
      <c r="M54" s="496"/>
      <c r="N54" s="499"/>
      <c r="O54" s="740"/>
    </row>
    <row r="55" spans="1:16" x14ac:dyDescent="0.3">
      <c r="B55" s="490" t="s">
        <v>920</v>
      </c>
      <c r="C55" s="491">
        <f ca="1">IF(AND('PSA inputs'!$I$867=1,'PSA inputs'!$I$870=1),G55,D55)</f>
        <v>6216.3055892552557</v>
      </c>
      <c r="D55" s="491">
        <f>'BoD input'!C64</f>
        <v>5290</v>
      </c>
      <c r="E55" s="491">
        <f>'BoD input'!D64</f>
        <v>3914</v>
      </c>
      <c r="F55" s="491">
        <f>'BoD input'!E64</f>
        <v>6665</v>
      </c>
      <c r="G55" s="492">
        <f ca="1">'PSA inputs'!J69*$C$168</f>
        <v>6216.3055892552557</v>
      </c>
      <c r="J55" s="490" t="s">
        <v>920</v>
      </c>
      <c r="K55" s="491">
        <f t="shared" ref="K55:K56" ca="1" si="12">C55</f>
        <v>6216.3055892552557</v>
      </c>
      <c r="L55" s="491">
        <f t="shared" ref="L55:L56" si="13">E55</f>
        <v>3914</v>
      </c>
      <c r="M55" s="491">
        <f t="shared" ref="M55:M56" si="14">F55</f>
        <v>6665</v>
      </c>
      <c r="N55" s="494"/>
      <c r="O55" s="739"/>
    </row>
    <row r="56" spans="1:16" x14ac:dyDescent="0.3">
      <c r="B56" s="490" t="s">
        <v>980</v>
      </c>
      <c r="C56" s="491">
        <f ca="1">IF(AND('PSA inputs'!$I$867=1,'PSA inputs'!$I$870=1),G56,D56)</f>
        <v>6216.3055892552557</v>
      </c>
      <c r="D56" s="491">
        <f>'BoD input'!C65</f>
        <v>5290</v>
      </c>
      <c r="E56" s="491">
        <f>'BoD input'!D65</f>
        <v>3914</v>
      </c>
      <c r="F56" s="491">
        <f>'BoD input'!E65</f>
        <v>6665</v>
      </c>
      <c r="G56" s="492">
        <f ca="1">'PSA inputs'!J70*$C$168</f>
        <v>6216.3055892552557</v>
      </c>
      <c r="J56" s="490" t="s">
        <v>980</v>
      </c>
      <c r="K56" s="491">
        <f t="shared" ca="1" si="12"/>
        <v>6216.3055892552557</v>
      </c>
      <c r="L56" s="491">
        <f t="shared" si="13"/>
        <v>3914</v>
      </c>
      <c r="M56" s="491">
        <f t="shared" si="14"/>
        <v>6665</v>
      </c>
      <c r="N56" s="494"/>
      <c r="O56" s="739"/>
    </row>
    <row r="57" spans="1:16" x14ac:dyDescent="0.3">
      <c r="C57" s="488"/>
      <c r="D57" s="488"/>
      <c r="E57" s="488"/>
      <c r="F57" s="488"/>
      <c r="G57" s="488"/>
      <c r="K57" s="488"/>
      <c r="L57" s="488"/>
      <c r="M57" s="488"/>
    </row>
    <row r="58" spans="1:16" x14ac:dyDescent="0.3">
      <c r="B58" s="483" t="s">
        <v>990</v>
      </c>
      <c r="C58" s="483"/>
      <c r="D58" s="483"/>
      <c r="E58" s="483"/>
      <c r="F58" s="483"/>
      <c r="G58" s="483"/>
      <c r="J58" s="483" t="s">
        <v>990</v>
      </c>
      <c r="K58" s="483"/>
      <c r="L58" s="483"/>
      <c r="M58" s="483"/>
    </row>
    <row r="59" spans="1:16" x14ac:dyDescent="0.3">
      <c r="B59" s="484" t="s">
        <v>950</v>
      </c>
      <c r="C59" s="485" t="s">
        <v>724</v>
      </c>
      <c r="D59" s="485" t="s">
        <v>995</v>
      </c>
      <c r="E59" s="485" t="s">
        <v>985</v>
      </c>
      <c r="F59" s="485" t="s">
        <v>986</v>
      </c>
      <c r="G59" s="485" t="s">
        <v>996</v>
      </c>
      <c r="J59" s="484" t="s">
        <v>950</v>
      </c>
      <c r="K59" s="485" t="s">
        <v>724</v>
      </c>
      <c r="L59" s="485" t="s">
        <v>985</v>
      </c>
      <c r="M59" s="485" t="s">
        <v>986</v>
      </c>
      <c r="N59" s="486"/>
      <c r="O59" s="738"/>
    </row>
    <row r="60" spans="1:16" x14ac:dyDescent="0.3">
      <c r="B60" s="487" t="s">
        <v>1445</v>
      </c>
      <c r="C60" s="488"/>
      <c r="D60" s="488"/>
      <c r="E60" s="488"/>
      <c r="F60" s="488"/>
      <c r="G60" s="488"/>
      <c r="J60" s="487" t="s">
        <v>988</v>
      </c>
      <c r="K60" s="488"/>
      <c r="L60" s="488"/>
      <c r="M60" s="488"/>
      <c r="P60" s="481" t="s">
        <v>682</v>
      </c>
    </row>
    <row r="61" spans="1:16" x14ac:dyDescent="0.3">
      <c r="B61" s="493" t="s">
        <v>2</v>
      </c>
      <c r="C61" s="491">
        <f ca="1">IF(AND('PSA inputs'!$I$867=1,'PSA inputs'!$I$870=1),G61,D61)</f>
        <v>171.97516201117242</v>
      </c>
      <c r="D61" s="491">
        <f>'BoD input'!C72</f>
        <v>234</v>
      </c>
      <c r="E61" s="491">
        <f>'BoD input'!D72</f>
        <v>168</v>
      </c>
      <c r="F61" s="491">
        <f>'BoD input'!E72</f>
        <v>299</v>
      </c>
      <c r="G61" s="492">
        <f ca="1">'PSA inputs'!J75*$C$169</f>
        <v>171.97516201117242</v>
      </c>
      <c r="J61" s="493" t="s">
        <v>2</v>
      </c>
      <c r="K61" s="491">
        <f t="shared" ref="K61:K67" ca="1" si="15">C61</f>
        <v>171.97516201117242</v>
      </c>
      <c r="L61" s="491">
        <f t="shared" ref="L61:L67" si="16">E61</f>
        <v>168</v>
      </c>
      <c r="M61" s="491">
        <f t="shared" ref="M61:M67" si="17">F61</f>
        <v>299</v>
      </c>
      <c r="N61" s="494"/>
      <c r="O61" s="739"/>
      <c r="P61" s="481" t="s">
        <v>679</v>
      </c>
    </row>
    <row r="62" spans="1:16" x14ac:dyDescent="0.3">
      <c r="B62" s="493" t="s">
        <v>3</v>
      </c>
      <c r="C62" s="491">
        <f ca="1">IF(AND('PSA inputs'!$I$867=1,'PSA inputs'!$I$870=1),G62,D62)</f>
        <v>171.97516201117242</v>
      </c>
      <c r="D62" s="491">
        <f>'BoD input'!C73</f>
        <v>234</v>
      </c>
      <c r="E62" s="491">
        <f>'BoD input'!D73</f>
        <v>168</v>
      </c>
      <c r="F62" s="491">
        <f>'BoD input'!E73</f>
        <v>299</v>
      </c>
      <c r="G62" s="492">
        <f ca="1">'PSA inputs'!J76*$C$169</f>
        <v>171.97516201117242</v>
      </c>
      <c r="J62" s="493" t="s">
        <v>3</v>
      </c>
      <c r="K62" s="491">
        <f t="shared" ca="1" si="15"/>
        <v>171.97516201117242</v>
      </c>
      <c r="L62" s="491">
        <f t="shared" si="16"/>
        <v>168</v>
      </c>
      <c r="M62" s="491">
        <f t="shared" si="17"/>
        <v>299</v>
      </c>
      <c r="N62" s="494"/>
      <c r="O62" s="739"/>
    </row>
    <row r="63" spans="1:16" x14ac:dyDescent="0.3">
      <c r="B63" s="493" t="s">
        <v>4</v>
      </c>
      <c r="C63" s="491">
        <f ca="1">IF(AND('PSA inputs'!$I$867=1,'PSA inputs'!$I$870=1),G63,D63)</f>
        <v>171.97516201117242</v>
      </c>
      <c r="D63" s="491">
        <f>'BoD input'!C74</f>
        <v>234</v>
      </c>
      <c r="E63" s="491">
        <f>'BoD input'!D74</f>
        <v>168</v>
      </c>
      <c r="F63" s="491">
        <f>'BoD input'!E74</f>
        <v>299</v>
      </c>
      <c r="G63" s="492">
        <f ca="1">'PSA inputs'!J77*$C$169</f>
        <v>171.97516201117242</v>
      </c>
      <c r="J63" s="493" t="s">
        <v>4</v>
      </c>
      <c r="K63" s="491">
        <f t="shared" ca="1" si="15"/>
        <v>171.97516201117242</v>
      </c>
      <c r="L63" s="491">
        <f t="shared" si="16"/>
        <v>168</v>
      </c>
      <c r="M63" s="491">
        <f t="shared" si="17"/>
        <v>299</v>
      </c>
      <c r="N63" s="494"/>
      <c r="O63" s="739"/>
    </row>
    <row r="64" spans="1:16" x14ac:dyDescent="0.3">
      <c r="A64" s="487"/>
      <c r="B64" s="493" t="s">
        <v>5</v>
      </c>
      <c r="C64" s="491">
        <f ca="1">IF(AND('PSA inputs'!$I$867=1,'PSA inputs'!$I$870=1),G64,D64)</f>
        <v>83.935316058721142</v>
      </c>
      <c r="D64" s="491">
        <f>'BoD input'!C75</f>
        <v>112</v>
      </c>
      <c r="E64" s="491">
        <f>'BoD input'!D75</f>
        <v>83</v>
      </c>
      <c r="F64" s="491">
        <f>'BoD input'!E75</f>
        <v>142</v>
      </c>
      <c r="G64" s="492">
        <f ca="1">'PSA inputs'!J78*$C$169</f>
        <v>83.935316058721142</v>
      </c>
      <c r="J64" s="493" t="s">
        <v>5</v>
      </c>
      <c r="K64" s="491">
        <f t="shared" ca="1" si="15"/>
        <v>83.935316058721142</v>
      </c>
      <c r="L64" s="491">
        <f t="shared" si="16"/>
        <v>83</v>
      </c>
      <c r="M64" s="491">
        <f t="shared" si="17"/>
        <v>142</v>
      </c>
      <c r="N64" s="494"/>
      <c r="O64" s="739"/>
    </row>
    <row r="65" spans="1:16" x14ac:dyDescent="0.3">
      <c r="A65" s="500"/>
      <c r="B65" s="493" t="s">
        <v>6</v>
      </c>
      <c r="C65" s="491">
        <f ca="1">IF(AND('PSA inputs'!$I$867=1,'PSA inputs'!$I$870=1),G65,D65)</f>
        <v>83.935316058721142</v>
      </c>
      <c r="D65" s="491">
        <f>'BoD input'!C76</f>
        <v>112</v>
      </c>
      <c r="E65" s="491">
        <f>'BoD input'!D76</f>
        <v>83</v>
      </c>
      <c r="F65" s="491">
        <f>'BoD input'!E76</f>
        <v>142</v>
      </c>
      <c r="G65" s="492">
        <f ca="1">'PSA inputs'!J79*$C$169</f>
        <v>83.935316058721142</v>
      </c>
      <c r="J65" s="493" t="s">
        <v>6</v>
      </c>
      <c r="K65" s="491">
        <f t="shared" ca="1" si="15"/>
        <v>83.935316058721142</v>
      </c>
      <c r="L65" s="491">
        <f t="shared" si="16"/>
        <v>83</v>
      </c>
      <c r="M65" s="491">
        <f t="shared" si="17"/>
        <v>142</v>
      </c>
      <c r="N65" s="494"/>
      <c r="O65" s="739"/>
    </row>
    <row r="66" spans="1:16" x14ac:dyDescent="0.3">
      <c r="A66" s="500"/>
      <c r="B66" s="493" t="s">
        <v>7</v>
      </c>
      <c r="C66" s="491">
        <f ca="1">IF(AND('PSA inputs'!$I$867=1,'PSA inputs'!$I$870=1),G66,D66)</f>
        <v>83.935316058721142</v>
      </c>
      <c r="D66" s="491">
        <f>'BoD input'!C77</f>
        <v>112</v>
      </c>
      <c r="E66" s="491">
        <f>'BoD input'!D77</f>
        <v>83</v>
      </c>
      <c r="F66" s="491">
        <f>'BoD input'!E77</f>
        <v>142</v>
      </c>
      <c r="G66" s="492">
        <f ca="1">'PSA inputs'!J80*$C$169</f>
        <v>83.935316058721142</v>
      </c>
      <c r="J66" s="493" t="s">
        <v>7</v>
      </c>
      <c r="K66" s="491">
        <f t="shared" ca="1" si="15"/>
        <v>83.935316058721142</v>
      </c>
      <c r="L66" s="491">
        <f t="shared" si="16"/>
        <v>83</v>
      </c>
      <c r="M66" s="491">
        <f t="shared" si="17"/>
        <v>142</v>
      </c>
      <c r="N66" s="494"/>
      <c r="O66" s="739"/>
    </row>
    <row r="67" spans="1:16" x14ac:dyDescent="0.3">
      <c r="A67" s="500"/>
      <c r="B67" s="493" t="s">
        <v>1469</v>
      </c>
      <c r="C67" s="491">
        <f ca="1">IF(AND('PSA inputs'!$I$867=1,'PSA inputs'!$I$870=1),G67,D67)</f>
        <v>148.94634075937623</v>
      </c>
      <c r="D67" s="491">
        <f>'BoD input'!C78</f>
        <v>329</v>
      </c>
      <c r="E67" s="491">
        <f>'BoD input'!D78</f>
        <v>144</v>
      </c>
      <c r="F67" s="491">
        <f>'BoD input'!E78</f>
        <v>570</v>
      </c>
      <c r="G67" s="492">
        <f ca="1">'PSA inputs'!J81*$C$169</f>
        <v>148.94634075937623</v>
      </c>
      <c r="J67" s="493" t="s">
        <v>1469</v>
      </c>
      <c r="K67" s="491">
        <f t="shared" ca="1" si="15"/>
        <v>148.94634075937623</v>
      </c>
      <c r="L67" s="491">
        <f t="shared" si="16"/>
        <v>144</v>
      </c>
      <c r="M67" s="491">
        <f t="shared" si="17"/>
        <v>570</v>
      </c>
      <c r="N67" s="494"/>
      <c r="O67" s="739"/>
    </row>
    <row r="68" spans="1:16" x14ac:dyDescent="0.3">
      <c r="B68" s="487" t="s">
        <v>1444</v>
      </c>
      <c r="C68" s="557"/>
      <c r="D68" s="496"/>
      <c r="E68" s="496"/>
      <c r="F68" s="496"/>
      <c r="G68" s="496"/>
      <c r="J68" s="487" t="s">
        <v>988</v>
      </c>
      <c r="K68" s="496"/>
      <c r="L68" s="496"/>
      <c r="M68" s="496"/>
      <c r="P68" s="481" t="s">
        <v>682</v>
      </c>
    </row>
    <row r="69" spans="1:16" x14ac:dyDescent="0.3">
      <c r="B69" s="493" t="s">
        <v>2</v>
      </c>
      <c r="C69" s="491">
        <f ca="1">IF(AND('PSA inputs'!$I$867=1,'PSA inputs'!$I$870=1),G69,D69)</f>
        <v>247.39980829387997</v>
      </c>
      <c r="D69" s="491">
        <f>'BoD input'!C80</f>
        <v>234</v>
      </c>
      <c r="E69" s="491">
        <f>'BoD input'!D80</f>
        <v>168</v>
      </c>
      <c r="F69" s="491">
        <f>'BoD input'!E80</f>
        <v>299</v>
      </c>
      <c r="G69" s="492">
        <f ca="1">'PSA inputs'!J83*$C$169</f>
        <v>247.39980829387997</v>
      </c>
      <c r="J69" s="493" t="s">
        <v>2</v>
      </c>
      <c r="K69" s="491">
        <f t="shared" ref="K69:K75" ca="1" si="18">C69</f>
        <v>247.39980829387997</v>
      </c>
      <c r="L69" s="491">
        <f t="shared" ref="L69:L75" si="19">E69</f>
        <v>168</v>
      </c>
      <c r="M69" s="491">
        <f t="shared" ref="M69:M75" si="20">F69</f>
        <v>299</v>
      </c>
      <c r="N69" s="494"/>
      <c r="O69" s="739"/>
      <c r="P69" s="481" t="s">
        <v>679</v>
      </c>
    </row>
    <row r="70" spans="1:16" x14ac:dyDescent="0.3">
      <c r="B70" s="493" t="s">
        <v>3</v>
      </c>
      <c r="C70" s="491">
        <f ca="1">IF(AND('PSA inputs'!$I$867=1,'PSA inputs'!$I$870=1),G70,D70)</f>
        <v>247.39980829387997</v>
      </c>
      <c r="D70" s="491">
        <f>'BoD input'!C81</f>
        <v>234</v>
      </c>
      <c r="E70" s="491">
        <f>'BoD input'!D81</f>
        <v>168</v>
      </c>
      <c r="F70" s="491">
        <f>'BoD input'!E81</f>
        <v>299</v>
      </c>
      <c r="G70" s="492">
        <f ca="1">'PSA inputs'!J84*$C$169</f>
        <v>247.39980829387997</v>
      </c>
      <c r="J70" s="493" t="s">
        <v>3</v>
      </c>
      <c r="K70" s="491">
        <f t="shared" ca="1" si="18"/>
        <v>247.39980829387997</v>
      </c>
      <c r="L70" s="491">
        <f t="shared" si="19"/>
        <v>168</v>
      </c>
      <c r="M70" s="491">
        <f t="shared" si="20"/>
        <v>299</v>
      </c>
      <c r="N70" s="494"/>
      <c r="O70" s="739"/>
    </row>
    <row r="71" spans="1:16" x14ac:dyDescent="0.3">
      <c r="B71" s="493" t="s">
        <v>4</v>
      </c>
      <c r="C71" s="491">
        <f ca="1">IF(AND('PSA inputs'!$I$867=1,'PSA inputs'!$I$870=1),G71,D71)</f>
        <v>247.39980829387997</v>
      </c>
      <c r="D71" s="491">
        <f>'BoD input'!C82</f>
        <v>234</v>
      </c>
      <c r="E71" s="491">
        <f>'BoD input'!D82</f>
        <v>168</v>
      </c>
      <c r="F71" s="491">
        <f>'BoD input'!E82</f>
        <v>299</v>
      </c>
      <c r="G71" s="492">
        <f ca="1">'PSA inputs'!J85*$C$169</f>
        <v>247.39980829387997</v>
      </c>
      <c r="J71" s="493" t="s">
        <v>4</v>
      </c>
      <c r="K71" s="491">
        <f t="shared" ca="1" si="18"/>
        <v>247.39980829387997</v>
      </c>
      <c r="L71" s="491">
        <f t="shared" si="19"/>
        <v>168</v>
      </c>
      <c r="M71" s="491">
        <f t="shared" si="20"/>
        <v>299</v>
      </c>
      <c r="N71" s="494"/>
      <c r="O71" s="739"/>
    </row>
    <row r="72" spans="1:16" x14ac:dyDescent="0.3">
      <c r="A72" s="487"/>
      <c r="B72" s="493" t="s">
        <v>5</v>
      </c>
      <c r="C72" s="491">
        <f ca="1">IF(AND('PSA inputs'!$I$867=1,'PSA inputs'!$I$870=1),G72,D72)</f>
        <v>311.30635953187101</v>
      </c>
      <c r="D72" s="491">
        <f>'BoD input'!C83</f>
        <v>296</v>
      </c>
      <c r="E72" s="491">
        <f>'BoD input'!D83</f>
        <v>222</v>
      </c>
      <c r="F72" s="491">
        <f>'BoD input'!E83</f>
        <v>370</v>
      </c>
      <c r="G72" s="492">
        <f ca="1">'PSA inputs'!J86*$C$169</f>
        <v>311.30635953187101</v>
      </c>
      <c r="J72" s="493" t="s">
        <v>5</v>
      </c>
      <c r="K72" s="491">
        <f t="shared" ca="1" si="18"/>
        <v>311.30635953187101</v>
      </c>
      <c r="L72" s="491">
        <f t="shared" si="19"/>
        <v>222</v>
      </c>
      <c r="M72" s="491">
        <f t="shared" si="20"/>
        <v>370</v>
      </c>
      <c r="N72" s="494"/>
      <c r="O72" s="739"/>
    </row>
    <row r="73" spans="1:16" x14ac:dyDescent="0.3">
      <c r="A73" s="500"/>
      <c r="B73" s="493" t="s">
        <v>6</v>
      </c>
      <c r="C73" s="491">
        <f ca="1">IF(AND('PSA inputs'!$I$867=1,'PSA inputs'!$I$870=1),G73,D73)</f>
        <v>311.30635953187101</v>
      </c>
      <c r="D73" s="491">
        <f>'BoD input'!C84</f>
        <v>296</v>
      </c>
      <c r="E73" s="491">
        <f>'BoD input'!D84</f>
        <v>222</v>
      </c>
      <c r="F73" s="491">
        <f>'BoD input'!E84</f>
        <v>370</v>
      </c>
      <c r="G73" s="492">
        <f ca="1">'PSA inputs'!J87*$C$169</f>
        <v>311.30635953187101</v>
      </c>
      <c r="J73" s="493" t="s">
        <v>6</v>
      </c>
      <c r="K73" s="491">
        <f t="shared" ca="1" si="18"/>
        <v>311.30635953187101</v>
      </c>
      <c r="L73" s="491">
        <f t="shared" si="19"/>
        <v>222</v>
      </c>
      <c r="M73" s="491">
        <f t="shared" si="20"/>
        <v>370</v>
      </c>
      <c r="N73" s="494"/>
      <c r="O73" s="739"/>
    </row>
    <row r="74" spans="1:16" x14ac:dyDescent="0.3">
      <c r="A74" s="500"/>
      <c r="B74" s="493" t="s">
        <v>7</v>
      </c>
      <c r="C74" s="491">
        <f ca="1">IF(AND('PSA inputs'!$I$867=1,'PSA inputs'!$I$870=1),G74,D74)</f>
        <v>311.30635953187101</v>
      </c>
      <c r="D74" s="491">
        <f>'BoD input'!C85</f>
        <v>296</v>
      </c>
      <c r="E74" s="491">
        <f>'BoD input'!D85</f>
        <v>222</v>
      </c>
      <c r="F74" s="491">
        <f>'BoD input'!E85</f>
        <v>370</v>
      </c>
      <c r="G74" s="492">
        <f ca="1">'PSA inputs'!J88*$C$169</f>
        <v>311.30635953187101</v>
      </c>
      <c r="J74" s="493" t="s">
        <v>7</v>
      </c>
      <c r="K74" s="491">
        <f t="shared" ca="1" si="18"/>
        <v>311.30635953187101</v>
      </c>
      <c r="L74" s="491">
        <f t="shared" si="19"/>
        <v>222</v>
      </c>
      <c r="M74" s="491">
        <f t="shared" si="20"/>
        <v>370</v>
      </c>
      <c r="N74" s="494"/>
      <c r="O74" s="739"/>
    </row>
    <row r="75" spans="1:16" x14ac:dyDescent="0.3">
      <c r="A75" s="500"/>
      <c r="B75" s="493" t="s">
        <v>1469</v>
      </c>
      <c r="C75" s="491">
        <f ca="1">IF(AND('PSA inputs'!$I$867=1,'PSA inputs'!$I$870=1),G75,D75)</f>
        <v>366.39427678286654</v>
      </c>
      <c r="D75" s="491">
        <f>'BoD input'!C86</f>
        <v>329</v>
      </c>
      <c r="E75" s="491">
        <f>'BoD input'!D86</f>
        <v>144</v>
      </c>
      <c r="F75" s="491">
        <f>'BoD input'!E86</f>
        <v>570</v>
      </c>
      <c r="G75" s="492">
        <f ca="1">'PSA inputs'!J89*$C$169</f>
        <v>366.39427678286654</v>
      </c>
      <c r="J75" s="493" t="s">
        <v>1469</v>
      </c>
      <c r="K75" s="491">
        <f t="shared" ca="1" si="18"/>
        <v>366.39427678286654</v>
      </c>
      <c r="L75" s="491">
        <f t="shared" si="19"/>
        <v>144</v>
      </c>
      <c r="M75" s="491">
        <f t="shared" si="20"/>
        <v>570</v>
      </c>
      <c r="N75" s="494"/>
      <c r="O75" s="739"/>
    </row>
    <row r="76" spans="1:16" x14ac:dyDescent="0.3">
      <c r="A76" s="500"/>
      <c r="B76" s="498" t="s">
        <v>227</v>
      </c>
      <c r="C76" s="557"/>
      <c r="D76" s="496"/>
      <c r="E76" s="496"/>
      <c r="F76" s="496"/>
      <c r="G76" s="496"/>
      <c r="J76" s="498" t="s">
        <v>227</v>
      </c>
      <c r="K76" s="496"/>
      <c r="L76" s="496"/>
      <c r="M76" s="496"/>
      <c r="N76" s="499"/>
      <c r="O76" s="740"/>
    </row>
    <row r="77" spans="1:16" x14ac:dyDescent="0.3">
      <c r="A77" s="500"/>
      <c r="B77" s="490" t="s">
        <v>1437</v>
      </c>
      <c r="C77" s="491">
        <f ca="1">IF(AND('PSA inputs'!$I$867=1,'PSA inputs'!$I$870=1),G77,D77)</f>
        <v>463.57894576816159</v>
      </c>
      <c r="D77" s="491">
        <f>'BoD input'!C88</f>
        <v>425</v>
      </c>
      <c r="E77" s="491">
        <f>'BoD input'!D88</f>
        <v>310</v>
      </c>
      <c r="F77" s="491">
        <f>'BoD input'!E88</f>
        <v>540</v>
      </c>
      <c r="G77" s="492">
        <f ca="1">'PSA inputs'!J91*$C$169</f>
        <v>463.57894576816159</v>
      </c>
      <c r="J77" s="490" t="s">
        <v>1437</v>
      </c>
      <c r="K77" s="491">
        <f t="shared" ref="K77:K80" ca="1" si="21">C77</f>
        <v>463.57894576816159</v>
      </c>
      <c r="L77" s="491">
        <f t="shared" ref="L77:L80" si="22">E77</f>
        <v>310</v>
      </c>
      <c r="M77" s="491">
        <f t="shared" ref="M77:M80" si="23">F77</f>
        <v>540</v>
      </c>
    </row>
    <row r="78" spans="1:16" x14ac:dyDescent="0.3">
      <c r="A78" s="500"/>
      <c r="B78" s="490" t="s">
        <v>1438</v>
      </c>
      <c r="C78" s="491">
        <f ca="1">IF(AND('PSA inputs'!$I$867=1,'PSA inputs'!$I$870=1),G78,D78)</f>
        <v>463.57894576816159</v>
      </c>
      <c r="D78" s="491">
        <f>'BoD input'!C89</f>
        <v>425</v>
      </c>
      <c r="E78" s="491">
        <f>'BoD input'!D89</f>
        <v>310</v>
      </c>
      <c r="F78" s="491">
        <f>'BoD input'!E89</f>
        <v>540</v>
      </c>
      <c r="G78" s="492">
        <f ca="1">'PSA inputs'!J92*$C$169</f>
        <v>463.57894576816159</v>
      </c>
      <c r="J78" s="490" t="s">
        <v>1438</v>
      </c>
      <c r="K78" s="491">
        <f t="shared" ca="1" si="21"/>
        <v>463.57894576816159</v>
      </c>
      <c r="L78" s="491">
        <f t="shared" si="22"/>
        <v>310</v>
      </c>
      <c r="M78" s="491">
        <f t="shared" si="23"/>
        <v>540</v>
      </c>
    </row>
    <row r="79" spans="1:16" x14ac:dyDescent="0.3">
      <c r="A79" s="500"/>
      <c r="B79" s="490" t="s">
        <v>1441</v>
      </c>
      <c r="C79" s="491">
        <f ca="1">IF(AND('PSA inputs'!$I$867=1,'PSA inputs'!$I$870=1),G79,D79)</f>
        <v>596.40194026434608</v>
      </c>
      <c r="D79" s="491">
        <f>'BoD input'!C90</f>
        <v>539</v>
      </c>
      <c r="E79" s="491">
        <f>'BoD input'!D90</f>
        <v>366</v>
      </c>
      <c r="F79" s="491">
        <f>'BoD input'!E90</f>
        <v>711</v>
      </c>
      <c r="G79" s="492">
        <f ca="1">'PSA inputs'!J93*$C$169</f>
        <v>596.40194026434608</v>
      </c>
      <c r="J79" s="490" t="s">
        <v>1441</v>
      </c>
      <c r="K79" s="491">
        <f t="shared" ca="1" si="21"/>
        <v>596.40194026434608</v>
      </c>
      <c r="L79" s="491">
        <f t="shared" si="22"/>
        <v>366</v>
      </c>
      <c r="M79" s="491">
        <f t="shared" si="23"/>
        <v>711</v>
      </c>
      <c r="N79" s="494"/>
      <c r="O79" s="739"/>
    </row>
    <row r="80" spans="1:16" x14ac:dyDescent="0.3">
      <c r="A80" s="500"/>
      <c r="B80" s="490" t="s">
        <v>1442</v>
      </c>
      <c r="C80" s="491">
        <f ca="1">IF(AND('PSA inputs'!$I$867=1,'PSA inputs'!$I$870=1),G80,D80)</f>
        <v>596.40194026434608</v>
      </c>
      <c r="D80" s="491">
        <f>'BoD input'!C91</f>
        <v>539</v>
      </c>
      <c r="E80" s="491">
        <f>'BoD input'!D91</f>
        <v>366</v>
      </c>
      <c r="F80" s="491">
        <f>'BoD input'!E91</f>
        <v>711</v>
      </c>
      <c r="G80" s="492">
        <f ca="1">'PSA inputs'!J94*$C$169</f>
        <v>596.40194026434608</v>
      </c>
      <c r="J80" s="490" t="s">
        <v>1442</v>
      </c>
      <c r="K80" s="491">
        <f t="shared" ca="1" si="21"/>
        <v>596.40194026434608</v>
      </c>
      <c r="L80" s="491">
        <f t="shared" si="22"/>
        <v>366</v>
      </c>
      <c r="M80" s="491">
        <f t="shared" si="23"/>
        <v>711</v>
      </c>
      <c r="N80" s="494"/>
      <c r="O80" s="739"/>
    </row>
    <row r="81" spans="1:16" x14ac:dyDescent="0.3">
      <c r="A81" s="500"/>
      <c r="B81" s="498" t="s">
        <v>920</v>
      </c>
      <c r="C81" s="557"/>
      <c r="D81" s="496"/>
      <c r="E81" s="496"/>
      <c r="F81" s="496"/>
      <c r="G81" s="496"/>
      <c r="J81" s="498" t="s">
        <v>920</v>
      </c>
      <c r="K81" s="496"/>
      <c r="L81" s="496"/>
      <c r="M81" s="496"/>
      <c r="N81" s="499"/>
      <c r="O81" s="740"/>
    </row>
    <row r="82" spans="1:16" x14ac:dyDescent="0.3">
      <c r="A82" s="503"/>
      <c r="B82" s="490" t="s">
        <v>920</v>
      </c>
      <c r="C82" s="491">
        <f ca="1">IF(AND('PSA inputs'!$I$867=1,'PSA inputs'!$I$870=1),G82,D82)</f>
        <v>107.03557344867531</v>
      </c>
      <c r="D82" s="491">
        <f>'BoD input'!C93</f>
        <v>112</v>
      </c>
      <c r="E82" s="491">
        <f>'BoD input'!D93</f>
        <v>83</v>
      </c>
      <c r="F82" s="491">
        <f>'BoD input'!E93</f>
        <v>142</v>
      </c>
      <c r="G82" s="492">
        <f ca="1">'PSA inputs'!J96*$C$169</f>
        <v>107.03557344867531</v>
      </c>
      <c r="J82" s="490" t="s">
        <v>920</v>
      </c>
      <c r="K82" s="491">
        <f t="shared" ref="K82:K83" ca="1" si="24">C82</f>
        <v>107.03557344867531</v>
      </c>
      <c r="L82" s="491">
        <f t="shared" ref="L82:L83" si="25">E82</f>
        <v>83</v>
      </c>
      <c r="M82" s="491">
        <f t="shared" ref="M82:M83" si="26">F82</f>
        <v>142</v>
      </c>
      <c r="N82" s="494"/>
      <c r="O82" s="739"/>
    </row>
    <row r="83" spans="1:16" x14ac:dyDescent="0.3">
      <c r="A83" s="500"/>
      <c r="B83" s="490" t="s">
        <v>980</v>
      </c>
      <c r="C83" s="491">
        <f ca="1">IF(AND('PSA inputs'!$I$867=1,'PSA inputs'!$I$870=1),G83,D83)</f>
        <v>107.03557344867531</v>
      </c>
      <c r="D83" s="491">
        <f>'BoD input'!C94</f>
        <v>112</v>
      </c>
      <c r="E83" s="491">
        <f>'BoD input'!D94</f>
        <v>83</v>
      </c>
      <c r="F83" s="491">
        <f>'BoD input'!E94</f>
        <v>142</v>
      </c>
      <c r="G83" s="492">
        <f ca="1">'PSA inputs'!J97*$C$169</f>
        <v>107.03557344867531</v>
      </c>
      <c r="J83" s="490" t="s">
        <v>980</v>
      </c>
      <c r="K83" s="491">
        <f t="shared" ca="1" si="24"/>
        <v>107.03557344867531</v>
      </c>
      <c r="L83" s="491">
        <f t="shared" si="25"/>
        <v>83</v>
      </c>
      <c r="M83" s="491">
        <f t="shared" si="26"/>
        <v>142</v>
      </c>
      <c r="N83" s="494"/>
      <c r="O83" s="739"/>
    </row>
    <row r="84" spans="1:16" x14ac:dyDescent="0.3">
      <c r="A84" s="500"/>
      <c r="B84" s="488"/>
      <c r="C84" s="488"/>
      <c r="D84" s="488"/>
      <c r="E84" s="488"/>
      <c r="F84" s="488"/>
      <c r="G84" s="488"/>
      <c r="J84" s="488"/>
      <c r="K84" s="488"/>
      <c r="L84" s="488"/>
      <c r="M84" s="488"/>
    </row>
    <row r="85" spans="1:16" x14ac:dyDescent="0.3">
      <c r="A85" s="503"/>
      <c r="B85" s="483" t="s">
        <v>989</v>
      </c>
      <c r="C85" s="483"/>
      <c r="D85" s="483"/>
      <c r="E85" s="483"/>
      <c r="F85" s="483"/>
      <c r="G85" s="483"/>
      <c r="J85" s="483" t="s">
        <v>989</v>
      </c>
      <c r="K85" s="483"/>
      <c r="L85" s="483"/>
      <c r="M85" s="483"/>
      <c r="P85" s="481" t="s">
        <v>682</v>
      </c>
    </row>
    <row r="86" spans="1:16" x14ac:dyDescent="0.3">
      <c r="A86" s="500"/>
      <c r="B86" s="484" t="s">
        <v>950</v>
      </c>
      <c r="C86" s="485" t="s">
        <v>724</v>
      </c>
      <c r="D86" s="485" t="s">
        <v>995</v>
      </c>
      <c r="E86" s="485" t="s">
        <v>985</v>
      </c>
      <c r="F86" s="485" t="s">
        <v>986</v>
      </c>
      <c r="G86" s="485" t="s">
        <v>996</v>
      </c>
      <c r="J86" s="484" t="s">
        <v>950</v>
      </c>
      <c r="K86" s="485" t="s">
        <v>724</v>
      </c>
      <c r="L86" s="485" t="s">
        <v>985</v>
      </c>
      <c r="M86" s="485" t="s">
        <v>986</v>
      </c>
      <c r="N86" s="486"/>
      <c r="O86" s="738"/>
      <c r="P86" s="481" t="s">
        <v>679</v>
      </c>
    </row>
    <row r="87" spans="1:16" x14ac:dyDescent="0.3">
      <c r="A87" s="500"/>
      <c r="B87" s="487" t="s">
        <v>1445</v>
      </c>
      <c r="C87" s="488"/>
      <c r="D87" s="488"/>
      <c r="E87" s="488"/>
      <c r="F87" s="488"/>
      <c r="G87" s="488"/>
      <c r="J87" s="487" t="s">
        <v>988</v>
      </c>
      <c r="K87" s="488"/>
      <c r="L87" s="488"/>
      <c r="M87" s="488"/>
    </row>
    <row r="88" spans="1:16" x14ac:dyDescent="0.3">
      <c r="B88" s="493" t="s">
        <v>2</v>
      </c>
      <c r="C88" s="491">
        <f ca="1">IF(AND('PSA inputs'!$I$867=1,'PSA inputs'!$I$871=1),G88,D88)</f>
        <v>20.390454410534886</v>
      </c>
      <c r="D88" s="491">
        <f>'BoD input'!C101</f>
        <v>17</v>
      </c>
      <c r="E88" s="491">
        <f>'BoD input'!D101</f>
        <v>12</v>
      </c>
      <c r="F88" s="491">
        <f>'BoD input'!E101</f>
        <v>21</v>
      </c>
      <c r="G88" s="492">
        <f ca="1">'PSA inputs'!J102*$C$170</f>
        <v>20.390454410534886</v>
      </c>
      <c r="J88" s="493" t="s">
        <v>2</v>
      </c>
      <c r="K88" s="491">
        <f t="shared" ref="K88:K94" ca="1" si="27">C88</f>
        <v>20.390454410534886</v>
      </c>
      <c r="L88" s="491">
        <f t="shared" ref="L88:L94" si="28">E88</f>
        <v>12</v>
      </c>
      <c r="M88" s="491">
        <f t="shared" ref="M88:M94" si="29">F88</f>
        <v>21</v>
      </c>
      <c r="N88" s="494"/>
      <c r="O88" s="739"/>
    </row>
    <row r="89" spans="1:16" x14ac:dyDescent="0.3">
      <c r="B89" s="493" t="s">
        <v>3</v>
      </c>
      <c r="C89" s="491">
        <f ca="1">IF(AND('PSA inputs'!$I$867=1,'PSA inputs'!$I$871=1),G89,D89)</f>
        <v>20.390454410534886</v>
      </c>
      <c r="D89" s="491">
        <f>'BoD input'!C102</f>
        <v>17</v>
      </c>
      <c r="E89" s="491">
        <f>'BoD input'!D102</f>
        <v>12</v>
      </c>
      <c r="F89" s="491">
        <f>'BoD input'!E102</f>
        <v>21</v>
      </c>
      <c r="G89" s="492">
        <f ca="1">'PSA inputs'!J103*$C$170</f>
        <v>20.390454410534886</v>
      </c>
      <c r="J89" s="493" t="s">
        <v>3</v>
      </c>
      <c r="K89" s="491">
        <f t="shared" ca="1" si="27"/>
        <v>20.390454410534886</v>
      </c>
      <c r="L89" s="491">
        <f t="shared" si="28"/>
        <v>12</v>
      </c>
      <c r="M89" s="491">
        <f t="shared" si="29"/>
        <v>21</v>
      </c>
      <c r="N89" s="494"/>
      <c r="O89" s="739"/>
    </row>
    <row r="90" spans="1:16" x14ac:dyDescent="0.3">
      <c r="B90" s="493" t="s">
        <v>4</v>
      </c>
      <c r="C90" s="491">
        <f ca="1">IF(AND('PSA inputs'!$I$867=1,'PSA inputs'!$I$871=1),G90,D90)</f>
        <v>20.390454410534886</v>
      </c>
      <c r="D90" s="491">
        <f>'BoD input'!C103</f>
        <v>17</v>
      </c>
      <c r="E90" s="491">
        <f>'BoD input'!D103</f>
        <v>12</v>
      </c>
      <c r="F90" s="491">
        <f>'BoD input'!E103</f>
        <v>21</v>
      </c>
      <c r="G90" s="492">
        <f ca="1">'PSA inputs'!J104*$C$170</f>
        <v>20.390454410534886</v>
      </c>
      <c r="J90" s="493" t="s">
        <v>4</v>
      </c>
      <c r="K90" s="491">
        <f t="shared" ca="1" si="27"/>
        <v>20.390454410534886</v>
      </c>
      <c r="L90" s="491">
        <f t="shared" si="28"/>
        <v>12</v>
      </c>
      <c r="M90" s="491">
        <f t="shared" si="29"/>
        <v>21</v>
      </c>
      <c r="N90" s="494"/>
      <c r="O90" s="739"/>
    </row>
    <row r="91" spans="1:16" x14ac:dyDescent="0.3">
      <c r="B91" s="493" t="s">
        <v>5</v>
      </c>
      <c r="C91" s="491">
        <f ca="1">IF(AND('PSA inputs'!$I$867=1,'PSA inputs'!$I$871=1),G91,D91)</f>
        <v>33.652570082276512</v>
      </c>
      <c r="D91" s="491">
        <f>'BoD input'!C104</f>
        <v>28</v>
      </c>
      <c r="E91" s="491">
        <f>'BoD input'!D104</f>
        <v>21</v>
      </c>
      <c r="F91" s="491">
        <f>'BoD input'!E104</f>
        <v>36</v>
      </c>
      <c r="G91" s="492">
        <f ca="1">'PSA inputs'!J105*$C$170</f>
        <v>33.652570082276512</v>
      </c>
      <c r="J91" s="493" t="s">
        <v>5</v>
      </c>
      <c r="K91" s="491">
        <f t="shared" ca="1" si="27"/>
        <v>33.652570082276512</v>
      </c>
      <c r="L91" s="491">
        <f t="shared" si="28"/>
        <v>21</v>
      </c>
      <c r="M91" s="491">
        <f t="shared" si="29"/>
        <v>36</v>
      </c>
      <c r="N91" s="494"/>
      <c r="O91" s="739"/>
    </row>
    <row r="92" spans="1:16" x14ac:dyDescent="0.3">
      <c r="B92" s="493" t="s">
        <v>6</v>
      </c>
      <c r="C92" s="491">
        <f ca="1">IF(AND('PSA inputs'!$I$867=1,'PSA inputs'!$I$871=1),G92,D92)</f>
        <v>33.652570082276512</v>
      </c>
      <c r="D92" s="491">
        <f>'BoD input'!C105</f>
        <v>28</v>
      </c>
      <c r="E92" s="491">
        <f>'BoD input'!D105</f>
        <v>21</v>
      </c>
      <c r="F92" s="491">
        <f>'BoD input'!E105</f>
        <v>36</v>
      </c>
      <c r="G92" s="492">
        <f ca="1">'PSA inputs'!J106*$C$170</f>
        <v>33.652570082276512</v>
      </c>
      <c r="J92" s="493" t="s">
        <v>6</v>
      </c>
      <c r="K92" s="491">
        <f t="shared" ca="1" si="27"/>
        <v>33.652570082276512</v>
      </c>
      <c r="L92" s="491">
        <f t="shared" si="28"/>
        <v>21</v>
      </c>
      <c r="M92" s="491">
        <f t="shared" si="29"/>
        <v>36</v>
      </c>
      <c r="N92" s="494"/>
      <c r="O92" s="739"/>
    </row>
    <row r="93" spans="1:16" x14ac:dyDescent="0.3">
      <c r="B93" s="493" t="s">
        <v>7</v>
      </c>
      <c r="C93" s="491">
        <f ca="1">IF(AND('PSA inputs'!$I$867=1,'PSA inputs'!$I$871=1),G93,D93)</f>
        <v>33.652570082276512</v>
      </c>
      <c r="D93" s="491">
        <f>'BoD input'!C106</f>
        <v>28</v>
      </c>
      <c r="E93" s="491">
        <f>'BoD input'!D106</f>
        <v>21</v>
      </c>
      <c r="F93" s="491">
        <f>'BoD input'!E106</f>
        <v>36</v>
      </c>
      <c r="G93" s="492">
        <f ca="1">'PSA inputs'!J107*$C$170</f>
        <v>33.652570082276512</v>
      </c>
      <c r="J93" s="493" t="s">
        <v>7</v>
      </c>
      <c r="K93" s="491">
        <f t="shared" ca="1" si="27"/>
        <v>33.652570082276512</v>
      </c>
      <c r="L93" s="491">
        <f t="shared" si="28"/>
        <v>21</v>
      </c>
      <c r="M93" s="491">
        <f t="shared" si="29"/>
        <v>36</v>
      </c>
      <c r="N93" s="494"/>
      <c r="O93" s="739"/>
    </row>
    <row r="94" spans="1:16" x14ac:dyDescent="0.3">
      <c r="B94" s="493" t="s">
        <v>1469</v>
      </c>
      <c r="C94" s="491">
        <f ca="1">IF(AND('PSA inputs'!$I$867=1,'PSA inputs'!$I$871=1),G94,D94)</f>
        <v>212.63664758675026</v>
      </c>
      <c r="D94" s="491">
        <f>'BoD input'!C107</f>
        <v>138</v>
      </c>
      <c r="E94" s="491">
        <f>'BoD input'!D107</f>
        <v>57</v>
      </c>
      <c r="F94" s="491">
        <f>'BoD input'!E107</f>
        <v>248</v>
      </c>
      <c r="G94" s="492">
        <f ca="1">'PSA inputs'!J108*$C$170</f>
        <v>212.63664758675026</v>
      </c>
      <c r="J94" s="493" t="s">
        <v>1469</v>
      </c>
      <c r="K94" s="491">
        <f t="shared" ca="1" si="27"/>
        <v>212.63664758675026</v>
      </c>
      <c r="L94" s="491">
        <f t="shared" si="28"/>
        <v>57</v>
      </c>
      <c r="M94" s="491">
        <f t="shared" si="29"/>
        <v>248</v>
      </c>
      <c r="N94" s="494"/>
      <c r="O94" s="739"/>
    </row>
    <row r="95" spans="1:16" x14ac:dyDescent="0.3">
      <c r="A95" s="500"/>
      <c r="B95" s="487" t="s">
        <v>1444</v>
      </c>
      <c r="C95" s="557"/>
      <c r="D95" s="496"/>
      <c r="E95" s="496"/>
      <c r="F95" s="496"/>
      <c r="G95" s="496"/>
      <c r="J95" s="487" t="s">
        <v>988</v>
      </c>
      <c r="K95" s="496"/>
      <c r="L95" s="496"/>
      <c r="M95" s="496"/>
    </row>
    <row r="96" spans="1:16" x14ac:dyDescent="0.3">
      <c r="B96" s="493" t="s">
        <v>2</v>
      </c>
      <c r="C96" s="491">
        <f ca="1">IF(AND('PSA inputs'!$I$867=1,'PSA inputs'!$I$871=1),G96,D96)</f>
        <v>13.870686741546359</v>
      </c>
      <c r="D96" s="491">
        <f>'BoD input'!C109</f>
        <v>17</v>
      </c>
      <c r="E96" s="491">
        <f>'BoD input'!D109</f>
        <v>12</v>
      </c>
      <c r="F96" s="491">
        <f>'BoD input'!E109</f>
        <v>21</v>
      </c>
      <c r="G96" s="492">
        <f ca="1">'PSA inputs'!J110*$C$170</f>
        <v>13.870686741546359</v>
      </c>
      <c r="J96" s="493" t="s">
        <v>2</v>
      </c>
      <c r="K96" s="491">
        <f t="shared" ref="K96:K102" ca="1" si="30">C96</f>
        <v>13.870686741546359</v>
      </c>
      <c r="L96" s="491">
        <f t="shared" ref="L96:L102" si="31">E96</f>
        <v>12</v>
      </c>
      <c r="M96" s="491">
        <f t="shared" ref="M96:M102" si="32">F96</f>
        <v>21</v>
      </c>
      <c r="N96" s="494"/>
      <c r="O96" s="739"/>
    </row>
    <row r="97" spans="1:16" x14ac:dyDescent="0.3">
      <c r="B97" s="493" t="s">
        <v>3</v>
      </c>
      <c r="C97" s="491">
        <f ca="1">IF(AND('PSA inputs'!$I$867=1,'PSA inputs'!$I$871=1),G97,D97)</f>
        <v>13.870686741546359</v>
      </c>
      <c r="D97" s="491">
        <f>'BoD input'!C110</f>
        <v>17</v>
      </c>
      <c r="E97" s="491">
        <f>'BoD input'!D110</f>
        <v>12</v>
      </c>
      <c r="F97" s="491">
        <f>'BoD input'!E110</f>
        <v>21</v>
      </c>
      <c r="G97" s="492">
        <f ca="1">'PSA inputs'!J111*$C$170</f>
        <v>13.870686741546359</v>
      </c>
      <c r="J97" s="493" t="s">
        <v>3</v>
      </c>
      <c r="K97" s="491">
        <f t="shared" ca="1" si="30"/>
        <v>13.870686741546359</v>
      </c>
      <c r="L97" s="491">
        <f t="shared" si="31"/>
        <v>12</v>
      </c>
      <c r="M97" s="491">
        <f t="shared" si="32"/>
        <v>21</v>
      </c>
      <c r="N97" s="494"/>
      <c r="O97" s="739"/>
    </row>
    <row r="98" spans="1:16" x14ac:dyDescent="0.3">
      <c r="B98" s="493" t="s">
        <v>4</v>
      </c>
      <c r="C98" s="491">
        <f ca="1">IF(AND('PSA inputs'!$I$867=1,'PSA inputs'!$I$871=1),G98,D98)</f>
        <v>13.870686741546359</v>
      </c>
      <c r="D98" s="491">
        <f>'BoD input'!C111</f>
        <v>17</v>
      </c>
      <c r="E98" s="491">
        <f>'BoD input'!D111</f>
        <v>12</v>
      </c>
      <c r="F98" s="491">
        <f>'BoD input'!E111</f>
        <v>21</v>
      </c>
      <c r="G98" s="492">
        <f ca="1">'PSA inputs'!J112*$C$170</f>
        <v>13.870686741546359</v>
      </c>
      <c r="J98" s="493" t="s">
        <v>4</v>
      </c>
      <c r="K98" s="491">
        <f t="shared" ca="1" si="30"/>
        <v>13.870686741546359</v>
      </c>
      <c r="L98" s="491">
        <f t="shared" si="31"/>
        <v>12</v>
      </c>
      <c r="M98" s="491">
        <f t="shared" si="32"/>
        <v>21</v>
      </c>
      <c r="N98" s="494"/>
      <c r="O98" s="739"/>
    </row>
    <row r="99" spans="1:16" x14ac:dyDescent="0.3">
      <c r="B99" s="493" t="s">
        <v>5</v>
      </c>
      <c r="C99" s="491">
        <f ca="1">IF(AND('PSA inputs'!$I$867=1,'PSA inputs'!$I$871=1),G99,D99)</f>
        <v>66.720222283960851</v>
      </c>
      <c r="D99" s="491">
        <f>'BoD input'!C112</f>
        <v>81</v>
      </c>
      <c r="E99" s="491">
        <f>'BoD input'!D112</f>
        <v>60</v>
      </c>
      <c r="F99" s="491">
        <f>'BoD input'!E112</f>
        <v>101</v>
      </c>
      <c r="G99" s="492">
        <f ca="1">'PSA inputs'!J113*$C$170</f>
        <v>66.720222283960851</v>
      </c>
      <c r="J99" s="493" t="s">
        <v>5</v>
      </c>
      <c r="K99" s="491">
        <f t="shared" ca="1" si="30"/>
        <v>66.720222283960851</v>
      </c>
      <c r="L99" s="491">
        <f t="shared" si="31"/>
        <v>60</v>
      </c>
      <c r="M99" s="491">
        <f t="shared" si="32"/>
        <v>101</v>
      </c>
      <c r="N99" s="494"/>
      <c r="O99" s="739"/>
    </row>
    <row r="100" spans="1:16" x14ac:dyDescent="0.3">
      <c r="B100" s="493" t="s">
        <v>6</v>
      </c>
      <c r="C100" s="491">
        <f ca="1">IF(AND('PSA inputs'!$I$867=1,'PSA inputs'!$I$871=1),G100,D100)</f>
        <v>66.720222283960851</v>
      </c>
      <c r="D100" s="491">
        <f>'BoD input'!C113</f>
        <v>81</v>
      </c>
      <c r="E100" s="491">
        <f>'BoD input'!D113</f>
        <v>60</v>
      </c>
      <c r="F100" s="491">
        <f>'BoD input'!E113</f>
        <v>101</v>
      </c>
      <c r="G100" s="492">
        <f ca="1">'PSA inputs'!J114*$C$170</f>
        <v>66.720222283960851</v>
      </c>
      <c r="J100" s="493" t="s">
        <v>6</v>
      </c>
      <c r="K100" s="491">
        <f t="shared" ca="1" si="30"/>
        <v>66.720222283960851</v>
      </c>
      <c r="L100" s="491">
        <f t="shared" si="31"/>
        <v>60</v>
      </c>
      <c r="M100" s="491">
        <f t="shared" si="32"/>
        <v>101</v>
      </c>
      <c r="N100" s="494"/>
      <c r="O100" s="739"/>
    </row>
    <row r="101" spans="1:16" x14ac:dyDescent="0.3">
      <c r="B101" s="493" t="s">
        <v>7</v>
      </c>
      <c r="C101" s="491">
        <f ca="1">IF(AND('PSA inputs'!$I$867=1,'PSA inputs'!$I$871=1),G101,D101)</f>
        <v>66.720222283960851</v>
      </c>
      <c r="D101" s="491">
        <f>'BoD input'!C114</f>
        <v>81</v>
      </c>
      <c r="E101" s="491">
        <f>'BoD input'!D114</f>
        <v>60</v>
      </c>
      <c r="F101" s="491">
        <f>'BoD input'!E114</f>
        <v>101</v>
      </c>
      <c r="G101" s="492">
        <f ca="1">'PSA inputs'!J115*$C$170</f>
        <v>66.720222283960851</v>
      </c>
      <c r="J101" s="493" t="s">
        <v>7</v>
      </c>
      <c r="K101" s="491">
        <f t="shared" ca="1" si="30"/>
        <v>66.720222283960851</v>
      </c>
      <c r="L101" s="491">
        <f t="shared" si="31"/>
        <v>60</v>
      </c>
      <c r="M101" s="491">
        <f t="shared" si="32"/>
        <v>101</v>
      </c>
      <c r="N101" s="494"/>
      <c r="O101" s="739"/>
    </row>
    <row r="102" spans="1:16" x14ac:dyDescent="0.3">
      <c r="B102" s="493" t="s">
        <v>1469</v>
      </c>
      <c r="C102" s="491">
        <f ca="1">IF(AND('PSA inputs'!$I$867=1,'PSA inputs'!$I$871=1),G102,D102)</f>
        <v>76.076127752526233</v>
      </c>
      <c r="D102" s="491">
        <f>'BoD input'!C115</f>
        <v>138</v>
      </c>
      <c r="E102" s="491">
        <f>'BoD input'!D115</f>
        <v>57</v>
      </c>
      <c r="F102" s="491">
        <f>'BoD input'!E115</f>
        <v>248</v>
      </c>
      <c r="G102" s="492">
        <f ca="1">'PSA inputs'!J116*$C$170</f>
        <v>76.076127752526233</v>
      </c>
      <c r="J102" s="493" t="s">
        <v>1469</v>
      </c>
      <c r="K102" s="491">
        <f t="shared" ca="1" si="30"/>
        <v>76.076127752526233</v>
      </c>
      <c r="L102" s="491">
        <f t="shared" si="31"/>
        <v>57</v>
      </c>
      <c r="M102" s="491">
        <f t="shared" si="32"/>
        <v>248</v>
      </c>
      <c r="N102" s="494"/>
      <c r="O102" s="739"/>
    </row>
    <row r="103" spans="1:16" x14ac:dyDescent="0.3">
      <c r="B103" s="498" t="s">
        <v>227</v>
      </c>
      <c r="C103" s="557"/>
      <c r="D103" s="496"/>
      <c r="E103" s="496"/>
      <c r="F103" s="496"/>
      <c r="G103" s="496"/>
      <c r="J103" s="498" t="s">
        <v>227</v>
      </c>
      <c r="K103" s="496"/>
      <c r="L103" s="496"/>
      <c r="M103" s="496"/>
      <c r="N103" s="504"/>
      <c r="O103" s="741"/>
    </row>
    <row r="104" spans="1:16" x14ac:dyDescent="0.3">
      <c r="B104" s="490" t="s">
        <v>1437</v>
      </c>
      <c r="C104" s="491">
        <f ca="1">IF(AND('PSA inputs'!$I$867=1,'PSA inputs'!$I$871=1),G104,D104)</f>
        <v>17.453279108414765</v>
      </c>
      <c r="D104" s="491">
        <f>'BoD input'!C117</f>
        <v>16</v>
      </c>
      <c r="E104" s="491">
        <f>'BoD input'!D117</f>
        <v>12</v>
      </c>
      <c r="F104" s="491">
        <f>'BoD input'!E117</f>
        <v>21</v>
      </c>
      <c r="G104" s="492">
        <f ca="1">'PSA inputs'!J118*$C$170</f>
        <v>17.453279108414765</v>
      </c>
      <c r="J104" s="490" t="s">
        <v>1437</v>
      </c>
      <c r="K104" s="491">
        <f t="shared" ref="K104:K107" ca="1" si="33">C104</f>
        <v>17.453279108414765</v>
      </c>
      <c r="L104" s="491">
        <f t="shared" ref="L104:L107" si="34">E104</f>
        <v>12</v>
      </c>
      <c r="M104" s="491">
        <f t="shared" ref="M104:M107" si="35">F104</f>
        <v>21</v>
      </c>
    </row>
    <row r="105" spans="1:16" x14ac:dyDescent="0.3">
      <c r="B105" s="490" t="s">
        <v>1438</v>
      </c>
      <c r="C105" s="491">
        <f ca="1">IF(AND('PSA inputs'!$I$867=1,'PSA inputs'!$I$871=1),G105,D105)</f>
        <v>17.453279108414765</v>
      </c>
      <c r="D105" s="491">
        <f>'BoD input'!C118</f>
        <v>16</v>
      </c>
      <c r="E105" s="491">
        <f>'BoD input'!D118</f>
        <v>12</v>
      </c>
      <c r="F105" s="491">
        <f>'BoD input'!E118</f>
        <v>21</v>
      </c>
      <c r="G105" s="492">
        <f ca="1">'PSA inputs'!J119*$C$170</f>
        <v>17.453279108414765</v>
      </c>
      <c r="J105" s="490" t="s">
        <v>1438</v>
      </c>
      <c r="K105" s="491">
        <f t="shared" ca="1" si="33"/>
        <v>17.453279108414765</v>
      </c>
      <c r="L105" s="491">
        <f t="shared" si="34"/>
        <v>12</v>
      </c>
      <c r="M105" s="491">
        <f t="shared" si="35"/>
        <v>21</v>
      </c>
    </row>
    <row r="106" spans="1:16" x14ac:dyDescent="0.3">
      <c r="B106" s="490" t="s">
        <v>1441</v>
      </c>
      <c r="C106" s="491">
        <f ca="1">IF(AND('PSA inputs'!$I$867=1,'PSA inputs'!$I$871=1),G106,D106)</f>
        <v>67.254249192205691</v>
      </c>
      <c r="D106" s="491">
        <f>'BoD input'!C119</f>
        <v>61</v>
      </c>
      <c r="E106" s="491">
        <f>'BoD input'!D119</f>
        <v>41</v>
      </c>
      <c r="F106" s="491">
        <f>'BoD input'!E119</f>
        <v>80</v>
      </c>
      <c r="G106" s="492">
        <f ca="1">'PSA inputs'!J120*$C$170</f>
        <v>67.254249192205691</v>
      </c>
      <c r="J106" s="490" t="s">
        <v>1441</v>
      </c>
      <c r="K106" s="491">
        <f t="shared" ca="1" si="33"/>
        <v>67.254249192205691</v>
      </c>
      <c r="L106" s="491">
        <f t="shared" si="34"/>
        <v>41</v>
      </c>
      <c r="M106" s="491">
        <f t="shared" si="35"/>
        <v>80</v>
      </c>
      <c r="N106" s="494"/>
      <c r="O106" s="739"/>
    </row>
    <row r="107" spans="1:16" x14ac:dyDescent="0.3">
      <c r="B107" s="490" t="s">
        <v>1442</v>
      </c>
      <c r="C107" s="491">
        <f ca="1">IF(AND('PSA inputs'!$I$867=1,'PSA inputs'!$I$871=1),G107,D107)</f>
        <v>67.254249192205691</v>
      </c>
      <c r="D107" s="491">
        <f>'BoD input'!C120</f>
        <v>61</v>
      </c>
      <c r="E107" s="491">
        <f>'BoD input'!D120</f>
        <v>41</v>
      </c>
      <c r="F107" s="491">
        <f>'BoD input'!E120</f>
        <v>80</v>
      </c>
      <c r="G107" s="492">
        <f ca="1">'PSA inputs'!J121*$C$170</f>
        <v>67.254249192205691</v>
      </c>
      <c r="J107" s="490" t="s">
        <v>1442</v>
      </c>
      <c r="K107" s="491">
        <f t="shared" ca="1" si="33"/>
        <v>67.254249192205691</v>
      </c>
      <c r="L107" s="491">
        <f t="shared" si="34"/>
        <v>41</v>
      </c>
      <c r="M107" s="491">
        <f t="shared" si="35"/>
        <v>80</v>
      </c>
      <c r="N107" s="494"/>
      <c r="O107" s="739"/>
    </row>
    <row r="108" spans="1:16" x14ac:dyDescent="0.3">
      <c r="B108" s="498" t="s">
        <v>920</v>
      </c>
      <c r="C108" s="557"/>
      <c r="D108" s="496"/>
      <c r="E108" s="496"/>
      <c r="F108" s="496"/>
      <c r="G108" s="496"/>
      <c r="J108" s="498" t="s">
        <v>920</v>
      </c>
      <c r="K108" s="496"/>
      <c r="L108" s="496"/>
      <c r="M108" s="496"/>
      <c r="N108" s="504"/>
      <c r="O108" s="741"/>
    </row>
    <row r="109" spans="1:16" x14ac:dyDescent="0.3">
      <c r="B109" s="490" t="s">
        <v>920</v>
      </c>
      <c r="C109" s="491">
        <f>IF(AND('PSA inputs'!$I$867=1,'PSA inputs'!$I$871=1),G109,D109)</f>
        <v>0</v>
      </c>
      <c r="D109" s="491">
        <f>'BoD input'!C122</f>
        <v>0</v>
      </c>
      <c r="E109" s="491">
        <f>'BoD input'!D122</f>
        <v>0</v>
      </c>
      <c r="F109" s="491">
        <f>'BoD input'!E122</f>
        <v>0</v>
      </c>
      <c r="G109" s="492">
        <f>'PSA inputs'!J123*$C$170</f>
        <v>0</v>
      </c>
      <c r="J109" s="490" t="s">
        <v>920</v>
      </c>
      <c r="K109" s="491">
        <f t="shared" ref="K109:K110" si="36">C109</f>
        <v>0</v>
      </c>
      <c r="L109" s="491">
        <f t="shared" ref="L109:L110" si="37">E109</f>
        <v>0</v>
      </c>
      <c r="M109" s="491">
        <f t="shared" ref="M109:M110" si="38">F109</f>
        <v>0</v>
      </c>
      <c r="N109" s="494"/>
      <c r="O109" s="739"/>
    </row>
    <row r="110" spans="1:16" x14ac:dyDescent="0.3">
      <c r="B110" s="490" t="s">
        <v>980</v>
      </c>
      <c r="C110" s="491">
        <f>IF(AND('PSA inputs'!$I$867=1,'PSA inputs'!$I$871=1),G110,D110)</f>
        <v>0</v>
      </c>
      <c r="D110" s="491">
        <f>'BoD input'!C123</f>
        <v>0</v>
      </c>
      <c r="E110" s="491">
        <f>'BoD input'!D123</f>
        <v>0</v>
      </c>
      <c r="F110" s="491">
        <f>'BoD input'!E123</f>
        <v>0</v>
      </c>
      <c r="G110" s="492">
        <f>'PSA inputs'!J124*$C$170</f>
        <v>0</v>
      </c>
      <c r="J110" s="490" t="s">
        <v>980</v>
      </c>
      <c r="K110" s="491">
        <f t="shared" si="36"/>
        <v>0</v>
      </c>
      <c r="L110" s="491">
        <f t="shared" si="37"/>
        <v>0</v>
      </c>
      <c r="M110" s="491">
        <f t="shared" si="38"/>
        <v>0</v>
      </c>
      <c r="N110" s="494"/>
      <c r="O110" s="739"/>
    </row>
    <row r="111" spans="1:16" x14ac:dyDescent="0.3">
      <c r="B111" s="488"/>
      <c r="C111" s="488"/>
      <c r="D111" s="488"/>
      <c r="E111" s="488"/>
      <c r="F111" s="488"/>
      <c r="G111" s="488"/>
    </row>
    <row r="112" spans="1:16" x14ac:dyDescent="0.3">
      <c r="A112" s="503"/>
      <c r="B112" s="483" t="s">
        <v>1582</v>
      </c>
      <c r="C112" s="483"/>
      <c r="D112" s="483"/>
      <c r="E112" s="483"/>
      <c r="F112" s="483"/>
      <c r="G112" s="483"/>
      <c r="J112" s="483" t="s">
        <v>989</v>
      </c>
      <c r="K112" s="483"/>
      <c r="L112" s="483"/>
      <c r="M112" s="483"/>
      <c r="P112" s="481" t="s">
        <v>682</v>
      </c>
    </row>
    <row r="113" spans="1:16" x14ac:dyDescent="0.3">
      <c r="A113" s="500"/>
      <c r="B113" s="484" t="s">
        <v>950</v>
      </c>
      <c r="C113" s="485" t="s">
        <v>724</v>
      </c>
      <c r="D113" s="485" t="s">
        <v>995</v>
      </c>
      <c r="E113" s="485" t="s">
        <v>985</v>
      </c>
      <c r="F113" s="485" t="s">
        <v>986</v>
      </c>
      <c r="G113" s="485" t="s">
        <v>996</v>
      </c>
      <c r="J113" s="484" t="s">
        <v>950</v>
      </c>
      <c r="K113" s="485" t="s">
        <v>724</v>
      </c>
      <c r="L113" s="485" t="s">
        <v>985</v>
      </c>
      <c r="M113" s="485" t="s">
        <v>986</v>
      </c>
      <c r="N113" s="486"/>
      <c r="O113" s="738"/>
      <c r="P113" s="481" t="s">
        <v>679</v>
      </c>
    </row>
    <row r="114" spans="1:16" x14ac:dyDescent="0.3">
      <c r="A114" s="500"/>
      <c r="B114" s="487" t="s">
        <v>1445</v>
      </c>
      <c r="C114" s="488"/>
      <c r="D114" s="488"/>
      <c r="E114" s="488"/>
      <c r="F114" s="488"/>
      <c r="G114" s="488"/>
      <c r="J114" s="487" t="s">
        <v>988</v>
      </c>
      <c r="K114" s="488"/>
      <c r="L114" s="488"/>
      <c r="M114" s="488"/>
    </row>
    <row r="115" spans="1:16" x14ac:dyDescent="0.3">
      <c r="B115" s="493" t="s">
        <v>2</v>
      </c>
      <c r="C115" s="522">
        <f>D115</f>
        <v>0.98556222995046894</v>
      </c>
      <c r="D115" s="522">
        <f>'BoD input'!C131</f>
        <v>0.98556222995046894</v>
      </c>
      <c r="E115" s="522">
        <f>'BoD input'!D131</f>
        <v>0.98558255269320838</v>
      </c>
      <c r="F115" s="522">
        <f>'BoD input'!E131</f>
        <v>0.98555079861682859</v>
      </c>
      <c r="G115" s="492"/>
      <c r="J115" s="493" t="s">
        <v>2</v>
      </c>
      <c r="K115" s="522">
        <f t="shared" ref="K115:K121" si="39">C115</f>
        <v>0.98556222995046894</v>
      </c>
      <c r="L115" s="522">
        <f t="shared" ref="L115:L121" si="40">E115</f>
        <v>0.98558255269320838</v>
      </c>
      <c r="M115" s="522">
        <f t="shared" ref="M115:M121" si="41">F115</f>
        <v>0.98555079861682859</v>
      </c>
      <c r="N115" s="494"/>
      <c r="O115" s="739"/>
    </row>
    <row r="116" spans="1:16" x14ac:dyDescent="0.3">
      <c r="B116" s="493" t="s">
        <v>3</v>
      </c>
      <c r="C116" s="522">
        <f t="shared" ref="C116:C137" si="42">D116</f>
        <v>0.98556222995046894</v>
      </c>
      <c r="D116" s="522">
        <f>'BoD input'!C132</f>
        <v>0.98556222995046894</v>
      </c>
      <c r="E116" s="522">
        <f>'BoD input'!D132</f>
        <v>0.98558255269320838</v>
      </c>
      <c r="F116" s="522">
        <f>'BoD input'!E132</f>
        <v>0.98555079861682859</v>
      </c>
      <c r="G116" s="492"/>
      <c r="J116" s="493" t="s">
        <v>3</v>
      </c>
      <c r="K116" s="522">
        <f t="shared" si="39"/>
        <v>0.98556222995046894</v>
      </c>
      <c r="L116" s="522">
        <f t="shared" si="40"/>
        <v>0.98558255269320838</v>
      </c>
      <c r="M116" s="522">
        <f t="shared" si="41"/>
        <v>0.98555079861682859</v>
      </c>
      <c r="N116" s="494"/>
      <c r="O116" s="739"/>
    </row>
    <row r="117" spans="1:16" x14ac:dyDescent="0.3">
      <c r="B117" s="493" t="s">
        <v>4</v>
      </c>
      <c r="C117" s="522">
        <f t="shared" si="42"/>
        <v>0.98556222995046894</v>
      </c>
      <c r="D117" s="522">
        <f>'BoD input'!C133</f>
        <v>0.98556222995046894</v>
      </c>
      <c r="E117" s="522">
        <f>'BoD input'!D133</f>
        <v>0.98558255269320838</v>
      </c>
      <c r="F117" s="522">
        <f>'BoD input'!E133</f>
        <v>0.98555079861682859</v>
      </c>
      <c r="G117" s="492"/>
      <c r="J117" s="493" t="s">
        <v>4</v>
      </c>
      <c r="K117" s="522">
        <f t="shared" si="39"/>
        <v>0.98556222995046894</v>
      </c>
      <c r="L117" s="522">
        <f t="shared" si="40"/>
        <v>0.98558255269320838</v>
      </c>
      <c r="M117" s="522">
        <f t="shared" si="41"/>
        <v>0.98555079861682859</v>
      </c>
      <c r="N117" s="494"/>
      <c r="O117" s="739"/>
    </row>
    <row r="118" spans="1:16" x14ac:dyDescent="0.3">
      <c r="B118" s="493" t="s">
        <v>5</v>
      </c>
      <c r="C118" s="522">
        <f t="shared" si="42"/>
        <v>0.99021410744778671</v>
      </c>
      <c r="D118" s="522">
        <f>'BoD input'!C134</f>
        <v>0.99021410744778671</v>
      </c>
      <c r="E118" s="522">
        <f>'BoD input'!D134</f>
        <v>0.99023697523741905</v>
      </c>
      <c r="F118" s="522">
        <f>'BoD input'!E134</f>
        <v>0.99020067761271824</v>
      </c>
      <c r="G118" s="492"/>
      <c r="J118" s="493" t="s">
        <v>5</v>
      </c>
      <c r="K118" s="522">
        <f t="shared" si="39"/>
        <v>0.99021410744778671</v>
      </c>
      <c r="L118" s="522">
        <f t="shared" si="40"/>
        <v>0.99023697523741905</v>
      </c>
      <c r="M118" s="522">
        <f t="shared" si="41"/>
        <v>0.99020067761271824</v>
      </c>
      <c r="N118" s="494"/>
      <c r="O118" s="739"/>
    </row>
    <row r="119" spans="1:16" x14ac:dyDescent="0.3">
      <c r="B119" s="493" t="s">
        <v>6</v>
      </c>
      <c r="C119" s="522">
        <f t="shared" si="42"/>
        <v>0.99021410744778671</v>
      </c>
      <c r="D119" s="522">
        <f>'BoD input'!C135</f>
        <v>0.99021410744778671</v>
      </c>
      <c r="E119" s="522">
        <f>'BoD input'!D135</f>
        <v>0.99023697523741905</v>
      </c>
      <c r="F119" s="522">
        <f>'BoD input'!E135</f>
        <v>0.99020067761271824</v>
      </c>
      <c r="G119" s="492"/>
      <c r="J119" s="493" t="s">
        <v>6</v>
      </c>
      <c r="K119" s="522">
        <f t="shared" si="39"/>
        <v>0.99021410744778671</v>
      </c>
      <c r="L119" s="522">
        <f t="shared" si="40"/>
        <v>0.99023697523741905</v>
      </c>
      <c r="M119" s="522">
        <f t="shared" si="41"/>
        <v>0.99020067761271824</v>
      </c>
      <c r="N119" s="494"/>
      <c r="O119" s="739"/>
    </row>
    <row r="120" spans="1:16" x14ac:dyDescent="0.3">
      <c r="B120" s="493" t="s">
        <v>7</v>
      </c>
      <c r="C120" s="522">
        <f t="shared" si="42"/>
        <v>0.99021410744778671</v>
      </c>
      <c r="D120" s="522">
        <f>'BoD input'!C136</f>
        <v>0.99021410744778671</v>
      </c>
      <c r="E120" s="522">
        <f>'BoD input'!D136</f>
        <v>0.99023697523741905</v>
      </c>
      <c r="F120" s="522">
        <f>'BoD input'!E136</f>
        <v>0.99020067761271824</v>
      </c>
      <c r="G120" s="492"/>
      <c r="J120" s="493" t="s">
        <v>7</v>
      </c>
      <c r="K120" s="522">
        <f t="shared" si="39"/>
        <v>0.99021410744778671</v>
      </c>
      <c r="L120" s="522">
        <f t="shared" si="40"/>
        <v>0.99023697523741905</v>
      </c>
      <c r="M120" s="522">
        <f t="shared" si="41"/>
        <v>0.99020067761271824</v>
      </c>
      <c r="N120" s="494"/>
      <c r="O120" s="739"/>
    </row>
    <row r="121" spans="1:16" x14ac:dyDescent="0.3">
      <c r="B121" s="493" t="s">
        <v>1469</v>
      </c>
      <c r="C121" s="522">
        <f t="shared" si="42"/>
        <v>0.82596463022508038</v>
      </c>
      <c r="D121" s="522">
        <f>'BoD input'!C137</f>
        <v>0.82596463022508038</v>
      </c>
      <c r="E121" s="522">
        <f>'BoD input'!D137</f>
        <v>0.82318271119842834</v>
      </c>
      <c r="F121" s="522">
        <f>'BoD input'!E137</f>
        <v>0.80529440870856017</v>
      </c>
      <c r="G121" s="492"/>
      <c r="J121" s="493" t="s">
        <v>1469</v>
      </c>
      <c r="K121" s="522">
        <f t="shared" si="39"/>
        <v>0.82596463022508038</v>
      </c>
      <c r="L121" s="522">
        <f t="shared" si="40"/>
        <v>0.82318271119842834</v>
      </c>
      <c r="M121" s="522">
        <f t="shared" si="41"/>
        <v>0.80529440870856017</v>
      </c>
      <c r="N121" s="494"/>
      <c r="O121" s="739"/>
    </row>
    <row r="122" spans="1:16" x14ac:dyDescent="0.3">
      <c r="A122" s="500"/>
      <c r="B122" s="487" t="s">
        <v>1444</v>
      </c>
      <c r="C122" s="598"/>
      <c r="D122" s="598"/>
      <c r="E122" s="598"/>
      <c r="F122" s="598"/>
      <c r="G122" s="496"/>
      <c r="J122" s="487" t="s">
        <v>988</v>
      </c>
      <c r="K122" s="598"/>
      <c r="L122" s="598"/>
      <c r="M122" s="598"/>
    </row>
    <row r="123" spans="1:16" x14ac:dyDescent="0.3">
      <c r="B123" s="493" t="s">
        <v>2</v>
      </c>
      <c r="C123" s="522">
        <f t="shared" si="42"/>
        <v>0</v>
      </c>
      <c r="D123" s="522">
        <f>'BoD input'!C139</f>
        <v>0</v>
      </c>
      <c r="E123" s="522">
        <f>'BoD input'!D139</f>
        <v>0</v>
      </c>
      <c r="F123" s="522">
        <f>'BoD input'!E139</f>
        <v>0</v>
      </c>
      <c r="G123" s="492"/>
      <c r="J123" s="493" t="s">
        <v>2</v>
      </c>
      <c r="K123" s="522">
        <f t="shared" ref="K123:K129" si="43">C123</f>
        <v>0</v>
      </c>
      <c r="L123" s="522">
        <f t="shared" ref="L123:L129" si="44">E123</f>
        <v>0</v>
      </c>
      <c r="M123" s="522">
        <f t="shared" ref="M123:M129" si="45">F123</f>
        <v>0</v>
      </c>
      <c r="N123" s="494"/>
      <c r="O123" s="739"/>
    </row>
    <row r="124" spans="1:16" x14ac:dyDescent="0.3">
      <c r="B124" s="493" t="s">
        <v>3</v>
      </c>
      <c r="C124" s="522">
        <f t="shared" si="42"/>
        <v>0</v>
      </c>
      <c r="D124" s="522">
        <f>'BoD input'!C140</f>
        <v>0</v>
      </c>
      <c r="E124" s="522">
        <f>'BoD input'!D140</f>
        <v>0</v>
      </c>
      <c r="F124" s="522">
        <f>'BoD input'!E140</f>
        <v>0</v>
      </c>
      <c r="G124" s="492"/>
      <c r="J124" s="493" t="s">
        <v>3</v>
      </c>
      <c r="K124" s="522">
        <f t="shared" si="43"/>
        <v>0</v>
      </c>
      <c r="L124" s="522">
        <f t="shared" si="44"/>
        <v>0</v>
      </c>
      <c r="M124" s="522">
        <f t="shared" si="45"/>
        <v>0</v>
      </c>
      <c r="N124" s="494"/>
      <c r="O124" s="739"/>
    </row>
    <row r="125" spans="1:16" x14ac:dyDescent="0.3">
      <c r="B125" s="493" t="s">
        <v>4</v>
      </c>
      <c r="C125" s="522">
        <f t="shared" si="42"/>
        <v>0</v>
      </c>
      <c r="D125" s="522">
        <f>'BoD input'!C141</f>
        <v>0</v>
      </c>
      <c r="E125" s="522">
        <f>'BoD input'!D141</f>
        <v>0</v>
      </c>
      <c r="F125" s="522">
        <f>'BoD input'!E141</f>
        <v>0</v>
      </c>
      <c r="G125" s="492"/>
      <c r="J125" s="493" t="s">
        <v>4</v>
      </c>
      <c r="K125" s="522">
        <f t="shared" si="43"/>
        <v>0</v>
      </c>
      <c r="L125" s="522">
        <f t="shared" si="44"/>
        <v>0</v>
      </c>
      <c r="M125" s="522">
        <f t="shared" si="45"/>
        <v>0</v>
      </c>
      <c r="N125" s="494"/>
      <c r="O125" s="739"/>
    </row>
    <row r="126" spans="1:16" x14ac:dyDescent="0.3">
      <c r="B126" s="493" t="s">
        <v>5</v>
      </c>
      <c r="C126" s="522">
        <f t="shared" si="42"/>
        <v>0.97459599224305105</v>
      </c>
      <c r="D126" s="522">
        <f>'BoD input'!C142</f>
        <v>0.97459599224305105</v>
      </c>
      <c r="E126" s="522">
        <f>'BoD input'!D142</f>
        <v>0.97457334942251339</v>
      </c>
      <c r="F126" s="522">
        <f>'BoD input'!E142</f>
        <v>0.97460826394994049</v>
      </c>
      <c r="G126" s="492"/>
      <c r="J126" s="493" t="s">
        <v>5</v>
      </c>
      <c r="K126" s="522">
        <f t="shared" si="43"/>
        <v>0.97459599224305105</v>
      </c>
      <c r="L126" s="522">
        <f t="shared" si="44"/>
        <v>0.97457334942251339</v>
      </c>
      <c r="M126" s="522">
        <f t="shared" si="45"/>
        <v>0.97460826394994049</v>
      </c>
      <c r="N126" s="494"/>
      <c r="O126" s="739"/>
    </row>
    <row r="127" spans="1:16" x14ac:dyDescent="0.3">
      <c r="B127" s="493" t="s">
        <v>6</v>
      </c>
      <c r="C127" s="522">
        <f t="shared" si="42"/>
        <v>0.97459599224305105</v>
      </c>
      <c r="D127" s="522">
        <f>'BoD input'!C143</f>
        <v>0.97459599224305105</v>
      </c>
      <c r="E127" s="522">
        <f>'BoD input'!D143</f>
        <v>0.97457334942251339</v>
      </c>
      <c r="F127" s="522">
        <f>'BoD input'!E143</f>
        <v>0.97460826394994049</v>
      </c>
      <c r="G127" s="492"/>
      <c r="J127" s="493" t="s">
        <v>6</v>
      </c>
      <c r="K127" s="522">
        <f t="shared" si="43"/>
        <v>0.97459599224305105</v>
      </c>
      <c r="L127" s="522">
        <f t="shared" si="44"/>
        <v>0.97457334942251339</v>
      </c>
      <c r="M127" s="522">
        <f t="shared" si="45"/>
        <v>0.97460826394994049</v>
      </c>
      <c r="N127" s="494"/>
      <c r="O127" s="739"/>
    </row>
    <row r="128" spans="1:16" x14ac:dyDescent="0.3">
      <c r="B128" s="493" t="s">
        <v>7</v>
      </c>
      <c r="C128" s="522">
        <f t="shared" si="42"/>
        <v>0.97459599224305105</v>
      </c>
      <c r="D128" s="522">
        <f>'BoD input'!C144</f>
        <v>0.97459599224305105</v>
      </c>
      <c r="E128" s="522">
        <f>'BoD input'!D144</f>
        <v>0.97457334942251339</v>
      </c>
      <c r="F128" s="522">
        <f>'BoD input'!E144</f>
        <v>0.97460826394994049</v>
      </c>
      <c r="G128" s="492"/>
      <c r="J128" s="493" t="s">
        <v>7</v>
      </c>
      <c r="K128" s="522">
        <f t="shared" si="43"/>
        <v>0.97459599224305105</v>
      </c>
      <c r="L128" s="522">
        <f t="shared" si="44"/>
        <v>0.97457334942251339</v>
      </c>
      <c r="M128" s="522">
        <f t="shared" si="45"/>
        <v>0.97460826394994049</v>
      </c>
      <c r="N128" s="494"/>
      <c r="O128" s="739"/>
    </row>
    <row r="129" spans="1:31" x14ac:dyDescent="0.3">
      <c r="B129" s="493" t="s">
        <v>1469</v>
      </c>
      <c r="C129" s="522">
        <f t="shared" si="42"/>
        <v>0</v>
      </c>
      <c r="D129" s="522">
        <f>'BoD input'!C145</f>
        <v>0</v>
      </c>
      <c r="E129" s="522">
        <f>'BoD input'!D145</f>
        <v>0</v>
      </c>
      <c r="F129" s="522">
        <f>'BoD input'!E145</f>
        <v>0</v>
      </c>
      <c r="G129" s="492"/>
      <c r="J129" s="493" t="s">
        <v>1469</v>
      </c>
      <c r="K129" s="522">
        <f t="shared" si="43"/>
        <v>0</v>
      </c>
      <c r="L129" s="522">
        <f t="shared" si="44"/>
        <v>0</v>
      </c>
      <c r="M129" s="522">
        <f t="shared" si="45"/>
        <v>0</v>
      </c>
      <c r="N129" s="494"/>
      <c r="O129" s="739"/>
    </row>
    <row r="130" spans="1:31" x14ac:dyDescent="0.3">
      <c r="B130" s="498" t="s">
        <v>227</v>
      </c>
      <c r="C130" s="598"/>
      <c r="D130" s="598"/>
      <c r="E130" s="598"/>
      <c r="F130" s="598"/>
      <c r="G130" s="496"/>
      <c r="J130" s="498" t="s">
        <v>227</v>
      </c>
      <c r="K130" s="598"/>
      <c r="L130" s="598"/>
      <c r="M130" s="598"/>
      <c r="N130" s="504"/>
      <c r="O130" s="741"/>
    </row>
    <row r="131" spans="1:31" x14ac:dyDescent="0.3">
      <c r="B131" s="490" t="s">
        <v>1437</v>
      </c>
      <c r="C131" s="522">
        <f t="shared" si="42"/>
        <v>0.95218843381965201</v>
      </c>
      <c r="D131" s="522">
        <f>'BoD input'!C147</f>
        <v>0.95218843381965201</v>
      </c>
      <c r="E131" s="522">
        <f>'BoD input'!D147</f>
        <v>0.9522032265831929</v>
      </c>
      <c r="F131" s="522">
        <f>'BoD input'!E147</f>
        <v>0.95217993079584773</v>
      </c>
      <c r="G131" s="492"/>
      <c r="J131" s="490" t="s">
        <v>1437</v>
      </c>
      <c r="K131" s="522">
        <f t="shared" ref="K131:K134" si="46">C131</f>
        <v>0.95218843381965201</v>
      </c>
      <c r="L131" s="522">
        <f t="shared" ref="L131:L134" si="47">E131</f>
        <v>0.9522032265831929</v>
      </c>
      <c r="M131" s="522">
        <f t="shared" ref="M131:M134" si="48">F131</f>
        <v>0.95217993079584773</v>
      </c>
    </row>
    <row r="132" spans="1:31" x14ac:dyDescent="0.3">
      <c r="B132" s="490" t="s">
        <v>1438</v>
      </c>
      <c r="C132" s="522">
        <f t="shared" si="42"/>
        <v>0.95218843381965201</v>
      </c>
      <c r="D132" s="522">
        <f>'BoD input'!C148</f>
        <v>0.95218843381965201</v>
      </c>
      <c r="E132" s="522">
        <f>'BoD input'!D148</f>
        <v>0.9522032265831929</v>
      </c>
      <c r="F132" s="522">
        <f>'BoD input'!E148</f>
        <v>0.95217993079584773</v>
      </c>
      <c r="G132" s="492"/>
      <c r="J132" s="490" t="s">
        <v>1438</v>
      </c>
      <c r="K132" s="522">
        <f t="shared" si="46"/>
        <v>0.95218843381965201</v>
      </c>
      <c r="L132" s="522">
        <f t="shared" si="47"/>
        <v>0.9522032265831929</v>
      </c>
      <c r="M132" s="522">
        <f t="shared" si="48"/>
        <v>0.95217993079584773</v>
      </c>
    </row>
    <row r="133" spans="1:31" x14ac:dyDescent="0.3">
      <c r="B133" s="490" t="s">
        <v>1441</v>
      </c>
      <c r="C133" s="522">
        <f t="shared" si="42"/>
        <v>0.95218843381965201</v>
      </c>
      <c r="D133" s="522">
        <f>'BoD input'!C149</f>
        <v>0.95218843381965201</v>
      </c>
      <c r="E133" s="522">
        <f>'BoD input'!D149</f>
        <v>0.9522032265831929</v>
      </c>
      <c r="F133" s="522">
        <f>'BoD input'!E149</f>
        <v>0.95217993079584773</v>
      </c>
      <c r="G133" s="492"/>
      <c r="J133" s="490" t="s">
        <v>1441</v>
      </c>
      <c r="K133" s="522">
        <f t="shared" si="46"/>
        <v>0.95218843381965201</v>
      </c>
      <c r="L133" s="522">
        <f t="shared" si="47"/>
        <v>0.9522032265831929</v>
      </c>
      <c r="M133" s="522">
        <f t="shared" si="48"/>
        <v>0.95217993079584773</v>
      </c>
      <c r="N133" s="494"/>
      <c r="O133" s="739"/>
    </row>
    <row r="134" spans="1:31" x14ac:dyDescent="0.3">
      <c r="B134" s="490" t="s">
        <v>1442</v>
      </c>
      <c r="C134" s="522">
        <f t="shared" si="42"/>
        <v>0.95218843381965201</v>
      </c>
      <c r="D134" s="522">
        <f>'BoD input'!C150</f>
        <v>0.95218843381965201</v>
      </c>
      <c r="E134" s="522">
        <f>'BoD input'!D150</f>
        <v>0.9522032265831929</v>
      </c>
      <c r="F134" s="522">
        <f>'BoD input'!E150</f>
        <v>0.95217993079584773</v>
      </c>
      <c r="G134" s="492"/>
      <c r="J134" s="490" t="s">
        <v>1442</v>
      </c>
      <c r="K134" s="522">
        <f t="shared" si="46"/>
        <v>0.95218843381965201</v>
      </c>
      <c r="L134" s="522">
        <f t="shared" si="47"/>
        <v>0.9522032265831929</v>
      </c>
      <c r="M134" s="522">
        <f t="shared" si="48"/>
        <v>0.95217993079584773</v>
      </c>
      <c r="N134" s="494"/>
      <c r="O134" s="739"/>
    </row>
    <row r="135" spans="1:31" x14ac:dyDescent="0.3">
      <c r="B135" s="498" t="s">
        <v>920</v>
      </c>
      <c r="C135" s="598"/>
      <c r="D135" s="598"/>
      <c r="E135" s="598"/>
      <c r="F135" s="598"/>
      <c r="G135" s="496"/>
      <c r="J135" s="498" t="s">
        <v>920</v>
      </c>
      <c r="K135" s="598"/>
      <c r="L135" s="598"/>
      <c r="M135" s="598"/>
      <c r="N135" s="504"/>
      <c r="O135" s="741"/>
    </row>
    <row r="136" spans="1:31" x14ac:dyDescent="0.3">
      <c r="B136" s="490" t="s">
        <v>920</v>
      </c>
      <c r="C136" s="522">
        <f t="shared" si="42"/>
        <v>0.82596463022508038</v>
      </c>
      <c r="D136" s="522">
        <f>'BoD input'!C152</f>
        <v>0.82596463022508038</v>
      </c>
      <c r="E136" s="522">
        <f>'BoD input'!D152</f>
        <v>0.82318271119842834</v>
      </c>
      <c r="F136" s="522">
        <f>'BoD input'!E152</f>
        <v>0.80529440870856017</v>
      </c>
      <c r="G136" s="492"/>
      <c r="J136" s="490" t="s">
        <v>920</v>
      </c>
      <c r="K136" s="522">
        <f t="shared" ref="K136:K137" si="49">C136</f>
        <v>0.82596463022508038</v>
      </c>
      <c r="L136" s="522">
        <f t="shared" ref="L136:L137" si="50">E136</f>
        <v>0.82318271119842834</v>
      </c>
      <c r="M136" s="522">
        <f t="shared" ref="M136:M137" si="51">F136</f>
        <v>0.80529440870856017</v>
      </c>
      <c r="N136" s="494"/>
      <c r="O136" s="739"/>
    </row>
    <row r="137" spans="1:31" x14ac:dyDescent="0.3">
      <c r="B137" s="490" t="s">
        <v>980</v>
      </c>
      <c r="C137" s="522">
        <f t="shared" si="42"/>
        <v>0.82596463022508038</v>
      </c>
      <c r="D137" s="522">
        <f>'BoD input'!C153</f>
        <v>0.82596463022508038</v>
      </c>
      <c r="E137" s="522">
        <f>'BoD input'!D153</f>
        <v>0.82318271119842834</v>
      </c>
      <c r="F137" s="522">
        <f>'BoD input'!E153</f>
        <v>0.80529440870856017</v>
      </c>
      <c r="G137" s="492"/>
      <c r="J137" s="490" t="s">
        <v>980</v>
      </c>
      <c r="K137" s="522">
        <f t="shared" si="49"/>
        <v>0.82596463022508038</v>
      </c>
      <c r="L137" s="522">
        <f t="shared" si="50"/>
        <v>0.82318271119842834</v>
      </c>
      <c r="M137" s="522">
        <f t="shared" si="51"/>
        <v>0.80529440870856017</v>
      </c>
      <c r="N137" s="494"/>
      <c r="O137" s="739"/>
    </row>
    <row r="138" spans="1:31" ht="19.5" customHeight="1" x14ac:dyDescent="0.3">
      <c r="B138" s="488"/>
      <c r="C138" s="488"/>
      <c r="D138" s="488"/>
      <c r="E138" s="488"/>
      <c r="F138" s="488"/>
      <c r="G138" s="488"/>
    </row>
    <row r="139" spans="1:31" ht="19.5" customHeight="1" x14ac:dyDescent="0.3">
      <c r="A139" s="503"/>
      <c r="B139" s="483" t="s">
        <v>1585</v>
      </c>
      <c r="C139" s="483"/>
      <c r="D139" s="483"/>
      <c r="E139" s="483"/>
      <c r="F139" s="483"/>
      <c r="G139" s="483"/>
      <c r="J139" s="483" t="s">
        <v>989</v>
      </c>
      <c r="K139" s="483"/>
      <c r="L139" s="483"/>
      <c r="M139" s="483"/>
      <c r="P139" s="481" t="s">
        <v>682</v>
      </c>
    </row>
    <row r="140" spans="1:31" x14ac:dyDescent="0.3">
      <c r="A140" s="500"/>
      <c r="B140" s="484" t="s">
        <v>950</v>
      </c>
      <c r="C140" s="485" t="s">
        <v>724</v>
      </c>
      <c r="D140" s="485" t="s">
        <v>995</v>
      </c>
      <c r="E140" s="485" t="s">
        <v>985</v>
      </c>
      <c r="F140" s="485" t="s">
        <v>986</v>
      </c>
      <c r="G140" s="485" t="s">
        <v>996</v>
      </c>
      <c r="J140" s="484" t="s">
        <v>950</v>
      </c>
      <c r="K140" s="485" t="s">
        <v>724</v>
      </c>
      <c r="L140" s="485" t="s">
        <v>985</v>
      </c>
      <c r="M140" s="485" t="s">
        <v>986</v>
      </c>
      <c r="N140" s="486"/>
      <c r="O140" s="738"/>
      <c r="P140" s="481" t="s">
        <v>679</v>
      </c>
    </row>
    <row r="141" spans="1:31" x14ac:dyDescent="0.3">
      <c r="A141" s="500"/>
      <c r="B141" s="487" t="s">
        <v>1445</v>
      </c>
      <c r="C141" s="488"/>
      <c r="D141" s="488"/>
      <c r="E141" s="488"/>
      <c r="F141" s="488"/>
      <c r="G141" s="488"/>
      <c r="J141" s="487" t="s">
        <v>988</v>
      </c>
      <c r="K141" s="488"/>
      <c r="L141" s="488"/>
      <c r="M141" s="488"/>
    </row>
    <row r="142" spans="1:31" x14ac:dyDescent="0.3">
      <c r="B142" s="493" t="s">
        <v>2</v>
      </c>
      <c r="C142" s="522">
        <f>D142</f>
        <v>0.61759999999999993</v>
      </c>
      <c r="D142" s="513">
        <v>0.61759999999999993</v>
      </c>
      <c r="E142" s="513">
        <v>0.61759999999999993</v>
      </c>
      <c r="F142" s="513">
        <v>0.61759999999999993</v>
      </c>
      <c r="G142" s="492"/>
      <c r="J142" s="493" t="s">
        <v>2</v>
      </c>
      <c r="K142" s="491">
        <f t="shared" ref="K142:K148" si="52">C142</f>
        <v>0.61759999999999993</v>
      </c>
      <c r="L142" s="491">
        <f t="shared" ref="L142:L148" si="53">E142</f>
        <v>0.61759999999999993</v>
      </c>
      <c r="M142" s="491">
        <f t="shared" ref="M142:M148" si="54">F142</f>
        <v>0.61759999999999993</v>
      </c>
      <c r="N142" s="494"/>
      <c r="O142" s="739"/>
      <c r="P142" s="726"/>
      <c r="Q142" s="726"/>
      <c r="R142" s="726"/>
      <c r="S142" s="726"/>
      <c r="T142" s="726"/>
      <c r="U142" s="726"/>
      <c r="V142" s="726"/>
      <c r="W142" s="726"/>
      <c r="X142" s="726"/>
      <c r="Y142" s="726"/>
      <c r="Z142" s="726"/>
      <c r="AA142" s="726"/>
      <c r="AB142" s="726"/>
      <c r="AC142" s="726"/>
      <c r="AD142" s="726"/>
      <c r="AE142" s="726"/>
    </row>
    <row r="143" spans="1:31" x14ac:dyDescent="0.3">
      <c r="B143" s="493" t="s">
        <v>3</v>
      </c>
      <c r="C143" s="522">
        <f t="shared" ref="C143:C164" si="55">D143</f>
        <v>0.48170000000000002</v>
      </c>
      <c r="D143" s="513">
        <v>0.48170000000000002</v>
      </c>
      <c r="E143" s="513">
        <v>0.48170000000000002</v>
      </c>
      <c r="F143" s="513">
        <v>0.48170000000000002</v>
      </c>
      <c r="G143" s="492"/>
      <c r="J143" s="493" t="s">
        <v>3</v>
      </c>
      <c r="K143" s="491">
        <f t="shared" si="52"/>
        <v>0.48170000000000002</v>
      </c>
      <c r="L143" s="491">
        <f t="shared" si="53"/>
        <v>0.48170000000000002</v>
      </c>
      <c r="M143" s="491">
        <f t="shared" si="54"/>
        <v>0.48170000000000002</v>
      </c>
      <c r="N143" s="494"/>
      <c r="O143" s="739"/>
      <c r="P143" s="726"/>
      <c r="Q143" s="726"/>
      <c r="R143" s="726"/>
      <c r="S143" s="726"/>
      <c r="T143" s="726"/>
      <c r="U143" s="726"/>
      <c r="V143" s="726"/>
      <c r="W143" s="726"/>
      <c r="X143" s="726"/>
      <c r="Y143" s="726"/>
      <c r="Z143" s="726"/>
      <c r="AA143" s="726"/>
      <c r="AB143" s="726"/>
      <c r="AC143" s="726"/>
      <c r="AD143" s="726"/>
      <c r="AE143" s="726"/>
    </row>
    <row r="144" spans="1:31" x14ac:dyDescent="0.3">
      <c r="B144" s="493" t="s">
        <v>4</v>
      </c>
      <c r="C144" s="522">
        <f t="shared" si="55"/>
        <v>0.48170000000000002</v>
      </c>
      <c r="D144" s="513">
        <v>0.48170000000000002</v>
      </c>
      <c r="E144" s="513">
        <v>0.48170000000000002</v>
      </c>
      <c r="F144" s="513">
        <v>0.48170000000000002</v>
      </c>
      <c r="G144" s="492"/>
      <c r="J144" s="493" t="s">
        <v>4</v>
      </c>
      <c r="K144" s="491">
        <f t="shared" si="52"/>
        <v>0.48170000000000002</v>
      </c>
      <c r="L144" s="491">
        <f t="shared" si="53"/>
        <v>0.48170000000000002</v>
      </c>
      <c r="M144" s="491">
        <f t="shared" si="54"/>
        <v>0.48170000000000002</v>
      </c>
      <c r="N144" s="494"/>
      <c r="O144" s="739"/>
      <c r="P144" s="726"/>
      <c r="Q144" s="726"/>
      <c r="R144" s="726"/>
      <c r="S144" s="726"/>
      <c r="T144" s="726"/>
      <c r="U144" s="726"/>
      <c r="V144" s="726"/>
      <c r="W144" s="726"/>
      <c r="X144" s="726"/>
      <c r="Y144" s="726"/>
      <c r="Z144" s="726"/>
      <c r="AA144" s="726"/>
      <c r="AB144" s="726"/>
      <c r="AC144" s="726"/>
      <c r="AD144" s="726"/>
      <c r="AE144" s="726"/>
    </row>
    <row r="145" spans="1:31" x14ac:dyDescent="0.3">
      <c r="B145" s="493" t="s">
        <v>5</v>
      </c>
      <c r="C145" s="522">
        <f t="shared" si="55"/>
        <v>0.60820000000000007</v>
      </c>
      <c r="D145" s="513">
        <v>0.60820000000000007</v>
      </c>
      <c r="E145" s="513">
        <v>0.60820000000000007</v>
      </c>
      <c r="F145" s="513">
        <v>0.60820000000000007</v>
      </c>
      <c r="G145" s="492"/>
      <c r="J145" s="493" t="s">
        <v>5</v>
      </c>
      <c r="K145" s="491">
        <f t="shared" si="52"/>
        <v>0.60820000000000007</v>
      </c>
      <c r="L145" s="491">
        <f t="shared" si="53"/>
        <v>0.60820000000000007</v>
      </c>
      <c r="M145" s="491">
        <f t="shared" si="54"/>
        <v>0.60820000000000007</v>
      </c>
      <c r="N145" s="494"/>
      <c r="O145" s="739"/>
      <c r="P145" s="726"/>
      <c r="Q145" s="726"/>
      <c r="R145" s="726"/>
      <c r="S145" s="726"/>
      <c r="T145" s="726"/>
      <c r="U145" s="726"/>
      <c r="V145" s="726"/>
      <c r="W145" s="726"/>
      <c r="X145" s="726"/>
      <c r="Y145" s="726"/>
      <c r="Z145" s="726"/>
      <c r="AA145" s="726"/>
      <c r="AB145" s="726"/>
      <c r="AC145" s="726"/>
      <c r="AD145" s="726"/>
      <c r="AE145" s="726"/>
    </row>
    <row r="146" spans="1:31" x14ac:dyDescent="0.3">
      <c r="B146" s="493" t="s">
        <v>6</v>
      </c>
      <c r="C146" s="522">
        <f t="shared" si="55"/>
        <v>0.55979999999999996</v>
      </c>
      <c r="D146" s="513">
        <v>0.55979999999999996</v>
      </c>
      <c r="E146" s="513">
        <v>0.55979999999999996</v>
      </c>
      <c r="F146" s="513">
        <v>0.55979999999999996</v>
      </c>
      <c r="G146" s="492"/>
      <c r="J146" s="493" t="s">
        <v>6</v>
      </c>
      <c r="K146" s="491">
        <f t="shared" si="52"/>
        <v>0.55979999999999996</v>
      </c>
      <c r="L146" s="491">
        <f t="shared" si="53"/>
        <v>0.55979999999999996</v>
      </c>
      <c r="M146" s="491">
        <f t="shared" si="54"/>
        <v>0.55979999999999996</v>
      </c>
      <c r="N146" s="494"/>
      <c r="O146" s="739"/>
      <c r="P146" s="726"/>
      <c r="Q146" s="726"/>
      <c r="R146" s="726"/>
      <c r="S146" s="726"/>
      <c r="T146" s="726"/>
      <c r="U146" s="726"/>
      <c r="V146" s="726"/>
      <c r="W146" s="726"/>
      <c r="X146" s="726"/>
      <c r="Y146" s="726"/>
      <c r="Z146" s="726"/>
      <c r="AA146" s="726"/>
      <c r="AB146" s="726"/>
      <c r="AC146" s="726"/>
      <c r="AD146" s="726"/>
      <c r="AE146" s="726"/>
    </row>
    <row r="147" spans="1:31" x14ac:dyDescent="0.3">
      <c r="B147" s="493" t="s">
        <v>7</v>
      </c>
      <c r="C147" s="522">
        <f t="shared" si="55"/>
        <v>0.62409999999999999</v>
      </c>
      <c r="D147" s="513">
        <v>0.62409999999999999</v>
      </c>
      <c r="E147" s="513">
        <v>0.62409999999999999</v>
      </c>
      <c r="F147" s="513">
        <v>0.62409999999999999</v>
      </c>
      <c r="G147" s="492"/>
      <c r="J147" s="493" t="s">
        <v>7</v>
      </c>
      <c r="K147" s="491">
        <f t="shared" si="52"/>
        <v>0.62409999999999999</v>
      </c>
      <c r="L147" s="491">
        <f t="shared" si="53"/>
        <v>0.62409999999999999</v>
      </c>
      <c r="M147" s="491">
        <f t="shared" si="54"/>
        <v>0.62409999999999999</v>
      </c>
      <c r="N147" s="494"/>
      <c r="O147" s="739"/>
      <c r="P147" s="726"/>
      <c r="Q147" s="726"/>
      <c r="R147" s="726"/>
      <c r="S147" s="726"/>
      <c r="T147" s="726"/>
      <c r="U147" s="726"/>
      <c r="V147" s="726"/>
      <c r="W147" s="726"/>
      <c r="X147" s="726"/>
      <c r="Y147" s="726"/>
      <c r="Z147" s="726"/>
      <c r="AA147" s="726"/>
      <c r="AB147" s="726"/>
      <c r="AC147" s="726"/>
      <c r="AD147" s="726"/>
      <c r="AE147" s="726"/>
    </row>
    <row r="148" spans="1:31" x14ac:dyDescent="0.3">
      <c r="B148" s="493" t="s">
        <v>1469</v>
      </c>
      <c r="C148" s="522">
        <f t="shared" si="55"/>
        <v>0.5837</v>
      </c>
      <c r="D148" s="513">
        <v>0.5837</v>
      </c>
      <c r="E148" s="513">
        <v>0.5837</v>
      </c>
      <c r="F148" s="513">
        <v>0.5837</v>
      </c>
      <c r="G148" s="492"/>
      <c r="J148" s="493" t="s">
        <v>1469</v>
      </c>
      <c r="K148" s="491">
        <f t="shared" si="52"/>
        <v>0.5837</v>
      </c>
      <c r="L148" s="491">
        <f t="shared" si="53"/>
        <v>0.5837</v>
      </c>
      <c r="M148" s="491">
        <f t="shared" si="54"/>
        <v>0.5837</v>
      </c>
      <c r="N148" s="494"/>
      <c r="O148" s="739"/>
      <c r="P148" s="726"/>
      <c r="Q148" s="726"/>
      <c r="R148" s="726"/>
      <c r="S148" s="726"/>
      <c r="T148" s="726"/>
      <c r="U148" s="726"/>
      <c r="V148" s="726"/>
      <c r="W148" s="726"/>
      <c r="X148" s="726"/>
      <c r="Y148" s="726"/>
      <c r="Z148" s="726"/>
      <c r="AA148" s="726"/>
      <c r="AB148" s="726"/>
      <c r="AC148" s="726"/>
      <c r="AD148" s="726"/>
      <c r="AE148" s="726"/>
    </row>
    <row r="149" spans="1:31" x14ac:dyDescent="0.3">
      <c r="A149" s="500"/>
      <c r="B149" s="487" t="s">
        <v>1444</v>
      </c>
      <c r="C149" s="598"/>
      <c r="D149" s="515"/>
      <c r="E149" s="515"/>
      <c r="F149" s="515"/>
      <c r="G149" s="496"/>
      <c r="J149" s="487" t="s">
        <v>988</v>
      </c>
      <c r="K149" s="496"/>
      <c r="L149" s="496"/>
      <c r="M149" s="496"/>
      <c r="P149" s="726"/>
      <c r="Q149" s="726"/>
      <c r="R149" s="726"/>
      <c r="S149" s="726"/>
      <c r="T149" s="726"/>
      <c r="U149" s="726"/>
      <c r="V149" s="726"/>
      <c r="W149" s="726"/>
      <c r="X149" s="726"/>
      <c r="Y149" s="726"/>
      <c r="Z149" s="726"/>
      <c r="AA149" s="726"/>
      <c r="AB149" s="726"/>
      <c r="AC149" s="726"/>
      <c r="AD149" s="726"/>
      <c r="AE149" s="726"/>
    </row>
    <row r="150" spans="1:31" x14ac:dyDescent="0.3">
      <c r="B150" s="493" t="s">
        <v>2</v>
      </c>
      <c r="C150" s="522">
        <f t="shared" si="55"/>
        <v>0.61759999999999993</v>
      </c>
      <c r="D150" s="513">
        <v>0.61759999999999993</v>
      </c>
      <c r="E150" s="513">
        <v>0.61759999999999993</v>
      </c>
      <c r="F150" s="513">
        <v>0.61759999999999993</v>
      </c>
      <c r="G150" s="492"/>
      <c r="J150" s="493" t="s">
        <v>2</v>
      </c>
      <c r="K150" s="491">
        <f t="shared" ref="K150:K156" si="56">C150</f>
        <v>0.61759999999999993</v>
      </c>
      <c r="L150" s="491">
        <f t="shared" ref="L150:L156" si="57">E150</f>
        <v>0.61759999999999993</v>
      </c>
      <c r="M150" s="491">
        <f t="shared" ref="M150:M156" si="58">F150</f>
        <v>0.61759999999999993</v>
      </c>
      <c r="N150" s="494"/>
      <c r="O150" s="739"/>
      <c r="P150" s="726"/>
      <c r="Q150" s="726"/>
      <c r="R150" s="726"/>
      <c r="S150" s="726"/>
      <c r="T150" s="726"/>
      <c r="U150" s="726"/>
      <c r="V150" s="726"/>
      <c r="W150" s="726"/>
      <c r="X150" s="726"/>
      <c r="Y150" s="726"/>
      <c r="Z150" s="726"/>
      <c r="AA150" s="726"/>
      <c r="AB150" s="726"/>
      <c r="AC150" s="726"/>
      <c r="AD150" s="726"/>
      <c r="AE150" s="726"/>
    </row>
    <row r="151" spans="1:31" x14ac:dyDescent="0.3">
      <c r="B151" s="493" t="s">
        <v>3</v>
      </c>
      <c r="C151" s="522">
        <f t="shared" si="55"/>
        <v>0.48170000000000002</v>
      </c>
      <c r="D151" s="513">
        <v>0.48170000000000002</v>
      </c>
      <c r="E151" s="513">
        <v>0.48170000000000002</v>
      </c>
      <c r="F151" s="513">
        <v>0.48170000000000002</v>
      </c>
      <c r="G151" s="492"/>
      <c r="J151" s="493" t="s">
        <v>3</v>
      </c>
      <c r="K151" s="491">
        <f t="shared" si="56"/>
        <v>0.48170000000000002</v>
      </c>
      <c r="L151" s="491">
        <f t="shared" si="57"/>
        <v>0.48170000000000002</v>
      </c>
      <c r="M151" s="491">
        <f t="shared" si="58"/>
        <v>0.48170000000000002</v>
      </c>
      <c r="N151" s="494"/>
      <c r="O151" s="739"/>
      <c r="P151" s="726"/>
      <c r="Q151" s="726"/>
      <c r="R151" s="726"/>
      <c r="S151" s="726"/>
      <c r="T151" s="726"/>
      <c r="U151" s="726"/>
      <c r="V151" s="726"/>
      <c r="W151" s="726"/>
      <c r="X151" s="726"/>
      <c r="Y151" s="726"/>
      <c r="Z151" s="726"/>
      <c r="AA151" s="726"/>
      <c r="AB151" s="726"/>
      <c r="AC151" s="726"/>
      <c r="AD151" s="726"/>
      <c r="AE151" s="726"/>
    </row>
    <row r="152" spans="1:31" x14ac:dyDescent="0.3">
      <c r="B152" s="493" t="s">
        <v>4</v>
      </c>
      <c r="C152" s="522">
        <f t="shared" si="55"/>
        <v>0.48170000000000002</v>
      </c>
      <c r="D152" s="513">
        <v>0.48170000000000002</v>
      </c>
      <c r="E152" s="513">
        <v>0.48170000000000002</v>
      </c>
      <c r="F152" s="513">
        <v>0.48170000000000002</v>
      </c>
      <c r="G152" s="492"/>
      <c r="J152" s="493" t="s">
        <v>4</v>
      </c>
      <c r="K152" s="491">
        <f t="shared" si="56"/>
        <v>0.48170000000000002</v>
      </c>
      <c r="L152" s="491">
        <f t="shared" si="57"/>
        <v>0.48170000000000002</v>
      </c>
      <c r="M152" s="491">
        <f t="shared" si="58"/>
        <v>0.48170000000000002</v>
      </c>
      <c r="N152" s="494"/>
      <c r="O152" s="739"/>
      <c r="P152" s="726"/>
      <c r="Q152" s="726"/>
      <c r="R152" s="726"/>
      <c r="S152" s="726"/>
      <c r="T152" s="726"/>
      <c r="U152" s="726"/>
      <c r="V152" s="726"/>
      <c r="W152" s="726"/>
      <c r="X152" s="726"/>
      <c r="Y152" s="726"/>
      <c r="Z152" s="726"/>
      <c r="AA152" s="726"/>
      <c r="AB152" s="726"/>
      <c r="AC152" s="726"/>
      <c r="AD152" s="726"/>
      <c r="AE152" s="726"/>
    </row>
    <row r="153" spans="1:31" x14ac:dyDescent="0.3">
      <c r="B153" s="493" t="s">
        <v>5</v>
      </c>
      <c r="C153" s="522">
        <f t="shared" si="55"/>
        <v>0.58840000000000003</v>
      </c>
      <c r="D153" s="513">
        <v>0.58840000000000003</v>
      </c>
      <c r="E153" s="513">
        <v>0.58840000000000003</v>
      </c>
      <c r="F153" s="513">
        <v>0.58840000000000003</v>
      </c>
      <c r="G153" s="492"/>
      <c r="J153" s="493" t="s">
        <v>5</v>
      </c>
      <c r="K153" s="491">
        <f t="shared" si="56"/>
        <v>0.58840000000000003</v>
      </c>
      <c r="L153" s="491">
        <f t="shared" si="57"/>
        <v>0.58840000000000003</v>
      </c>
      <c r="M153" s="491">
        <f t="shared" si="58"/>
        <v>0.58840000000000003</v>
      </c>
      <c r="N153" s="494"/>
      <c r="O153" s="739"/>
      <c r="P153" s="726"/>
      <c r="Q153" s="726"/>
      <c r="R153" s="726"/>
      <c r="S153" s="726"/>
      <c r="T153" s="726"/>
      <c r="U153" s="726"/>
      <c r="V153" s="726"/>
      <c r="W153" s="726"/>
      <c r="X153" s="726"/>
      <c r="Y153" s="726"/>
      <c r="Z153" s="726"/>
      <c r="AA153" s="726"/>
      <c r="AB153" s="726"/>
      <c r="AC153" s="726"/>
      <c r="AD153" s="726"/>
      <c r="AE153" s="726"/>
    </row>
    <row r="154" spans="1:31" x14ac:dyDescent="0.3">
      <c r="B154" s="493" t="s">
        <v>6</v>
      </c>
      <c r="C154" s="522">
        <f t="shared" si="55"/>
        <v>0.58840000000000003</v>
      </c>
      <c r="D154" s="513">
        <v>0.58840000000000003</v>
      </c>
      <c r="E154" s="513">
        <v>0.58840000000000003</v>
      </c>
      <c r="F154" s="513">
        <v>0.58840000000000003</v>
      </c>
      <c r="G154" s="492"/>
      <c r="J154" s="493" t="s">
        <v>6</v>
      </c>
      <c r="K154" s="491">
        <f t="shared" si="56"/>
        <v>0.58840000000000003</v>
      </c>
      <c r="L154" s="491">
        <f t="shared" si="57"/>
        <v>0.58840000000000003</v>
      </c>
      <c r="M154" s="491">
        <f t="shared" si="58"/>
        <v>0.58840000000000003</v>
      </c>
      <c r="N154" s="494"/>
      <c r="O154" s="739"/>
      <c r="P154" s="726"/>
      <c r="Q154" s="726"/>
      <c r="R154" s="726"/>
      <c r="S154" s="726"/>
      <c r="T154" s="726"/>
      <c r="U154" s="726"/>
      <c r="V154" s="726"/>
      <c r="W154" s="726"/>
      <c r="X154" s="726"/>
      <c r="Y154" s="726"/>
      <c r="Z154" s="726"/>
      <c r="AA154" s="726"/>
      <c r="AB154" s="726"/>
      <c r="AC154" s="726"/>
      <c r="AD154" s="726"/>
      <c r="AE154" s="726"/>
    </row>
    <row r="155" spans="1:31" x14ac:dyDescent="0.3">
      <c r="B155" s="493" t="s">
        <v>7</v>
      </c>
      <c r="C155" s="522">
        <f t="shared" si="55"/>
        <v>0.58840000000000003</v>
      </c>
      <c r="D155" s="513">
        <v>0.58840000000000003</v>
      </c>
      <c r="E155" s="513">
        <v>0.58840000000000003</v>
      </c>
      <c r="F155" s="513">
        <v>0.58840000000000003</v>
      </c>
      <c r="G155" s="492"/>
      <c r="J155" s="493" t="s">
        <v>7</v>
      </c>
      <c r="K155" s="491">
        <f t="shared" si="56"/>
        <v>0.58840000000000003</v>
      </c>
      <c r="L155" s="491">
        <f t="shared" si="57"/>
        <v>0.58840000000000003</v>
      </c>
      <c r="M155" s="491">
        <f t="shared" si="58"/>
        <v>0.58840000000000003</v>
      </c>
      <c r="N155" s="494"/>
      <c r="O155" s="739"/>
      <c r="P155" s="726"/>
      <c r="Q155" s="726"/>
      <c r="R155" s="726"/>
      <c r="S155" s="726"/>
      <c r="T155" s="726"/>
      <c r="U155" s="726"/>
      <c r="V155" s="726"/>
      <c r="W155" s="726"/>
      <c r="X155" s="726"/>
      <c r="Y155" s="726"/>
      <c r="Z155" s="726"/>
      <c r="AA155" s="726"/>
      <c r="AB155" s="726"/>
      <c r="AC155" s="726"/>
      <c r="AD155" s="726"/>
      <c r="AE155" s="726"/>
    </row>
    <row r="156" spans="1:31" x14ac:dyDescent="0.3">
      <c r="B156" s="493" t="s">
        <v>1469</v>
      </c>
      <c r="C156" s="522">
        <f t="shared" si="55"/>
        <v>0.5837</v>
      </c>
      <c r="D156" s="513">
        <v>0.5837</v>
      </c>
      <c r="E156" s="513">
        <v>0.5837</v>
      </c>
      <c r="F156" s="513">
        <v>0.5837</v>
      </c>
      <c r="G156" s="492"/>
      <c r="J156" s="493" t="s">
        <v>1469</v>
      </c>
      <c r="K156" s="491">
        <f t="shared" si="56"/>
        <v>0.5837</v>
      </c>
      <c r="L156" s="491">
        <f t="shared" si="57"/>
        <v>0.5837</v>
      </c>
      <c r="M156" s="491">
        <f t="shared" si="58"/>
        <v>0.5837</v>
      </c>
      <c r="N156" s="494"/>
      <c r="O156" s="739"/>
      <c r="P156" s="726"/>
      <c r="Q156" s="726"/>
      <c r="R156" s="726"/>
      <c r="S156" s="726"/>
      <c r="T156" s="726"/>
      <c r="U156" s="726"/>
      <c r="V156" s="726"/>
      <c r="W156" s="726"/>
      <c r="X156" s="726"/>
      <c r="Y156" s="726"/>
      <c r="Z156" s="726"/>
      <c r="AA156" s="726"/>
      <c r="AB156" s="726"/>
      <c r="AC156" s="726"/>
      <c r="AD156" s="726"/>
      <c r="AE156" s="726"/>
    </row>
    <row r="157" spans="1:31" x14ac:dyDescent="0.3">
      <c r="B157" s="498" t="s">
        <v>227</v>
      </c>
      <c r="C157" s="598"/>
      <c r="D157" s="515"/>
      <c r="E157" s="515"/>
      <c r="F157" s="515"/>
      <c r="G157" s="496"/>
      <c r="J157" s="498" t="s">
        <v>227</v>
      </c>
      <c r="K157" s="496"/>
      <c r="L157" s="496"/>
      <c r="M157" s="496"/>
      <c r="N157" s="504"/>
      <c r="O157" s="741"/>
      <c r="P157" s="726"/>
      <c r="Q157" s="726"/>
      <c r="R157" s="726"/>
      <c r="S157" s="726"/>
      <c r="T157" s="726"/>
      <c r="U157" s="726"/>
      <c r="V157" s="726"/>
      <c r="W157" s="726"/>
      <c r="X157" s="726"/>
      <c r="Y157" s="726"/>
      <c r="Z157" s="726"/>
      <c r="AA157" s="726"/>
      <c r="AB157" s="726"/>
      <c r="AC157" s="726"/>
      <c r="AD157" s="726"/>
      <c r="AE157" s="726"/>
    </row>
    <row r="158" spans="1:31" x14ac:dyDescent="0.3">
      <c r="B158" s="490" t="s">
        <v>1437</v>
      </c>
      <c r="C158" s="522">
        <f t="shared" si="55"/>
        <v>0.58840000000000003</v>
      </c>
      <c r="D158" s="513">
        <v>0.58840000000000003</v>
      </c>
      <c r="E158" s="513">
        <v>0.58840000000000003</v>
      </c>
      <c r="F158" s="513">
        <v>0.58840000000000003</v>
      </c>
      <c r="G158" s="492"/>
      <c r="J158" s="490" t="s">
        <v>1437</v>
      </c>
      <c r="K158" s="491">
        <f t="shared" ref="K158:K161" si="59">C158</f>
        <v>0.58840000000000003</v>
      </c>
      <c r="L158" s="491">
        <f t="shared" ref="L158:L161" si="60">E158</f>
        <v>0.58840000000000003</v>
      </c>
      <c r="M158" s="491">
        <f t="shared" ref="M158:M161" si="61">F158</f>
        <v>0.58840000000000003</v>
      </c>
      <c r="P158" s="726"/>
      <c r="Q158" s="726"/>
      <c r="R158" s="726"/>
      <c r="S158" s="726"/>
      <c r="T158" s="726"/>
      <c r="U158" s="726"/>
      <c r="V158" s="726"/>
      <c r="W158" s="726"/>
      <c r="X158" s="726"/>
      <c r="Y158" s="726"/>
      <c r="Z158" s="726"/>
      <c r="AA158" s="726"/>
      <c r="AB158" s="726"/>
      <c r="AC158" s="726"/>
      <c r="AD158" s="726"/>
      <c r="AE158" s="726"/>
    </row>
    <row r="159" spans="1:31" x14ac:dyDescent="0.3">
      <c r="B159" s="490" t="s">
        <v>1438</v>
      </c>
      <c r="C159" s="522">
        <f t="shared" si="55"/>
        <v>0.58840000000000003</v>
      </c>
      <c r="D159" s="513">
        <v>0.58840000000000003</v>
      </c>
      <c r="E159" s="513">
        <v>0.58840000000000003</v>
      </c>
      <c r="F159" s="513">
        <v>0.58840000000000003</v>
      </c>
      <c r="G159" s="492"/>
      <c r="J159" s="490" t="s">
        <v>1438</v>
      </c>
      <c r="K159" s="491">
        <f t="shared" si="59"/>
        <v>0.58840000000000003</v>
      </c>
      <c r="L159" s="491">
        <f t="shared" si="60"/>
        <v>0.58840000000000003</v>
      </c>
      <c r="M159" s="491">
        <f t="shared" si="61"/>
        <v>0.58840000000000003</v>
      </c>
      <c r="P159" s="726"/>
      <c r="Q159" s="726"/>
      <c r="R159" s="726"/>
      <c r="S159" s="726"/>
      <c r="T159" s="726"/>
      <c r="U159" s="726"/>
      <c r="V159" s="726"/>
      <c r="W159" s="726"/>
      <c r="X159" s="726"/>
      <c r="Y159" s="726"/>
      <c r="Z159" s="726"/>
      <c r="AA159" s="726"/>
      <c r="AB159" s="726"/>
      <c r="AC159" s="726"/>
      <c r="AD159" s="726"/>
      <c r="AE159" s="726"/>
    </row>
    <row r="160" spans="1:31" x14ac:dyDescent="0.3">
      <c r="B160" s="490" t="s">
        <v>1441</v>
      </c>
      <c r="C160" s="522">
        <f t="shared" si="55"/>
        <v>0.58840000000000003</v>
      </c>
      <c r="D160" s="513">
        <v>0.58840000000000003</v>
      </c>
      <c r="E160" s="513">
        <v>0.58840000000000003</v>
      </c>
      <c r="F160" s="513">
        <v>0.58840000000000003</v>
      </c>
      <c r="G160" s="492"/>
      <c r="J160" s="490" t="s">
        <v>1441</v>
      </c>
      <c r="K160" s="491">
        <f t="shared" si="59"/>
        <v>0.58840000000000003</v>
      </c>
      <c r="L160" s="491">
        <f t="shared" si="60"/>
        <v>0.58840000000000003</v>
      </c>
      <c r="M160" s="491">
        <f t="shared" si="61"/>
        <v>0.58840000000000003</v>
      </c>
      <c r="N160" s="494"/>
      <c r="O160" s="739"/>
      <c r="P160" s="726"/>
      <c r="Q160" s="726"/>
      <c r="R160" s="726"/>
      <c r="S160" s="726"/>
      <c r="T160" s="726"/>
      <c r="U160" s="726"/>
      <c r="V160" s="726"/>
      <c r="W160" s="726"/>
      <c r="X160" s="726"/>
      <c r="Y160" s="726"/>
      <c r="Z160" s="726"/>
      <c r="AA160" s="726"/>
      <c r="AB160" s="726"/>
      <c r="AC160" s="726"/>
      <c r="AD160" s="726"/>
      <c r="AE160" s="726"/>
    </row>
    <row r="161" spans="2:31" x14ac:dyDescent="0.3">
      <c r="B161" s="490" t="s">
        <v>1442</v>
      </c>
      <c r="C161" s="522">
        <f t="shared" si="55"/>
        <v>0.58840000000000003</v>
      </c>
      <c r="D161" s="513">
        <v>0.58840000000000003</v>
      </c>
      <c r="E161" s="513">
        <v>0.58840000000000003</v>
      </c>
      <c r="F161" s="513">
        <v>0.58840000000000003</v>
      </c>
      <c r="G161" s="492"/>
      <c r="J161" s="490" t="s">
        <v>1442</v>
      </c>
      <c r="K161" s="491">
        <f t="shared" si="59"/>
        <v>0.58840000000000003</v>
      </c>
      <c r="L161" s="491">
        <f t="shared" si="60"/>
        <v>0.58840000000000003</v>
      </c>
      <c r="M161" s="491">
        <f t="shared" si="61"/>
        <v>0.58840000000000003</v>
      </c>
      <c r="N161" s="494"/>
      <c r="O161" s="739"/>
      <c r="P161" s="726"/>
      <c r="Q161" s="726"/>
      <c r="R161" s="726"/>
      <c r="S161" s="726"/>
      <c r="T161" s="726"/>
      <c r="U161" s="726"/>
      <c r="V161" s="726"/>
      <c r="W161" s="726"/>
      <c r="X161" s="726"/>
      <c r="Y161" s="726"/>
      <c r="Z161" s="726"/>
      <c r="AA161" s="726"/>
      <c r="AB161" s="726"/>
      <c r="AC161" s="726"/>
      <c r="AD161" s="726"/>
      <c r="AE161" s="726"/>
    </row>
    <row r="162" spans="2:31" x14ac:dyDescent="0.3">
      <c r="B162" s="498" t="s">
        <v>920</v>
      </c>
      <c r="C162" s="598"/>
      <c r="D162" s="515"/>
      <c r="E162" s="515"/>
      <c r="F162" s="515"/>
      <c r="G162" s="496"/>
      <c r="J162" s="498" t="s">
        <v>920</v>
      </c>
      <c r="K162" s="496"/>
      <c r="L162" s="496"/>
      <c r="M162" s="496"/>
      <c r="N162" s="504"/>
      <c r="O162" s="741"/>
      <c r="P162" s="726"/>
      <c r="Q162" s="726"/>
      <c r="R162" s="726"/>
      <c r="S162" s="726"/>
      <c r="T162" s="726"/>
      <c r="U162" s="726"/>
      <c r="V162" s="726"/>
      <c r="W162" s="726"/>
      <c r="X162" s="726"/>
      <c r="Y162" s="726"/>
      <c r="Z162" s="726"/>
      <c r="AA162" s="726"/>
      <c r="AB162" s="726"/>
      <c r="AC162" s="726"/>
      <c r="AD162" s="726"/>
      <c r="AE162" s="726"/>
    </row>
    <row r="163" spans="2:31" x14ac:dyDescent="0.3">
      <c r="B163" s="490" t="s">
        <v>920</v>
      </c>
      <c r="C163" s="522">
        <f t="shared" si="55"/>
        <v>0.58840000000000003</v>
      </c>
      <c r="D163" s="513">
        <v>0.58840000000000003</v>
      </c>
      <c r="E163" s="513">
        <v>0.58840000000000003</v>
      </c>
      <c r="F163" s="513">
        <v>0.58840000000000003</v>
      </c>
      <c r="G163" s="492"/>
      <c r="J163" s="490" t="s">
        <v>920</v>
      </c>
      <c r="K163" s="491">
        <f t="shared" ref="K163:K164" si="62">C163</f>
        <v>0.58840000000000003</v>
      </c>
      <c r="L163" s="491">
        <f t="shared" ref="L163:L164" si="63">E163</f>
        <v>0.58840000000000003</v>
      </c>
      <c r="M163" s="491">
        <f t="shared" ref="M163:M164" si="64">F163</f>
        <v>0.58840000000000003</v>
      </c>
      <c r="N163" s="494"/>
      <c r="O163" s="739"/>
      <c r="P163" s="726"/>
      <c r="Q163" s="726"/>
      <c r="R163" s="726"/>
      <c r="S163" s="726"/>
      <c r="T163" s="726"/>
      <c r="U163" s="726"/>
      <c r="V163" s="726"/>
      <c r="W163" s="726"/>
      <c r="X163" s="726"/>
      <c r="Y163" s="726"/>
      <c r="Z163" s="726"/>
      <c r="AA163" s="726"/>
      <c r="AB163" s="726"/>
      <c r="AC163" s="726"/>
      <c r="AD163" s="726"/>
      <c r="AE163" s="726"/>
    </row>
    <row r="164" spans="2:31" x14ac:dyDescent="0.3">
      <c r="B164" s="490" t="s">
        <v>980</v>
      </c>
      <c r="C164" s="522">
        <f t="shared" si="55"/>
        <v>0.58840000000000003</v>
      </c>
      <c r="D164" s="513">
        <v>0.58840000000000003</v>
      </c>
      <c r="E164" s="513">
        <v>0.58840000000000003</v>
      </c>
      <c r="F164" s="513">
        <v>0.58840000000000003</v>
      </c>
      <c r="G164" s="492"/>
      <c r="J164" s="490" t="s">
        <v>980</v>
      </c>
      <c r="K164" s="491">
        <f t="shared" si="62"/>
        <v>0.58840000000000003</v>
      </c>
      <c r="L164" s="491">
        <f t="shared" si="63"/>
        <v>0.58840000000000003</v>
      </c>
      <c r="M164" s="491">
        <f t="shared" si="64"/>
        <v>0.58840000000000003</v>
      </c>
      <c r="N164" s="494"/>
      <c r="O164" s="739"/>
      <c r="P164" s="726"/>
      <c r="Q164" s="726"/>
      <c r="R164" s="726"/>
      <c r="S164" s="726"/>
      <c r="T164" s="726"/>
      <c r="U164" s="726"/>
      <c r="V164" s="726"/>
      <c r="W164" s="726"/>
      <c r="X164" s="726"/>
      <c r="Y164" s="726"/>
      <c r="Z164" s="726"/>
      <c r="AA164" s="726"/>
      <c r="AB164" s="726"/>
      <c r="AC164" s="726"/>
      <c r="AD164" s="726"/>
      <c r="AE164" s="726"/>
    </row>
    <row r="165" spans="2:31" x14ac:dyDescent="0.3">
      <c r="B165" s="488"/>
      <c r="C165" s="488"/>
      <c r="D165" s="488"/>
      <c r="E165" s="488"/>
      <c r="F165" s="488"/>
      <c r="G165" s="488"/>
    </row>
    <row r="166" spans="2:31" x14ac:dyDescent="0.3">
      <c r="B166" s="505" t="s">
        <v>230</v>
      </c>
      <c r="C166" s="484"/>
      <c r="D166" s="484"/>
      <c r="E166" s="486"/>
      <c r="F166" s="486"/>
      <c r="G166" s="488"/>
    </row>
    <row r="167" spans="2:31" x14ac:dyDescent="0.3">
      <c r="B167" s="484" t="s">
        <v>231</v>
      </c>
      <c r="C167" s="506">
        <v>100000</v>
      </c>
      <c r="D167" s="484"/>
      <c r="G167" s="488"/>
    </row>
    <row r="168" spans="2:31" x14ac:dyDescent="0.3">
      <c r="B168" s="484" t="s">
        <v>1353</v>
      </c>
      <c r="C168" s="506">
        <v>100000</v>
      </c>
      <c r="D168" s="484"/>
      <c r="G168" s="488"/>
    </row>
    <row r="169" spans="2:31" x14ac:dyDescent="0.3">
      <c r="B169" s="484" t="s">
        <v>232</v>
      </c>
      <c r="C169" s="506">
        <v>100000</v>
      </c>
      <c r="D169" s="484"/>
      <c r="G169" s="488"/>
    </row>
    <row r="170" spans="2:31" x14ac:dyDescent="0.3">
      <c r="B170" s="484" t="s">
        <v>9</v>
      </c>
      <c r="C170" s="506">
        <v>100000</v>
      </c>
      <c r="D170" s="484"/>
      <c r="G170" s="488"/>
    </row>
    <row r="171" spans="2:31" x14ac:dyDescent="0.3">
      <c r="B171" s="500"/>
      <c r="G171" s="488"/>
      <c r="I171" s="488"/>
      <c r="J171" s="488"/>
    </row>
    <row r="172" spans="2:31" ht="21" customHeight="1" x14ac:dyDescent="0.3">
      <c r="B172" s="792" t="s">
        <v>997</v>
      </c>
      <c r="C172" s="792"/>
      <c r="D172" s="792"/>
      <c r="E172" s="792"/>
      <c r="F172" s="792"/>
      <c r="G172" s="792"/>
      <c r="H172" s="507"/>
      <c r="I172" s="483"/>
      <c r="J172" s="483"/>
      <c r="K172" s="483"/>
      <c r="L172" s="483"/>
      <c r="M172" s="483"/>
      <c r="N172" s="483"/>
    </row>
    <row r="173" spans="2:31" ht="16.2" thickBot="1" x14ac:dyDescent="0.35">
      <c r="B173" s="488"/>
      <c r="C173" s="488"/>
      <c r="D173" s="488"/>
      <c r="E173" s="508"/>
      <c r="F173" s="488"/>
      <c r="G173" s="488"/>
      <c r="I173" s="488"/>
      <c r="J173" s="488"/>
      <c r="K173" s="488"/>
      <c r="L173" s="488"/>
      <c r="M173" s="488"/>
      <c r="N173" s="488"/>
    </row>
    <row r="174" spans="2:31" ht="16.2" thickBot="1" x14ac:dyDescent="0.35">
      <c r="B174" s="509" t="s">
        <v>998</v>
      </c>
      <c r="C174" s="509"/>
      <c r="D174" s="509"/>
      <c r="E174" s="509"/>
      <c r="F174" s="509"/>
      <c r="G174" s="509"/>
      <c r="H174" s="481" t="s">
        <v>1574</v>
      </c>
      <c r="I174" s="509" t="s">
        <v>998</v>
      </c>
      <c r="J174" s="509"/>
      <c r="K174" s="509"/>
      <c r="L174" s="509"/>
      <c r="M174" s="509"/>
      <c r="N174" s="509"/>
      <c r="O174" s="487"/>
      <c r="Q174" s="728" t="s">
        <v>1588</v>
      </c>
      <c r="R174" s="729">
        <v>1</v>
      </c>
      <c r="T174" s="735"/>
      <c r="W174" s="735"/>
      <c r="Z174" s="735"/>
      <c r="AC174" s="735"/>
    </row>
    <row r="175" spans="2:31" x14ac:dyDescent="0.3">
      <c r="B175" s="510" t="s">
        <v>552</v>
      </c>
      <c r="C175" s="511"/>
      <c r="D175" s="511"/>
      <c r="E175" s="511"/>
      <c r="F175" s="511"/>
      <c r="G175" s="511"/>
      <c r="H175" s="481">
        <v>1</v>
      </c>
      <c r="I175" s="512" t="s">
        <v>553</v>
      </c>
      <c r="J175" s="511"/>
      <c r="K175" s="511"/>
      <c r="L175" s="511"/>
      <c r="M175" s="511"/>
      <c r="N175" s="511"/>
      <c r="O175" s="745"/>
    </row>
    <row r="176" spans="2:31" ht="15" customHeight="1" x14ac:dyDescent="0.3">
      <c r="B176" s="484" t="s">
        <v>950</v>
      </c>
      <c r="C176" s="558" t="s">
        <v>724</v>
      </c>
      <c r="D176" s="558" t="s">
        <v>995</v>
      </c>
      <c r="E176" s="558" t="s">
        <v>985</v>
      </c>
      <c r="F176" s="558" t="s">
        <v>986</v>
      </c>
      <c r="G176" s="558" t="s">
        <v>996</v>
      </c>
      <c r="I176" s="484" t="s">
        <v>950</v>
      </c>
      <c r="J176" s="558" t="s">
        <v>724</v>
      </c>
      <c r="K176" s="558" t="s">
        <v>995</v>
      </c>
      <c r="L176" s="558" t="s">
        <v>985</v>
      </c>
      <c r="M176" s="558" t="s">
        <v>986</v>
      </c>
      <c r="N176" s="558" t="s">
        <v>996</v>
      </c>
      <c r="O176" s="738"/>
    </row>
    <row r="177" spans="2:32" x14ac:dyDescent="0.3">
      <c r="B177" s="487" t="s">
        <v>1445</v>
      </c>
      <c r="C177" s="488"/>
      <c r="D177" s="488"/>
      <c r="E177" s="488"/>
      <c r="F177" s="488"/>
      <c r="G177" s="488"/>
      <c r="I177" s="487" t="s">
        <v>988</v>
      </c>
      <c r="J177" s="488"/>
      <c r="K177" s="488"/>
      <c r="L177" s="488"/>
      <c r="M177" s="488"/>
      <c r="N177" s="488"/>
      <c r="Q177" s="481" t="s">
        <v>1589</v>
      </c>
      <c r="R177" s="481">
        <f ca="1">Results!E60</f>
        <v>1602.3904694674416</v>
      </c>
    </row>
    <row r="178" spans="2:32" x14ac:dyDescent="0.3">
      <c r="B178" s="493" t="s">
        <v>2</v>
      </c>
      <c r="C178" s="513">
        <f>D178*$R$174</f>
        <v>0.35</v>
      </c>
      <c r="D178" s="513">
        <f>'VE input'!C14</f>
        <v>0.35</v>
      </c>
      <c r="E178" s="513">
        <f>'VE input'!D14</f>
        <v>0</v>
      </c>
      <c r="F178" s="513">
        <f>'VE input'!E14</f>
        <v>0.7</v>
      </c>
      <c r="G178" s="514">
        <f ca="1">'PSA inputs'!J134</f>
        <v>0.22385951902251913</v>
      </c>
      <c r="I178" s="493" t="s">
        <v>2</v>
      </c>
      <c r="J178" s="513">
        <f ca="1">IF(AND('PSA inputs'!$I$867=1,'PSA inputs'!$I$877=1),N178,K178)</f>
        <v>0.22385951902251913</v>
      </c>
      <c r="K178" s="513">
        <f>'VE input'!C41*$R$174</f>
        <v>0.35</v>
      </c>
      <c r="L178" s="513">
        <f>'VE input'!D41</f>
        <v>0</v>
      </c>
      <c r="M178" s="513">
        <f>'VE input'!E41</f>
        <v>0.7</v>
      </c>
      <c r="N178" s="513">
        <f ca="1">'PSA inputs'!U134</f>
        <v>0.22385951902251913</v>
      </c>
      <c r="O178" s="742"/>
      <c r="Q178" s="718">
        <v>0.5</v>
      </c>
      <c r="R178" s="736">
        <f t="dataTable" ref="R178:R188" dt2D="0" dtr="0" r1="R174" ca="1"/>
        <v>7107.227130797105</v>
      </c>
    </row>
    <row r="179" spans="2:32" x14ac:dyDescent="0.3">
      <c r="B179" s="493" t="s">
        <v>3</v>
      </c>
      <c r="C179" s="513">
        <f t="shared" ref="C179:C200" si="65">D179*$R$174</f>
        <v>0.35</v>
      </c>
      <c r="D179" s="513">
        <f>'VE input'!C15</f>
        <v>0.35</v>
      </c>
      <c r="E179" s="513">
        <f>'VE input'!D15</f>
        <v>0</v>
      </c>
      <c r="F179" s="513">
        <f>'VE input'!E15</f>
        <v>0.7</v>
      </c>
      <c r="G179" s="514">
        <f ca="1">'PSA inputs'!J135</f>
        <v>0.22385951902251913</v>
      </c>
      <c r="I179" s="493" t="s">
        <v>3</v>
      </c>
      <c r="J179" s="513">
        <f ca="1">IF(AND('PSA inputs'!$I$867=1,'PSA inputs'!$I$877=1),N179,K179)</f>
        <v>0.22385951902251913</v>
      </c>
      <c r="K179" s="513">
        <f>'VE input'!C42*$R$174</f>
        <v>0.35</v>
      </c>
      <c r="L179" s="513">
        <f>'VE input'!D42</f>
        <v>0</v>
      </c>
      <c r="M179" s="513">
        <f>'VE input'!E42</f>
        <v>0.7</v>
      </c>
      <c r="N179" s="513">
        <f ca="1">'PSA inputs'!U135</f>
        <v>0.22385951902251913</v>
      </c>
      <c r="O179" s="742"/>
      <c r="Q179" s="718">
        <f>Q178+0.1</f>
        <v>0.6</v>
      </c>
      <c r="R179" s="736">
        <v>4955.1513656438919</v>
      </c>
      <c r="T179" s="718"/>
      <c r="U179" s="736"/>
      <c r="W179" s="718"/>
      <c r="X179" s="736"/>
      <c r="Z179" s="718"/>
      <c r="AA179" s="736"/>
      <c r="AC179" s="718"/>
      <c r="AD179" s="736"/>
    </row>
    <row r="180" spans="2:32" x14ac:dyDescent="0.3">
      <c r="B180" s="493" t="s">
        <v>4</v>
      </c>
      <c r="C180" s="513">
        <f t="shared" si="65"/>
        <v>0.39</v>
      </c>
      <c r="D180" s="513">
        <f>'VE input'!C16</f>
        <v>0.39</v>
      </c>
      <c r="E180" s="513">
        <f>'VE input'!D16</f>
        <v>0</v>
      </c>
      <c r="F180" s="513">
        <f>'VE input'!E16</f>
        <v>0.68</v>
      </c>
      <c r="G180" s="514">
        <f ca="1">'PSA inputs'!J136</f>
        <v>0.27098935718338329</v>
      </c>
      <c r="I180" s="493" t="s">
        <v>4</v>
      </c>
      <c r="J180" s="513">
        <f ca="1">IF(AND('PSA inputs'!$I$867=1,'PSA inputs'!$I$877=1),N180,K180)</f>
        <v>0.27098935718338329</v>
      </c>
      <c r="K180" s="513">
        <f>'VE input'!C43*$R$174</f>
        <v>0.39</v>
      </c>
      <c r="L180" s="513">
        <f>'VE input'!D43</f>
        <v>0</v>
      </c>
      <c r="M180" s="513">
        <f>'VE input'!E43</f>
        <v>0.68</v>
      </c>
      <c r="N180" s="513">
        <f ca="1">'PSA inputs'!U136</f>
        <v>0.27098935718338329</v>
      </c>
      <c r="O180" s="742"/>
      <c r="Q180" s="718">
        <f t="shared" ref="Q180:Q188" si="66">Q179+0.1</f>
        <v>0.7</v>
      </c>
      <c r="R180" s="736">
        <v>3584.2882255423756</v>
      </c>
      <c r="T180" s="718"/>
      <c r="U180" s="736"/>
      <c r="W180" s="718"/>
      <c r="X180" s="736"/>
      <c r="Z180" s="718"/>
      <c r="AA180" s="736"/>
      <c r="AC180" s="718"/>
      <c r="AD180" s="736"/>
    </row>
    <row r="181" spans="2:32" x14ac:dyDescent="0.3">
      <c r="B181" s="493" t="s">
        <v>5</v>
      </c>
      <c r="C181" s="513">
        <f t="shared" si="65"/>
        <v>0.57999999999999996</v>
      </c>
      <c r="D181" s="513">
        <f>'VE input'!C17</f>
        <v>0.57999999999999996</v>
      </c>
      <c r="E181" s="513">
        <f>'VE input'!D17</f>
        <v>0.34</v>
      </c>
      <c r="F181" s="513">
        <f>'VE input'!E17</f>
        <v>0.73</v>
      </c>
      <c r="G181" s="514">
        <f ca="1">'PSA inputs'!J137</f>
        <v>0.50354070803997708</v>
      </c>
      <c r="I181" s="493" t="s">
        <v>5</v>
      </c>
      <c r="J181" s="513">
        <f ca="1">IF(AND('PSA inputs'!$I$867=1,'PSA inputs'!$I$877=1),N181,K181)</f>
        <v>0.52060748717289651</v>
      </c>
      <c r="K181" s="513">
        <f>'VE input'!C44*$R$174</f>
        <v>0.57999999999999996</v>
      </c>
      <c r="L181" s="513">
        <f>'VE input'!D44</f>
        <v>0.34</v>
      </c>
      <c r="M181" s="513">
        <f>'VE input'!E44</f>
        <v>0.73</v>
      </c>
      <c r="N181" s="513">
        <f ca="1">'PSA inputs'!U137</f>
        <v>0.52060748717289651</v>
      </c>
      <c r="O181" s="742"/>
      <c r="Q181" s="718">
        <f t="shared" si="66"/>
        <v>0.79999999999999993</v>
      </c>
      <c r="R181" s="736">
        <v>2821.8699814923252</v>
      </c>
      <c r="T181" s="718"/>
      <c r="U181" s="736"/>
      <c r="W181" s="718"/>
      <c r="X181" s="736"/>
      <c r="Z181" s="718"/>
      <c r="AA181" s="736"/>
      <c r="AC181" s="718"/>
      <c r="AD181" s="736"/>
    </row>
    <row r="182" spans="2:32" x14ac:dyDescent="0.3">
      <c r="B182" s="493" t="s">
        <v>6</v>
      </c>
      <c r="C182" s="513">
        <f t="shared" si="65"/>
        <v>0.57999999999999996</v>
      </c>
      <c r="D182" s="513">
        <f>'VE input'!C18</f>
        <v>0.57999999999999996</v>
      </c>
      <c r="E182" s="513">
        <f>'VE input'!D18</f>
        <v>0.34</v>
      </c>
      <c r="F182" s="513">
        <f>'VE input'!E18</f>
        <v>0.73</v>
      </c>
      <c r="G182" s="514">
        <f ca="1">'PSA inputs'!J138</f>
        <v>0.52060748717289651</v>
      </c>
      <c r="I182" s="493" t="s">
        <v>6</v>
      </c>
      <c r="J182" s="513">
        <f ca="1">IF(AND('PSA inputs'!$I$867=1,'PSA inputs'!$I$877=1),N182,K182)</f>
        <v>0.52060748717289651</v>
      </c>
      <c r="K182" s="513">
        <f>'VE input'!C45*$R$174</f>
        <v>0.57999999999999996</v>
      </c>
      <c r="L182" s="513">
        <f>'VE input'!D45</f>
        <v>0.34</v>
      </c>
      <c r="M182" s="513">
        <f>'VE input'!E45</f>
        <v>0.73</v>
      </c>
      <c r="N182" s="513">
        <f ca="1">'PSA inputs'!U138</f>
        <v>0.52060748717289651</v>
      </c>
      <c r="O182" s="742"/>
      <c r="Q182" s="718">
        <f t="shared" si="66"/>
        <v>0.89999999999999991</v>
      </c>
      <c r="R182" s="736">
        <v>1826.1490716271394</v>
      </c>
      <c r="T182" s="718"/>
      <c r="U182" s="736"/>
      <c r="W182" s="718"/>
      <c r="X182" s="736"/>
      <c r="Z182" s="718"/>
      <c r="AA182" s="736"/>
      <c r="AC182" s="718"/>
      <c r="AD182" s="736"/>
    </row>
    <row r="183" spans="2:32" x14ac:dyDescent="0.3">
      <c r="B183" s="493" t="s">
        <v>7</v>
      </c>
      <c r="C183" s="513">
        <f t="shared" si="65"/>
        <v>0.57999999999999996</v>
      </c>
      <c r="D183" s="513">
        <f>'VE input'!C19</f>
        <v>0.57999999999999996</v>
      </c>
      <c r="E183" s="513">
        <f>'VE input'!D19</f>
        <v>0.34</v>
      </c>
      <c r="F183" s="513">
        <f>'VE input'!E19</f>
        <v>0.73</v>
      </c>
      <c r="G183" s="514">
        <f ca="1">'PSA inputs'!J139</f>
        <v>0.52060748717289651</v>
      </c>
      <c r="I183" s="493" t="s">
        <v>7</v>
      </c>
      <c r="J183" s="513">
        <f ca="1">IF(AND('PSA inputs'!$I$867=1,'PSA inputs'!$I$877=1),N183,K183)</f>
        <v>0.52060748717289651</v>
      </c>
      <c r="K183" s="513">
        <f>'VE input'!C46*$R$174</f>
        <v>0.57999999999999996</v>
      </c>
      <c r="L183" s="513">
        <f>'VE input'!D46</f>
        <v>0.34</v>
      </c>
      <c r="M183" s="513">
        <f>'VE input'!E46</f>
        <v>0.73</v>
      </c>
      <c r="N183" s="513">
        <f ca="1">'PSA inputs'!U139</f>
        <v>0.52060748717289651</v>
      </c>
      <c r="O183" s="742"/>
      <c r="Q183" s="718">
        <f t="shared" si="66"/>
        <v>0.99999999999999989</v>
      </c>
      <c r="R183" s="736">
        <v>4175.0834100444372</v>
      </c>
      <c r="T183" s="718"/>
      <c r="U183" s="736"/>
      <c r="W183" s="718"/>
      <c r="X183" s="736"/>
      <c r="Z183" s="718"/>
      <c r="AA183" s="736"/>
      <c r="AC183" s="718"/>
      <c r="AD183" s="736"/>
    </row>
    <row r="184" spans="2:32" x14ac:dyDescent="0.3">
      <c r="B184" s="493" t="s">
        <v>1469</v>
      </c>
      <c r="C184" s="513">
        <f t="shared" si="65"/>
        <v>0.57999999999999996</v>
      </c>
      <c r="D184" s="513">
        <f>'VE input'!C20</f>
        <v>0.57999999999999996</v>
      </c>
      <c r="E184" s="513">
        <f>'VE input'!D20</f>
        <v>0.34</v>
      </c>
      <c r="F184" s="513">
        <f>'VE input'!E20</f>
        <v>0.73</v>
      </c>
      <c r="G184" s="514">
        <f ca="1">'PSA inputs'!J140</f>
        <v>0.52060748717289651</v>
      </c>
      <c r="I184" s="493" t="s">
        <v>1469</v>
      </c>
      <c r="J184" s="513">
        <f ca="1">IF(AND('PSA inputs'!$I$867=1,'PSA inputs'!$I$877=1),N184,K184)</f>
        <v>0.52060748717289651</v>
      </c>
      <c r="K184" s="513">
        <f>'VE input'!C47*$R$174</f>
        <v>0.57999999999999996</v>
      </c>
      <c r="L184" s="513">
        <f>'VE input'!D47</f>
        <v>0.34</v>
      </c>
      <c r="M184" s="513">
        <f>'VE input'!E47</f>
        <v>0.73</v>
      </c>
      <c r="N184" s="513">
        <f ca="1">'PSA inputs'!U140</f>
        <v>0.52060748717289651</v>
      </c>
      <c r="O184" s="742"/>
      <c r="Q184" s="718">
        <f t="shared" si="66"/>
        <v>1.0999999999999999</v>
      </c>
      <c r="R184" s="736">
        <v>3438.9484368945041</v>
      </c>
      <c r="T184" s="718"/>
      <c r="U184" s="736"/>
      <c r="W184" s="718"/>
      <c r="X184" s="736"/>
      <c r="Z184" s="718"/>
      <c r="AA184" s="736"/>
      <c r="AC184" s="718"/>
      <c r="AD184" s="736"/>
    </row>
    <row r="185" spans="2:32" x14ac:dyDescent="0.3">
      <c r="B185" s="487" t="s">
        <v>1444</v>
      </c>
      <c r="C185" s="559"/>
      <c r="D185" s="496"/>
      <c r="E185" s="496"/>
      <c r="F185" s="496"/>
      <c r="G185" s="496"/>
      <c r="I185" s="487" t="s">
        <v>988</v>
      </c>
      <c r="J185" s="496"/>
      <c r="K185" s="515"/>
      <c r="L185" s="515"/>
      <c r="M185" s="515"/>
      <c r="N185" s="515"/>
      <c r="O185" s="746"/>
      <c r="Q185" s="718">
        <f t="shared" si="66"/>
        <v>1.2</v>
      </c>
      <c r="R185" s="736">
        <v>1261.2232176644382</v>
      </c>
      <c r="T185" s="718"/>
      <c r="U185" s="736"/>
      <c r="W185" s="718"/>
      <c r="X185" s="736"/>
      <c r="Z185" s="718"/>
      <c r="AA185" s="736"/>
      <c r="AC185" s="718"/>
      <c r="AD185" s="736"/>
    </row>
    <row r="186" spans="2:32" x14ac:dyDescent="0.3">
      <c r="B186" s="493" t="s">
        <v>2</v>
      </c>
      <c r="C186" s="513">
        <f t="shared" si="65"/>
        <v>0</v>
      </c>
      <c r="D186" s="513">
        <f>'VE input'!C22</f>
        <v>0</v>
      </c>
      <c r="E186" s="513">
        <f>'VE input'!D22</f>
        <v>0</v>
      </c>
      <c r="F186" s="513">
        <f>'VE input'!E22</f>
        <v>0</v>
      </c>
      <c r="G186" s="514">
        <f>'PSA inputs'!J142</f>
        <v>0</v>
      </c>
      <c r="I186" s="493" t="s">
        <v>2</v>
      </c>
      <c r="J186" s="513">
        <f>IF(AND('PSA inputs'!$I$867=1,'PSA inputs'!$I$877=1),N186,K186)</f>
        <v>0</v>
      </c>
      <c r="K186" s="513">
        <f>'VE input'!C49*$R$174</f>
        <v>0</v>
      </c>
      <c r="L186" s="513">
        <f>'VE input'!D49</f>
        <v>0</v>
      </c>
      <c r="M186" s="513">
        <f>'VE input'!E49</f>
        <v>0</v>
      </c>
      <c r="N186" s="513">
        <f>'PSA inputs'!U142</f>
        <v>0</v>
      </c>
      <c r="O186" s="742"/>
      <c r="Q186" s="718">
        <f t="shared" si="66"/>
        <v>1.3</v>
      </c>
      <c r="R186" s="736">
        <v>3196.8166330111053</v>
      </c>
      <c r="T186" s="718"/>
      <c r="U186" s="736"/>
      <c r="W186" s="718"/>
      <c r="X186" s="736"/>
      <c r="Z186" s="718"/>
      <c r="AA186" s="736"/>
      <c r="AC186" s="718"/>
      <c r="AD186" s="736"/>
    </row>
    <row r="187" spans="2:32" x14ac:dyDescent="0.3">
      <c r="B187" s="493" t="s">
        <v>3</v>
      </c>
      <c r="C187" s="513">
        <f t="shared" si="65"/>
        <v>0</v>
      </c>
      <c r="D187" s="513">
        <f>'VE input'!C23</f>
        <v>0</v>
      </c>
      <c r="E187" s="513">
        <f>'VE input'!D23</f>
        <v>0</v>
      </c>
      <c r="F187" s="513">
        <f>'VE input'!E23</f>
        <v>0</v>
      </c>
      <c r="G187" s="514">
        <f>'PSA inputs'!J143</f>
        <v>0</v>
      </c>
      <c r="I187" s="493" t="s">
        <v>3</v>
      </c>
      <c r="J187" s="513">
        <f>IF(AND('PSA inputs'!$I$867=1,'PSA inputs'!$I$877=1),N187,K187)</f>
        <v>0</v>
      </c>
      <c r="K187" s="513">
        <f>'VE input'!C50*$R$174</f>
        <v>0</v>
      </c>
      <c r="L187" s="513">
        <f>'VE input'!D50</f>
        <v>0</v>
      </c>
      <c r="M187" s="513">
        <f>'VE input'!E50</f>
        <v>0</v>
      </c>
      <c r="N187" s="513">
        <f>'PSA inputs'!U143</f>
        <v>0</v>
      </c>
      <c r="O187" s="742"/>
      <c r="Q187" s="718">
        <f t="shared" si="66"/>
        <v>1.4000000000000001</v>
      </c>
      <c r="R187" s="736">
        <v>2105.1751083713852</v>
      </c>
      <c r="T187" s="718"/>
      <c r="U187" s="736"/>
      <c r="W187" s="718"/>
      <c r="X187" s="736"/>
      <c r="Z187" s="718"/>
      <c r="AA187" s="736"/>
      <c r="AC187" s="718"/>
      <c r="AD187" s="736"/>
    </row>
    <row r="188" spans="2:32" x14ac:dyDescent="0.3">
      <c r="B188" s="493" t="s">
        <v>4</v>
      </c>
      <c r="C188" s="513">
        <f t="shared" si="65"/>
        <v>0</v>
      </c>
      <c r="D188" s="513">
        <f>'VE input'!C24</f>
        <v>0</v>
      </c>
      <c r="E188" s="513">
        <f>'VE input'!D24</f>
        <v>0</v>
      </c>
      <c r="F188" s="513">
        <f>'VE input'!E24</f>
        <v>0</v>
      </c>
      <c r="G188" s="514">
        <f>'PSA inputs'!J144</f>
        <v>0</v>
      </c>
      <c r="I188" s="493" t="s">
        <v>4</v>
      </c>
      <c r="J188" s="513">
        <f>IF(AND('PSA inputs'!$I$867=1,'PSA inputs'!$I$877=1),N188,K188)</f>
        <v>0</v>
      </c>
      <c r="K188" s="513">
        <f>'VE input'!C51*$R$174</f>
        <v>0</v>
      </c>
      <c r="L188" s="513">
        <f>'VE input'!D51</f>
        <v>0</v>
      </c>
      <c r="M188" s="513">
        <f>'VE input'!E51</f>
        <v>0</v>
      </c>
      <c r="N188" s="513">
        <f>'PSA inputs'!U144</f>
        <v>0</v>
      </c>
      <c r="O188" s="742"/>
      <c r="Q188" s="718">
        <f t="shared" si="66"/>
        <v>1.5000000000000002</v>
      </c>
      <c r="R188" s="736">
        <v>1900.3610322555735</v>
      </c>
      <c r="T188" s="718"/>
      <c r="U188" s="736"/>
      <c r="W188" s="718"/>
      <c r="X188" s="736"/>
      <c r="Z188" s="718"/>
      <c r="AA188" s="736"/>
      <c r="AC188" s="718"/>
      <c r="AD188" s="736"/>
    </row>
    <row r="189" spans="2:32" x14ac:dyDescent="0.3">
      <c r="B189" s="493" t="s">
        <v>5</v>
      </c>
      <c r="C189" s="513">
        <f t="shared" si="65"/>
        <v>0.43645409834744886</v>
      </c>
      <c r="D189" s="513">
        <f>'VE input'!C25</f>
        <v>0.43645409834744886</v>
      </c>
      <c r="E189" s="513">
        <f>'VE input'!D25</f>
        <v>0.39206893580364055</v>
      </c>
      <c r="F189" s="513">
        <f>'VE input'!E25</f>
        <v>0.47344173380062254</v>
      </c>
      <c r="G189" s="514">
        <f ca="1">'PSA inputs'!J145</f>
        <v>0.41330601359414515</v>
      </c>
      <c r="I189" s="493" t="s">
        <v>5</v>
      </c>
      <c r="J189" s="513">
        <f ca="1">IF(AND('PSA inputs'!$I$867=1,'PSA inputs'!$I$877=1),N189,K189)</f>
        <v>0.40715449862376479</v>
      </c>
      <c r="K189" s="513">
        <f>'VE input'!C52*$R$174</f>
        <v>0.43645409834744886</v>
      </c>
      <c r="L189" s="513">
        <f>'VE input'!D52</f>
        <v>0.39206893580364055</v>
      </c>
      <c r="M189" s="513">
        <f>'VE input'!E52</f>
        <v>0.47344173380062254</v>
      </c>
      <c r="N189" s="513">
        <f ca="1">'PSA inputs'!U145</f>
        <v>0.40715449862376479</v>
      </c>
      <c r="O189" s="742"/>
      <c r="T189" s="718"/>
      <c r="U189" s="736"/>
      <c r="W189" s="718"/>
      <c r="X189" s="736"/>
      <c r="Z189" s="718"/>
      <c r="AA189" s="736"/>
      <c r="AC189" s="718"/>
      <c r="AD189" s="736"/>
    </row>
    <row r="190" spans="2:32" x14ac:dyDescent="0.3">
      <c r="B190" s="493" t="s">
        <v>6</v>
      </c>
      <c r="C190" s="513">
        <f t="shared" si="65"/>
        <v>0.43645409834744886</v>
      </c>
      <c r="D190" s="513">
        <f>'VE input'!C26</f>
        <v>0.43645409834744886</v>
      </c>
      <c r="E190" s="513">
        <f>'VE input'!D26</f>
        <v>0.39206893580364055</v>
      </c>
      <c r="F190" s="513">
        <f>'VE input'!E26</f>
        <v>0.47344173380062254</v>
      </c>
      <c r="G190" s="514">
        <f ca="1">'PSA inputs'!J146</f>
        <v>0.41330601359414515</v>
      </c>
      <c r="I190" s="493" t="s">
        <v>6</v>
      </c>
      <c r="J190" s="513">
        <f ca="1">IF(AND('PSA inputs'!$I$867=1,'PSA inputs'!$I$877=1),N190,K190)</f>
        <v>0.40715449862376479</v>
      </c>
      <c r="K190" s="513">
        <f>'VE input'!C53*$R$174</f>
        <v>0.43645409834744886</v>
      </c>
      <c r="L190" s="513">
        <f>'VE input'!D53</f>
        <v>0.39206893580364055</v>
      </c>
      <c r="M190" s="513">
        <f>'VE input'!E53</f>
        <v>0.47344173380062254</v>
      </c>
      <c r="N190" s="513">
        <f ca="1">'PSA inputs'!U146</f>
        <v>0.40715449862376479</v>
      </c>
      <c r="O190" s="742"/>
      <c r="P190" s="737"/>
      <c r="Q190" s="737"/>
      <c r="R190" s="737"/>
      <c r="S190" s="737"/>
      <c r="T190" s="737"/>
      <c r="U190" s="737"/>
      <c r="V190" s="737"/>
      <c r="W190" s="737"/>
      <c r="X190" s="737"/>
      <c r="Y190" s="737"/>
      <c r="Z190" s="737"/>
      <c r="AA190" s="737"/>
      <c r="AB190" s="737"/>
      <c r="AC190" s="737"/>
      <c r="AD190" s="737"/>
      <c r="AE190" s="737"/>
    </row>
    <row r="191" spans="2:32" x14ac:dyDescent="0.3">
      <c r="B191" s="493" t="s">
        <v>7</v>
      </c>
      <c r="C191" s="513">
        <f t="shared" si="65"/>
        <v>0.43645409834744886</v>
      </c>
      <c r="D191" s="513">
        <f>'VE input'!C27</f>
        <v>0.43645409834744886</v>
      </c>
      <c r="E191" s="513">
        <f>'VE input'!D27</f>
        <v>0.39206893580364055</v>
      </c>
      <c r="F191" s="513">
        <f>'VE input'!E27</f>
        <v>0.47344173380062254</v>
      </c>
      <c r="G191" s="514">
        <f ca="1">'PSA inputs'!J147</f>
        <v>0.41330601359414515</v>
      </c>
      <c r="I191" s="493" t="s">
        <v>7</v>
      </c>
      <c r="J191" s="513">
        <f ca="1">IF(AND('PSA inputs'!$I$867=1,'PSA inputs'!$I$877=1),N191,K191)</f>
        <v>0.40715449862376479</v>
      </c>
      <c r="K191" s="513">
        <f>'VE input'!C54*$R$174</f>
        <v>0.43645409834744886</v>
      </c>
      <c r="L191" s="513">
        <f>'VE input'!D54</f>
        <v>0.39206893580364055</v>
      </c>
      <c r="M191" s="513">
        <f>'VE input'!E54</f>
        <v>0.47344173380062254</v>
      </c>
      <c r="N191" s="513">
        <f ca="1">'PSA inputs'!U147</f>
        <v>0.40715449862376479</v>
      </c>
      <c r="O191" s="742"/>
      <c r="P191" s="737"/>
      <c r="Q191" s="789" t="s">
        <v>227</v>
      </c>
      <c r="R191" s="789"/>
      <c r="S191" s="737"/>
      <c r="T191" s="789" t="s">
        <v>1436</v>
      </c>
      <c r="U191" s="789"/>
      <c r="V191" s="737"/>
      <c r="W191" s="789" t="s">
        <v>1591</v>
      </c>
      <c r="X191" s="789"/>
      <c r="Y191" s="737"/>
      <c r="Z191" s="789" t="s">
        <v>1592</v>
      </c>
      <c r="AA191" s="789"/>
      <c r="AB191" s="737"/>
      <c r="AC191" s="789" t="s">
        <v>1593</v>
      </c>
      <c r="AD191" s="789"/>
      <c r="AE191" s="737"/>
      <c r="AF191" s="735"/>
    </row>
    <row r="192" spans="2:32" x14ac:dyDescent="0.3">
      <c r="B192" s="493" t="s">
        <v>1469</v>
      </c>
      <c r="C192" s="513">
        <f t="shared" si="65"/>
        <v>0</v>
      </c>
      <c r="D192" s="513">
        <f>'VE input'!C28</f>
        <v>0</v>
      </c>
      <c r="E192" s="513">
        <f>'VE input'!D28</f>
        <v>0</v>
      </c>
      <c r="F192" s="513">
        <f>'VE input'!E28</f>
        <v>0</v>
      </c>
      <c r="G192" s="514">
        <f>'PSA inputs'!J148</f>
        <v>0</v>
      </c>
      <c r="I192" s="493" t="s">
        <v>1469</v>
      </c>
      <c r="J192" s="513">
        <f>IF(AND('PSA inputs'!$I$867=1,'PSA inputs'!$I$877=1),N192,K192)</f>
        <v>0</v>
      </c>
      <c r="K192" s="513">
        <f>'VE input'!C55*$R$174</f>
        <v>0</v>
      </c>
      <c r="L192" s="513">
        <f>'VE input'!D55</f>
        <v>0</v>
      </c>
      <c r="M192" s="513">
        <f>'VE input'!E55</f>
        <v>0</v>
      </c>
      <c r="N192" s="513">
        <f>'PSA inputs'!U148</f>
        <v>0</v>
      </c>
      <c r="O192" s="742"/>
      <c r="P192" s="737"/>
      <c r="Q192" s="731" t="s">
        <v>1590</v>
      </c>
      <c r="R192" s="731" t="s">
        <v>236</v>
      </c>
      <c r="S192" s="737"/>
      <c r="T192" s="731" t="s">
        <v>1590</v>
      </c>
      <c r="U192" s="731" t="s">
        <v>236</v>
      </c>
      <c r="V192" s="737"/>
      <c r="W192" s="731" t="s">
        <v>1590</v>
      </c>
      <c r="X192" s="731" t="s">
        <v>236</v>
      </c>
      <c r="Y192" s="737"/>
      <c r="Z192" s="731" t="s">
        <v>1590</v>
      </c>
      <c r="AA192" s="731" t="s">
        <v>236</v>
      </c>
      <c r="AB192" s="737"/>
      <c r="AC192" s="731" t="s">
        <v>1590</v>
      </c>
      <c r="AD192" s="731" t="s">
        <v>236</v>
      </c>
      <c r="AE192" s="737"/>
      <c r="AF192" s="731"/>
    </row>
    <row r="193" spans="2:32" x14ac:dyDescent="0.3">
      <c r="B193" s="498" t="s">
        <v>227</v>
      </c>
      <c r="C193" s="559"/>
      <c r="D193" s="496"/>
      <c r="E193" s="496"/>
      <c r="F193" s="496"/>
      <c r="G193" s="496"/>
      <c r="I193" s="498" t="s">
        <v>227</v>
      </c>
      <c r="J193" s="496"/>
      <c r="K193" s="515"/>
      <c r="L193" s="515"/>
      <c r="M193" s="515"/>
      <c r="N193" s="515"/>
      <c r="O193" s="746"/>
      <c r="P193" s="737"/>
      <c r="Q193" s="730">
        <v>0.5</v>
      </c>
      <c r="R193" s="731">
        <v>4464.5460696895379</v>
      </c>
      <c r="S193" s="737"/>
      <c r="T193" s="730">
        <v>0.5</v>
      </c>
      <c r="U193" s="731">
        <v>4717.11083504833</v>
      </c>
      <c r="V193" s="737"/>
      <c r="W193" s="730">
        <v>0.5</v>
      </c>
      <c r="X193" s="731">
        <v>5596.2063092665594</v>
      </c>
      <c r="Y193" s="737"/>
      <c r="Z193" s="730">
        <v>0.5</v>
      </c>
      <c r="AA193" s="731">
        <v>6861.9309005780606</v>
      </c>
      <c r="AB193" s="737"/>
      <c r="AC193" s="730">
        <v>0.5</v>
      </c>
      <c r="AD193" s="731">
        <v>9990.0740949035971</v>
      </c>
      <c r="AE193" s="737"/>
      <c r="AF193" s="731"/>
    </row>
    <row r="194" spans="2:32" x14ac:dyDescent="0.3">
      <c r="B194" s="490" t="s">
        <v>1437</v>
      </c>
      <c r="C194" s="513">
        <f t="shared" si="65"/>
        <v>0.504</v>
      </c>
      <c r="D194" s="513">
        <f>'VE input'!C30</f>
        <v>0.504</v>
      </c>
      <c r="E194" s="513">
        <f>'VE input'!D30</f>
        <v>0.14199999999999999</v>
      </c>
      <c r="F194" s="513">
        <f>'VE input'!E30</f>
        <v>0.71199999999999997</v>
      </c>
      <c r="G194" s="514">
        <f ca="1">'PSA inputs'!J150</f>
        <v>0.42167194165021987</v>
      </c>
      <c r="I194" s="490" t="s">
        <v>1437</v>
      </c>
      <c r="J194" s="513">
        <f ca="1">IF(AND('PSA inputs'!$I$867=1,'PSA inputs'!$I$877=1),N194,K194)</f>
        <v>0.4175955123196281</v>
      </c>
      <c r="K194" s="513">
        <f>'VE input'!C57*$R$174</f>
        <v>0.504</v>
      </c>
      <c r="L194" s="513">
        <f>'VE input'!D57</f>
        <v>0.14199999999999999</v>
      </c>
      <c r="M194" s="513">
        <f>'VE input'!E57</f>
        <v>0.71199999999999997</v>
      </c>
      <c r="N194" s="513">
        <f ca="1">'PSA inputs'!U150</f>
        <v>0.4175955123196281</v>
      </c>
      <c r="O194" s="742"/>
      <c r="P194" s="737"/>
      <c r="Q194" s="730">
        <f>Q193+0.1</f>
        <v>0.6</v>
      </c>
      <c r="R194" s="731">
        <v>3581.7951511586762</v>
      </c>
      <c r="S194" s="737"/>
      <c r="T194" s="730">
        <f>T193+0.1</f>
        <v>0.6</v>
      </c>
      <c r="U194" s="731">
        <v>3841.4451564905116</v>
      </c>
      <c r="V194" s="737"/>
      <c r="W194" s="730">
        <f>W193+0.1</f>
        <v>0.6</v>
      </c>
      <c r="X194" s="731">
        <v>4555.8753974923011</v>
      </c>
      <c r="Y194" s="737"/>
      <c r="Z194" s="730">
        <f>Z193+0.1</f>
        <v>0.6</v>
      </c>
      <c r="AA194" s="731">
        <v>5622.5161343966374</v>
      </c>
      <c r="AB194" s="737"/>
      <c r="AC194" s="730">
        <f>AC193+0.1</f>
        <v>0.6</v>
      </c>
      <c r="AD194" s="731">
        <v>8217.6471071466713</v>
      </c>
      <c r="AE194" s="737"/>
      <c r="AF194" s="731"/>
    </row>
    <row r="195" spans="2:32" x14ac:dyDescent="0.3">
      <c r="B195" s="490" t="s">
        <v>1438</v>
      </c>
      <c r="C195" s="513">
        <f t="shared" si="65"/>
        <v>0</v>
      </c>
      <c r="D195" s="513">
        <f>'VE input'!C31</f>
        <v>0</v>
      </c>
      <c r="E195" s="513">
        <f>'VE input'!D31</f>
        <v>0</v>
      </c>
      <c r="F195" s="513">
        <f>'VE input'!E31</f>
        <v>0</v>
      </c>
      <c r="G195" s="514">
        <f>'PSA inputs'!J151</f>
        <v>0</v>
      </c>
      <c r="I195" s="490" t="s">
        <v>1438</v>
      </c>
      <c r="J195" s="513">
        <f>IF(AND('PSA inputs'!$I$867=1,'PSA inputs'!$I$877=1),N195,K195)</f>
        <v>0</v>
      </c>
      <c r="K195" s="513">
        <f>'VE input'!C58*$R$174</f>
        <v>0</v>
      </c>
      <c r="L195" s="513">
        <f>'VE input'!D58</f>
        <v>0</v>
      </c>
      <c r="M195" s="513">
        <f>'VE input'!E58</f>
        <v>0</v>
      </c>
      <c r="N195" s="513">
        <f>'PSA inputs'!U151</f>
        <v>0</v>
      </c>
      <c r="O195" s="742"/>
      <c r="P195" s="737"/>
      <c r="Q195" s="730">
        <f t="shared" ref="Q195:Q203" si="67">Q194+0.1</f>
        <v>0.7</v>
      </c>
      <c r="R195" s="731">
        <v>2951.2587807794894</v>
      </c>
      <c r="S195" s="737"/>
      <c r="T195" s="730">
        <f t="shared" ref="T195:T203" si="68">T194+0.1</f>
        <v>0.7</v>
      </c>
      <c r="U195" s="731">
        <v>3215.969671806341</v>
      </c>
      <c r="V195" s="737"/>
      <c r="W195" s="730">
        <f t="shared" ref="W195:W203" si="69">W194+0.1</f>
        <v>0.7</v>
      </c>
      <c r="X195" s="731">
        <v>3812.7818890819758</v>
      </c>
      <c r="Y195" s="737"/>
      <c r="Z195" s="730">
        <f t="shared" ref="Z195:Z203" si="70">Z194+0.1</f>
        <v>0.7</v>
      </c>
      <c r="AA195" s="731">
        <v>4737.2198728383946</v>
      </c>
      <c r="AB195" s="737"/>
      <c r="AC195" s="730">
        <f t="shared" ref="AC195:AC203" si="71">AC194+0.1</f>
        <v>0.7</v>
      </c>
      <c r="AD195" s="731">
        <v>6951.6278301774582</v>
      </c>
      <c r="AE195" s="737"/>
      <c r="AF195" s="731"/>
    </row>
    <row r="196" spans="2:32" x14ac:dyDescent="0.3">
      <c r="B196" s="490" t="s">
        <v>1441</v>
      </c>
      <c r="C196" s="513">
        <f t="shared" si="65"/>
        <v>0.48</v>
      </c>
      <c r="D196" s="513">
        <f>'VE input'!C32</f>
        <v>0.48</v>
      </c>
      <c r="E196" s="513">
        <f>'VE input'!D32</f>
        <v>0.11600000000000001</v>
      </c>
      <c r="F196" s="513">
        <f>'VE input'!E32</f>
        <v>0.70399999999999996</v>
      </c>
      <c r="G196" s="514">
        <f ca="1">'PSA inputs'!J152</f>
        <v>0.39359781909162561</v>
      </c>
      <c r="I196" s="490" t="s">
        <v>1441</v>
      </c>
      <c r="J196" s="513">
        <f ca="1">IF(AND('PSA inputs'!$I$867=1,'PSA inputs'!$I$877=1),N196,K196)</f>
        <v>0.3894318429946404</v>
      </c>
      <c r="K196" s="513">
        <f>'VE input'!C59*$R$174</f>
        <v>0.48</v>
      </c>
      <c r="L196" s="513">
        <f>'VE input'!D59</f>
        <v>0.11600000000000001</v>
      </c>
      <c r="M196" s="513">
        <f>'VE input'!E59</f>
        <v>0.70399999999999996</v>
      </c>
      <c r="N196" s="513">
        <f ca="1">'PSA inputs'!U152</f>
        <v>0.3894318429946404</v>
      </c>
      <c r="O196" s="742"/>
      <c r="P196" s="737"/>
      <c r="Q196" s="730">
        <f t="shared" si="67"/>
        <v>0.79999999999999993</v>
      </c>
      <c r="R196" s="731">
        <v>2478.3565029951051</v>
      </c>
      <c r="S196" s="737"/>
      <c r="T196" s="730">
        <f t="shared" si="68"/>
        <v>0.79999999999999993</v>
      </c>
      <c r="U196" s="731">
        <v>2746.8630582931919</v>
      </c>
      <c r="V196" s="737"/>
      <c r="W196" s="730">
        <f t="shared" si="69"/>
        <v>0.79999999999999993</v>
      </c>
      <c r="X196" s="731">
        <v>3255.4617577742829</v>
      </c>
      <c r="Y196" s="737"/>
      <c r="Z196" s="730">
        <f t="shared" si="70"/>
        <v>0.79999999999999993</v>
      </c>
      <c r="AA196" s="731">
        <v>4073.2476766698355</v>
      </c>
      <c r="AB196" s="737"/>
      <c r="AC196" s="730">
        <f t="shared" si="71"/>
        <v>0.79999999999999993</v>
      </c>
      <c r="AD196" s="731">
        <v>6002.1133724507226</v>
      </c>
      <c r="AE196" s="737"/>
      <c r="AF196" s="731"/>
    </row>
    <row r="197" spans="2:32" x14ac:dyDescent="0.3">
      <c r="B197" s="490" t="s">
        <v>1442</v>
      </c>
      <c r="C197" s="513">
        <f t="shared" si="65"/>
        <v>0</v>
      </c>
      <c r="D197" s="513">
        <f>'VE input'!C33</f>
        <v>0</v>
      </c>
      <c r="E197" s="513">
        <f>'VE input'!D33</f>
        <v>0</v>
      </c>
      <c r="F197" s="513">
        <f>'VE input'!E33</f>
        <v>0</v>
      </c>
      <c r="G197" s="514">
        <f>'PSA inputs'!J153</f>
        <v>0</v>
      </c>
      <c r="I197" s="490" t="s">
        <v>1442</v>
      </c>
      <c r="J197" s="513">
        <f>IF(AND('PSA inputs'!$I$867=1,'PSA inputs'!$I$877=1),N197,K197)</f>
        <v>0</v>
      </c>
      <c r="K197" s="513">
        <f>'VE input'!C60*$R$174</f>
        <v>0</v>
      </c>
      <c r="L197" s="513">
        <f>'VE input'!D60</f>
        <v>0</v>
      </c>
      <c r="M197" s="513">
        <f>'VE input'!E60</f>
        <v>0</v>
      </c>
      <c r="N197" s="513">
        <f>'PSA inputs'!U153</f>
        <v>0</v>
      </c>
      <c r="O197" s="742"/>
      <c r="P197" s="737"/>
      <c r="Q197" s="730">
        <f t="shared" si="67"/>
        <v>0.89999999999999991</v>
      </c>
      <c r="R197" s="731">
        <v>2110.5436202739079</v>
      </c>
      <c r="S197" s="737"/>
      <c r="T197" s="730">
        <f t="shared" si="68"/>
        <v>0.89999999999999991</v>
      </c>
      <c r="U197" s="731">
        <v>2382.002358894078</v>
      </c>
      <c r="V197" s="737"/>
      <c r="W197" s="730">
        <f t="shared" si="69"/>
        <v>0.89999999999999991</v>
      </c>
      <c r="X197" s="731">
        <v>2821.9905445349968</v>
      </c>
      <c r="Y197" s="737"/>
      <c r="Z197" s="730">
        <f t="shared" si="70"/>
        <v>0.89999999999999991</v>
      </c>
      <c r="AA197" s="731">
        <v>3556.8248574275181</v>
      </c>
      <c r="AB197" s="737"/>
      <c r="AC197" s="730">
        <f t="shared" si="71"/>
        <v>0.89999999999999991</v>
      </c>
      <c r="AD197" s="731">
        <v>5263.6021275520216</v>
      </c>
      <c r="AE197" s="737"/>
      <c r="AF197" s="731"/>
    </row>
    <row r="198" spans="2:32" x14ac:dyDescent="0.3">
      <c r="B198" s="498" t="s">
        <v>920</v>
      </c>
      <c r="C198" s="559"/>
      <c r="D198" s="496"/>
      <c r="E198" s="496"/>
      <c r="F198" s="496"/>
      <c r="G198" s="496"/>
      <c r="I198" s="498" t="s">
        <v>920</v>
      </c>
      <c r="J198" s="496"/>
      <c r="K198" s="515"/>
      <c r="L198" s="515"/>
      <c r="M198" s="515"/>
      <c r="N198" s="515"/>
      <c r="O198" s="746"/>
      <c r="P198" s="737"/>
      <c r="Q198" s="730">
        <f t="shared" si="67"/>
        <v>0.99999999999999989</v>
      </c>
      <c r="R198" s="731">
        <v>1816.2933140969631</v>
      </c>
      <c r="S198" s="737"/>
      <c r="T198" s="730">
        <f t="shared" si="68"/>
        <v>0.99999999999999989</v>
      </c>
      <c r="U198" s="731">
        <v>2090.1137993747889</v>
      </c>
      <c r="V198" s="737"/>
      <c r="W198" s="730">
        <f t="shared" si="69"/>
        <v>0.99999999999999989</v>
      </c>
      <c r="X198" s="731">
        <v>2475.2135739435571</v>
      </c>
      <c r="Y198" s="737"/>
      <c r="Z198" s="730">
        <f t="shared" si="70"/>
        <v>0.99999999999999989</v>
      </c>
      <c r="AA198" s="731">
        <v>3143.6866020336988</v>
      </c>
      <c r="AB198" s="737"/>
      <c r="AC198" s="730">
        <f t="shared" si="71"/>
        <v>0.99999999999999989</v>
      </c>
      <c r="AD198" s="731">
        <v>4672.7931316331797</v>
      </c>
      <c r="AE198" s="737"/>
      <c r="AF198" s="731"/>
    </row>
    <row r="199" spans="2:32" x14ac:dyDescent="0.3">
      <c r="B199" s="490" t="s">
        <v>920</v>
      </c>
      <c r="C199" s="513">
        <f t="shared" si="65"/>
        <v>0</v>
      </c>
      <c r="D199" s="513">
        <f>'VE input'!C35</f>
        <v>0</v>
      </c>
      <c r="E199" s="513">
        <f>'VE input'!D35</f>
        <v>0</v>
      </c>
      <c r="F199" s="513">
        <f>'VE input'!E35</f>
        <v>0</v>
      </c>
      <c r="G199" s="514">
        <f>'PSA inputs'!J155</f>
        <v>0</v>
      </c>
      <c r="I199" s="490" t="s">
        <v>920</v>
      </c>
      <c r="J199" s="513">
        <f>IF(AND('PSA inputs'!$I$867=1,'PSA inputs'!$I$877=1),N199,K199)</f>
        <v>0</v>
      </c>
      <c r="K199" s="513">
        <f>'VE input'!C62*$R$174</f>
        <v>0</v>
      </c>
      <c r="L199" s="513">
        <f>'VE input'!D62</f>
        <v>0</v>
      </c>
      <c r="M199" s="513">
        <f>'VE input'!E62</f>
        <v>0</v>
      </c>
      <c r="N199" s="513">
        <f>'PSA inputs'!U155</f>
        <v>0</v>
      </c>
      <c r="O199" s="742"/>
      <c r="P199" s="737"/>
      <c r="Q199" s="730">
        <f t="shared" si="67"/>
        <v>1.0999999999999999</v>
      </c>
      <c r="R199" s="731">
        <v>1575.543063588543</v>
      </c>
      <c r="S199" s="737"/>
      <c r="T199" s="730">
        <f t="shared" si="68"/>
        <v>1.0999999999999999</v>
      </c>
      <c r="U199" s="731">
        <v>1851.2958870408252</v>
      </c>
      <c r="V199" s="737"/>
      <c r="W199" s="730">
        <f t="shared" si="69"/>
        <v>1.0999999999999999</v>
      </c>
      <c r="X199" s="731">
        <v>2191.4869616414544</v>
      </c>
      <c r="Y199" s="737"/>
      <c r="Z199" s="730">
        <f t="shared" si="70"/>
        <v>1.0999999999999999</v>
      </c>
      <c r="AA199" s="731">
        <v>2805.6643930751234</v>
      </c>
      <c r="AB199" s="737"/>
      <c r="AC199" s="730">
        <f t="shared" si="71"/>
        <v>1.0999999999999999</v>
      </c>
      <c r="AD199" s="731">
        <v>4189.4039531540329</v>
      </c>
      <c r="AE199" s="737"/>
      <c r="AF199" s="731"/>
    </row>
    <row r="200" spans="2:32" x14ac:dyDescent="0.3">
      <c r="B200" s="490" t="s">
        <v>980</v>
      </c>
      <c r="C200" s="513">
        <f t="shared" si="65"/>
        <v>0</v>
      </c>
      <c r="D200" s="513">
        <f>'VE input'!C36</f>
        <v>0</v>
      </c>
      <c r="E200" s="513">
        <f>'VE input'!D36</f>
        <v>0</v>
      </c>
      <c r="F200" s="513">
        <f>'VE input'!E36</f>
        <v>0</v>
      </c>
      <c r="G200" s="514">
        <f>'PSA inputs'!J156</f>
        <v>0</v>
      </c>
      <c r="I200" s="490" t="s">
        <v>980</v>
      </c>
      <c r="J200" s="513">
        <f>IF(AND('PSA inputs'!$I$867=1,'PSA inputs'!$I$877=1),N200,K200)</f>
        <v>0</v>
      </c>
      <c r="K200" s="513">
        <f>'VE input'!C63*$R$174</f>
        <v>0</v>
      </c>
      <c r="L200" s="513">
        <f>'VE input'!D63</f>
        <v>0</v>
      </c>
      <c r="M200" s="513">
        <f>'VE input'!E63</f>
        <v>0</v>
      </c>
      <c r="N200" s="513">
        <f>'PSA inputs'!U156</f>
        <v>0</v>
      </c>
      <c r="O200" s="742"/>
      <c r="P200" s="737"/>
      <c r="Q200" s="730">
        <f t="shared" si="67"/>
        <v>1.2</v>
      </c>
      <c r="R200" s="731">
        <v>1374.9178548315303</v>
      </c>
      <c r="S200" s="737"/>
      <c r="T200" s="730">
        <f t="shared" si="68"/>
        <v>1.2</v>
      </c>
      <c r="U200" s="731">
        <v>1652.2809600958733</v>
      </c>
      <c r="V200" s="737"/>
      <c r="W200" s="730">
        <f t="shared" si="69"/>
        <v>1.2</v>
      </c>
      <c r="X200" s="731">
        <v>1955.0481180563738</v>
      </c>
      <c r="Y200" s="737"/>
      <c r="Z200" s="730">
        <f t="shared" si="70"/>
        <v>1.2</v>
      </c>
      <c r="AA200" s="731">
        <v>2523.9792189429527</v>
      </c>
      <c r="AB200" s="737"/>
      <c r="AC200" s="730">
        <f t="shared" si="71"/>
        <v>1.2</v>
      </c>
      <c r="AD200" s="731">
        <v>3786.5796377548245</v>
      </c>
      <c r="AE200" s="737"/>
      <c r="AF200" s="731"/>
    </row>
    <row r="201" spans="2:32" x14ac:dyDescent="0.3">
      <c r="B201" s="493"/>
      <c r="C201" s="516"/>
      <c r="D201" s="516"/>
      <c r="E201" s="516"/>
      <c r="F201" s="488"/>
      <c r="G201" s="488"/>
      <c r="I201" s="493"/>
      <c r="J201" s="516"/>
      <c r="K201" s="516"/>
      <c r="L201" s="516"/>
      <c r="M201" s="488"/>
      <c r="N201" s="488"/>
      <c r="P201" s="737"/>
      <c r="Q201" s="730">
        <f t="shared" si="67"/>
        <v>1.3</v>
      </c>
      <c r="R201" s="731">
        <v>1205.1580628063662</v>
      </c>
      <c r="S201" s="737"/>
      <c r="T201" s="730">
        <f t="shared" si="68"/>
        <v>1.3</v>
      </c>
      <c r="U201" s="731">
        <v>1483.8837142193447</v>
      </c>
      <c r="V201" s="737"/>
      <c r="W201" s="730">
        <f t="shared" si="69"/>
        <v>1.3</v>
      </c>
      <c r="X201" s="731">
        <v>1754.984481176698</v>
      </c>
      <c r="Y201" s="737"/>
      <c r="Z201" s="730">
        <f t="shared" si="70"/>
        <v>1.3</v>
      </c>
      <c r="AA201" s="731">
        <v>2285.6302254465227</v>
      </c>
      <c r="AB201" s="737"/>
      <c r="AC201" s="730">
        <f t="shared" si="71"/>
        <v>1.3</v>
      </c>
      <c r="AD201" s="731">
        <v>3445.7282939554739</v>
      </c>
      <c r="AE201" s="737"/>
      <c r="AF201" s="731"/>
    </row>
    <row r="202" spans="2:32" x14ac:dyDescent="0.3">
      <c r="B202" s="509" t="s">
        <v>999</v>
      </c>
      <c r="C202" s="509"/>
      <c r="D202" s="509"/>
      <c r="E202" s="509"/>
      <c r="F202" s="509"/>
      <c r="G202" s="509"/>
      <c r="H202" s="517"/>
      <c r="I202" s="509" t="s">
        <v>999</v>
      </c>
      <c r="J202" s="509"/>
      <c r="K202" s="509"/>
      <c r="L202" s="509"/>
      <c r="M202" s="509"/>
      <c r="N202" s="509"/>
      <c r="O202" s="487"/>
      <c r="P202" s="737"/>
      <c r="Q202" s="730">
        <f t="shared" si="67"/>
        <v>1.4000000000000001</v>
      </c>
      <c r="R202" s="731">
        <v>1059.6496696419392</v>
      </c>
      <c r="S202" s="737"/>
      <c r="T202" s="730">
        <f t="shared" si="68"/>
        <v>1.4000000000000001</v>
      </c>
      <c r="U202" s="731">
        <v>1339.5432177537696</v>
      </c>
      <c r="V202" s="737"/>
      <c r="W202" s="730">
        <f t="shared" si="69"/>
        <v>1.4000000000000001</v>
      </c>
      <c r="X202" s="731">
        <v>1583.5013638512667</v>
      </c>
      <c r="Y202" s="737"/>
      <c r="Z202" s="730">
        <f t="shared" si="70"/>
        <v>1.4000000000000001</v>
      </c>
      <c r="AA202" s="731">
        <v>2081.3310881638672</v>
      </c>
      <c r="AB202" s="737"/>
      <c r="AC202" s="730">
        <f t="shared" si="71"/>
        <v>1.4000000000000001</v>
      </c>
      <c r="AD202" s="731">
        <v>3153.5699992703203</v>
      </c>
      <c r="AE202" s="737"/>
      <c r="AF202" s="731"/>
    </row>
    <row r="203" spans="2:32" x14ac:dyDescent="0.3">
      <c r="B203" s="510" t="s">
        <v>552</v>
      </c>
      <c r="C203" s="511"/>
      <c r="D203" s="511"/>
      <c r="E203" s="511"/>
      <c r="F203" s="511"/>
      <c r="G203" s="511"/>
      <c r="H203" s="517"/>
      <c r="I203" s="512" t="s">
        <v>553</v>
      </c>
      <c r="J203" s="511"/>
      <c r="K203" s="511"/>
      <c r="L203" s="511"/>
      <c r="M203" s="511"/>
      <c r="N203" s="511"/>
      <c r="O203" s="745"/>
      <c r="P203" s="737"/>
      <c r="Q203" s="730">
        <f t="shared" si="67"/>
        <v>1.5000000000000002</v>
      </c>
      <c r="R203" s="731">
        <v>933.54239556610128</v>
      </c>
      <c r="S203" s="737"/>
      <c r="T203" s="730">
        <f t="shared" si="68"/>
        <v>1.5000000000000002</v>
      </c>
      <c r="U203" s="731">
        <v>1214.448120816932</v>
      </c>
      <c r="V203" s="737"/>
      <c r="W203" s="730">
        <f t="shared" si="69"/>
        <v>1.5000000000000002</v>
      </c>
      <c r="X203" s="731">
        <v>1434.8826621692065</v>
      </c>
      <c r="Y203" s="737"/>
      <c r="Z203" s="730">
        <f t="shared" si="70"/>
        <v>1.5000000000000002</v>
      </c>
      <c r="AA203" s="731">
        <v>1904.271835852227</v>
      </c>
      <c r="AB203" s="737"/>
      <c r="AC203" s="730">
        <f t="shared" si="71"/>
        <v>1.5000000000000002</v>
      </c>
      <c r="AD203" s="731">
        <v>2900.3661438765189</v>
      </c>
      <c r="AE203" s="737"/>
      <c r="AF203" s="731"/>
    </row>
    <row r="204" spans="2:32" x14ac:dyDescent="0.3">
      <c r="B204" s="484" t="s">
        <v>950</v>
      </c>
      <c r="C204" s="485" t="s">
        <v>724</v>
      </c>
      <c r="D204" s="485" t="s">
        <v>995</v>
      </c>
      <c r="E204" s="485" t="s">
        <v>985</v>
      </c>
      <c r="F204" s="485" t="s">
        <v>986</v>
      </c>
      <c r="G204" s="485" t="s">
        <v>996</v>
      </c>
      <c r="H204" s="517"/>
      <c r="I204" s="484" t="s">
        <v>950</v>
      </c>
      <c r="J204" s="485" t="s">
        <v>724</v>
      </c>
      <c r="K204" s="485" t="s">
        <v>995</v>
      </c>
      <c r="L204" s="485" t="s">
        <v>985</v>
      </c>
      <c r="M204" s="485" t="s">
        <v>986</v>
      </c>
      <c r="N204" s="485" t="s">
        <v>996</v>
      </c>
      <c r="O204" s="738"/>
      <c r="P204" s="737"/>
      <c r="Q204" s="737"/>
      <c r="R204" s="737"/>
      <c r="S204" s="737"/>
      <c r="T204" s="737"/>
      <c r="U204" s="737"/>
      <c r="V204" s="737"/>
      <c r="W204" s="737"/>
      <c r="X204" s="737"/>
      <c r="Y204" s="737"/>
      <c r="Z204" s="737"/>
      <c r="AA204" s="737"/>
      <c r="AB204" s="737"/>
      <c r="AC204" s="737"/>
      <c r="AD204" s="737"/>
      <c r="AE204" s="737"/>
    </row>
    <row r="205" spans="2:32" x14ac:dyDescent="0.3">
      <c r="B205" s="487" t="s">
        <v>1445</v>
      </c>
      <c r="D205" s="517"/>
      <c r="E205" s="517"/>
      <c r="G205" s="500"/>
      <c r="H205" s="517"/>
      <c r="I205" s="487" t="s">
        <v>988</v>
      </c>
    </row>
    <row r="206" spans="2:32" x14ac:dyDescent="0.3">
      <c r="B206" s="493" t="s">
        <v>2</v>
      </c>
      <c r="C206" s="513">
        <f>D206*$R$174</f>
        <v>0.35</v>
      </c>
      <c r="D206" s="513">
        <f>'VE input'!C72</f>
        <v>0.35</v>
      </c>
      <c r="E206" s="513">
        <f>'VE input'!D72</f>
        <v>0</v>
      </c>
      <c r="F206" s="513">
        <f>'VE input'!E72</f>
        <v>0.7</v>
      </c>
      <c r="G206" s="514">
        <f ca="1">'PSA inputs'!J162</f>
        <v>0.21134744466063193</v>
      </c>
      <c r="H206" s="517"/>
      <c r="I206" s="493" t="s">
        <v>2</v>
      </c>
      <c r="J206" s="513">
        <f ca="1">IF(AND('PSA inputs'!$I$867=1,'PSA inputs'!$I$878=1),N206,K206)</f>
        <v>0.21134744466063193</v>
      </c>
      <c r="K206" s="513">
        <f>'VE input'!C99*$R$174</f>
        <v>0.35</v>
      </c>
      <c r="L206" s="513">
        <f>'VE input'!D99</f>
        <v>0</v>
      </c>
      <c r="M206" s="513">
        <f>'VE input'!E99</f>
        <v>0.7</v>
      </c>
      <c r="N206" s="513">
        <f ca="1">'PSA inputs'!U162</f>
        <v>0.21134744466063193</v>
      </c>
      <c r="O206" s="742"/>
    </row>
    <row r="207" spans="2:32" x14ac:dyDescent="0.3">
      <c r="B207" s="493" t="s">
        <v>3</v>
      </c>
      <c r="C207" s="513">
        <f t="shared" ref="C207:C228" si="72">D207*$R$174</f>
        <v>0.35</v>
      </c>
      <c r="D207" s="513">
        <f>'VE input'!C73</f>
        <v>0.35</v>
      </c>
      <c r="E207" s="513">
        <f>'VE input'!D73</f>
        <v>0</v>
      </c>
      <c r="F207" s="513">
        <f>'VE input'!E73</f>
        <v>0.7</v>
      </c>
      <c r="G207" s="514">
        <f ca="1">'PSA inputs'!J163</f>
        <v>0.21134744466063193</v>
      </c>
      <c r="H207" s="517"/>
      <c r="I207" s="493" t="s">
        <v>3</v>
      </c>
      <c r="J207" s="513">
        <f ca="1">IF(AND('PSA inputs'!$I$867=1,'PSA inputs'!$I$878=1),N207,K207)</f>
        <v>0.21134744466063193</v>
      </c>
      <c r="K207" s="513">
        <f>'VE input'!C100*$R$174</f>
        <v>0.35</v>
      </c>
      <c r="L207" s="513">
        <f>'VE input'!D100</f>
        <v>0</v>
      </c>
      <c r="M207" s="513">
        <f>'VE input'!E100</f>
        <v>0.7</v>
      </c>
      <c r="N207" s="513">
        <f ca="1">'PSA inputs'!U163</f>
        <v>0.21134744466063193</v>
      </c>
      <c r="O207" s="742"/>
    </row>
    <row r="208" spans="2:32" x14ac:dyDescent="0.3">
      <c r="B208" s="493" t="s">
        <v>4</v>
      </c>
      <c r="C208" s="513">
        <f t="shared" si="72"/>
        <v>0.39</v>
      </c>
      <c r="D208" s="513">
        <f>'VE input'!C74</f>
        <v>0.39</v>
      </c>
      <c r="E208" s="513">
        <f>'VE input'!D74</f>
        <v>0</v>
      </c>
      <c r="F208" s="513">
        <f>'VE input'!E74</f>
        <v>0.68</v>
      </c>
      <c r="G208" s="514">
        <f ca="1">'PSA inputs'!J164</f>
        <v>0.25821527811738909</v>
      </c>
      <c r="H208" s="517"/>
      <c r="I208" s="493" t="s">
        <v>4</v>
      </c>
      <c r="J208" s="513">
        <f ca="1">IF(AND('PSA inputs'!$I$867=1,'PSA inputs'!$I$878=1),N208,K208)</f>
        <v>0.25821527811738909</v>
      </c>
      <c r="K208" s="513">
        <f>'VE input'!C101*$R$174</f>
        <v>0.39</v>
      </c>
      <c r="L208" s="513">
        <f>'VE input'!D101</f>
        <v>0</v>
      </c>
      <c r="M208" s="513">
        <f>'VE input'!E101</f>
        <v>0.68</v>
      </c>
      <c r="N208" s="513">
        <f ca="1">'PSA inputs'!U164</f>
        <v>0.25821527811738909</v>
      </c>
      <c r="O208" s="742"/>
    </row>
    <row r="209" spans="2:15" x14ac:dyDescent="0.3">
      <c r="B209" s="493" t="s">
        <v>5</v>
      </c>
      <c r="C209" s="513">
        <f t="shared" si="72"/>
        <v>0.57999999999999996</v>
      </c>
      <c r="D209" s="513">
        <f>'VE input'!C75</f>
        <v>0.57999999999999996</v>
      </c>
      <c r="E209" s="513">
        <f>'VE input'!D75</f>
        <v>0.34</v>
      </c>
      <c r="F209" s="513">
        <f>'VE input'!E75</f>
        <v>0.73</v>
      </c>
      <c r="G209" s="514">
        <f ca="1">'PSA inputs'!J165</f>
        <v>0.51263067743040569</v>
      </c>
      <c r="H209" s="517"/>
      <c r="I209" s="493" t="s">
        <v>5</v>
      </c>
      <c r="J209" s="513">
        <f ca="1">IF(AND('PSA inputs'!$I$867=1,'PSA inputs'!$I$878=1),N209,K209)</f>
        <v>0.51263067743040569</v>
      </c>
      <c r="K209" s="513">
        <f>'VE input'!C102*$R$174</f>
        <v>0.57999999999999996</v>
      </c>
      <c r="L209" s="513">
        <f>'VE input'!D102</f>
        <v>0.34</v>
      </c>
      <c r="M209" s="513">
        <f>'VE input'!E102</f>
        <v>0.73</v>
      </c>
      <c r="N209" s="513">
        <f ca="1">'PSA inputs'!U165</f>
        <v>0.51263067743040569</v>
      </c>
      <c r="O209" s="742"/>
    </row>
    <row r="210" spans="2:15" x14ac:dyDescent="0.3">
      <c r="B210" s="493" t="s">
        <v>6</v>
      </c>
      <c r="C210" s="513">
        <f t="shared" si="72"/>
        <v>0.57999999999999996</v>
      </c>
      <c r="D210" s="513">
        <f>'VE input'!C76</f>
        <v>0.57999999999999996</v>
      </c>
      <c r="E210" s="513">
        <f>'VE input'!D76</f>
        <v>0.34</v>
      </c>
      <c r="F210" s="513">
        <f>'VE input'!E76</f>
        <v>0.73</v>
      </c>
      <c r="G210" s="514">
        <f ca="1">'PSA inputs'!J166</f>
        <v>0.51263067743040569</v>
      </c>
      <c r="H210" s="517"/>
      <c r="I210" s="493" t="s">
        <v>6</v>
      </c>
      <c r="J210" s="513">
        <f ca="1">IF(AND('PSA inputs'!$I$867=1,'PSA inputs'!$I$878=1),N210,K210)</f>
        <v>0.51263067743040569</v>
      </c>
      <c r="K210" s="513">
        <f>'VE input'!C103*$R$174</f>
        <v>0.57999999999999996</v>
      </c>
      <c r="L210" s="513">
        <f>'VE input'!D103</f>
        <v>0.34</v>
      </c>
      <c r="M210" s="513">
        <f>'VE input'!E103</f>
        <v>0.73</v>
      </c>
      <c r="N210" s="513">
        <f ca="1">'PSA inputs'!U166</f>
        <v>0.51263067743040569</v>
      </c>
      <c r="O210" s="742"/>
    </row>
    <row r="211" spans="2:15" x14ac:dyDescent="0.3">
      <c r="B211" s="493" t="s">
        <v>7</v>
      </c>
      <c r="C211" s="513">
        <f t="shared" si="72"/>
        <v>0.57999999999999996</v>
      </c>
      <c r="D211" s="513">
        <f>'VE input'!C77</f>
        <v>0.57999999999999996</v>
      </c>
      <c r="E211" s="513">
        <f>'VE input'!D77</f>
        <v>0.34</v>
      </c>
      <c r="F211" s="513">
        <f>'VE input'!E77</f>
        <v>0.73</v>
      </c>
      <c r="G211" s="514">
        <f ca="1">'PSA inputs'!J167</f>
        <v>0.51263067743040569</v>
      </c>
      <c r="H211" s="517"/>
      <c r="I211" s="493" t="s">
        <v>7</v>
      </c>
      <c r="J211" s="513">
        <f ca="1">IF(AND('PSA inputs'!$I$867=1,'PSA inputs'!$I$878=1),N211,K211)</f>
        <v>0.51263067743040569</v>
      </c>
      <c r="K211" s="513">
        <f>'VE input'!C104*$R$174</f>
        <v>0.57999999999999996</v>
      </c>
      <c r="L211" s="513">
        <f>'VE input'!D104</f>
        <v>0.34</v>
      </c>
      <c r="M211" s="513">
        <f>'VE input'!E104</f>
        <v>0.73</v>
      </c>
      <c r="N211" s="513">
        <f ca="1">'PSA inputs'!U167</f>
        <v>0.51263067743040569</v>
      </c>
      <c r="O211" s="742"/>
    </row>
    <row r="212" spans="2:15" x14ac:dyDescent="0.3">
      <c r="B212" s="493" t="s">
        <v>1469</v>
      </c>
      <c r="C212" s="513">
        <f t="shared" si="72"/>
        <v>0.57999999999999996</v>
      </c>
      <c r="D212" s="513">
        <f>'VE input'!C78</f>
        <v>0.57999999999999996</v>
      </c>
      <c r="E212" s="513">
        <f>'VE input'!D78</f>
        <v>0.34</v>
      </c>
      <c r="F212" s="513">
        <f>'VE input'!E78</f>
        <v>0.73</v>
      </c>
      <c r="G212" s="514">
        <f ca="1">'PSA inputs'!J168</f>
        <v>0.51263067743040569</v>
      </c>
      <c r="H212" s="517"/>
      <c r="I212" s="493" t="s">
        <v>1469</v>
      </c>
      <c r="J212" s="513">
        <f ca="1">IF(AND('PSA inputs'!$I$867=1,'PSA inputs'!$I$878=1),N212,K212)</f>
        <v>0.51263067743040569</v>
      </c>
      <c r="K212" s="513">
        <f>'VE input'!C105*$R$174</f>
        <v>0.57999999999999996</v>
      </c>
      <c r="L212" s="513">
        <f>'VE input'!D105</f>
        <v>0.34</v>
      </c>
      <c r="M212" s="513">
        <f>'VE input'!E105</f>
        <v>0.73</v>
      </c>
      <c r="N212" s="513">
        <f ca="1">'PSA inputs'!U168</f>
        <v>0.51263067743040569</v>
      </c>
      <c r="O212" s="742"/>
    </row>
    <row r="213" spans="2:15" x14ac:dyDescent="0.3">
      <c r="B213" s="487" t="s">
        <v>1444</v>
      </c>
      <c r="C213" s="559"/>
      <c r="D213" s="496"/>
      <c r="E213" s="496"/>
      <c r="F213" s="496"/>
      <c r="G213" s="496"/>
      <c r="H213" s="517"/>
      <c r="I213" s="487" t="s">
        <v>988</v>
      </c>
      <c r="J213" s="496"/>
      <c r="K213" s="515"/>
      <c r="L213" s="515"/>
      <c r="M213" s="515"/>
      <c r="N213" s="496"/>
      <c r="O213" s="747"/>
    </row>
    <row r="214" spans="2:15" x14ac:dyDescent="0.3">
      <c r="B214" s="493" t="s">
        <v>2</v>
      </c>
      <c r="C214" s="513">
        <f t="shared" si="72"/>
        <v>0</v>
      </c>
      <c r="D214" s="513">
        <f>'VE input'!C80</f>
        <v>0</v>
      </c>
      <c r="E214" s="513">
        <f>'VE input'!D80</f>
        <v>0</v>
      </c>
      <c r="F214" s="513">
        <f>'VE input'!E80</f>
        <v>0</v>
      </c>
      <c r="G214" s="514">
        <f>'PSA inputs'!J170</f>
        <v>0</v>
      </c>
      <c r="H214" s="517"/>
      <c r="I214" s="493" t="s">
        <v>2</v>
      </c>
      <c r="J214" s="513">
        <f>IF(AND('PSA inputs'!$I$867=1,'PSA inputs'!$I$878=1),N214,K214)</f>
        <v>0</v>
      </c>
      <c r="K214" s="513">
        <f>'VE input'!C107*$R$174</f>
        <v>0</v>
      </c>
      <c r="L214" s="513">
        <f>'VE input'!D107</f>
        <v>0</v>
      </c>
      <c r="M214" s="513">
        <f>'VE input'!E107</f>
        <v>0</v>
      </c>
      <c r="N214" s="513">
        <f>'PSA inputs'!U170</f>
        <v>0</v>
      </c>
      <c r="O214" s="742"/>
    </row>
    <row r="215" spans="2:15" x14ac:dyDescent="0.3">
      <c r="B215" s="493" t="s">
        <v>3</v>
      </c>
      <c r="C215" s="513">
        <f t="shared" si="72"/>
        <v>0</v>
      </c>
      <c r="D215" s="513">
        <f>'VE input'!C81</f>
        <v>0</v>
      </c>
      <c r="E215" s="513">
        <f>'VE input'!D81</f>
        <v>0</v>
      </c>
      <c r="F215" s="513">
        <f>'VE input'!E81</f>
        <v>0</v>
      </c>
      <c r="G215" s="514">
        <f>'PSA inputs'!J171</f>
        <v>0</v>
      </c>
      <c r="H215" s="517"/>
      <c r="I215" s="493" t="s">
        <v>3</v>
      </c>
      <c r="J215" s="513">
        <f>IF(AND('PSA inputs'!$I$867=1,'PSA inputs'!$I$878=1),N215,K215)</f>
        <v>0</v>
      </c>
      <c r="K215" s="513">
        <f>'VE input'!C108*$R$174</f>
        <v>0</v>
      </c>
      <c r="L215" s="513">
        <f>'VE input'!D108</f>
        <v>0</v>
      </c>
      <c r="M215" s="513">
        <f>'VE input'!E108</f>
        <v>0</v>
      </c>
      <c r="N215" s="513">
        <f>'PSA inputs'!U171</f>
        <v>0</v>
      </c>
      <c r="O215" s="742"/>
    </row>
    <row r="216" spans="2:15" x14ac:dyDescent="0.3">
      <c r="B216" s="493" t="s">
        <v>4</v>
      </c>
      <c r="C216" s="513">
        <f t="shared" si="72"/>
        <v>0</v>
      </c>
      <c r="D216" s="513">
        <f>'VE input'!C82</f>
        <v>0</v>
      </c>
      <c r="E216" s="513">
        <f>'VE input'!D82</f>
        <v>0</v>
      </c>
      <c r="F216" s="513">
        <f>'VE input'!E82</f>
        <v>0</v>
      </c>
      <c r="G216" s="514">
        <f>'PSA inputs'!J172</f>
        <v>0</v>
      </c>
      <c r="H216" s="517"/>
      <c r="I216" s="493" t="s">
        <v>4</v>
      </c>
      <c r="J216" s="513">
        <f>IF(AND('PSA inputs'!$I$867=1,'PSA inputs'!$I$878=1),N216,K216)</f>
        <v>0</v>
      </c>
      <c r="K216" s="513">
        <f>'VE input'!C109*$R$174</f>
        <v>0</v>
      </c>
      <c r="L216" s="513">
        <f>'VE input'!D109</f>
        <v>0</v>
      </c>
      <c r="M216" s="513">
        <f>'VE input'!E109</f>
        <v>0</v>
      </c>
      <c r="N216" s="513">
        <f>'PSA inputs'!U172</f>
        <v>0</v>
      </c>
      <c r="O216" s="742"/>
    </row>
    <row r="217" spans="2:15" x14ac:dyDescent="0.3">
      <c r="B217" s="493" t="s">
        <v>5</v>
      </c>
      <c r="C217" s="513">
        <f t="shared" si="72"/>
        <v>0.43645409834744886</v>
      </c>
      <c r="D217" s="513">
        <f>'VE input'!C83</f>
        <v>0.43645409834744886</v>
      </c>
      <c r="E217" s="513">
        <f>'VE input'!D83</f>
        <v>0.39206893580364055</v>
      </c>
      <c r="F217" s="513">
        <f>'VE input'!E83</f>
        <v>0.47344173380062254</v>
      </c>
      <c r="G217" s="514">
        <f ca="1">'PSA inputs'!J173</f>
        <v>0.43847840503759039</v>
      </c>
      <c r="H217" s="517"/>
      <c r="I217" s="493" t="s">
        <v>5</v>
      </c>
      <c r="J217" s="513">
        <f ca="1">IF(AND('PSA inputs'!$I$867=1,'PSA inputs'!$I$878=1),N217,K217)</f>
        <v>0.44346317232302246</v>
      </c>
      <c r="K217" s="513">
        <f>'VE input'!C110*$R$174</f>
        <v>0.43645409834744886</v>
      </c>
      <c r="L217" s="513">
        <f>'VE input'!D110</f>
        <v>0.39206893580364055</v>
      </c>
      <c r="M217" s="513">
        <f>'VE input'!E110</f>
        <v>0.47344173380062254</v>
      </c>
      <c r="N217" s="513">
        <f ca="1">'PSA inputs'!U173</f>
        <v>0.44346317232302246</v>
      </c>
      <c r="O217" s="742"/>
    </row>
    <row r="218" spans="2:15" x14ac:dyDescent="0.3">
      <c r="B218" s="493" t="s">
        <v>6</v>
      </c>
      <c r="C218" s="513">
        <f t="shared" si="72"/>
        <v>0.43645409834744886</v>
      </c>
      <c r="D218" s="513">
        <f>'VE input'!C84</f>
        <v>0.43645409834744886</v>
      </c>
      <c r="E218" s="513">
        <f>'VE input'!D84</f>
        <v>0.39206893580364055</v>
      </c>
      <c r="F218" s="513">
        <f>'VE input'!E84</f>
        <v>0.47344173380062254</v>
      </c>
      <c r="G218" s="514">
        <f ca="1">'PSA inputs'!J174</f>
        <v>0.43847840503759039</v>
      </c>
      <c r="H218" s="517"/>
      <c r="I218" s="493" t="s">
        <v>6</v>
      </c>
      <c r="J218" s="513">
        <f ca="1">IF(AND('PSA inputs'!$I$867=1,'PSA inputs'!$I$878=1),N218,K218)</f>
        <v>0.44346317232302246</v>
      </c>
      <c r="K218" s="513">
        <f>'VE input'!C111*$R$174</f>
        <v>0.43645409834744886</v>
      </c>
      <c r="L218" s="513">
        <f>'VE input'!D111</f>
        <v>0.39206893580364055</v>
      </c>
      <c r="M218" s="513">
        <f>'VE input'!E111</f>
        <v>0.47344173380062254</v>
      </c>
      <c r="N218" s="513">
        <f ca="1">'PSA inputs'!U174</f>
        <v>0.44346317232302246</v>
      </c>
      <c r="O218" s="742"/>
    </row>
    <row r="219" spans="2:15" x14ac:dyDescent="0.3">
      <c r="B219" s="493" t="s">
        <v>7</v>
      </c>
      <c r="C219" s="513">
        <f t="shared" si="72"/>
        <v>0.43645409834744886</v>
      </c>
      <c r="D219" s="513">
        <f>'VE input'!C85</f>
        <v>0.43645409834744886</v>
      </c>
      <c r="E219" s="513">
        <f>'VE input'!D85</f>
        <v>0.39206893580364055</v>
      </c>
      <c r="F219" s="513">
        <f>'VE input'!E85</f>
        <v>0.47344173380062254</v>
      </c>
      <c r="G219" s="514">
        <f ca="1">'PSA inputs'!J175</f>
        <v>0.43847840503759039</v>
      </c>
      <c r="H219" s="517"/>
      <c r="I219" s="493" t="s">
        <v>7</v>
      </c>
      <c r="J219" s="513">
        <f ca="1">IF(AND('PSA inputs'!$I$867=1,'PSA inputs'!$I$878=1),N219,K219)</f>
        <v>0.44346317232302246</v>
      </c>
      <c r="K219" s="513">
        <f>'VE input'!C112*$R$174</f>
        <v>0.43645409834744886</v>
      </c>
      <c r="L219" s="513">
        <f>'VE input'!D112</f>
        <v>0.39206893580364055</v>
      </c>
      <c r="M219" s="513">
        <f>'VE input'!E112</f>
        <v>0.47344173380062254</v>
      </c>
      <c r="N219" s="513">
        <f ca="1">'PSA inputs'!U175</f>
        <v>0.44346317232302246</v>
      </c>
      <c r="O219" s="742"/>
    </row>
    <row r="220" spans="2:15" x14ac:dyDescent="0.3">
      <c r="B220" s="493" t="s">
        <v>1469</v>
      </c>
      <c r="C220" s="513">
        <f t="shared" si="72"/>
        <v>0</v>
      </c>
      <c r="D220" s="513">
        <f>'VE input'!C86</f>
        <v>0</v>
      </c>
      <c r="E220" s="513">
        <f>'VE input'!D86</f>
        <v>0</v>
      </c>
      <c r="F220" s="513">
        <f>'VE input'!E86</f>
        <v>0</v>
      </c>
      <c r="G220" s="514">
        <f>'PSA inputs'!J176</f>
        <v>0</v>
      </c>
      <c r="H220" s="517"/>
      <c r="I220" s="493" t="s">
        <v>1469</v>
      </c>
      <c r="J220" s="513">
        <f>IF(AND('PSA inputs'!$I$867=1,'PSA inputs'!$I$878=1),N220,K220)</f>
        <v>0</v>
      </c>
      <c r="K220" s="513">
        <f>'VE input'!C113*$R$174</f>
        <v>0</v>
      </c>
      <c r="L220" s="513">
        <f>'VE input'!D113</f>
        <v>0</v>
      </c>
      <c r="M220" s="513">
        <f>'VE input'!E113</f>
        <v>0</v>
      </c>
      <c r="N220" s="513">
        <f>'PSA inputs'!U176</f>
        <v>0</v>
      </c>
      <c r="O220" s="742"/>
    </row>
    <row r="221" spans="2:15" x14ac:dyDescent="0.3">
      <c r="B221" s="498" t="s">
        <v>227</v>
      </c>
      <c r="C221" s="559"/>
      <c r="D221" s="496"/>
      <c r="E221" s="496"/>
      <c r="F221" s="496"/>
      <c r="G221" s="496"/>
      <c r="H221" s="517"/>
      <c r="I221" s="498" t="s">
        <v>227</v>
      </c>
      <c r="J221" s="496"/>
      <c r="K221" s="515"/>
      <c r="L221" s="515"/>
      <c r="M221" s="515"/>
      <c r="N221" s="496"/>
      <c r="O221" s="747"/>
    </row>
    <row r="222" spans="2:15" x14ac:dyDescent="0.3">
      <c r="B222" s="490" t="s">
        <v>1437</v>
      </c>
      <c r="C222" s="513">
        <f t="shared" si="72"/>
        <v>0.504</v>
      </c>
      <c r="D222" s="513">
        <f>'VE input'!C88</f>
        <v>0.504</v>
      </c>
      <c r="E222" s="513">
        <f>'VE input'!D88</f>
        <v>0.14199999999999999</v>
      </c>
      <c r="F222" s="513">
        <f>'VE input'!E88</f>
        <v>0.71199999999999997</v>
      </c>
      <c r="G222" s="514">
        <f ca="1">'PSA inputs'!J178</f>
        <v>0.33920118196313342</v>
      </c>
      <c r="H222" s="517"/>
      <c r="I222" s="490" t="s">
        <v>1437</v>
      </c>
      <c r="J222" s="513">
        <f ca="1">IF(AND('PSA inputs'!$I$867=1,'PSA inputs'!$I$878=1),N222,K222)</f>
        <v>0.57189538056760725</v>
      </c>
      <c r="K222" s="513">
        <f>'VE input'!C115*$R$174</f>
        <v>0.504</v>
      </c>
      <c r="L222" s="513">
        <f>'VE input'!D115</f>
        <v>0.14199999999999999</v>
      </c>
      <c r="M222" s="513">
        <f>'VE input'!E115</f>
        <v>0.71199999999999997</v>
      </c>
      <c r="N222" s="513">
        <f ca="1">'PSA inputs'!U178</f>
        <v>0.57189538056760725</v>
      </c>
      <c r="O222" s="742"/>
    </row>
    <row r="223" spans="2:15" x14ac:dyDescent="0.3">
      <c r="B223" s="490" t="s">
        <v>1438</v>
      </c>
      <c r="C223" s="513">
        <f t="shared" si="72"/>
        <v>0</v>
      </c>
      <c r="D223" s="513">
        <f>'VE input'!C89</f>
        <v>0</v>
      </c>
      <c r="E223" s="513">
        <f>'VE input'!D89</f>
        <v>0</v>
      </c>
      <c r="F223" s="513">
        <f>'VE input'!E89</f>
        <v>0</v>
      </c>
      <c r="G223" s="514">
        <f>'PSA inputs'!J179</f>
        <v>0</v>
      </c>
      <c r="H223" s="517"/>
      <c r="I223" s="490" t="s">
        <v>1438</v>
      </c>
      <c r="J223" s="513">
        <f>IF(AND('PSA inputs'!$I$867=1,'PSA inputs'!$I$878=1),N223,K223)</f>
        <v>0</v>
      </c>
      <c r="K223" s="513">
        <f>'VE input'!C116*$R$174</f>
        <v>0</v>
      </c>
      <c r="L223" s="513">
        <f>'VE input'!D116</f>
        <v>0</v>
      </c>
      <c r="M223" s="513">
        <f>'VE input'!E116</f>
        <v>0</v>
      </c>
      <c r="N223" s="513">
        <f>'PSA inputs'!U179</f>
        <v>0</v>
      </c>
      <c r="O223" s="742"/>
    </row>
    <row r="224" spans="2:15" x14ac:dyDescent="0.3">
      <c r="B224" s="490" t="s">
        <v>1441</v>
      </c>
      <c r="C224" s="513">
        <f t="shared" si="72"/>
        <v>0.48</v>
      </c>
      <c r="D224" s="513">
        <f>'VE input'!C90</f>
        <v>0.48</v>
      </c>
      <c r="E224" s="513">
        <f>'VE input'!D90</f>
        <v>0.11600000000000001</v>
      </c>
      <c r="F224" s="513">
        <f>'VE input'!E90</f>
        <v>0.70399999999999996</v>
      </c>
      <c r="G224" s="514">
        <f ca="1">'PSA inputs'!J180</f>
        <v>0.30999702224757109</v>
      </c>
      <c r="H224" s="517"/>
      <c r="I224" s="490" t="s">
        <v>1441</v>
      </c>
      <c r="J224" s="513">
        <f ca="1">IF(AND('PSA inputs'!$I$867=1,'PSA inputs'!$I$878=1),N224,K224)</f>
        <v>0.54904094260327363</v>
      </c>
      <c r="K224" s="513">
        <f>'VE input'!C117*$R$174</f>
        <v>0.48</v>
      </c>
      <c r="L224" s="513">
        <f>'VE input'!D117</f>
        <v>0.11600000000000001</v>
      </c>
      <c r="M224" s="513">
        <f>'VE input'!E117</f>
        <v>0.70399999999999996</v>
      </c>
      <c r="N224" s="513">
        <f ca="1">'PSA inputs'!U180</f>
        <v>0.54904094260327363</v>
      </c>
      <c r="O224" s="742"/>
    </row>
    <row r="225" spans="2:15" x14ac:dyDescent="0.3">
      <c r="B225" s="490" t="s">
        <v>1442</v>
      </c>
      <c r="C225" s="513">
        <f t="shared" si="72"/>
        <v>0</v>
      </c>
      <c r="D225" s="513">
        <f>'VE input'!C91</f>
        <v>0</v>
      </c>
      <c r="E225" s="513">
        <f>'VE input'!D91</f>
        <v>0</v>
      </c>
      <c r="F225" s="513">
        <f>'VE input'!E91</f>
        <v>0</v>
      </c>
      <c r="G225" s="514">
        <f>'PSA inputs'!J181</f>
        <v>0</v>
      </c>
      <c r="H225" s="517"/>
      <c r="I225" s="490" t="s">
        <v>1442</v>
      </c>
      <c r="J225" s="513">
        <f>IF(AND('PSA inputs'!$I$867=1,'PSA inputs'!$I$878=1),N225,K225)</f>
        <v>0</v>
      </c>
      <c r="K225" s="513">
        <f>'VE input'!C118*$R$174</f>
        <v>0</v>
      </c>
      <c r="L225" s="513">
        <f>'VE input'!D118</f>
        <v>0</v>
      </c>
      <c r="M225" s="513">
        <f>'VE input'!E118</f>
        <v>0</v>
      </c>
      <c r="N225" s="513">
        <f>'PSA inputs'!U181</f>
        <v>0</v>
      </c>
      <c r="O225" s="742"/>
    </row>
    <row r="226" spans="2:15" x14ac:dyDescent="0.3">
      <c r="B226" s="498" t="s">
        <v>920</v>
      </c>
      <c r="C226" s="559"/>
      <c r="D226" s="496"/>
      <c r="E226" s="496"/>
      <c r="F226" s="496"/>
      <c r="G226" s="496"/>
      <c r="H226" s="517"/>
      <c r="I226" s="498" t="s">
        <v>920</v>
      </c>
      <c r="J226" s="496"/>
      <c r="K226" s="515"/>
      <c r="L226" s="515"/>
      <c r="M226" s="515"/>
      <c r="N226" s="496"/>
      <c r="O226" s="747"/>
    </row>
    <row r="227" spans="2:15" x14ac:dyDescent="0.3">
      <c r="B227" s="490" t="s">
        <v>920</v>
      </c>
      <c r="C227" s="513">
        <f t="shared" si="72"/>
        <v>0</v>
      </c>
      <c r="D227" s="513">
        <f>'VE input'!C93</f>
        <v>0</v>
      </c>
      <c r="E227" s="513">
        <f>'VE input'!D93</f>
        <v>0</v>
      </c>
      <c r="F227" s="513">
        <f>'VE input'!E93</f>
        <v>0</v>
      </c>
      <c r="G227" s="514">
        <f>'PSA inputs'!J183</f>
        <v>0</v>
      </c>
      <c r="H227" s="517"/>
      <c r="I227" s="490" t="s">
        <v>920</v>
      </c>
      <c r="J227" s="513">
        <f>IF(AND('PSA inputs'!$I$867=1,'PSA inputs'!$I$878=1),N227,K227)</f>
        <v>0</v>
      </c>
      <c r="K227" s="513">
        <f>'VE input'!C120*$R$174</f>
        <v>0</v>
      </c>
      <c r="L227" s="513">
        <f>'VE input'!D120</f>
        <v>0</v>
      </c>
      <c r="M227" s="513">
        <f>'VE input'!E120</f>
        <v>0</v>
      </c>
      <c r="N227" s="513">
        <f>'PSA inputs'!U183</f>
        <v>0</v>
      </c>
      <c r="O227" s="742"/>
    </row>
    <row r="228" spans="2:15" x14ac:dyDescent="0.3">
      <c r="B228" s="490" t="s">
        <v>980</v>
      </c>
      <c r="C228" s="513">
        <f t="shared" si="72"/>
        <v>0</v>
      </c>
      <c r="D228" s="513">
        <f>'VE input'!C94</f>
        <v>0</v>
      </c>
      <c r="E228" s="513">
        <f>'VE input'!D94</f>
        <v>0</v>
      </c>
      <c r="F228" s="513">
        <f>'VE input'!E94</f>
        <v>0</v>
      </c>
      <c r="G228" s="514">
        <f>'PSA inputs'!J184</f>
        <v>0</v>
      </c>
      <c r="H228" s="517"/>
      <c r="I228" s="490" t="s">
        <v>980</v>
      </c>
      <c r="J228" s="513">
        <f>IF(AND('PSA inputs'!$I$867=1,'PSA inputs'!$I$878=1),N228,K228)</f>
        <v>0</v>
      </c>
      <c r="K228" s="513">
        <f>'VE input'!C121*$R$174</f>
        <v>0</v>
      </c>
      <c r="L228" s="513">
        <f>'VE input'!D121</f>
        <v>0</v>
      </c>
      <c r="M228" s="513">
        <f>'VE input'!E121</f>
        <v>0</v>
      </c>
      <c r="N228" s="513">
        <f>'PSA inputs'!U184</f>
        <v>0</v>
      </c>
      <c r="O228" s="742"/>
    </row>
    <row r="229" spans="2:15" x14ac:dyDescent="0.3">
      <c r="B229" s="500"/>
      <c r="C229" s="517"/>
      <c r="D229" s="517"/>
      <c r="E229" s="517"/>
      <c r="G229" s="500"/>
      <c r="H229" s="517"/>
      <c r="I229" s="517"/>
      <c r="J229" s="517"/>
    </row>
    <row r="230" spans="2:15" x14ac:dyDescent="0.3">
      <c r="B230" s="509" t="s">
        <v>1000</v>
      </c>
      <c r="C230" s="509"/>
      <c r="D230" s="509"/>
      <c r="E230" s="509"/>
      <c r="F230" s="509"/>
      <c r="G230" s="509"/>
      <c r="H230" s="517"/>
      <c r="I230" s="509" t="s">
        <v>1000</v>
      </c>
      <c r="J230" s="509"/>
      <c r="K230" s="509"/>
      <c r="L230" s="509"/>
      <c r="M230" s="509"/>
      <c r="N230" s="509"/>
      <c r="O230" s="487"/>
    </row>
    <row r="231" spans="2:15" x14ac:dyDescent="0.3">
      <c r="B231" s="510" t="s">
        <v>552</v>
      </c>
      <c r="C231" s="511"/>
      <c r="D231" s="511"/>
      <c r="E231" s="511"/>
      <c r="F231" s="511"/>
      <c r="G231" s="511"/>
      <c r="H231" s="517"/>
      <c r="I231" s="512" t="s">
        <v>553</v>
      </c>
      <c r="J231" s="511"/>
      <c r="K231" s="511"/>
      <c r="L231" s="511"/>
      <c r="M231" s="511"/>
      <c r="N231" s="511"/>
      <c r="O231" s="745"/>
    </row>
    <row r="232" spans="2:15" x14ac:dyDescent="0.3">
      <c r="B232" s="484" t="s">
        <v>950</v>
      </c>
      <c r="C232" s="485" t="s">
        <v>724</v>
      </c>
      <c r="D232" s="485" t="s">
        <v>995</v>
      </c>
      <c r="E232" s="485" t="s">
        <v>985</v>
      </c>
      <c r="F232" s="485" t="s">
        <v>986</v>
      </c>
      <c r="G232" s="485" t="s">
        <v>996</v>
      </c>
      <c r="H232" s="517"/>
      <c r="I232" s="484" t="s">
        <v>950</v>
      </c>
      <c r="J232" s="485" t="s">
        <v>724</v>
      </c>
      <c r="K232" s="485" t="s">
        <v>995</v>
      </c>
      <c r="L232" s="485" t="s">
        <v>985</v>
      </c>
      <c r="M232" s="485" t="s">
        <v>986</v>
      </c>
      <c r="N232" s="485" t="s">
        <v>996</v>
      </c>
      <c r="O232" s="738"/>
    </row>
    <row r="233" spans="2:15" x14ac:dyDescent="0.3">
      <c r="B233" s="487" t="s">
        <v>1445</v>
      </c>
      <c r="D233" s="517"/>
      <c r="E233" s="517"/>
      <c r="G233" s="500"/>
      <c r="H233" s="517"/>
      <c r="I233" s="487" t="s">
        <v>988</v>
      </c>
    </row>
    <row r="234" spans="2:15" x14ac:dyDescent="0.3">
      <c r="B234" s="493" t="s">
        <v>2</v>
      </c>
      <c r="C234" s="513">
        <f>D234*$R$174</f>
        <v>0.35</v>
      </c>
      <c r="D234" s="513">
        <f>'VE input'!C130</f>
        <v>0.35</v>
      </c>
      <c r="E234" s="513">
        <f>'VE input'!D130</f>
        <v>0</v>
      </c>
      <c r="F234" s="513">
        <f>'VE input'!E130</f>
        <v>0.7</v>
      </c>
      <c r="G234" s="514">
        <f ca="1">'PSA inputs'!J189</f>
        <v>0.20955387978183881</v>
      </c>
      <c r="H234" s="517"/>
      <c r="I234" s="493" t="s">
        <v>2</v>
      </c>
      <c r="J234" s="513">
        <f ca="1">IF(AND('PSA inputs'!$I$867=1,'PSA inputs'!$I$879=1),N234,K234)</f>
        <v>0.20955387978183881</v>
      </c>
      <c r="K234" s="513">
        <f>'VE input'!C157*$R$174</f>
        <v>0.35</v>
      </c>
      <c r="L234" s="513">
        <f>'VE input'!D157</f>
        <v>0</v>
      </c>
      <c r="M234" s="513">
        <f>'VE input'!E157</f>
        <v>0.7</v>
      </c>
      <c r="N234" s="513">
        <f ca="1">'PSA inputs'!U189</f>
        <v>0.20955387978183881</v>
      </c>
      <c r="O234" s="742"/>
    </row>
    <row r="235" spans="2:15" x14ac:dyDescent="0.3">
      <c r="B235" s="493" t="s">
        <v>3</v>
      </c>
      <c r="C235" s="513">
        <f t="shared" ref="C235:C256" si="73">D235*$R$174</f>
        <v>0.35</v>
      </c>
      <c r="D235" s="513">
        <f>'VE input'!C131</f>
        <v>0.35</v>
      </c>
      <c r="E235" s="513">
        <f>'VE input'!D131</f>
        <v>0</v>
      </c>
      <c r="F235" s="513">
        <f>'VE input'!E131</f>
        <v>0.7</v>
      </c>
      <c r="G235" s="514">
        <f ca="1">'PSA inputs'!J190</f>
        <v>0.20955387978183881</v>
      </c>
      <c r="H235" s="517"/>
      <c r="I235" s="493" t="s">
        <v>3</v>
      </c>
      <c r="J235" s="513">
        <f ca="1">IF(AND('PSA inputs'!$I$867=1,'PSA inputs'!$I$879=1),N235,K235)</f>
        <v>0.20955387978183881</v>
      </c>
      <c r="K235" s="513">
        <f>'VE input'!C158*$R$174</f>
        <v>0.35</v>
      </c>
      <c r="L235" s="513">
        <f>'VE input'!D158</f>
        <v>0</v>
      </c>
      <c r="M235" s="513">
        <f>'VE input'!E158</f>
        <v>0.7</v>
      </c>
      <c r="N235" s="513">
        <f ca="1">'PSA inputs'!U190</f>
        <v>0.20955387978183881</v>
      </c>
      <c r="O235" s="742"/>
    </row>
    <row r="236" spans="2:15" x14ac:dyDescent="0.3">
      <c r="B236" s="493" t="s">
        <v>4</v>
      </c>
      <c r="C236" s="513">
        <f t="shared" si="73"/>
        <v>0.39</v>
      </c>
      <c r="D236" s="513">
        <f>'VE input'!C132</f>
        <v>0.39</v>
      </c>
      <c r="E236" s="513">
        <f>'VE input'!D132</f>
        <v>0</v>
      </c>
      <c r="F236" s="513">
        <f>'VE input'!E132</f>
        <v>0.68</v>
      </c>
      <c r="G236" s="514">
        <f ca="1">'PSA inputs'!J191</f>
        <v>0.25637589222009616</v>
      </c>
      <c r="H236" s="517"/>
      <c r="I236" s="493" t="s">
        <v>4</v>
      </c>
      <c r="J236" s="513">
        <f ca="1">IF(AND('PSA inputs'!$I$867=1,'PSA inputs'!$I$879=1),N236,K236)</f>
        <v>0.25637589222009616</v>
      </c>
      <c r="K236" s="513">
        <f>'VE input'!C159*$R$174</f>
        <v>0.39</v>
      </c>
      <c r="L236" s="513">
        <f>'VE input'!D159</f>
        <v>0</v>
      </c>
      <c r="M236" s="513">
        <f>'VE input'!E159</f>
        <v>0.68</v>
      </c>
      <c r="N236" s="513">
        <f ca="1">'PSA inputs'!U191</f>
        <v>0.25637589222009616</v>
      </c>
      <c r="O236" s="742"/>
    </row>
    <row r="237" spans="2:15" x14ac:dyDescent="0.3">
      <c r="B237" s="493" t="s">
        <v>5</v>
      </c>
      <c r="C237" s="513">
        <f t="shared" si="73"/>
        <v>0.57999999999999996</v>
      </c>
      <c r="D237" s="513">
        <f>'VE input'!C133</f>
        <v>0.57999999999999996</v>
      </c>
      <c r="E237" s="513">
        <f>'VE input'!D133</f>
        <v>0.34</v>
      </c>
      <c r="F237" s="513">
        <f>'VE input'!E133</f>
        <v>0.73</v>
      </c>
      <c r="G237" s="514">
        <f ca="1">'PSA inputs'!J192</f>
        <v>0.51146670626725277</v>
      </c>
      <c r="H237" s="517"/>
      <c r="I237" s="493" t="s">
        <v>5</v>
      </c>
      <c r="J237" s="513">
        <f ca="1">IF(AND('PSA inputs'!$I$867=1,'PSA inputs'!$I$879=1),N237,K237)</f>
        <v>0.51146670626725277</v>
      </c>
      <c r="K237" s="513">
        <f>'VE input'!C160*$R$174</f>
        <v>0.57999999999999996</v>
      </c>
      <c r="L237" s="513">
        <f>'VE input'!D160</f>
        <v>0.34</v>
      </c>
      <c r="M237" s="513">
        <f>'VE input'!E160</f>
        <v>0.73</v>
      </c>
      <c r="N237" s="513">
        <f ca="1">'PSA inputs'!U192</f>
        <v>0.51146670626725277</v>
      </c>
      <c r="O237" s="742"/>
    </row>
    <row r="238" spans="2:15" x14ac:dyDescent="0.3">
      <c r="B238" s="493" t="s">
        <v>6</v>
      </c>
      <c r="C238" s="513">
        <f t="shared" si="73"/>
        <v>0.57999999999999996</v>
      </c>
      <c r="D238" s="513">
        <f>'VE input'!C134</f>
        <v>0.57999999999999996</v>
      </c>
      <c r="E238" s="513">
        <f>'VE input'!D134</f>
        <v>0.34</v>
      </c>
      <c r="F238" s="513">
        <f>'VE input'!E134</f>
        <v>0.73</v>
      </c>
      <c r="G238" s="514">
        <f ca="1">'PSA inputs'!J193</f>
        <v>0.51146670626725277</v>
      </c>
      <c r="H238" s="517"/>
      <c r="I238" s="493" t="s">
        <v>6</v>
      </c>
      <c r="J238" s="513">
        <f ca="1">IF(AND('PSA inputs'!$I$867=1,'PSA inputs'!$I$879=1),N238,K238)</f>
        <v>0.51146670626725277</v>
      </c>
      <c r="K238" s="513">
        <f>'VE input'!C161*$R$174</f>
        <v>0.57999999999999996</v>
      </c>
      <c r="L238" s="513">
        <f>'VE input'!D161</f>
        <v>0.34</v>
      </c>
      <c r="M238" s="513">
        <f>'VE input'!E161</f>
        <v>0.73</v>
      </c>
      <c r="N238" s="513">
        <f ca="1">'PSA inputs'!U193</f>
        <v>0.51146670626725277</v>
      </c>
      <c r="O238" s="742"/>
    </row>
    <row r="239" spans="2:15" x14ac:dyDescent="0.3">
      <c r="B239" s="493" t="s">
        <v>7</v>
      </c>
      <c r="C239" s="513">
        <f t="shared" si="73"/>
        <v>0.57999999999999996</v>
      </c>
      <c r="D239" s="513">
        <f>'VE input'!C135</f>
        <v>0.57999999999999996</v>
      </c>
      <c r="E239" s="513">
        <f>'VE input'!D135</f>
        <v>0.34</v>
      </c>
      <c r="F239" s="513">
        <f>'VE input'!E135</f>
        <v>0.73</v>
      </c>
      <c r="G239" s="514">
        <f ca="1">'PSA inputs'!J194</f>
        <v>0.51146670626725277</v>
      </c>
      <c r="H239" s="517"/>
      <c r="I239" s="493" t="s">
        <v>7</v>
      </c>
      <c r="J239" s="513">
        <f ca="1">IF(AND('PSA inputs'!$I$867=1,'PSA inputs'!$I$879=1),N239,K239)</f>
        <v>0.51146670626725277</v>
      </c>
      <c r="K239" s="513">
        <f>'VE input'!C162*$R$174</f>
        <v>0.57999999999999996</v>
      </c>
      <c r="L239" s="513">
        <f>'VE input'!D162</f>
        <v>0.34</v>
      </c>
      <c r="M239" s="513">
        <f>'VE input'!E162</f>
        <v>0.73</v>
      </c>
      <c r="N239" s="513">
        <f ca="1">'PSA inputs'!U194</f>
        <v>0.51146670626725277</v>
      </c>
      <c r="O239" s="742"/>
    </row>
    <row r="240" spans="2:15" x14ac:dyDescent="0.3">
      <c r="B240" s="493" t="s">
        <v>1469</v>
      </c>
      <c r="C240" s="513">
        <f t="shared" si="73"/>
        <v>0.57999999999999996</v>
      </c>
      <c r="D240" s="513">
        <f>'VE input'!C136</f>
        <v>0.57999999999999996</v>
      </c>
      <c r="E240" s="513">
        <f>'VE input'!D136</f>
        <v>0.34</v>
      </c>
      <c r="F240" s="513">
        <f>'VE input'!E136</f>
        <v>0.73</v>
      </c>
      <c r="G240" s="514">
        <f ca="1">'PSA inputs'!J195</f>
        <v>0.51146670626725277</v>
      </c>
      <c r="H240" s="517"/>
      <c r="I240" s="493" t="s">
        <v>1469</v>
      </c>
      <c r="J240" s="513">
        <f ca="1">IF(AND('PSA inputs'!$I$867=1,'PSA inputs'!$I$879=1),N240,K240)</f>
        <v>0.51146670626725277</v>
      </c>
      <c r="K240" s="513">
        <f>'VE input'!C163*$R$174</f>
        <v>0.57999999999999996</v>
      </c>
      <c r="L240" s="513">
        <f>'VE input'!D163</f>
        <v>0.34</v>
      </c>
      <c r="M240" s="513">
        <f>'VE input'!E163</f>
        <v>0.73</v>
      </c>
      <c r="N240" s="513">
        <f ca="1">'PSA inputs'!U195</f>
        <v>0.51146670626725277</v>
      </c>
      <c r="O240" s="742"/>
    </row>
    <row r="241" spans="2:15" x14ac:dyDescent="0.3">
      <c r="B241" s="487" t="s">
        <v>1444</v>
      </c>
      <c r="C241" s="559"/>
      <c r="D241" s="496"/>
      <c r="E241" s="496"/>
      <c r="F241" s="496"/>
      <c r="G241" s="496"/>
      <c r="H241" s="517"/>
      <c r="I241" s="487" t="s">
        <v>988</v>
      </c>
      <c r="J241" s="496"/>
      <c r="K241" s="515"/>
      <c r="L241" s="515"/>
      <c r="M241" s="515"/>
      <c r="N241" s="496"/>
      <c r="O241" s="747"/>
    </row>
    <row r="242" spans="2:15" x14ac:dyDescent="0.3">
      <c r="B242" s="493" t="s">
        <v>2</v>
      </c>
      <c r="C242" s="513">
        <f t="shared" si="73"/>
        <v>0</v>
      </c>
      <c r="D242" s="513">
        <f>'VE input'!C138</f>
        <v>0</v>
      </c>
      <c r="E242" s="513">
        <f>'VE input'!D138</f>
        <v>0</v>
      </c>
      <c r="F242" s="513">
        <f>'VE input'!E138</f>
        <v>0</v>
      </c>
      <c r="G242" s="514">
        <f>'PSA inputs'!J197</f>
        <v>0</v>
      </c>
      <c r="H242" s="517"/>
      <c r="I242" s="493" t="s">
        <v>2</v>
      </c>
      <c r="J242" s="513">
        <f>IF(AND('PSA inputs'!$I$867=1,'PSA inputs'!$I$879=1),N242,K242)</f>
        <v>0</v>
      </c>
      <c r="K242" s="513">
        <f>'VE input'!C165*$R$174</f>
        <v>0</v>
      </c>
      <c r="L242" s="513">
        <f>'VE input'!D165</f>
        <v>0</v>
      </c>
      <c r="M242" s="513">
        <f>'VE input'!E165</f>
        <v>0</v>
      </c>
      <c r="N242" s="513">
        <f>'PSA inputs'!U197</f>
        <v>0</v>
      </c>
      <c r="O242" s="742"/>
    </row>
    <row r="243" spans="2:15" x14ac:dyDescent="0.3">
      <c r="B243" s="493" t="s">
        <v>3</v>
      </c>
      <c r="C243" s="513">
        <f t="shared" si="73"/>
        <v>0</v>
      </c>
      <c r="D243" s="513">
        <f>'VE input'!C139</f>
        <v>0</v>
      </c>
      <c r="E243" s="513">
        <f>'VE input'!D139</f>
        <v>0</v>
      </c>
      <c r="F243" s="513">
        <f>'VE input'!E139</f>
        <v>0</v>
      </c>
      <c r="G243" s="514">
        <f>'PSA inputs'!J198</f>
        <v>0</v>
      </c>
      <c r="H243" s="517"/>
      <c r="I243" s="493" t="s">
        <v>3</v>
      </c>
      <c r="J243" s="513">
        <f>IF(AND('PSA inputs'!$I$867=1,'PSA inputs'!$I$879=1),N243,K243)</f>
        <v>0</v>
      </c>
      <c r="K243" s="513">
        <f>'VE input'!C166*$R$174</f>
        <v>0</v>
      </c>
      <c r="L243" s="513">
        <f>'VE input'!D166</f>
        <v>0</v>
      </c>
      <c r="M243" s="513">
        <f>'VE input'!E166</f>
        <v>0</v>
      </c>
      <c r="N243" s="513">
        <f>'PSA inputs'!U198</f>
        <v>0</v>
      </c>
      <c r="O243" s="742"/>
    </row>
    <row r="244" spans="2:15" x14ac:dyDescent="0.3">
      <c r="B244" s="493" t="s">
        <v>4</v>
      </c>
      <c r="C244" s="513">
        <f t="shared" si="73"/>
        <v>0</v>
      </c>
      <c r="D244" s="513">
        <f>'VE input'!C140</f>
        <v>0</v>
      </c>
      <c r="E244" s="513">
        <f>'VE input'!D140</f>
        <v>0</v>
      </c>
      <c r="F244" s="513">
        <f>'VE input'!E140</f>
        <v>0</v>
      </c>
      <c r="G244" s="514">
        <f>'PSA inputs'!J199</f>
        <v>0</v>
      </c>
      <c r="H244" s="517"/>
      <c r="I244" s="493" t="s">
        <v>4</v>
      </c>
      <c r="J244" s="513">
        <f>IF(AND('PSA inputs'!$I$867=1,'PSA inputs'!$I$879=1),N244,K244)</f>
        <v>0</v>
      </c>
      <c r="K244" s="513">
        <f>'VE input'!C167*$R$174</f>
        <v>0</v>
      </c>
      <c r="L244" s="513">
        <f>'VE input'!D167</f>
        <v>0</v>
      </c>
      <c r="M244" s="513">
        <f>'VE input'!E167</f>
        <v>0</v>
      </c>
      <c r="N244" s="513">
        <f>'PSA inputs'!U199</f>
        <v>0</v>
      </c>
      <c r="O244" s="742"/>
    </row>
    <row r="245" spans="2:15" x14ac:dyDescent="0.3">
      <c r="B245" s="493" t="s">
        <v>5</v>
      </c>
      <c r="C245" s="513">
        <f t="shared" si="73"/>
        <v>0.43645409834744886</v>
      </c>
      <c r="D245" s="513">
        <f>'VE input'!C141</f>
        <v>0.43645409834744886</v>
      </c>
      <c r="E245" s="513">
        <f>'VE input'!D141</f>
        <v>0.39206893580364055</v>
      </c>
      <c r="F245" s="513">
        <f>'VE input'!E141</f>
        <v>0.47344173380062254</v>
      </c>
      <c r="G245" s="514">
        <f ca="1">'PSA inputs'!J200</f>
        <v>0.50078109208474952</v>
      </c>
      <c r="H245" s="517"/>
      <c r="I245" s="493" t="s">
        <v>5</v>
      </c>
      <c r="J245" s="513">
        <f ca="1">IF(AND('PSA inputs'!$I$867=1,'PSA inputs'!$I$879=1),N245,K245)</f>
        <v>0.45210906054215483</v>
      </c>
      <c r="K245" s="513">
        <f>'VE input'!C168*$R$174</f>
        <v>0.43645409834744886</v>
      </c>
      <c r="L245" s="513">
        <f>'VE input'!D168</f>
        <v>0.39206893580364055</v>
      </c>
      <c r="M245" s="513">
        <f>'VE input'!E168</f>
        <v>0.47344173380062254</v>
      </c>
      <c r="N245" s="513">
        <f ca="1">'PSA inputs'!U200</f>
        <v>0.45210906054215483</v>
      </c>
      <c r="O245" s="742"/>
    </row>
    <row r="246" spans="2:15" x14ac:dyDescent="0.3">
      <c r="B246" s="493" t="s">
        <v>6</v>
      </c>
      <c r="C246" s="513">
        <f t="shared" si="73"/>
        <v>0.43645409834744886</v>
      </c>
      <c r="D246" s="513">
        <f>'VE input'!C142</f>
        <v>0.43645409834744886</v>
      </c>
      <c r="E246" s="513">
        <f>'VE input'!D142</f>
        <v>0.39206893580364055</v>
      </c>
      <c r="F246" s="513">
        <f>'VE input'!E142</f>
        <v>0.47344173380062254</v>
      </c>
      <c r="G246" s="514">
        <f ca="1">'PSA inputs'!J201</f>
        <v>0.50078109208474952</v>
      </c>
      <c r="H246" s="517"/>
      <c r="I246" s="493" t="s">
        <v>6</v>
      </c>
      <c r="J246" s="513">
        <f ca="1">IF(AND('PSA inputs'!$I$867=1,'PSA inputs'!$I$879=1),N246,K246)</f>
        <v>0.45210906054215483</v>
      </c>
      <c r="K246" s="513">
        <f>'VE input'!C169*$R$174</f>
        <v>0.43645409834744886</v>
      </c>
      <c r="L246" s="513">
        <f>'VE input'!D169</f>
        <v>0.39206893580364055</v>
      </c>
      <c r="M246" s="513">
        <f>'VE input'!E169</f>
        <v>0.47344173380062254</v>
      </c>
      <c r="N246" s="513">
        <f ca="1">'PSA inputs'!U201</f>
        <v>0.45210906054215483</v>
      </c>
      <c r="O246" s="742"/>
    </row>
    <row r="247" spans="2:15" x14ac:dyDescent="0.3">
      <c r="B247" s="493" t="s">
        <v>7</v>
      </c>
      <c r="C247" s="513">
        <f t="shared" si="73"/>
        <v>0.43645409834744886</v>
      </c>
      <c r="D247" s="513">
        <f>'VE input'!C143</f>
        <v>0.43645409834744886</v>
      </c>
      <c r="E247" s="513">
        <f>'VE input'!D143</f>
        <v>0.39206893580364055</v>
      </c>
      <c r="F247" s="513">
        <f>'VE input'!E143</f>
        <v>0.47344173380062254</v>
      </c>
      <c r="G247" s="514">
        <f ca="1">'PSA inputs'!J202</f>
        <v>0.50078109208474952</v>
      </c>
      <c r="H247" s="517"/>
      <c r="I247" s="493" t="s">
        <v>7</v>
      </c>
      <c r="J247" s="513">
        <f ca="1">IF(AND('PSA inputs'!$I$867=1,'PSA inputs'!$I$879=1),N247,K247)</f>
        <v>0.45210906054215483</v>
      </c>
      <c r="K247" s="513">
        <f>'VE input'!C170*$R$174</f>
        <v>0.43645409834744886</v>
      </c>
      <c r="L247" s="513">
        <f>'VE input'!D170</f>
        <v>0.39206893580364055</v>
      </c>
      <c r="M247" s="513">
        <f>'VE input'!E170</f>
        <v>0.47344173380062254</v>
      </c>
      <c r="N247" s="513">
        <f ca="1">'PSA inputs'!U202</f>
        <v>0.45210906054215483</v>
      </c>
      <c r="O247" s="742"/>
    </row>
    <row r="248" spans="2:15" x14ac:dyDescent="0.3">
      <c r="B248" s="493" t="s">
        <v>1469</v>
      </c>
      <c r="C248" s="513">
        <f t="shared" si="73"/>
        <v>0</v>
      </c>
      <c r="D248" s="513">
        <f>'VE input'!C144</f>
        <v>0</v>
      </c>
      <c r="E248" s="513">
        <f>'VE input'!D144</f>
        <v>0</v>
      </c>
      <c r="F248" s="513">
        <f>'VE input'!E144</f>
        <v>0</v>
      </c>
      <c r="G248" s="514">
        <f>'PSA inputs'!J203</f>
        <v>0</v>
      </c>
      <c r="H248" s="517"/>
      <c r="I248" s="493" t="s">
        <v>1469</v>
      </c>
      <c r="J248" s="513">
        <f>IF(AND('PSA inputs'!$I$867=1,'PSA inputs'!$I$879=1),N248,K248)</f>
        <v>0</v>
      </c>
      <c r="K248" s="513">
        <f>'VE input'!C171*$R$174</f>
        <v>0</v>
      </c>
      <c r="L248" s="513">
        <f>'VE input'!D171</f>
        <v>0</v>
      </c>
      <c r="M248" s="513">
        <f>'VE input'!E171</f>
        <v>0</v>
      </c>
      <c r="N248" s="513">
        <f>'PSA inputs'!U203</f>
        <v>0</v>
      </c>
      <c r="O248" s="742"/>
    </row>
    <row r="249" spans="2:15" x14ac:dyDescent="0.3">
      <c r="B249" s="498" t="s">
        <v>227</v>
      </c>
      <c r="C249" s="559"/>
      <c r="D249" s="496"/>
      <c r="E249" s="496"/>
      <c r="F249" s="496"/>
      <c r="G249" s="496"/>
      <c r="H249" s="517"/>
      <c r="I249" s="498" t="s">
        <v>227</v>
      </c>
      <c r="J249" s="496"/>
      <c r="K249" s="515"/>
      <c r="L249" s="515"/>
      <c r="M249" s="515"/>
      <c r="N249" s="496"/>
      <c r="O249" s="747"/>
    </row>
    <row r="250" spans="2:15" x14ac:dyDescent="0.3">
      <c r="B250" s="490" t="s">
        <v>1437</v>
      </c>
      <c r="C250" s="513">
        <f t="shared" si="73"/>
        <v>0.504</v>
      </c>
      <c r="D250" s="513">
        <f>'VE input'!C146</f>
        <v>0.504</v>
      </c>
      <c r="E250" s="513">
        <f>'VE input'!D146</f>
        <v>0.14199999999999999</v>
      </c>
      <c r="F250" s="513">
        <f>'VE input'!E146</f>
        <v>0.71199999999999997</v>
      </c>
      <c r="G250" s="514">
        <f ca="1">'PSA inputs'!J205</f>
        <v>0.60226688020858465</v>
      </c>
      <c r="H250" s="517"/>
      <c r="I250" s="490" t="s">
        <v>1437</v>
      </c>
      <c r="J250" s="513">
        <f ca="1">IF(AND('PSA inputs'!$I$867=1,'PSA inputs'!$I$879=1),N250,K250)</f>
        <v>0.5589509610735337</v>
      </c>
      <c r="K250" s="513">
        <f>'VE input'!C173*$R$174</f>
        <v>0.504</v>
      </c>
      <c r="L250" s="513">
        <f>'VE input'!D173</f>
        <v>0.14199999999999999</v>
      </c>
      <c r="M250" s="513">
        <f>'VE input'!E173</f>
        <v>0.71199999999999997</v>
      </c>
      <c r="N250" s="513">
        <f ca="1">'PSA inputs'!U205</f>
        <v>0.5589509610735337</v>
      </c>
      <c r="O250" s="742"/>
    </row>
    <row r="251" spans="2:15" x14ac:dyDescent="0.3">
      <c r="B251" s="490" t="s">
        <v>1438</v>
      </c>
      <c r="C251" s="513">
        <f t="shared" si="73"/>
        <v>0</v>
      </c>
      <c r="D251" s="513">
        <f>'VE input'!C147</f>
        <v>0</v>
      </c>
      <c r="E251" s="513">
        <f>'VE input'!D147</f>
        <v>0</v>
      </c>
      <c r="F251" s="513">
        <f>'VE input'!E147</f>
        <v>0</v>
      </c>
      <c r="G251" s="514">
        <f>'PSA inputs'!J206</f>
        <v>0</v>
      </c>
      <c r="H251" s="517"/>
      <c r="I251" s="490" t="s">
        <v>1438</v>
      </c>
      <c r="J251" s="513">
        <f>IF(AND('PSA inputs'!$I$867=1,'PSA inputs'!$I$879=1),N251,K251)</f>
        <v>0</v>
      </c>
      <c r="K251" s="513">
        <f>'VE input'!C174*$R$174</f>
        <v>0</v>
      </c>
      <c r="L251" s="513">
        <f>'VE input'!D174</f>
        <v>0</v>
      </c>
      <c r="M251" s="513">
        <f>'VE input'!E174</f>
        <v>0</v>
      </c>
      <c r="N251" s="513">
        <f>'PSA inputs'!U206</f>
        <v>0</v>
      </c>
      <c r="O251" s="742"/>
    </row>
    <row r="252" spans="2:15" x14ac:dyDescent="0.3">
      <c r="B252" s="490" t="s">
        <v>1441</v>
      </c>
      <c r="C252" s="513">
        <f t="shared" si="73"/>
        <v>0.48</v>
      </c>
      <c r="D252" s="513">
        <f>'VE input'!C148</f>
        <v>0.48</v>
      </c>
      <c r="E252" s="513">
        <f>'VE input'!D148</f>
        <v>0.11600000000000001</v>
      </c>
      <c r="F252" s="513">
        <f>'VE input'!E148</f>
        <v>0.70399999999999996</v>
      </c>
      <c r="G252" s="514">
        <f ca="1">'PSA inputs'!J207</f>
        <v>0.58084217437529362</v>
      </c>
      <c r="H252" s="517"/>
      <c r="I252" s="490" t="s">
        <v>1441</v>
      </c>
      <c r="J252" s="513">
        <f ca="1">IF(AND('PSA inputs'!$I$867=1,'PSA inputs'!$I$879=1),N252,K252)</f>
        <v>0.5355198740470184</v>
      </c>
      <c r="K252" s="513">
        <f>'VE input'!C175*$R$174</f>
        <v>0.48</v>
      </c>
      <c r="L252" s="513">
        <f>'VE input'!D175</f>
        <v>0.11600000000000001</v>
      </c>
      <c r="M252" s="513">
        <f>'VE input'!E175</f>
        <v>0.70399999999999996</v>
      </c>
      <c r="N252" s="513">
        <f ca="1">'PSA inputs'!U207</f>
        <v>0.5355198740470184</v>
      </c>
      <c r="O252" s="742"/>
    </row>
    <row r="253" spans="2:15" x14ac:dyDescent="0.3">
      <c r="B253" s="490" t="s">
        <v>1442</v>
      </c>
      <c r="C253" s="513">
        <f t="shared" si="73"/>
        <v>0</v>
      </c>
      <c r="D253" s="513">
        <f>'VE input'!C149</f>
        <v>0</v>
      </c>
      <c r="E253" s="513">
        <f>'VE input'!D149</f>
        <v>0</v>
      </c>
      <c r="F253" s="513">
        <f>'VE input'!E149</f>
        <v>0</v>
      </c>
      <c r="G253" s="514">
        <f>'PSA inputs'!J208</f>
        <v>0</v>
      </c>
      <c r="H253" s="517"/>
      <c r="I253" s="490" t="s">
        <v>1442</v>
      </c>
      <c r="J253" s="513">
        <f>IF(AND('PSA inputs'!$I$867=1,'PSA inputs'!$I$879=1),N253,K253)</f>
        <v>0</v>
      </c>
      <c r="K253" s="513">
        <f>'VE input'!C176*$R$174</f>
        <v>0</v>
      </c>
      <c r="L253" s="513">
        <f>'VE input'!D176</f>
        <v>0</v>
      </c>
      <c r="M253" s="513">
        <f>'VE input'!E176</f>
        <v>0</v>
      </c>
      <c r="N253" s="513">
        <f>'PSA inputs'!U208</f>
        <v>0</v>
      </c>
      <c r="O253" s="742"/>
    </row>
    <row r="254" spans="2:15" x14ac:dyDescent="0.3">
      <c r="B254" s="498" t="s">
        <v>920</v>
      </c>
      <c r="C254" s="559"/>
      <c r="D254" s="496"/>
      <c r="E254" s="496"/>
      <c r="F254" s="496"/>
      <c r="G254" s="496"/>
      <c r="H254" s="517"/>
      <c r="I254" s="498" t="s">
        <v>920</v>
      </c>
      <c r="J254" s="496"/>
      <c r="K254" s="515"/>
      <c r="L254" s="515"/>
      <c r="M254" s="515"/>
      <c r="N254" s="496"/>
      <c r="O254" s="747"/>
    </row>
    <row r="255" spans="2:15" x14ac:dyDescent="0.3">
      <c r="B255" s="490" t="s">
        <v>920</v>
      </c>
      <c r="C255" s="513">
        <f t="shared" si="73"/>
        <v>0</v>
      </c>
      <c r="D255" s="513">
        <f>'VE input'!C151</f>
        <v>0</v>
      </c>
      <c r="E255" s="513">
        <f>'VE input'!D151</f>
        <v>0</v>
      </c>
      <c r="F255" s="513">
        <f>'VE input'!E151</f>
        <v>0</v>
      </c>
      <c r="G255" s="514">
        <f>'PSA inputs'!J210</f>
        <v>0</v>
      </c>
      <c r="H255" s="517"/>
      <c r="I255" s="490" t="s">
        <v>920</v>
      </c>
      <c r="J255" s="513">
        <f>IF(AND('PSA inputs'!$I$867=1,'PSA inputs'!$I$879=1),N255,K255)</f>
        <v>0</v>
      </c>
      <c r="K255" s="513">
        <f>'VE input'!C178*$R$174</f>
        <v>0</v>
      </c>
      <c r="L255" s="513">
        <f>'VE input'!D178</f>
        <v>0</v>
      </c>
      <c r="M255" s="513">
        <f>'VE input'!E178</f>
        <v>0</v>
      </c>
      <c r="N255" s="513">
        <f>'PSA inputs'!U210</f>
        <v>0</v>
      </c>
      <c r="O255" s="742"/>
    </row>
    <row r="256" spans="2:15" x14ac:dyDescent="0.3">
      <c r="B256" s="490" t="s">
        <v>980</v>
      </c>
      <c r="C256" s="513">
        <f t="shared" si="73"/>
        <v>0</v>
      </c>
      <c r="D256" s="513">
        <f>'VE input'!C152</f>
        <v>0</v>
      </c>
      <c r="E256" s="513">
        <f>'VE input'!D152</f>
        <v>0</v>
      </c>
      <c r="F256" s="513">
        <f>'VE input'!E152</f>
        <v>0</v>
      </c>
      <c r="G256" s="514">
        <f>'PSA inputs'!J211</f>
        <v>0</v>
      </c>
      <c r="H256" s="517"/>
      <c r="I256" s="490" t="s">
        <v>980</v>
      </c>
      <c r="J256" s="513">
        <f>IF(AND('PSA inputs'!$I$867=1,'PSA inputs'!$I$879=1),N256,K256)</f>
        <v>0</v>
      </c>
      <c r="K256" s="513">
        <f>'VE input'!C179*$R$174</f>
        <v>0</v>
      </c>
      <c r="L256" s="513">
        <f>'VE input'!D179</f>
        <v>0</v>
      </c>
      <c r="M256" s="513">
        <f>'VE input'!E179</f>
        <v>0</v>
      </c>
      <c r="N256" s="513">
        <f>'PSA inputs'!U211</f>
        <v>0</v>
      </c>
      <c r="O256" s="742"/>
    </row>
    <row r="257" spans="2:15" ht="15" customHeight="1" x14ac:dyDescent="0.3">
      <c r="B257" s="518"/>
      <c r="C257" s="449"/>
      <c r="D257" s="449"/>
      <c r="E257" s="449"/>
      <c r="F257" s="449"/>
      <c r="G257" s="449"/>
      <c r="I257" s="518"/>
      <c r="J257" s="449"/>
      <c r="K257" s="449"/>
      <c r="L257" s="449"/>
      <c r="M257" s="449"/>
      <c r="N257" s="449"/>
      <c r="O257" s="742"/>
    </row>
    <row r="258" spans="2:15" ht="15" customHeight="1" x14ac:dyDescent="0.3">
      <c r="B258" s="509" t="s">
        <v>1448</v>
      </c>
      <c r="C258" s="519"/>
      <c r="D258" s="519"/>
      <c r="E258" s="519"/>
      <c r="F258" s="519"/>
      <c r="G258" s="519"/>
      <c r="I258" s="509" t="s">
        <v>1448</v>
      </c>
      <c r="J258" s="519"/>
      <c r="K258" s="519"/>
      <c r="L258" s="519"/>
      <c r="M258" s="519"/>
      <c r="N258" s="519"/>
      <c r="O258" s="745"/>
    </row>
    <row r="259" spans="2:15" x14ac:dyDescent="0.3">
      <c r="B259" s="683" t="s">
        <v>552</v>
      </c>
      <c r="C259" s="511"/>
      <c r="D259" s="511"/>
      <c r="E259" s="511"/>
      <c r="F259" s="511"/>
      <c r="G259" s="511"/>
      <c r="H259" s="517"/>
      <c r="I259" s="512" t="s">
        <v>553</v>
      </c>
      <c r="J259" s="511"/>
      <c r="K259" s="511"/>
      <c r="L259" s="511"/>
      <c r="M259" s="511"/>
      <c r="N259" s="511"/>
      <c r="O259" s="745"/>
    </row>
    <row r="260" spans="2:15" ht="15" customHeight="1" x14ac:dyDescent="0.3">
      <c r="B260" s="484" t="s">
        <v>950</v>
      </c>
      <c r="C260" s="485" t="s">
        <v>724</v>
      </c>
      <c r="D260" s="485" t="s">
        <v>995</v>
      </c>
      <c r="E260" s="485" t="s">
        <v>985</v>
      </c>
      <c r="F260" s="485" t="s">
        <v>986</v>
      </c>
      <c r="G260" s="485" t="s">
        <v>996</v>
      </c>
      <c r="I260" s="484" t="s">
        <v>950</v>
      </c>
      <c r="J260" s="485" t="s">
        <v>724</v>
      </c>
      <c r="K260" s="485" t="s">
        <v>995</v>
      </c>
      <c r="L260" s="485" t="s">
        <v>985</v>
      </c>
      <c r="M260" s="485" t="s">
        <v>986</v>
      </c>
      <c r="N260" s="485" t="s">
        <v>996</v>
      </c>
      <c r="O260" s="738"/>
    </row>
    <row r="261" spans="2:15" ht="15" customHeight="1" x14ac:dyDescent="0.3">
      <c r="B261" s="487" t="s">
        <v>1445</v>
      </c>
      <c r="D261" s="520"/>
      <c r="E261" s="520"/>
      <c r="I261" s="487" t="s">
        <v>1445</v>
      </c>
      <c r="K261" s="520"/>
      <c r="L261" s="520"/>
    </row>
    <row r="262" spans="2:15" ht="15" customHeight="1" x14ac:dyDescent="0.3">
      <c r="B262" s="493" t="s">
        <v>2</v>
      </c>
      <c r="C262" s="491">
        <f ca="1">IF(AND('PSA inputs'!$I$867=1,'PSA inputs'!$I$881=1),G262,D262)</f>
        <v>0.20474477904165322</v>
      </c>
      <c r="D262" s="491">
        <f>'VE input'!C187</f>
        <v>12000</v>
      </c>
      <c r="E262" s="491">
        <f>'VE input'!D187</f>
        <v>6000</v>
      </c>
      <c r="F262" s="491">
        <f>'VE input'!E187</f>
        <v>18000</v>
      </c>
      <c r="G262" s="514">
        <f ca="1">'PSA inputs'!J217</f>
        <v>0.20474477904165322</v>
      </c>
      <c r="I262" s="493" t="s">
        <v>2</v>
      </c>
      <c r="J262" s="491">
        <f ca="1">IF(AND('PSA inputs'!$I$867=1,'PSA inputs'!$I$883=1),N262,K262)</f>
        <v>0.1257730225575997</v>
      </c>
      <c r="K262" s="491">
        <f>'VE input'!C242</f>
        <v>12000</v>
      </c>
      <c r="L262" s="491">
        <f>'VE input'!D242</f>
        <v>6000</v>
      </c>
      <c r="M262" s="491">
        <f>'VE input'!E242</f>
        <v>18000</v>
      </c>
      <c r="N262" s="492">
        <f ca="1">'PSA inputs'!$U$217</f>
        <v>0.1257730225575997</v>
      </c>
      <c r="O262" s="739"/>
    </row>
    <row r="263" spans="2:15" ht="15" customHeight="1" x14ac:dyDescent="0.3">
      <c r="B263" s="493" t="s">
        <v>3</v>
      </c>
      <c r="C263" s="491">
        <f ca="1">IF(AND('PSA inputs'!$I$867=1,'PSA inputs'!$I$881=1),G263,D263)</f>
        <v>0.20474477904165322</v>
      </c>
      <c r="D263" s="491">
        <f>'VE input'!C188</f>
        <v>12000</v>
      </c>
      <c r="E263" s="491">
        <f>'VE input'!D188</f>
        <v>6000</v>
      </c>
      <c r="F263" s="491">
        <f>'VE input'!E188</f>
        <v>18000</v>
      </c>
      <c r="G263" s="514">
        <f ca="1">'PSA inputs'!J218</f>
        <v>0.20474477904165322</v>
      </c>
      <c r="I263" s="493" t="s">
        <v>3</v>
      </c>
      <c r="J263" s="491">
        <f ca="1">IF(AND('PSA inputs'!$I$867=1,'PSA inputs'!$I$883=1),N263,K263)</f>
        <v>0.1257730225575997</v>
      </c>
      <c r="K263" s="491">
        <f>'VE input'!C243</f>
        <v>12000</v>
      </c>
      <c r="L263" s="491">
        <f>'VE input'!D243</f>
        <v>6000</v>
      </c>
      <c r="M263" s="491">
        <f>'VE input'!E243</f>
        <v>18000</v>
      </c>
      <c r="N263" s="492">
        <f ca="1">'PSA inputs'!$U$217</f>
        <v>0.1257730225575997</v>
      </c>
      <c r="O263" s="739"/>
    </row>
    <row r="264" spans="2:15" ht="15" customHeight="1" x14ac:dyDescent="0.3">
      <c r="B264" s="493" t="s">
        <v>4</v>
      </c>
      <c r="C264" s="491">
        <f ca="1">IF(AND('PSA inputs'!$I$867=1,'PSA inputs'!$I$881=1),G264,D264)</f>
        <v>0.20474477904165322</v>
      </c>
      <c r="D264" s="491">
        <f>'VE input'!C189</f>
        <v>12000</v>
      </c>
      <c r="E264" s="491">
        <f>'VE input'!D189</f>
        <v>6000</v>
      </c>
      <c r="F264" s="491">
        <f>'VE input'!E189</f>
        <v>18000</v>
      </c>
      <c r="G264" s="514">
        <f ca="1">'PSA inputs'!J219</f>
        <v>0.20474477904165322</v>
      </c>
      <c r="I264" s="493" t="s">
        <v>4</v>
      </c>
      <c r="J264" s="491">
        <f ca="1">IF(AND('PSA inputs'!$I$867=1,'PSA inputs'!$I$883=1),N264,K264)</f>
        <v>0.1257730225575997</v>
      </c>
      <c r="K264" s="491">
        <f>'VE input'!C244</f>
        <v>12000</v>
      </c>
      <c r="L264" s="491">
        <f>'VE input'!D244</f>
        <v>6000</v>
      </c>
      <c r="M264" s="491">
        <f>'VE input'!E244</f>
        <v>18000</v>
      </c>
      <c r="N264" s="492">
        <f ca="1">'PSA inputs'!$U$217</f>
        <v>0.1257730225575997</v>
      </c>
      <c r="O264" s="739"/>
    </row>
    <row r="265" spans="2:15" ht="15" customHeight="1" x14ac:dyDescent="0.3">
      <c r="B265" s="493" t="s">
        <v>5</v>
      </c>
      <c r="C265" s="491">
        <f ca="1">IF(AND('PSA inputs'!$I$867=1,'PSA inputs'!$I$881=1),G265,D265)</f>
        <v>0.20474477904165322</v>
      </c>
      <c r="D265" s="491">
        <f>'VE input'!C190</f>
        <v>12000</v>
      </c>
      <c r="E265" s="491">
        <f>'VE input'!D190</f>
        <v>6000</v>
      </c>
      <c r="F265" s="491">
        <f>'VE input'!E190</f>
        <v>18000</v>
      </c>
      <c r="G265" s="514">
        <f ca="1">'PSA inputs'!J220</f>
        <v>0.20474477904165322</v>
      </c>
      <c r="I265" s="493" t="s">
        <v>5</v>
      </c>
      <c r="J265" s="491">
        <f ca="1">IF(AND('PSA inputs'!$I$867=1,'PSA inputs'!$I$883=1),N265,K265)</f>
        <v>0.1257730225575997</v>
      </c>
      <c r="K265" s="491">
        <f>'VE input'!C245</f>
        <v>12000</v>
      </c>
      <c r="L265" s="491">
        <f>'VE input'!D245</f>
        <v>6000</v>
      </c>
      <c r="M265" s="491">
        <f>'VE input'!E245</f>
        <v>18000</v>
      </c>
      <c r="N265" s="492">
        <f ca="1">'PSA inputs'!$U$217</f>
        <v>0.1257730225575997</v>
      </c>
      <c r="O265" s="739"/>
    </row>
    <row r="266" spans="2:15" ht="15" customHeight="1" x14ac:dyDescent="0.3">
      <c r="B266" s="493" t="s">
        <v>6</v>
      </c>
      <c r="C266" s="491">
        <f ca="1">IF(AND('PSA inputs'!$I$867=1,'PSA inputs'!$I$881=1),G266,D266)</f>
        <v>0.20474477904165322</v>
      </c>
      <c r="D266" s="491">
        <f>'VE input'!C191</f>
        <v>12000</v>
      </c>
      <c r="E266" s="491">
        <f>'VE input'!D191</f>
        <v>6000</v>
      </c>
      <c r="F266" s="491">
        <f>'VE input'!E191</f>
        <v>18000</v>
      </c>
      <c r="G266" s="514">
        <f ca="1">'PSA inputs'!J221</f>
        <v>0.20474477904165322</v>
      </c>
      <c r="I266" s="493" t="s">
        <v>6</v>
      </c>
      <c r="J266" s="491">
        <f ca="1">IF(AND('PSA inputs'!$I$867=1,'PSA inputs'!$I$883=1),N266,K266)</f>
        <v>0.1257730225575997</v>
      </c>
      <c r="K266" s="491">
        <f>'VE input'!C246</f>
        <v>12000</v>
      </c>
      <c r="L266" s="491">
        <f>'VE input'!D246</f>
        <v>6000</v>
      </c>
      <c r="M266" s="491">
        <f>'VE input'!E246</f>
        <v>18000</v>
      </c>
      <c r="N266" s="492">
        <f ca="1">'PSA inputs'!$U$217</f>
        <v>0.1257730225575997</v>
      </c>
      <c r="O266" s="739"/>
    </row>
    <row r="267" spans="2:15" ht="15" customHeight="1" x14ac:dyDescent="0.3">
      <c r="B267" s="493" t="s">
        <v>7</v>
      </c>
      <c r="C267" s="491">
        <f ca="1">IF(AND('PSA inputs'!$I$867=1,'PSA inputs'!$I$881=1),G267,D267)</f>
        <v>0.20474477904165322</v>
      </c>
      <c r="D267" s="491">
        <f>'VE input'!C192</f>
        <v>12000</v>
      </c>
      <c r="E267" s="491">
        <f>'VE input'!D192</f>
        <v>6000</v>
      </c>
      <c r="F267" s="491">
        <f>'VE input'!E192</f>
        <v>18000</v>
      </c>
      <c r="G267" s="514">
        <f ca="1">'PSA inputs'!J222</f>
        <v>0.20474477904165322</v>
      </c>
      <c r="I267" s="493" t="s">
        <v>7</v>
      </c>
      <c r="J267" s="491">
        <f ca="1">IF(AND('PSA inputs'!$I$867=1,'PSA inputs'!$I$883=1),N267,K267)</f>
        <v>0.1257730225575997</v>
      </c>
      <c r="K267" s="491">
        <f>'VE input'!C247</f>
        <v>12000</v>
      </c>
      <c r="L267" s="491">
        <f>'VE input'!D247</f>
        <v>6000</v>
      </c>
      <c r="M267" s="491">
        <f>'VE input'!E247</f>
        <v>18000</v>
      </c>
      <c r="N267" s="492">
        <f ca="1">'PSA inputs'!$U$217</f>
        <v>0.1257730225575997</v>
      </c>
      <c r="O267" s="739"/>
    </row>
    <row r="268" spans="2:15" ht="15" customHeight="1" x14ac:dyDescent="0.3">
      <c r="B268" s="493" t="s">
        <v>1469</v>
      </c>
      <c r="C268" s="491">
        <f ca="1">IF(AND('PSA inputs'!$I$867=1,'PSA inputs'!$I$881=1),G268,D268)</f>
        <v>0.20474477904165322</v>
      </c>
      <c r="D268" s="491">
        <f>'VE input'!C193</f>
        <v>12000</v>
      </c>
      <c r="E268" s="491">
        <f>'VE input'!D193</f>
        <v>6000</v>
      </c>
      <c r="F268" s="491">
        <f>'VE input'!E193</f>
        <v>18000</v>
      </c>
      <c r="G268" s="514">
        <f ca="1">'PSA inputs'!J223</f>
        <v>0.20474477904165322</v>
      </c>
      <c r="I268" s="493" t="s">
        <v>1469</v>
      </c>
      <c r="J268" s="491">
        <f ca="1">IF(AND('PSA inputs'!$I$867=1,'PSA inputs'!$I$883=1),N268,K268)</f>
        <v>0.1257730225575997</v>
      </c>
      <c r="K268" s="491">
        <f>'VE input'!C248</f>
        <v>12000</v>
      </c>
      <c r="L268" s="491">
        <f>'VE input'!D248</f>
        <v>6000</v>
      </c>
      <c r="M268" s="491">
        <f>'VE input'!E248</f>
        <v>18000</v>
      </c>
      <c r="N268" s="492">
        <f ca="1">'PSA inputs'!$U$217</f>
        <v>0.1257730225575997</v>
      </c>
      <c r="O268" s="739"/>
    </row>
    <row r="269" spans="2:15" x14ac:dyDescent="0.3">
      <c r="B269" s="487" t="s">
        <v>1444</v>
      </c>
      <c r="C269" s="533"/>
      <c r="D269" s="496"/>
      <c r="E269" s="496"/>
      <c r="F269" s="496"/>
      <c r="G269" s="496"/>
      <c r="H269" s="517"/>
      <c r="I269" s="487" t="s">
        <v>1444</v>
      </c>
      <c r="J269" s="533"/>
      <c r="K269" s="496"/>
      <c r="L269" s="496"/>
      <c r="M269" s="496"/>
      <c r="N269" s="533"/>
      <c r="O269" s="748"/>
    </row>
    <row r="270" spans="2:15" x14ac:dyDescent="0.3">
      <c r="B270" s="493" t="s">
        <v>2</v>
      </c>
      <c r="C270" s="491">
        <f ca="1">IF(AND('PSA inputs'!$I$867=1,'PSA inputs'!$I$881=1),G270,D270)</f>
        <v>0.14312361795657047</v>
      </c>
      <c r="D270" s="491">
        <f>'VE input'!C195</f>
        <v>12000</v>
      </c>
      <c r="E270" s="491">
        <f>'VE input'!D195</f>
        <v>6000</v>
      </c>
      <c r="F270" s="491">
        <f>'VE input'!E195</f>
        <v>18000</v>
      </c>
      <c r="G270" s="514">
        <f ca="1">'PSA inputs'!J225</f>
        <v>0.14312361795657047</v>
      </c>
      <c r="H270" s="517"/>
      <c r="I270" s="493" t="s">
        <v>2</v>
      </c>
      <c r="J270" s="491">
        <f ca="1">IF(AND('PSA inputs'!$I$867=1,'PSA inputs'!$I$883=1),N270,K270)</f>
        <v>0.1257730225575997</v>
      </c>
      <c r="K270" s="491">
        <f>'VE input'!C250</f>
        <v>12000</v>
      </c>
      <c r="L270" s="491">
        <f>'VE input'!D250</f>
        <v>6000</v>
      </c>
      <c r="M270" s="491">
        <f>'VE input'!E250</f>
        <v>18000</v>
      </c>
      <c r="N270" s="492">
        <f ca="1">'PSA inputs'!$U$217</f>
        <v>0.1257730225575997</v>
      </c>
      <c r="O270" s="739"/>
    </row>
    <row r="271" spans="2:15" x14ac:dyDescent="0.3">
      <c r="B271" s="493" t="s">
        <v>3</v>
      </c>
      <c r="C271" s="491">
        <f ca="1">IF(AND('PSA inputs'!$I$867=1,'PSA inputs'!$I$881=1),G271,D271)</f>
        <v>0.14312361795657047</v>
      </c>
      <c r="D271" s="491">
        <f>'VE input'!C196</f>
        <v>12000</v>
      </c>
      <c r="E271" s="491">
        <f>'VE input'!D196</f>
        <v>6000</v>
      </c>
      <c r="F271" s="491">
        <f>'VE input'!E196</f>
        <v>18000</v>
      </c>
      <c r="G271" s="514">
        <f ca="1">'PSA inputs'!J226</f>
        <v>0.14312361795657047</v>
      </c>
      <c r="H271" s="517"/>
      <c r="I271" s="493" t="s">
        <v>3</v>
      </c>
      <c r="J271" s="491">
        <f ca="1">IF(AND('PSA inputs'!$I$867=1,'PSA inputs'!$I$883=1),N271,K271)</f>
        <v>0.1257730225575997</v>
      </c>
      <c r="K271" s="491">
        <f>'VE input'!C251</f>
        <v>12000</v>
      </c>
      <c r="L271" s="491">
        <f>'VE input'!D251</f>
        <v>6000</v>
      </c>
      <c r="M271" s="491">
        <f>'VE input'!E251</f>
        <v>18000</v>
      </c>
      <c r="N271" s="492">
        <f ca="1">'PSA inputs'!$U$217</f>
        <v>0.1257730225575997</v>
      </c>
      <c r="O271" s="739"/>
    </row>
    <row r="272" spans="2:15" x14ac:dyDescent="0.3">
      <c r="B272" s="493" t="s">
        <v>4</v>
      </c>
      <c r="C272" s="491">
        <f ca="1">IF(AND('PSA inputs'!$I$867=1,'PSA inputs'!$I$881=1),G272,D272)</f>
        <v>0.14312361795657047</v>
      </c>
      <c r="D272" s="491">
        <f>'VE input'!C197</f>
        <v>12000</v>
      </c>
      <c r="E272" s="491">
        <f>'VE input'!D197</f>
        <v>6000</v>
      </c>
      <c r="F272" s="491">
        <f>'VE input'!E197</f>
        <v>18000</v>
      </c>
      <c r="G272" s="514">
        <f ca="1">'PSA inputs'!J227</f>
        <v>0.14312361795657047</v>
      </c>
      <c r="H272" s="517"/>
      <c r="I272" s="493" t="s">
        <v>4</v>
      </c>
      <c r="J272" s="491">
        <f ca="1">IF(AND('PSA inputs'!$I$867=1,'PSA inputs'!$I$883=1),N272,K272)</f>
        <v>0.1257730225575997</v>
      </c>
      <c r="K272" s="491">
        <f>'VE input'!C252</f>
        <v>12000</v>
      </c>
      <c r="L272" s="491">
        <f>'VE input'!D252</f>
        <v>6000</v>
      </c>
      <c r="M272" s="491">
        <f>'VE input'!E252</f>
        <v>18000</v>
      </c>
      <c r="N272" s="492">
        <f ca="1">'PSA inputs'!$U$217</f>
        <v>0.1257730225575997</v>
      </c>
      <c r="O272" s="739"/>
    </row>
    <row r="273" spans="2:15" x14ac:dyDescent="0.3">
      <c r="B273" s="493" t="s">
        <v>5</v>
      </c>
      <c r="C273" s="491">
        <f ca="1">IF(AND('PSA inputs'!$I$867=1,'PSA inputs'!$I$881=1),G273,D273)</f>
        <v>0.14312361795657047</v>
      </c>
      <c r="D273" s="491">
        <f>'VE input'!C198</f>
        <v>12000</v>
      </c>
      <c r="E273" s="491">
        <f>'VE input'!D198</f>
        <v>6000</v>
      </c>
      <c r="F273" s="491">
        <f>'VE input'!E198</f>
        <v>18000</v>
      </c>
      <c r="G273" s="514">
        <f ca="1">'PSA inputs'!J228</f>
        <v>0.14312361795657047</v>
      </c>
      <c r="H273" s="517"/>
      <c r="I273" s="493" t="s">
        <v>5</v>
      </c>
      <c r="J273" s="491">
        <f ca="1">IF(AND('PSA inputs'!$I$867=1,'PSA inputs'!$I$883=1),N273,K273)</f>
        <v>0.1257730225575997</v>
      </c>
      <c r="K273" s="491">
        <f>'VE input'!C253</f>
        <v>12000</v>
      </c>
      <c r="L273" s="491">
        <f>'VE input'!D253</f>
        <v>6000</v>
      </c>
      <c r="M273" s="491">
        <f>'VE input'!E253</f>
        <v>18000</v>
      </c>
      <c r="N273" s="492">
        <f ca="1">'PSA inputs'!$U$217</f>
        <v>0.1257730225575997</v>
      </c>
      <c r="O273" s="739"/>
    </row>
    <row r="274" spans="2:15" x14ac:dyDescent="0.3">
      <c r="B274" s="493" t="s">
        <v>6</v>
      </c>
      <c r="C274" s="491">
        <f ca="1">IF(AND('PSA inputs'!$I$867=1,'PSA inputs'!$I$881=1),G274,D274)</f>
        <v>0.14312361795657047</v>
      </c>
      <c r="D274" s="491">
        <f>'VE input'!C199</f>
        <v>12000</v>
      </c>
      <c r="E274" s="491">
        <f>'VE input'!D199</f>
        <v>6000</v>
      </c>
      <c r="F274" s="491">
        <f>'VE input'!E199</f>
        <v>18000</v>
      </c>
      <c r="G274" s="514">
        <f ca="1">'PSA inputs'!J229</f>
        <v>0.14312361795657047</v>
      </c>
      <c r="H274" s="517"/>
      <c r="I274" s="493" t="s">
        <v>6</v>
      </c>
      <c r="J274" s="491">
        <f ca="1">IF(AND('PSA inputs'!$I$867=1,'PSA inputs'!$I$883=1),N274,K274)</f>
        <v>0.1257730225575997</v>
      </c>
      <c r="K274" s="491">
        <f>'VE input'!C254</f>
        <v>12000</v>
      </c>
      <c r="L274" s="491">
        <f>'VE input'!D254</f>
        <v>6000</v>
      </c>
      <c r="M274" s="491">
        <f>'VE input'!E254</f>
        <v>18000</v>
      </c>
      <c r="N274" s="492">
        <f ca="1">'PSA inputs'!$U$217</f>
        <v>0.1257730225575997</v>
      </c>
      <c r="O274" s="739"/>
    </row>
    <row r="275" spans="2:15" x14ac:dyDescent="0.3">
      <c r="B275" s="493" t="s">
        <v>7</v>
      </c>
      <c r="C275" s="491">
        <f ca="1">IF(AND('PSA inputs'!$I$867=1,'PSA inputs'!$I$881=1),G275,D275)</f>
        <v>0.14312361795657047</v>
      </c>
      <c r="D275" s="491">
        <f>'VE input'!C200</f>
        <v>12000</v>
      </c>
      <c r="E275" s="491">
        <f>'VE input'!D200</f>
        <v>6000</v>
      </c>
      <c r="F275" s="491">
        <f>'VE input'!E200</f>
        <v>18000</v>
      </c>
      <c r="G275" s="514">
        <f ca="1">'PSA inputs'!J230</f>
        <v>0.14312361795657047</v>
      </c>
      <c r="H275" s="517"/>
      <c r="I275" s="493" t="s">
        <v>7</v>
      </c>
      <c r="J275" s="491">
        <f ca="1">IF(AND('PSA inputs'!$I$867=1,'PSA inputs'!$I$883=1),N275,K275)</f>
        <v>0.1257730225575997</v>
      </c>
      <c r="K275" s="491">
        <f>'VE input'!C255</f>
        <v>12000</v>
      </c>
      <c r="L275" s="491">
        <f>'VE input'!D255</f>
        <v>6000</v>
      </c>
      <c r="M275" s="491">
        <f>'VE input'!E255</f>
        <v>18000</v>
      </c>
      <c r="N275" s="492">
        <f ca="1">'PSA inputs'!$U$217</f>
        <v>0.1257730225575997</v>
      </c>
      <c r="O275" s="739"/>
    </row>
    <row r="276" spans="2:15" x14ac:dyDescent="0.3">
      <c r="B276" s="493" t="s">
        <v>1469</v>
      </c>
      <c r="C276" s="491">
        <f ca="1">IF(AND('PSA inputs'!$I$867=1,'PSA inputs'!$I$881=1),G276,D276)</f>
        <v>0.14312361795657047</v>
      </c>
      <c r="D276" s="491">
        <f>'VE input'!C201</f>
        <v>12000</v>
      </c>
      <c r="E276" s="491">
        <f>'VE input'!D201</f>
        <v>6000</v>
      </c>
      <c r="F276" s="491">
        <f>'VE input'!E201</f>
        <v>18000</v>
      </c>
      <c r="G276" s="514">
        <f ca="1">'PSA inputs'!J231</f>
        <v>0.14312361795657047</v>
      </c>
      <c r="H276" s="517"/>
      <c r="I276" s="493" t="s">
        <v>1469</v>
      </c>
      <c r="J276" s="491">
        <f ca="1">IF(AND('PSA inputs'!$I$867=1,'PSA inputs'!$I$883=1),N276,K276)</f>
        <v>0.1257730225575997</v>
      </c>
      <c r="K276" s="491">
        <f>'VE input'!C256</f>
        <v>12000</v>
      </c>
      <c r="L276" s="491">
        <f>'VE input'!D256</f>
        <v>6000</v>
      </c>
      <c r="M276" s="491">
        <f>'VE input'!E256</f>
        <v>18000</v>
      </c>
      <c r="N276" s="492">
        <f ca="1">'PSA inputs'!$U$217</f>
        <v>0.1257730225575997</v>
      </c>
      <c r="O276" s="739"/>
    </row>
    <row r="277" spans="2:15" ht="15" customHeight="1" x14ac:dyDescent="0.3">
      <c r="B277" s="498" t="s">
        <v>227</v>
      </c>
      <c r="C277" s="533"/>
      <c r="D277" s="496"/>
      <c r="E277" s="496"/>
      <c r="F277" s="496"/>
      <c r="G277" s="496"/>
      <c r="I277" s="498" t="s">
        <v>227</v>
      </c>
      <c r="J277" s="533"/>
      <c r="K277" s="496"/>
      <c r="L277" s="496"/>
      <c r="M277" s="496"/>
      <c r="N277" s="533"/>
      <c r="O277" s="748"/>
    </row>
    <row r="278" spans="2:15" ht="15" customHeight="1" x14ac:dyDescent="0.3">
      <c r="B278" s="490" t="s">
        <v>1437</v>
      </c>
      <c r="C278" s="491">
        <f ca="1">IF(AND('PSA inputs'!$I$867=1,'PSA inputs'!$I$881=1),G278,D278)</f>
        <v>7.9093379133416797E-2</v>
      </c>
      <c r="D278" s="491">
        <f>'VE input'!C203</f>
        <v>12000</v>
      </c>
      <c r="E278" s="491">
        <f>'VE input'!D203</f>
        <v>6000</v>
      </c>
      <c r="F278" s="491">
        <f>'VE input'!E203</f>
        <v>18000</v>
      </c>
      <c r="G278" s="514">
        <f ca="1">'PSA inputs'!J233</f>
        <v>7.9093379133416797E-2</v>
      </c>
      <c r="I278" s="490" t="s">
        <v>1437</v>
      </c>
      <c r="J278" s="491">
        <f ca="1">IF(AND('PSA inputs'!$I$867=1,'PSA inputs'!$I$883=1),N278,K278)</f>
        <v>0.1257730225575997</v>
      </c>
      <c r="K278" s="491">
        <f>'VE input'!C258</f>
        <v>12000</v>
      </c>
      <c r="L278" s="491">
        <f>'VE input'!D258</f>
        <v>6000</v>
      </c>
      <c r="M278" s="491">
        <f>'VE input'!E258</f>
        <v>18000</v>
      </c>
      <c r="N278" s="492">
        <f ca="1">'PSA inputs'!$U$217</f>
        <v>0.1257730225575997</v>
      </c>
      <c r="O278" s="739"/>
    </row>
    <row r="279" spans="2:15" ht="15" customHeight="1" x14ac:dyDescent="0.3">
      <c r="B279" s="490" t="s">
        <v>1438</v>
      </c>
      <c r="C279" s="491">
        <f ca="1">IF(AND('PSA inputs'!$I$867=1,'PSA inputs'!$I$881=1),G279,D279)</f>
        <v>7.9093379133416797E-2</v>
      </c>
      <c r="D279" s="491">
        <f>'VE input'!C204</f>
        <v>12000</v>
      </c>
      <c r="E279" s="491">
        <f>'VE input'!D204</f>
        <v>6000</v>
      </c>
      <c r="F279" s="491">
        <f>'VE input'!E204</f>
        <v>18000</v>
      </c>
      <c r="G279" s="514">
        <f ca="1">'PSA inputs'!J234</f>
        <v>7.9093379133416797E-2</v>
      </c>
      <c r="I279" s="490" t="s">
        <v>1438</v>
      </c>
      <c r="J279" s="491">
        <f ca="1">IF(AND('PSA inputs'!$I$867=1,'PSA inputs'!$I$883=1),N279,K279)</f>
        <v>0.1257730225575997</v>
      </c>
      <c r="K279" s="491">
        <f>'VE input'!C259</f>
        <v>12000</v>
      </c>
      <c r="L279" s="491">
        <f>'VE input'!D259</f>
        <v>6000</v>
      </c>
      <c r="M279" s="491">
        <f>'VE input'!E259</f>
        <v>18000</v>
      </c>
      <c r="N279" s="492">
        <f ca="1">'PSA inputs'!$U$217</f>
        <v>0.1257730225575997</v>
      </c>
      <c r="O279" s="739"/>
    </row>
    <row r="280" spans="2:15" ht="15" customHeight="1" x14ac:dyDescent="0.3">
      <c r="B280" s="490" t="s">
        <v>1441</v>
      </c>
      <c r="C280" s="491">
        <f ca="1">IF(AND('PSA inputs'!$I$867=1,'PSA inputs'!$I$881=1),G280,D280)</f>
        <v>7.9093379133416797E-2</v>
      </c>
      <c r="D280" s="491">
        <f>'VE input'!C205</f>
        <v>12000</v>
      </c>
      <c r="E280" s="491">
        <f>'VE input'!D205</f>
        <v>6000</v>
      </c>
      <c r="F280" s="491">
        <f>'VE input'!E205</f>
        <v>18000</v>
      </c>
      <c r="G280" s="514">
        <f ca="1">'PSA inputs'!J235</f>
        <v>7.9093379133416797E-2</v>
      </c>
      <c r="I280" s="490" t="s">
        <v>1441</v>
      </c>
      <c r="J280" s="491">
        <f ca="1">IF(AND('PSA inputs'!$I$867=1,'PSA inputs'!$I$883=1),N280,K280)</f>
        <v>0.1257730225575997</v>
      </c>
      <c r="K280" s="491">
        <f>'VE input'!C260</f>
        <v>12000</v>
      </c>
      <c r="L280" s="491">
        <f>'VE input'!D260</f>
        <v>6000</v>
      </c>
      <c r="M280" s="491">
        <f>'VE input'!E260</f>
        <v>18000</v>
      </c>
      <c r="N280" s="492">
        <f ca="1">'PSA inputs'!$U$217</f>
        <v>0.1257730225575997</v>
      </c>
      <c r="O280" s="739"/>
    </row>
    <row r="281" spans="2:15" ht="15" customHeight="1" x14ac:dyDescent="0.3">
      <c r="B281" s="490" t="s">
        <v>1442</v>
      </c>
      <c r="C281" s="491">
        <f ca="1">IF(AND('PSA inputs'!$I$867=1,'PSA inputs'!$I$881=1),G281,D281)</f>
        <v>7.9093379133416797E-2</v>
      </c>
      <c r="D281" s="491">
        <f>'VE input'!C206</f>
        <v>12000</v>
      </c>
      <c r="E281" s="491">
        <f>'VE input'!D206</f>
        <v>6000</v>
      </c>
      <c r="F281" s="491">
        <f>'VE input'!E206</f>
        <v>18000</v>
      </c>
      <c r="G281" s="514">
        <f ca="1">'PSA inputs'!J236</f>
        <v>7.9093379133416797E-2</v>
      </c>
      <c r="I281" s="490" t="s">
        <v>1442</v>
      </c>
      <c r="J281" s="491">
        <f ca="1">IF(AND('PSA inputs'!$I$867=1,'PSA inputs'!$I$883=1),N281,K281)</f>
        <v>0.1257730225575997</v>
      </c>
      <c r="K281" s="491">
        <f>'VE input'!C261</f>
        <v>12000</v>
      </c>
      <c r="L281" s="491">
        <f>'VE input'!D261</f>
        <v>6000</v>
      </c>
      <c r="M281" s="491">
        <f>'VE input'!E261</f>
        <v>18000</v>
      </c>
      <c r="N281" s="492">
        <f ca="1">'PSA inputs'!$U$217</f>
        <v>0.1257730225575997</v>
      </c>
      <c r="O281" s="739"/>
    </row>
    <row r="282" spans="2:15" ht="15" customHeight="1" x14ac:dyDescent="0.3">
      <c r="B282" s="498" t="s">
        <v>920</v>
      </c>
      <c r="C282" s="533"/>
      <c r="D282" s="496"/>
      <c r="E282" s="496"/>
      <c r="F282" s="496"/>
      <c r="G282" s="496"/>
      <c r="I282" s="498" t="s">
        <v>920</v>
      </c>
      <c r="J282" s="496"/>
      <c r="K282" s="496"/>
      <c r="L282" s="496"/>
      <c r="M282" s="496"/>
      <c r="N282" s="533"/>
      <c r="O282" s="748"/>
    </row>
    <row r="283" spans="2:15" ht="15" customHeight="1" x14ac:dyDescent="0.3">
      <c r="B283" s="490" t="s">
        <v>920</v>
      </c>
      <c r="C283" s="491">
        <f ca="1">IF(AND('PSA inputs'!$I$867=1,'PSA inputs'!$I$881=1),G283,D283)</f>
        <v>0.13788193791860803</v>
      </c>
      <c r="D283" s="491">
        <f>'VE input'!C208</f>
        <v>12000</v>
      </c>
      <c r="E283" s="491">
        <f>'VE input'!D208</f>
        <v>6000</v>
      </c>
      <c r="F283" s="491">
        <f>'VE input'!E208</f>
        <v>18000</v>
      </c>
      <c r="G283" s="514">
        <f ca="1">'PSA inputs'!J238</f>
        <v>0.13788193791860803</v>
      </c>
      <c r="I283" s="490" t="s">
        <v>920</v>
      </c>
      <c r="J283" s="491">
        <f ca="1">IF(AND('PSA inputs'!$I$867=1,'PSA inputs'!$I$883=1),N283,K283)</f>
        <v>0.1257730225575997</v>
      </c>
      <c r="K283" s="491">
        <f>'VE input'!C263</f>
        <v>12000</v>
      </c>
      <c r="L283" s="491">
        <f>'VE input'!D263</f>
        <v>6000</v>
      </c>
      <c r="M283" s="491">
        <f>'VE input'!E263</f>
        <v>18000</v>
      </c>
      <c r="N283" s="492">
        <f ca="1">'PSA inputs'!$U$217</f>
        <v>0.1257730225575997</v>
      </c>
      <c r="O283" s="739"/>
    </row>
    <row r="284" spans="2:15" ht="15" customHeight="1" x14ac:dyDescent="0.3">
      <c r="B284" s="490" t="s">
        <v>980</v>
      </c>
      <c r="C284" s="491">
        <f ca="1">IF(AND('PSA inputs'!$I$867=1,'PSA inputs'!$I$881=1),G284,D284)</f>
        <v>0.13788193791860803</v>
      </c>
      <c r="D284" s="491">
        <f>'VE input'!C209</f>
        <v>12000</v>
      </c>
      <c r="E284" s="491">
        <f>'VE input'!D209</f>
        <v>6000</v>
      </c>
      <c r="F284" s="491">
        <f>'VE input'!E209</f>
        <v>18000</v>
      </c>
      <c r="G284" s="514">
        <f ca="1">'PSA inputs'!J239</f>
        <v>0.13788193791860803</v>
      </c>
      <c r="I284" s="490" t="s">
        <v>980</v>
      </c>
      <c r="J284" s="491">
        <f ca="1">IF(AND('PSA inputs'!$I$867=1,'PSA inputs'!$I$883=1),N284,K284)</f>
        <v>0.1257730225575997</v>
      </c>
      <c r="K284" s="491">
        <f>'VE input'!C264</f>
        <v>12000</v>
      </c>
      <c r="L284" s="491">
        <f>'VE input'!D264</f>
        <v>6000</v>
      </c>
      <c r="M284" s="491">
        <f>'VE input'!E264</f>
        <v>18000</v>
      </c>
      <c r="N284" s="492">
        <f ca="1">'PSA inputs'!$U$217</f>
        <v>0.1257730225575997</v>
      </c>
      <c r="O284" s="739"/>
    </row>
    <row r="285" spans="2:15" ht="15" customHeight="1" x14ac:dyDescent="0.3">
      <c r="B285" s="520"/>
      <c r="C285" s="520"/>
      <c r="D285" s="520"/>
      <c r="E285" s="520"/>
      <c r="I285" s="520"/>
      <c r="J285" s="520"/>
      <c r="K285" s="520"/>
      <c r="L285" s="520"/>
    </row>
    <row r="286" spans="2:15" ht="15" customHeight="1" x14ac:dyDescent="0.3">
      <c r="B286" s="509" t="s">
        <v>1449</v>
      </c>
      <c r="C286" s="519"/>
      <c r="D286" s="519"/>
      <c r="E286" s="519"/>
      <c r="F286" s="519"/>
      <c r="G286" s="519"/>
      <c r="I286" s="509" t="s">
        <v>1449</v>
      </c>
      <c r="J286" s="519"/>
      <c r="K286" s="519"/>
      <c r="L286" s="519"/>
      <c r="M286" s="519"/>
      <c r="N286" s="519"/>
      <c r="O286" s="745"/>
    </row>
    <row r="287" spans="2:15" ht="15" customHeight="1" x14ac:dyDescent="0.3">
      <c r="B287" s="484" t="s">
        <v>950</v>
      </c>
      <c r="C287" s="485" t="s">
        <v>724</v>
      </c>
      <c r="D287" s="485" t="s">
        <v>995</v>
      </c>
      <c r="E287" s="485" t="s">
        <v>985</v>
      </c>
      <c r="F287" s="485" t="s">
        <v>986</v>
      </c>
      <c r="G287" s="485" t="s">
        <v>996</v>
      </c>
      <c r="I287" s="484" t="s">
        <v>950</v>
      </c>
      <c r="J287" s="485" t="s">
        <v>724</v>
      </c>
      <c r="K287" s="485" t="s">
        <v>995</v>
      </c>
      <c r="L287" s="485" t="s">
        <v>985</v>
      </c>
      <c r="M287" s="485" t="s">
        <v>986</v>
      </c>
      <c r="N287" s="485" t="s">
        <v>996</v>
      </c>
      <c r="O287" s="738"/>
    </row>
    <row r="288" spans="2:15" ht="15" customHeight="1" x14ac:dyDescent="0.3">
      <c r="B288" s="487" t="s">
        <v>1445</v>
      </c>
      <c r="D288" s="520"/>
      <c r="E288" s="520"/>
      <c r="I288" s="487" t="s">
        <v>1445</v>
      </c>
      <c r="K288" s="520"/>
      <c r="L288" s="520"/>
    </row>
    <row r="289" spans="2:15" ht="15" customHeight="1" x14ac:dyDescent="0.3">
      <c r="B289" s="493" t="s">
        <v>2</v>
      </c>
      <c r="C289" s="522">
        <f ca="1">IF(AND('PSA inputs'!$I$867=1,'PSA inputs'!$I$882=1),G289,D289)</f>
        <v>1.4094693697877626E-6</v>
      </c>
      <c r="D289" s="522">
        <f>'VE input'!C214</f>
        <v>0.15</v>
      </c>
      <c r="E289" s="522">
        <f>'VE input'!D214</f>
        <v>7.4999999999999997E-2</v>
      </c>
      <c r="F289" s="522">
        <f>'VE input'!E214</f>
        <v>0.22499999999999998</v>
      </c>
      <c r="G289" s="514">
        <f ca="1">'PSA inputs'!J245</f>
        <v>1.4094693697877626E-6</v>
      </c>
      <c r="I289" s="493" t="s">
        <v>2</v>
      </c>
      <c r="J289" s="522">
        <f ca="1">IF(AND('PSA inputs'!$I$867=1,'PSA inputs'!$I$884=1),N289,K289)</f>
        <v>1.4849103355807358E-6</v>
      </c>
      <c r="K289" s="522">
        <f>'VE input'!I269</f>
        <v>0.15</v>
      </c>
      <c r="L289" s="522">
        <f>'VE input'!J269</f>
        <v>7.0000000000000007E-2</v>
      </c>
      <c r="M289" s="522">
        <f>'VE input'!K269</f>
        <v>7.6</v>
      </c>
      <c r="N289" s="514">
        <f ca="1">'PSA inputs'!U245</f>
        <v>1.4849103355807358E-6</v>
      </c>
      <c r="O289" s="742"/>
    </row>
    <row r="290" spans="2:15" ht="15" customHeight="1" x14ac:dyDescent="0.3">
      <c r="B290" s="493" t="s">
        <v>3</v>
      </c>
      <c r="C290" s="522">
        <f ca="1">IF(AND('PSA inputs'!$I$867=1,'PSA inputs'!$I$882=1),G290,D290)</f>
        <v>1.4094693697877626E-6</v>
      </c>
      <c r="D290" s="522">
        <f>'VE input'!C215</f>
        <v>0.15</v>
      </c>
      <c r="E290" s="522">
        <f>'VE input'!D215</f>
        <v>7.4999999999999997E-2</v>
      </c>
      <c r="F290" s="522">
        <f>'VE input'!E215</f>
        <v>0.22499999999999998</v>
      </c>
      <c r="G290" s="514">
        <f ca="1">'PSA inputs'!J246</f>
        <v>1.4094693697877626E-6</v>
      </c>
      <c r="I290" s="493" t="s">
        <v>3</v>
      </c>
      <c r="J290" s="522">
        <f ca="1">IF(AND('PSA inputs'!$I$867=1,'PSA inputs'!$I$884=1),N290,K290)</f>
        <v>1.4849103355807358E-6</v>
      </c>
      <c r="K290" s="522">
        <f>'VE input'!I270</f>
        <v>0.15</v>
      </c>
      <c r="L290" s="522">
        <f>'VE input'!J270</f>
        <v>7.0000000000000007E-2</v>
      </c>
      <c r="M290" s="522">
        <f>'VE input'!K270</f>
        <v>7.6</v>
      </c>
      <c r="N290" s="514">
        <f ca="1">'PSA inputs'!U246</f>
        <v>1.4849103355807358E-6</v>
      </c>
      <c r="O290" s="742"/>
    </row>
    <row r="291" spans="2:15" ht="15" customHeight="1" x14ac:dyDescent="0.3">
      <c r="B291" s="493" t="s">
        <v>4</v>
      </c>
      <c r="C291" s="522">
        <f ca="1">IF(AND('PSA inputs'!$I$867=1,'PSA inputs'!$I$882=1),G291,D291)</f>
        <v>1.4094693697877626E-6</v>
      </c>
      <c r="D291" s="522">
        <f>'VE input'!C216</f>
        <v>0.15</v>
      </c>
      <c r="E291" s="522">
        <f>'VE input'!D216</f>
        <v>7.4999999999999997E-2</v>
      </c>
      <c r="F291" s="522">
        <f>'VE input'!E216</f>
        <v>0.22499999999999998</v>
      </c>
      <c r="G291" s="514">
        <f ca="1">'PSA inputs'!J247</f>
        <v>1.4094693697877626E-6</v>
      </c>
      <c r="I291" s="493" t="s">
        <v>4</v>
      </c>
      <c r="J291" s="522">
        <f ca="1">IF(AND('PSA inputs'!$I$867=1,'PSA inputs'!$I$884=1),N291,K291)</f>
        <v>1.4849103355807358E-6</v>
      </c>
      <c r="K291" s="522">
        <f>'VE input'!I271</f>
        <v>0.15</v>
      </c>
      <c r="L291" s="522">
        <f>'VE input'!J271</f>
        <v>7.0000000000000007E-2</v>
      </c>
      <c r="M291" s="522">
        <f>'VE input'!K271</f>
        <v>7.6</v>
      </c>
      <c r="N291" s="514">
        <f ca="1">'PSA inputs'!U247</f>
        <v>1.4849103355807358E-6</v>
      </c>
      <c r="O291" s="742"/>
    </row>
    <row r="292" spans="2:15" ht="15" customHeight="1" x14ac:dyDescent="0.3">
      <c r="B292" s="493" t="s">
        <v>5</v>
      </c>
      <c r="C292" s="522">
        <f ca="1">IF(AND('PSA inputs'!$I$867=1,'PSA inputs'!$I$882=1),G292,D292)</f>
        <v>1.4094693697877626E-6</v>
      </c>
      <c r="D292" s="522">
        <f>'VE input'!C217</f>
        <v>0.15</v>
      </c>
      <c r="E292" s="522">
        <f>'VE input'!D217</f>
        <v>7.4999999999999997E-2</v>
      </c>
      <c r="F292" s="522">
        <f>'VE input'!E217</f>
        <v>0.22499999999999998</v>
      </c>
      <c r="G292" s="514">
        <f ca="1">'PSA inputs'!J248</f>
        <v>1.4094693697877626E-6</v>
      </c>
      <c r="I292" s="493" t="s">
        <v>5</v>
      </c>
      <c r="J292" s="522">
        <f ca="1">IF(AND('PSA inputs'!$I$867=1,'PSA inputs'!$I$884=1),N292,K292)</f>
        <v>1.4849103355807358E-6</v>
      </c>
      <c r="K292" s="522">
        <f>'VE input'!I272</f>
        <v>0.15</v>
      </c>
      <c r="L292" s="522">
        <f>'VE input'!J272</f>
        <v>7.0000000000000007E-2</v>
      </c>
      <c r="M292" s="522">
        <f>'VE input'!K272</f>
        <v>7.6</v>
      </c>
      <c r="N292" s="514">
        <f ca="1">'PSA inputs'!U248</f>
        <v>1.4849103355807358E-6</v>
      </c>
      <c r="O292" s="742"/>
    </row>
    <row r="293" spans="2:15" ht="15" customHeight="1" x14ac:dyDescent="0.3">
      <c r="B293" s="493" t="s">
        <v>6</v>
      </c>
      <c r="C293" s="522">
        <f ca="1">IF(AND('PSA inputs'!$I$867=1,'PSA inputs'!$I$882=1),G293,D293)</f>
        <v>1.4094693697877626E-6</v>
      </c>
      <c r="D293" s="522">
        <f>'VE input'!C218</f>
        <v>0.15</v>
      </c>
      <c r="E293" s="522">
        <f>'VE input'!D218</f>
        <v>7.4999999999999997E-2</v>
      </c>
      <c r="F293" s="522">
        <f>'VE input'!E218</f>
        <v>0.22499999999999998</v>
      </c>
      <c r="G293" s="514">
        <f ca="1">'PSA inputs'!J249</f>
        <v>1.4094693697877626E-6</v>
      </c>
      <c r="I293" s="493" t="s">
        <v>6</v>
      </c>
      <c r="J293" s="522">
        <f ca="1">IF(AND('PSA inputs'!$I$867=1,'PSA inputs'!$I$884=1),N293,K293)</f>
        <v>1.4849103355807358E-6</v>
      </c>
      <c r="K293" s="522">
        <f>'VE input'!I273</f>
        <v>0.15</v>
      </c>
      <c r="L293" s="522">
        <f>'VE input'!J273</f>
        <v>7.0000000000000007E-2</v>
      </c>
      <c r="M293" s="522">
        <f>'VE input'!K273</f>
        <v>7.6</v>
      </c>
      <c r="N293" s="514">
        <f ca="1">'PSA inputs'!U249</f>
        <v>1.4849103355807358E-6</v>
      </c>
      <c r="O293" s="742"/>
    </row>
    <row r="294" spans="2:15" ht="15" customHeight="1" x14ac:dyDescent="0.3">
      <c r="B294" s="493" t="s">
        <v>7</v>
      </c>
      <c r="C294" s="522">
        <f ca="1">IF(AND('PSA inputs'!$I$867=1,'PSA inputs'!$I$882=1),G294,D294)</f>
        <v>1.4094693697877626E-6</v>
      </c>
      <c r="D294" s="522">
        <f>'VE input'!C219</f>
        <v>0.15</v>
      </c>
      <c r="E294" s="522">
        <f>'VE input'!D219</f>
        <v>7.4999999999999997E-2</v>
      </c>
      <c r="F294" s="522">
        <f>'VE input'!E219</f>
        <v>0.22499999999999998</v>
      </c>
      <c r="G294" s="514">
        <f ca="1">'PSA inputs'!J250</f>
        <v>1.4094693697877626E-6</v>
      </c>
      <c r="I294" s="493" t="s">
        <v>7</v>
      </c>
      <c r="J294" s="522">
        <f ca="1">IF(AND('PSA inputs'!$I$867=1,'PSA inputs'!$I$884=1),N294,K294)</f>
        <v>1.4849103355807358E-6</v>
      </c>
      <c r="K294" s="522">
        <f>'VE input'!I274</f>
        <v>0.15</v>
      </c>
      <c r="L294" s="522">
        <f>'VE input'!J274</f>
        <v>7.0000000000000007E-2</v>
      </c>
      <c r="M294" s="522">
        <f>'VE input'!K274</f>
        <v>7.6</v>
      </c>
      <c r="N294" s="514">
        <f ca="1">'PSA inputs'!U250</f>
        <v>1.4849103355807358E-6</v>
      </c>
      <c r="O294" s="742"/>
    </row>
    <row r="295" spans="2:15" ht="15" customHeight="1" x14ac:dyDescent="0.3">
      <c r="B295" s="493" t="s">
        <v>1469</v>
      </c>
      <c r="C295" s="522">
        <f ca="1">IF(AND('PSA inputs'!$I$867=1,'PSA inputs'!$I$882=1),G295,D295)</f>
        <v>1.4094693697877626E-6</v>
      </c>
      <c r="D295" s="522">
        <f>'VE input'!C220</f>
        <v>0.15</v>
      </c>
      <c r="E295" s="522">
        <f>'VE input'!D220</f>
        <v>7.4999999999999997E-2</v>
      </c>
      <c r="F295" s="522">
        <f>'VE input'!E220</f>
        <v>0.22499999999999998</v>
      </c>
      <c r="G295" s="514">
        <f ca="1">'PSA inputs'!J251</f>
        <v>1.4094693697877626E-6</v>
      </c>
      <c r="I295" s="493" t="s">
        <v>1469</v>
      </c>
      <c r="J295" s="522">
        <f ca="1">IF(AND('PSA inputs'!$I$867=1,'PSA inputs'!$I$884=1),N295,K295)</f>
        <v>1.4849103355807358E-6</v>
      </c>
      <c r="K295" s="522">
        <f>'VE input'!I275</f>
        <v>0.15</v>
      </c>
      <c r="L295" s="522">
        <f>'VE input'!J275</f>
        <v>7.0000000000000007E-2</v>
      </c>
      <c r="M295" s="522">
        <f>'VE input'!K275</f>
        <v>7.6</v>
      </c>
      <c r="N295" s="514">
        <f ca="1">'PSA inputs'!U251</f>
        <v>1.4849103355807358E-6</v>
      </c>
      <c r="O295" s="742"/>
    </row>
    <row r="296" spans="2:15" x14ac:dyDescent="0.3">
      <c r="B296" s="487" t="s">
        <v>1444</v>
      </c>
      <c r="C296" s="533"/>
      <c r="D296" s="496"/>
      <c r="E296" s="496"/>
      <c r="F296" s="496"/>
      <c r="G296" s="496"/>
      <c r="H296" s="517"/>
      <c r="I296" s="487" t="s">
        <v>1444</v>
      </c>
      <c r="J296" s="533"/>
      <c r="K296" s="496"/>
      <c r="L296" s="496"/>
      <c r="M296" s="496"/>
      <c r="N296" s="496"/>
      <c r="O296" s="747"/>
    </row>
    <row r="297" spans="2:15" x14ac:dyDescent="0.3">
      <c r="B297" s="493" t="s">
        <v>2</v>
      </c>
      <c r="C297" s="522">
        <f ca="1">IF(AND('PSA inputs'!$I$867=1,'PSA inputs'!$I$882=1),G297,D297)</f>
        <v>1.3980348992820152E-6</v>
      </c>
      <c r="D297" s="522">
        <f>'VE input'!C222</f>
        <v>0.15</v>
      </c>
      <c r="E297" s="522">
        <f>'VE input'!D222</f>
        <v>7.4999999999999997E-2</v>
      </c>
      <c r="F297" s="522">
        <f>'VE input'!E222</f>
        <v>0.22499999999999998</v>
      </c>
      <c r="G297" s="514">
        <f ca="1">'PSA inputs'!J253</f>
        <v>1.3980348992820152E-6</v>
      </c>
      <c r="H297" s="517"/>
      <c r="I297" s="493" t="s">
        <v>2</v>
      </c>
      <c r="J297" s="522">
        <f ca="1">IF(AND('PSA inputs'!$I$867=1,'PSA inputs'!$I$884=1),N297,K297)</f>
        <v>1.2588519232034511E-6</v>
      </c>
      <c r="K297" s="522">
        <f>'VE input'!I277</f>
        <v>0.15</v>
      </c>
      <c r="L297" s="522">
        <f>'VE input'!J277</f>
        <v>7.0000000000000007E-2</v>
      </c>
      <c r="M297" s="522">
        <f>'VE input'!K277</f>
        <v>7.6</v>
      </c>
      <c r="N297" s="514">
        <f ca="1">'PSA inputs'!U253</f>
        <v>1.2588519232034511E-6</v>
      </c>
      <c r="O297" s="742"/>
    </row>
    <row r="298" spans="2:15" x14ac:dyDescent="0.3">
      <c r="B298" s="493" t="s">
        <v>3</v>
      </c>
      <c r="C298" s="522">
        <f ca="1">IF(AND('PSA inputs'!$I$867=1,'PSA inputs'!$I$882=1),G298,D298)</f>
        <v>1.3980348992820152E-6</v>
      </c>
      <c r="D298" s="522">
        <f>'VE input'!C223</f>
        <v>0.15</v>
      </c>
      <c r="E298" s="522">
        <f>'VE input'!D223</f>
        <v>7.4999999999999997E-2</v>
      </c>
      <c r="F298" s="522">
        <f>'VE input'!E223</f>
        <v>0.22499999999999998</v>
      </c>
      <c r="G298" s="514">
        <f ca="1">'PSA inputs'!J254</f>
        <v>1.3980348992820152E-6</v>
      </c>
      <c r="H298" s="517"/>
      <c r="I298" s="493" t="s">
        <v>3</v>
      </c>
      <c r="J298" s="522">
        <f ca="1">IF(AND('PSA inputs'!$I$867=1,'PSA inputs'!$I$884=1),N298,K298)</f>
        <v>1.2588519232034511E-6</v>
      </c>
      <c r="K298" s="522">
        <f>'VE input'!I278</f>
        <v>0.15</v>
      </c>
      <c r="L298" s="522">
        <f>'VE input'!J278</f>
        <v>7.0000000000000007E-2</v>
      </c>
      <c r="M298" s="522">
        <f>'VE input'!K278</f>
        <v>7.6</v>
      </c>
      <c r="N298" s="514">
        <f ca="1">'PSA inputs'!U254</f>
        <v>1.2588519232034511E-6</v>
      </c>
      <c r="O298" s="742"/>
    </row>
    <row r="299" spans="2:15" x14ac:dyDescent="0.3">
      <c r="B299" s="493" t="s">
        <v>4</v>
      </c>
      <c r="C299" s="522">
        <f ca="1">IF(AND('PSA inputs'!$I$867=1,'PSA inputs'!$I$882=1),G299,D299)</f>
        <v>1.3980348992820152E-6</v>
      </c>
      <c r="D299" s="522">
        <f>'VE input'!C224</f>
        <v>0.15</v>
      </c>
      <c r="E299" s="522">
        <f>'VE input'!D224</f>
        <v>7.4999999999999997E-2</v>
      </c>
      <c r="F299" s="522">
        <f>'VE input'!E224</f>
        <v>0.22499999999999998</v>
      </c>
      <c r="G299" s="514">
        <f ca="1">'PSA inputs'!J255</f>
        <v>1.3980348992820152E-6</v>
      </c>
      <c r="H299" s="517"/>
      <c r="I299" s="493" t="s">
        <v>4</v>
      </c>
      <c r="J299" s="522">
        <f ca="1">IF(AND('PSA inputs'!$I$867=1,'PSA inputs'!$I$884=1),N299,K299)</f>
        <v>1.2588519232034511E-6</v>
      </c>
      <c r="K299" s="522">
        <f>'VE input'!I279</f>
        <v>0.15</v>
      </c>
      <c r="L299" s="522">
        <f>'VE input'!J279</f>
        <v>7.0000000000000007E-2</v>
      </c>
      <c r="M299" s="522">
        <f>'VE input'!K279</f>
        <v>7.6</v>
      </c>
      <c r="N299" s="514">
        <f ca="1">'PSA inputs'!U255</f>
        <v>1.2588519232034511E-6</v>
      </c>
      <c r="O299" s="742"/>
    </row>
    <row r="300" spans="2:15" x14ac:dyDescent="0.3">
      <c r="B300" s="493" t="s">
        <v>5</v>
      </c>
      <c r="C300" s="522">
        <f ca="1">IF(AND('PSA inputs'!$I$867=1,'PSA inputs'!$I$882=1),G300,D300)</f>
        <v>1.3980348992820152E-6</v>
      </c>
      <c r="D300" s="522">
        <f>'VE input'!C225</f>
        <v>0.15</v>
      </c>
      <c r="E300" s="522">
        <f>'VE input'!D225</f>
        <v>7.4999999999999997E-2</v>
      </c>
      <c r="F300" s="522">
        <f>'VE input'!E225</f>
        <v>0.22499999999999998</v>
      </c>
      <c r="G300" s="514">
        <f ca="1">'PSA inputs'!J256</f>
        <v>1.3980348992820152E-6</v>
      </c>
      <c r="H300" s="517"/>
      <c r="I300" s="493" t="s">
        <v>5</v>
      </c>
      <c r="J300" s="522">
        <f ca="1">IF(AND('PSA inputs'!$I$867=1,'PSA inputs'!$I$884=1),N300,K300)</f>
        <v>1.2588519232034511E-6</v>
      </c>
      <c r="K300" s="522">
        <f>'VE input'!I280</f>
        <v>0.15</v>
      </c>
      <c r="L300" s="522">
        <f>'VE input'!J280</f>
        <v>7.0000000000000007E-2</v>
      </c>
      <c r="M300" s="522">
        <f>'VE input'!K280</f>
        <v>7.6</v>
      </c>
      <c r="N300" s="514">
        <f ca="1">'PSA inputs'!U256</f>
        <v>1.2588519232034511E-6</v>
      </c>
      <c r="O300" s="742"/>
    </row>
    <row r="301" spans="2:15" x14ac:dyDescent="0.3">
      <c r="B301" s="493" t="s">
        <v>6</v>
      </c>
      <c r="C301" s="522">
        <f ca="1">IF(AND('PSA inputs'!$I$867=1,'PSA inputs'!$I$882=1),G301,D301)</f>
        <v>1.3980348992820152E-6</v>
      </c>
      <c r="D301" s="522">
        <f>'VE input'!C226</f>
        <v>0.15</v>
      </c>
      <c r="E301" s="522">
        <f>'VE input'!D226</f>
        <v>7.4999999999999997E-2</v>
      </c>
      <c r="F301" s="522">
        <f>'VE input'!E226</f>
        <v>0.22499999999999998</v>
      </c>
      <c r="G301" s="514">
        <f ca="1">'PSA inputs'!J257</f>
        <v>1.3980348992820152E-6</v>
      </c>
      <c r="H301" s="517"/>
      <c r="I301" s="493" t="s">
        <v>6</v>
      </c>
      <c r="J301" s="522">
        <f ca="1">IF(AND('PSA inputs'!$I$867=1,'PSA inputs'!$I$884=1),N301,K301)</f>
        <v>1.2588519232034511E-6</v>
      </c>
      <c r="K301" s="522">
        <f>'VE input'!I281</f>
        <v>0.15</v>
      </c>
      <c r="L301" s="522">
        <f>'VE input'!J281</f>
        <v>7.0000000000000007E-2</v>
      </c>
      <c r="M301" s="522">
        <f>'VE input'!K281</f>
        <v>7.6</v>
      </c>
      <c r="N301" s="514">
        <f ca="1">'PSA inputs'!U257</f>
        <v>1.2588519232034511E-6</v>
      </c>
      <c r="O301" s="742"/>
    </row>
    <row r="302" spans="2:15" x14ac:dyDescent="0.3">
      <c r="B302" s="493" t="s">
        <v>7</v>
      </c>
      <c r="C302" s="522">
        <f ca="1">IF(AND('PSA inputs'!$I$867=1,'PSA inputs'!$I$882=1),G302,D302)</f>
        <v>1.3980348992820152E-6</v>
      </c>
      <c r="D302" s="522">
        <f>'VE input'!C227</f>
        <v>0.15</v>
      </c>
      <c r="E302" s="522">
        <f>'VE input'!D227</f>
        <v>7.4999999999999997E-2</v>
      </c>
      <c r="F302" s="522">
        <f>'VE input'!E227</f>
        <v>0.22499999999999998</v>
      </c>
      <c r="G302" s="514">
        <f ca="1">'PSA inputs'!J258</f>
        <v>1.3980348992820152E-6</v>
      </c>
      <c r="H302" s="517"/>
      <c r="I302" s="493" t="s">
        <v>7</v>
      </c>
      <c r="J302" s="522">
        <f ca="1">IF(AND('PSA inputs'!$I$867=1,'PSA inputs'!$I$884=1),N302,K302)</f>
        <v>1.2588519232034511E-6</v>
      </c>
      <c r="K302" s="522">
        <f>'VE input'!I282</f>
        <v>0.15</v>
      </c>
      <c r="L302" s="522">
        <f>'VE input'!J282</f>
        <v>7.0000000000000007E-2</v>
      </c>
      <c r="M302" s="522">
        <f>'VE input'!K282</f>
        <v>7.6</v>
      </c>
      <c r="N302" s="514">
        <f ca="1">'PSA inputs'!U258</f>
        <v>1.2588519232034511E-6</v>
      </c>
      <c r="O302" s="742"/>
    </row>
    <row r="303" spans="2:15" x14ac:dyDescent="0.3">
      <c r="B303" s="493" t="s">
        <v>1469</v>
      </c>
      <c r="C303" s="522">
        <f ca="1">IF(AND('PSA inputs'!$I$867=1,'PSA inputs'!$I$882=1),G303,D303)</f>
        <v>1.3980348992820152E-6</v>
      </c>
      <c r="D303" s="522">
        <f>'VE input'!C228</f>
        <v>0.15</v>
      </c>
      <c r="E303" s="522">
        <f>'VE input'!D228</f>
        <v>7.4999999999999997E-2</v>
      </c>
      <c r="F303" s="522">
        <f>'VE input'!E228</f>
        <v>0.22499999999999998</v>
      </c>
      <c r="G303" s="514">
        <f ca="1">'PSA inputs'!J259</f>
        <v>1.3980348992820152E-6</v>
      </c>
      <c r="H303" s="517"/>
      <c r="I303" s="493" t="s">
        <v>1469</v>
      </c>
      <c r="J303" s="522">
        <f ca="1">IF(AND('PSA inputs'!$I$867=1,'PSA inputs'!$I$884=1),N303,K303)</f>
        <v>1.2588519232034511E-6</v>
      </c>
      <c r="K303" s="522">
        <f>'VE input'!I283</f>
        <v>0.15</v>
      </c>
      <c r="L303" s="522">
        <f>'VE input'!J283</f>
        <v>7.0000000000000007E-2</v>
      </c>
      <c r="M303" s="522">
        <f>'VE input'!K283</f>
        <v>7.6</v>
      </c>
      <c r="N303" s="514">
        <f ca="1">'PSA inputs'!U259</f>
        <v>1.2588519232034511E-6</v>
      </c>
      <c r="O303" s="742"/>
    </row>
    <row r="304" spans="2:15" ht="15" customHeight="1" x14ac:dyDescent="0.3">
      <c r="B304" s="498" t="s">
        <v>227</v>
      </c>
      <c r="C304" s="533"/>
      <c r="D304" s="496"/>
      <c r="E304" s="496"/>
      <c r="F304" s="496"/>
      <c r="G304" s="496"/>
      <c r="I304" s="498" t="s">
        <v>227</v>
      </c>
      <c r="J304" s="533"/>
      <c r="K304" s="496"/>
      <c r="L304" s="496"/>
      <c r="M304" s="496"/>
      <c r="N304" s="496"/>
      <c r="O304" s="747"/>
    </row>
    <row r="305" spans="2:15" ht="15" customHeight="1" x14ac:dyDescent="0.3">
      <c r="B305" s="490" t="s">
        <v>1437</v>
      </c>
      <c r="C305" s="522">
        <f ca="1">IF(AND('PSA inputs'!$I$867=1,'PSA inputs'!$I$882=1),G305,D305)</f>
        <v>1.822271603280079E-6</v>
      </c>
      <c r="D305" s="522">
        <f>'VE input'!C230</f>
        <v>0.15</v>
      </c>
      <c r="E305" s="522">
        <f>'VE input'!D230</f>
        <v>7.4999999999999997E-2</v>
      </c>
      <c r="F305" s="522">
        <f>'VE input'!E230</f>
        <v>0.22499999999999998</v>
      </c>
      <c r="G305" s="514">
        <f ca="1">'PSA inputs'!J261</f>
        <v>1.822271603280079E-6</v>
      </c>
      <c r="I305" s="490" t="s">
        <v>1437</v>
      </c>
      <c r="J305" s="522">
        <f ca="1">IF(AND('PSA inputs'!$I$867=1,'PSA inputs'!$I$884=1),N305,K305)</f>
        <v>9.6133491008771197E-7</v>
      </c>
      <c r="K305" s="522">
        <f>'VE input'!I285</f>
        <v>0.15</v>
      </c>
      <c r="L305" s="522">
        <f>'VE input'!J285</f>
        <v>7.0000000000000007E-2</v>
      </c>
      <c r="M305" s="522">
        <f>'VE input'!K285</f>
        <v>7.6</v>
      </c>
      <c r="N305" s="514">
        <f ca="1">'PSA inputs'!U261</f>
        <v>9.6133491008771197E-7</v>
      </c>
      <c r="O305" s="742"/>
    </row>
    <row r="306" spans="2:15" ht="15" customHeight="1" x14ac:dyDescent="0.3">
      <c r="B306" s="490" t="s">
        <v>1438</v>
      </c>
      <c r="C306" s="522">
        <f ca="1">IF(AND('PSA inputs'!$I$867=1,'PSA inputs'!$I$882=1),G306,D306)</f>
        <v>1.822271603280079E-6</v>
      </c>
      <c r="D306" s="522">
        <f>'VE input'!C231</f>
        <v>0.15</v>
      </c>
      <c r="E306" s="522">
        <f>'VE input'!D231</f>
        <v>7.4999999999999997E-2</v>
      </c>
      <c r="F306" s="522">
        <f>'VE input'!E231</f>
        <v>0.22499999999999998</v>
      </c>
      <c r="G306" s="514">
        <f ca="1">'PSA inputs'!J262</f>
        <v>1.822271603280079E-6</v>
      </c>
      <c r="I306" s="490" t="s">
        <v>1438</v>
      </c>
      <c r="J306" s="522">
        <f ca="1">IF(AND('PSA inputs'!$I$867=1,'PSA inputs'!$I$884=1),N306,K306)</f>
        <v>9.6133491008771197E-7</v>
      </c>
      <c r="K306" s="522">
        <f>'VE input'!I286</f>
        <v>0.15</v>
      </c>
      <c r="L306" s="522">
        <f>'VE input'!J286</f>
        <v>7.0000000000000007E-2</v>
      </c>
      <c r="M306" s="522">
        <f>'VE input'!K286</f>
        <v>7.6</v>
      </c>
      <c r="N306" s="514">
        <f ca="1">'PSA inputs'!U262</f>
        <v>9.6133491008771197E-7</v>
      </c>
      <c r="O306" s="742"/>
    </row>
    <row r="307" spans="2:15" ht="15" customHeight="1" x14ac:dyDescent="0.3">
      <c r="B307" s="490" t="s">
        <v>1441</v>
      </c>
      <c r="C307" s="522">
        <f ca="1">IF(AND('PSA inputs'!$I$867=1,'PSA inputs'!$I$882=1),G307,D307)</f>
        <v>1.822271603280079E-6</v>
      </c>
      <c r="D307" s="522">
        <f>'VE input'!C232</f>
        <v>0.15</v>
      </c>
      <c r="E307" s="522">
        <f>'VE input'!D232</f>
        <v>7.4999999999999997E-2</v>
      </c>
      <c r="F307" s="522">
        <f>'VE input'!E232</f>
        <v>0.22499999999999998</v>
      </c>
      <c r="G307" s="514">
        <f ca="1">'PSA inputs'!J263</f>
        <v>1.822271603280079E-6</v>
      </c>
      <c r="I307" s="490" t="s">
        <v>1441</v>
      </c>
      <c r="J307" s="522">
        <f ca="1">IF(AND('PSA inputs'!$I$867=1,'PSA inputs'!$I$884=1),N307,K307)</f>
        <v>9.6133491008771197E-7</v>
      </c>
      <c r="K307" s="522">
        <f>'VE input'!I287</f>
        <v>0.15</v>
      </c>
      <c r="L307" s="522">
        <f>'VE input'!J287</f>
        <v>7.0000000000000007E-2</v>
      </c>
      <c r="M307" s="522">
        <f>'VE input'!K287</f>
        <v>7.6</v>
      </c>
      <c r="N307" s="514">
        <f ca="1">'PSA inputs'!U263</f>
        <v>9.6133491008771197E-7</v>
      </c>
      <c r="O307" s="742"/>
    </row>
    <row r="308" spans="2:15" ht="15" customHeight="1" x14ac:dyDescent="0.3">
      <c r="B308" s="490" t="s">
        <v>1442</v>
      </c>
      <c r="C308" s="522">
        <f ca="1">IF(AND('PSA inputs'!$I$867=1,'PSA inputs'!$I$882=1),G308,D308)</f>
        <v>1.822271603280079E-6</v>
      </c>
      <c r="D308" s="522">
        <f>'VE input'!C233</f>
        <v>0.15</v>
      </c>
      <c r="E308" s="522">
        <f>'VE input'!D233</f>
        <v>7.4999999999999997E-2</v>
      </c>
      <c r="F308" s="522">
        <f>'VE input'!E233</f>
        <v>0.22499999999999998</v>
      </c>
      <c r="G308" s="514">
        <f ca="1">'PSA inputs'!J264</f>
        <v>1.822271603280079E-6</v>
      </c>
      <c r="I308" s="490" t="s">
        <v>1442</v>
      </c>
      <c r="J308" s="522">
        <f ca="1">IF(AND('PSA inputs'!$I$867=1,'PSA inputs'!$I$884=1),N308,K308)</f>
        <v>9.6133491008771197E-7</v>
      </c>
      <c r="K308" s="522">
        <f>'VE input'!I288</f>
        <v>0.15</v>
      </c>
      <c r="L308" s="522">
        <f>'VE input'!J288</f>
        <v>7.0000000000000007E-2</v>
      </c>
      <c r="M308" s="522">
        <f>'VE input'!K288</f>
        <v>7.6</v>
      </c>
      <c r="N308" s="514">
        <f ca="1">'PSA inputs'!U264</f>
        <v>9.6133491008771197E-7</v>
      </c>
      <c r="O308" s="742"/>
    </row>
    <row r="309" spans="2:15" ht="15" customHeight="1" x14ac:dyDescent="0.3">
      <c r="B309" s="498" t="s">
        <v>920</v>
      </c>
      <c r="C309" s="533"/>
      <c r="D309" s="496"/>
      <c r="E309" s="496"/>
      <c r="F309" s="496"/>
      <c r="G309" s="496"/>
      <c r="I309" s="498" t="s">
        <v>920</v>
      </c>
      <c r="J309" s="533"/>
      <c r="K309" s="496"/>
      <c r="L309" s="496"/>
      <c r="M309" s="496"/>
      <c r="N309" s="496"/>
      <c r="O309" s="747"/>
    </row>
    <row r="310" spans="2:15" ht="15" customHeight="1" x14ac:dyDescent="0.3">
      <c r="B310" s="490" t="s">
        <v>920</v>
      </c>
      <c r="C310" s="522">
        <f ca="1">IF(AND('PSA inputs'!$I$867=1,'PSA inputs'!$I$882=1),G310,D310)</f>
        <v>1.2619804912205568E-6</v>
      </c>
      <c r="D310" s="522">
        <f>'VE input'!C235</f>
        <v>0.15</v>
      </c>
      <c r="E310" s="522">
        <f>'VE input'!D235</f>
        <v>7.4999999999999997E-2</v>
      </c>
      <c r="F310" s="522">
        <f>'VE input'!E235</f>
        <v>0.22499999999999998</v>
      </c>
      <c r="G310" s="514">
        <f ca="1">'PSA inputs'!J266</f>
        <v>1.2619804912205568E-6</v>
      </c>
      <c r="I310" s="490" t="s">
        <v>920</v>
      </c>
      <c r="J310" s="522">
        <f ca="1">IF(AND('PSA inputs'!$I$867=1,'PSA inputs'!$I$884=1),N310,K310)</f>
        <v>1.7319984436658942E-6</v>
      </c>
      <c r="K310" s="522">
        <f>'VE input'!I290</f>
        <v>0.15</v>
      </c>
      <c r="L310" s="522">
        <f>'VE input'!J290</f>
        <v>7.0000000000000007E-2</v>
      </c>
      <c r="M310" s="522">
        <f>'VE input'!K290</f>
        <v>7.6</v>
      </c>
      <c r="N310" s="514">
        <f ca="1">'PSA inputs'!U266</f>
        <v>1.7319984436658942E-6</v>
      </c>
      <c r="O310" s="742"/>
    </row>
    <row r="311" spans="2:15" ht="15" customHeight="1" x14ac:dyDescent="0.3">
      <c r="B311" s="490" t="s">
        <v>980</v>
      </c>
      <c r="C311" s="522">
        <f ca="1">IF(AND('PSA inputs'!$I$867=1,'PSA inputs'!$I$882=1),G311,D311)</f>
        <v>1.2619804912205568E-6</v>
      </c>
      <c r="D311" s="522">
        <f>'VE input'!C236</f>
        <v>0.15</v>
      </c>
      <c r="E311" s="522">
        <f>'VE input'!D236</f>
        <v>7.4999999999999997E-2</v>
      </c>
      <c r="F311" s="522">
        <f>'VE input'!E236</f>
        <v>0.22499999999999998</v>
      </c>
      <c r="G311" s="514">
        <f ca="1">'PSA inputs'!J267</f>
        <v>1.2619804912205568E-6</v>
      </c>
      <c r="I311" s="490" t="s">
        <v>980</v>
      </c>
      <c r="J311" s="522">
        <f ca="1">IF(AND('PSA inputs'!$I$867=1,'PSA inputs'!$I$884=1),N311,K311)</f>
        <v>1.7319984436658942E-6</v>
      </c>
      <c r="K311" s="522">
        <f>'VE input'!I291</f>
        <v>0.15</v>
      </c>
      <c r="L311" s="522">
        <f>'VE input'!J291</f>
        <v>7.0000000000000007E-2</v>
      </c>
      <c r="M311" s="522">
        <f>'VE input'!K291</f>
        <v>7.6</v>
      </c>
      <c r="N311" s="514">
        <f ca="1">'PSA inputs'!U267</f>
        <v>1.7319984436658942E-6</v>
      </c>
      <c r="O311" s="742"/>
    </row>
    <row r="312" spans="2:15" ht="15" customHeight="1" x14ac:dyDescent="0.3">
      <c r="B312" s="520"/>
      <c r="C312" s="520"/>
      <c r="D312" s="520"/>
      <c r="E312" s="520"/>
    </row>
    <row r="313" spans="2:15" x14ac:dyDescent="0.3">
      <c r="B313" s="500"/>
      <c r="C313" s="517"/>
      <c r="D313" s="517"/>
      <c r="E313" s="517"/>
      <c r="G313" s="500"/>
      <c r="H313" s="517"/>
      <c r="I313" s="517"/>
      <c r="J313" s="517"/>
    </row>
    <row r="314" spans="2:15" x14ac:dyDescent="0.3">
      <c r="B314" s="523" t="s">
        <v>563</v>
      </c>
      <c r="C314" s="523"/>
      <c r="D314" s="523"/>
      <c r="E314" s="523"/>
      <c r="F314" s="483"/>
      <c r="G314" s="483"/>
      <c r="I314" s="483"/>
      <c r="J314" s="483"/>
      <c r="K314" s="483"/>
      <c r="L314" s="483"/>
      <c r="M314" s="483"/>
      <c r="N314" s="483"/>
    </row>
    <row r="315" spans="2:15" x14ac:dyDescent="0.3">
      <c r="B315" s="524"/>
      <c r="C315" s="524"/>
      <c r="D315" s="524"/>
      <c r="E315" s="524"/>
    </row>
    <row r="316" spans="2:15" x14ac:dyDescent="0.3">
      <c r="B316" s="341" t="s">
        <v>1002</v>
      </c>
      <c r="C316" s="341"/>
      <c r="D316" s="341"/>
      <c r="E316" s="341"/>
      <c r="F316" s="525"/>
      <c r="G316" s="525"/>
      <c r="H316" s="526"/>
      <c r="I316" s="525"/>
      <c r="J316" s="525"/>
      <c r="K316" s="525"/>
      <c r="L316" s="525"/>
      <c r="M316" s="525"/>
      <c r="N316" s="525"/>
    </row>
    <row r="317" spans="2:15" x14ac:dyDescent="0.3">
      <c r="B317" s="524"/>
      <c r="C317" s="524"/>
      <c r="D317" s="524"/>
      <c r="E317" s="524"/>
    </row>
    <row r="318" spans="2:15" x14ac:dyDescent="0.3">
      <c r="B318" s="509" t="s">
        <v>536</v>
      </c>
      <c r="C318" s="509"/>
      <c r="D318" s="509"/>
      <c r="E318" s="509"/>
      <c r="F318" s="509"/>
      <c r="G318" s="509"/>
      <c r="I318" s="509" t="s">
        <v>536</v>
      </c>
      <c r="J318" s="509"/>
      <c r="K318" s="509"/>
      <c r="L318" s="509"/>
      <c r="M318" s="509"/>
      <c r="N318" s="509"/>
      <c r="O318" s="487"/>
    </row>
    <row r="319" spans="2:15" x14ac:dyDescent="0.3">
      <c r="B319" s="510" t="s">
        <v>552</v>
      </c>
      <c r="C319" s="511"/>
      <c r="D319" s="511"/>
      <c r="E319" s="511"/>
      <c r="F319" s="511"/>
      <c r="G319" s="511"/>
      <c r="I319" s="512" t="s">
        <v>553</v>
      </c>
      <c r="J319" s="511"/>
      <c r="K319" s="511"/>
      <c r="L319" s="511"/>
      <c r="M319" s="511"/>
      <c r="N319" s="511"/>
      <c r="O319" s="745"/>
    </row>
    <row r="320" spans="2:15" x14ac:dyDescent="0.3">
      <c r="B320" s="484" t="s">
        <v>950</v>
      </c>
      <c r="C320" s="485" t="s">
        <v>724</v>
      </c>
      <c r="D320" s="485" t="s">
        <v>995</v>
      </c>
      <c r="E320" s="485" t="s">
        <v>985</v>
      </c>
      <c r="F320" s="485" t="s">
        <v>986</v>
      </c>
      <c r="G320" s="485" t="s">
        <v>996</v>
      </c>
      <c r="I320" s="484" t="s">
        <v>950</v>
      </c>
      <c r="J320" s="485" t="s">
        <v>724</v>
      </c>
      <c r="K320" s="485" t="s">
        <v>995</v>
      </c>
      <c r="L320" s="485" t="s">
        <v>985</v>
      </c>
      <c r="M320" s="485" t="s">
        <v>986</v>
      </c>
      <c r="N320" s="485" t="s">
        <v>996</v>
      </c>
      <c r="O320" s="738"/>
    </row>
    <row r="321" spans="2:15" x14ac:dyDescent="0.3">
      <c r="B321" s="487" t="s">
        <v>1445</v>
      </c>
      <c r="I321" s="487" t="s">
        <v>988</v>
      </c>
    </row>
    <row r="322" spans="2:15" x14ac:dyDescent="0.3">
      <c r="B322" s="493" t="s">
        <v>2</v>
      </c>
      <c r="C322" s="513">
        <f ca="1">IF(AND('PSA inputs'!$I$867=1,'PSA inputs'!$I$886=1),G322,D322)</f>
        <v>35.938706586803228</v>
      </c>
      <c r="D322" s="513">
        <f>'Cost input'!C16</f>
        <v>40.22</v>
      </c>
      <c r="E322" s="513">
        <f>'Cost input'!D16</f>
        <v>14.29</v>
      </c>
      <c r="F322" s="513">
        <f>'Cost input'!E16</f>
        <v>56.64965311236994</v>
      </c>
      <c r="G322" s="514">
        <f ca="1">'PSA inputs'!J278</f>
        <v>35.938706586803228</v>
      </c>
      <c r="I322" s="493" t="s">
        <v>2</v>
      </c>
      <c r="J322" s="513">
        <f>IF(AND('PSA inputs'!$I$867=1,'PSA inputs'!$I$889=1),N322,K322)</f>
        <v>0</v>
      </c>
      <c r="K322" s="513">
        <f>'Cost input'!C44</f>
        <v>40.22</v>
      </c>
      <c r="L322" s="513">
        <f>'Cost input'!D44</f>
        <v>14.29</v>
      </c>
      <c r="M322" s="513">
        <f>'Cost input'!E44</f>
        <v>56.64965311236994</v>
      </c>
      <c r="N322" s="513"/>
      <c r="O322" s="742"/>
    </row>
    <row r="323" spans="2:15" x14ac:dyDescent="0.3">
      <c r="B323" s="493" t="s">
        <v>3</v>
      </c>
      <c r="C323" s="513">
        <f ca="1">IF(AND('PSA inputs'!$I$867=1,'PSA inputs'!$I$886=1),G323,D323)</f>
        <v>35.938706586803228</v>
      </c>
      <c r="D323" s="513">
        <f>'Cost input'!C17</f>
        <v>40.22</v>
      </c>
      <c r="E323" s="513">
        <f>'Cost input'!D17</f>
        <v>14.29</v>
      </c>
      <c r="F323" s="513">
        <f>'Cost input'!E17</f>
        <v>56.64965311236994</v>
      </c>
      <c r="G323" s="514">
        <f ca="1">'PSA inputs'!J279</f>
        <v>35.938706586803228</v>
      </c>
      <c r="I323" s="493" t="s">
        <v>3</v>
      </c>
      <c r="J323" s="513">
        <f>IF(AND('PSA inputs'!$I$867=1,'PSA inputs'!$I$889=1),N323,K323)</f>
        <v>0</v>
      </c>
      <c r="K323" s="513">
        <f>'Cost input'!C45</f>
        <v>40.22</v>
      </c>
      <c r="L323" s="513">
        <f>'Cost input'!D45</f>
        <v>14.29</v>
      </c>
      <c r="M323" s="513">
        <f>'Cost input'!E45</f>
        <v>56.64965311236994</v>
      </c>
      <c r="N323" s="513"/>
      <c r="O323" s="742"/>
    </row>
    <row r="324" spans="2:15" x14ac:dyDescent="0.3">
      <c r="B324" s="493" t="s">
        <v>4</v>
      </c>
      <c r="C324" s="513">
        <f ca="1">IF(AND('PSA inputs'!$I$867=1,'PSA inputs'!$I$886=1),G324,D324)</f>
        <v>35.938706586803228</v>
      </c>
      <c r="D324" s="513">
        <f>'Cost input'!C18</f>
        <v>40.22</v>
      </c>
      <c r="E324" s="513">
        <f>'Cost input'!D18</f>
        <v>14.29</v>
      </c>
      <c r="F324" s="513">
        <f>'Cost input'!E18</f>
        <v>56.64965311236994</v>
      </c>
      <c r="G324" s="514">
        <f ca="1">'PSA inputs'!J280</f>
        <v>35.938706586803228</v>
      </c>
      <c r="I324" s="493" t="s">
        <v>4</v>
      </c>
      <c r="J324" s="513">
        <f>IF(AND('PSA inputs'!$I$867=1,'PSA inputs'!$I$889=1),N324,K324)</f>
        <v>0</v>
      </c>
      <c r="K324" s="513">
        <f>'Cost input'!C46</f>
        <v>40.22</v>
      </c>
      <c r="L324" s="513">
        <f>'Cost input'!D46</f>
        <v>14.29</v>
      </c>
      <c r="M324" s="513">
        <f>'Cost input'!E46</f>
        <v>56.64965311236994</v>
      </c>
      <c r="N324" s="513"/>
      <c r="O324" s="742"/>
    </row>
    <row r="325" spans="2:15" x14ac:dyDescent="0.3">
      <c r="B325" s="493" t="s">
        <v>5</v>
      </c>
      <c r="C325" s="513">
        <f ca="1">IF(AND('PSA inputs'!$I$867=1,'PSA inputs'!$I$886=1),G325,D325)</f>
        <v>35.938706586803228</v>
      </c>
      <c r="D325" s="513">
        <f>'Cost input'!C19</f>
        <v>40.22</v>
      </c>
      <c r="E325" s="513">
        <f>'Cost input'!D19</f>
        <v>14.29</v>
      </c>
      <c r="F325" s="513">
        <f>'Cost input'!E19</f>
        <v>56.64965311236994</v>
      </c>
      <c r="G325" s="514">
        <f ca="1">'PSA inputs'!J281</f>
        <v>35.938706586803228</v>
      </c>
      <c r="I325" s="493" t="s">
        <v>5</v>
      </c>
      <c r="J325" s="513">
        <f>IF(AND('PSA inputs'!$I$867=1,'PSA inputs'!$I$889=1),N325,K325)</f>
        <v>0</v>
      </c>
      <c r="K325" s="513">
        <f>'Cost input'!C47</f>
        <v>40.22</v>
      </c>
      <c r="L325" s="513">
        <f>'Cost input'!D47</f>
        <v>14.29</v>
      </c>
      <c r="M325" s="513">
        <f>'Cost input'!E47</f>
        <v>56.64965311236994</v>
      </c>
      <c r="N325" s="513"/>
      <c r="O325" s="742"/>
    </row>
    <row r="326" spans="2:15" x14ac:dyDescent="0.3">
      <c r="B326" s="493" t="s">
        <v>6</v>
      </c>
      <c r="C326" s="513">
        <f ca="1">IF(AND('PSA inputs'!$I$867=1,'PSA inputs'!$I$886=1),G326,D326)</f>
        <v>35.938706586803228</v>
      </c>
      <c r="D326" s="513">
        <f>'Cost input'!C20</f>
        <v>40.22</v>
      </c>
      <c r="E326" s="513">
        <f>'Cost input'!D20</f>
        <v>14.29</v>
      </c>
      <c r="F326" s="513">
        <f>'Cost input'!E20</f>
        <v>56.64965311236994</v>
      </c>
      <c r="G326" s="514">
        <f ca="1">'PSA inputs'!J282</f>
        <v>35.938706586803228</v>
      </c>
      <c r="I326" s="493" t="s">
        <v>6</v>
      </c>
      <c r="J326" s="513">
        <f>IF(AND('PSA inputs'!$I$867=1,'PSA inputs'!$I$889=1),N326,K326)</f>
        <v>0</v>
      </c>
      <c r="K326" s="513">
        <f>'Cost input'!C48</f>
        <v>40.22</v>
      </c>
      <c r="L326" s="513">
        <f>'Cost input'!D48</f>
        <v>14.29</v>
      </c>
      <c r="M326" s="513">
        <f>'Cost input'!E48</f>
        <v>56.64965311236994</v>
      </c>
      <c r="N326" s="513"/>
      <c r="O326" s="742"/>
    </row>
    <row r="327" spans="2:15" x14ac:dyDescent="0.3">
      <c r="B327" s="493" t="s">
        <v>7</v>
      </c>
      <c r="C327" s="513">
        <f ca="1">IF(AND('PSA inputs'!$I$867=1,'PSA inputs'!$I$886=1),G327,D327)</f>
        <v>35.938706586803228</v>
      </c>
      <c r="D327" s="513">
        <f>'Cost input'!C21</f>
        <v>40.22</v>
      </c>
      <c r="E327" s="513">
        <f>'Cost input'!D21</f>
        <v>14.29</v>
      </c>
      <c r="F327" s="513">
        <f>'Cost input'!E21</f>
        <v>56.64965311236994</v>
      </c>
      <c r="G327" s="514">
        <f ca="1">'PSA inputs'!J283</f>
        <v>35.938706586803228</v>
      </c>
      <c r="I327" s="493" t="s">
        <v>7</v>
      </c>
      <c r="J327" s="513">
        <f>IF(AND('PSA inputs'!$I$867=1,'PSA inputs'!$I$889=1),N327,K327)</f>
        <v>0</v>
      </c>
      <c r="K327" s="513">
        <f>'Cost input'!C49</f>
        <v>40.22</v>
      </c>
      <c r="L327" s="513">
        <f>'Cost input'!D49</f>
        <v>14.29</v>
      </c>
      <c r="M327" s="513">
        <f>'Cost input'!E49</f>
        <v>56.64965311236994</v>
      </c>
      <c r="N327" s="513"/>
      <c r="O327" s="742"/>
    </row>
    <row r="328" spans="2:15" x14ac:dyDescent="0.3">
      <c r="B328" s="493" t="s">
        <v>1469</v>
      </c>
      <c r="C328" s="513">
        <f ca="1">IF(AND('PSA inputs'!$I$867=1,'PSA inputs'!$I$886=1),G328,D328)</f>
        <v>35.938706586803228</v>
      </c>
      <c r="D328" s="513">
        <f>'Cost input'!C22</f>
        <v>40.22</v>
      </c>
      <c r="E328" s="513">
        <f>'Cost input'!D22</f>
        <v>14.29</v>
      </c>
      <c r="F328" s="513">
        <f>'Cost input'!E22</f>
        <v>56.64965311236994</v>
      </c>
      <c r="G328" s="514">
        <f ca="1">'PSA inputs'!J284</f>
        <v>35.938706586803228</v>
      </c>
      <c r="I328" s="493" t="s">
        <v>1469</v>
      </c>
      <c r="J328" s="513">
        <f>IF(AND('PSA inputs'!$I$867=1,'PSA inputs'!$I$889=1),N328,K328)</f>
        <v>0</v>
      </c>
      <c r="K328" s="513">
        <f>'Cost input'!C50</f>
        <v>40.22</v>
      </c>
      <c r="L328" s="513">
        <f>'Cost input'!D50</f>
        <v>14.29</v>
      </c>
      <c r="M328" s="513">
        <f>'Cost input'!E50</f>
        <v>56.64965311236994</v>
      </c>
      <c r="N328" s="513"/>
      <c r="O328" s="742"/>
    </row>
    <row r="329" spans="2:15" x14ac:dyDescent="0.3">
      <c r="B329" s="487" t="s">
        <v>1444</v>
      </c>
      <c r="C329" s="533"/>
      <c r="D329" s="496"/>
      <c r="E329" s="496"/>
      <c r="F329" s="496"/>
      <c r="G329" s="496"/>
      <c r="H329" s="517"/>
      <c r="I329" s="487" t="s">
        <v>988</v>
      </c>
      <c r="J329" s="533"/>
      <c r="K329" s="496"/>
      <c r="L329" s="496"/>
      <c r="M329" s="496"/>
      <c r="N329" s="496"/>
      <c r="O329" s="747"/>
    </row>
    <row r="330" spans="2:15" x14ac:dyDescent="0.3">
      <c r="B330" s="493" t="s">
        <v>2</v>
      </c>
      <c r="C330" s="513">
        <f ca="1">IF(AND('PSA inputs'!$I$867=1,'PSA inputs'!$I$886=1),G330,D330)</f>
        <v>39.04371035522032</v>
      </c>
      <c r="D330" s="513">
        <f>'Cost input'!C24</f>
        <v>40.22</v>
      </c>
      <c r="E330" s="513">
        <f>'Cost input'!D24</f>
        <v>14.29</v>
      </c>
      <c r="F330" s="513">
        <f>'Cost input'!E24</f>
        <v>56.64965311236994</v>
      </c>
      <c r="G330" s="514">
        <f ca="1">'PSA inputs'!J286</f>
        <v>39.04371035522032</v>
      </c>
      <c r="H330" s="517"/>
      <c r="I330" s="493" t="s">
        <v>2</v>
      </c>
      <c r="J330" s="513">
        <f>IF(AND('PSA inputs'!$I$867=1,'PSA inputs'!$I$889=1),N330,K330)</f>
        <v>0</v>
      </c>
      <c r="K330" s="513">
        <f>'Cost input'!C52</f>
        <v>40.22</v>
      </c>
      <c r="L330" s="513">
        <f>'Cost input'!D52</f>
        <v>14.29</v>
      </c>
      <c r="M330" s="513">
        <f>'Cost input'!E52</f>
        <v>56.64965311236994</v>
      </c>
      <c r="N330" s="513"/>
      <c r="O330" s="742"/>
    </row>
    <row r="331" spans="2:15" x14ac:dyDescent="0.3">
      <c r="B331" s="493" t="s">
        <v>3</v>
      </c>
      <c r="C331" s="513">
        <f ca="1">IF(AND('PSA inputs'!$I$867=1,'PSA inputs'!$I$886=1),G331,D331)</f>
        <v>39.04371035522032</v>
      </c>
      <c r="D331" s="513">
        <f>'Cost input'!C25</f>
        <v>40.22</v>
      </c>
      <c r="E331" s="513">
        <f>'Cost input'!D25</f>
        <v>14.29</v>
      </c>
      <c r="F331" s="513">
        <f>'Cost input'!E25</f>
        <v>56.64965311236994</v>
      </c>
      <c r="G331" s="514">
        <f ca="1">'PSA inputs'!J287</f>
        <v>39.04371035522032</v>
      </c>
      <c r="H331" s="517"/>
      <c r="I331" s="493" t="s">
        <v>3</v>
      </c>
      <c r="J331" s="513">
        <f>IF(AND('PSA inputs'!$I$867=1,'PSA inputs'!$I$889=1),N331,K331)</f>
        <v>0</v>
      </c>
      <c r="K331" s="513">
        <f>'Cost input'!C53</f>
        <v>40.22</v>
      </c>
      <c r="L331" s="513">
        <f>'Cost input'!D53</f>
        <v>14.29</v>
      </c>
      <c r="M331" s="513">
        <f>'Cost input'!E53</f>
        <v>56.64965311236994</v>
      </c>
      <c r="N331" s="513"/>
      <c r="O331" s="742"/>
    </row>
    <row r="332" spans="2:15" x14ac:dyDescent="0.3">
      <c r="B332" s="493" t="s">
        <v>4</v>
      </c>
      <c r="C332" s="513">
        <f ca="1">IF(AND('PSA inputs'!$I$867=1,'PSA inputs'!$I$886=1),G332,D332)</f>
        <v>39.04371035522032</v>
      </c>
      <c r="D332" s="513">
        <f>'Cost input'!C26</f>
        <v>40.22</v>
      </c>
      <c r="E332" s="513">
        <f>'Cost input'!D26</f>
        <v>14.29</v>
      </c>
      <c r="F332" s="513">
        <f>'Cost input'!E26</f>
        <v>56.64965311236994</v>
      </c>
      <c r="G332" s="514">
        <f ca="1">'PSA inputs'!J288</f>
        <v>39.04371035522032</v>
      </c>
      <c r="H332" s="517"/>
      <c r="I332" s="493" t="s">
        <v>4</v>
      </c>
      <c r="J332" s="513">
        <f>IF(AND('PSA inputs'!$I$867=1,'PSA inputs'!$I$889=1),N332,K332)</f>
        <v>0</v>
      </c>
      <c r="K332" s="513">
        <f>'Cost input'!C54</f>
        <v>40.22</v>
      </c>
      <c r="L332" s="513">
        <f>'Cost input'!D54</f>
        <v>14.29</v>
      </c>
      <c r="M332" s="513">
        <f>'Cost input'!E54</f>
        <v>56.64965311236994</v>
      </c>
      <c r="N332" s="513"/>
      <c r="O332" s="742"/>
    </row>
    <row r="333" spans="2:15" x14ac:dyDescent="0.3">
      <c r="B333" s="493" t="s">
        <v>5</v>
      </c>
      <c r="C333" s="513">
        <f ca="1">IF(AND('PSA inputs'!$I$867=1,'PSA inputs'!$I$886=1),G333,D333)</f>
        <v>39.04371035522032</v>
      </c>
      <c r="D333" s="513">
        <f>'Cost input'!C27</f>
        <v>40.22</v>
      </c>
      <c r="E333" s="513">
        <f>'Cost input'!D27</f>
        <v>14.29</v>
      </c>
      <c r="F333" s="513">
        <f>'Cost input'!E27</f>
        <v>56.64965311236994</v>
      </c>
      <c r="G333" s="514">
        <f ca="1">'PSA inputs'!J289</f>
        <v>39.04371035522032</v>
      </c>
      <c r="H333" s="517"/>
      <c r="I333" s="493" t="s">
        <v>5</v>
      </c>
      <c r="J333" s="513">
        <f>IF(AND('PSA inputs'!$I$867=1,'PSA inputs'!$I$889=1),N333,K333)</f>
        <v>0</v>
      </c>
      <c r="K333" s="513">
        <f>'Cost input'!C55</f>
        <v>40.22</v>
      </c>
      <c r="L333" s="513">
        <f>'Cost input'!D55</f>
        <v>14.29</v>
      </c>
      <c r="M333" s="513">
        <f>'Cost input'!E55</f>
        <v>56.64965311236994</v>
      </c>
      <c r="N333" s="513"/>
      <c r="O333" s="742"/>
    </row>
    <row r="334" spans="2:15" x14ac:dyDescent="0.3">
      <c r="B334" s="493" t="s">
        <v>6</v>
      </c>
      <c r="C334" s="513">
        <f ca="1">IF(AND('PSA inputs'!$I$867=1,'PSA inputs'!$I$886=1),G334,D334)</f>
        <v>39.04371035522032</v>
      </c>
      <c r="D334" s="513">
        <f>'Cost input'!C28</f>
        <v>40.22</v>
      </c>
      <c r="E334" s="513">
        <f>'Cost input'!D28</f>
        <v>14.29</v>
      </c>
      <c r="F334" s="513">
        <f>'Cost input'!E28</f>
        <v>56.64965311236994</v>
      </c>
      <c r="G334" s="514">
        <f ca="1">'PSA inputs'!J290</f>
        <v>39.04371035522032</v>
      </c>
      <c r="H334" s="517"/>
      <c r="I334" s="493" t="s">
        <v>6</v>
      </c>
      <c r="J334" s="513">
        <f>IF(AND('PSA inputs'!$I$867=1,'PSA inputs'!$I$889=1),N334,K334)</f>
        <v>0</v>
      </c>
      <c r="K334" s="513">
        <f>'Cost input'!C56</f>
        <v>40.22</v>
      </c>
      <c r="L334" s="513">
        <f>'Cost input'!D56</f>
        <v>14.29</v>
      </c>
      <c r="M334" s="513">
        <f>'Cost input'!E56</f>
        <v>56.64965311236994</v>
      </c>
      <c r="N334" s="513"/>
      <c r="O334" s="742"/>
    </row>
    <row r="335" spans="2:15" x14ac:dyDescent="0.3">
      <c r="B335" s="493" t="s">
        <v>7</v>
      </c>
      <c r="C335" s="513">
        <f ca="1">IF(AND('PSA inputs'!$I$867=1,'PSA inputs'!$I$886=1),G335,D335)</f>
        <v>39.04371035522032</v>
      </c>
      <c r="D335" s="513">
        <f>'Cost input'!C29</f>
        <v>40.22</v>
      </c>
      <c r="E335" s="513">
        <f>'Cost input'!D29</f>
        <v>14.29</v>
      </c>
      <c r="F335" s="513">
        <f>'Cost input'!E29</f>
        <v>56.64965311236994</v>
      </c>
      <c r="G335" s="514">
        <f ca="1">'PSA inputs'!J291</f>
        <v>39.04371035522032</v>
      </c>
      <c r="H335" s="517"/>
      <c r="I335" s="493" t="s">
        <v>7</v>
      </c>
      <c r="J335" s="513">
        <f>IF(AND('PSA inputs'!$I$867=1,'PSA inputs'!$I$889=1),N335,K335)</f>
        <v>0</v>
      </c>
      <c r="K335" s="513">
        <f>'Cost input'!C57</f>
        <v>40.22</v>
      </c>
      <c r="L335" s="513">
        <f>'Cost input'!D57</f>
        <v>14.29</v>
      </c>
      <c r="M335" s="513">
        <f>'Cost input'!E57</f>
        <v>56.64965311236994</v>
      </c>
      <c r="N335" s="513"/>
      <c r="O335" s="742"/>
    </row>
    <row r="336" spans="2:15" x14ac:dyDescent="0.3">
      <c r="B336" s="493" t="s">
        <v>1469</v>
      </c>
      <c r="C336" s="513">
        <f ca="1">IF(AND('PSA inputs'!$I$867=1,'PSA inputs'!$I$886=1),G336,D336)</f>
        <v>39.04371035522032</v>
      </c>
      <c r="D336" s="513">
        <f>'Cost input'!C30</f>
        <v>40.22</v>
      </c>
      <c r="E336" s="513">
        <f>'Cost input'!D30</f>
        <v>14.29</v>
      </c>
      <c r="F336" s="513">
        <f>'Cost input'!E30</f>
        <v>56.64965311236994</v>
      </c>
      <c r="G336" s="514">
        <f ca="1">'PSA inputs'!J292</f>
        <v>39.04371035522032</v>
      </c>
      <c r="H336" s="517"/>
      <c r="I336" s="493" t="s">
        <v>1469</v>
      </c>
      <c r="J336" s="513">
        <f>IF(AND('PSA inputs'!$I$867=1,'PSA inputs'!$I$889=1),N336,K336)</f>
        <v>0</v>
      </c>
      <c r="K336" s="513">
        <f>'Cost input'!C58</f>
        <v>40.22</v>
      </c>
      <c r="L336" s="513">
        <f>'Cost input'!D58</f>
        <v>14.29</v>
      </c>
      <c r="M336" s="513">
        <f>'Cost input'!E58</f>
        <v>56.64965311236994</v>
      </c>
      <c r="N336" s="513"/>
      <c r="O336" s="742"/>
    </row>
    <row r="337" spans="2:15" x14ac:dyDescent="0.3">
      <c r="B337" s="498" t="s">
        <v>227</v>
      </c>
      <c r="C337" s="533"/>
      <c r="D337" s="496"/>
      <c r="E337" s="496"/>
      <c r="F337" s="496"/>
      <c r="G337" s="496"/>
      <c r="I337" s="498" t="s">
        <v>227</v>
      </c>
      <c r="J337" s="533"/>
      <c r="K337" s="496"/>
      <c r="L337" s="496"/>
      <c r="M337" s="496"/>
      <c r="N337" s="496"/>
      <c r="O337" s="747"/>
    </row>
    <row r="338" spans="2:15" x14ac:dyDescent="0.3">
      <c r="B338" s="490" t="s">
        <v>1437</v>
      </c>
      <c r="C338" s="513">
        <f ca="1">IF(AND('PSA inputs'!$I$867=1,'PSA inputs'!$I$886=1),G338,D338)</f>
        <v>60.778339278378027</v>
      </c>
      <c r="D338" s="513">
        <f>'Cost input'!C32</f>
        <v>40.22</v>
      </c>
      <c r="E338" s="513">
        <f>'Cost input'!D32</f>
        <v>14.29</v>
      </c>
      <c r="F338" s="513">
        <f>'Cost input'!E32</f>
        <v>56.64965311236994</v>
      </c>
      <c r="G338" s="514">
        <f ca="1">'PSA inputs'!J294</f>
        <v>60.778339278378027</v>
      </c>
      <c r="I338" s="490" t="s">
        <v>1437</v>
      </c>
      <c r="J338" s="513">
        <f>IF(AND('PSA inputs'!$I$867=1,'PSA inputs'!$I$889=1),N338,K338)</f>
        <v>0</v>
      </c>
      <c r="K338" s="513">
        <f>'Cost input'!C60</f>
        <v>40.22</v>
      </c>
      <c r="L338" s="513">
        <f>'Cost input'!D60</f>
        <v>14.29</v>
      </c>
      <c r="M338" s="513">
        <f>'Cost input'!E60</f>
        <v>56.64965311236994</v>
      </c>
      <c r="N338" s="513"/>
      <c r="O338" s="742"/>
    </row>
    <row r="339" spans="2:15" x14ac:dyDescent="0.3">
      <c r="B339" s="490" t="s">
        <v>1438</v>
      </c>
      <c r="C339" s="513">
        <f ca="1">IF(AND('PSA inputs'!$I$867=1,'PSA inputs'!$I$886=1),G339,D339)</f>
        <v>60.778339278378027</v>
      </c>
      <c r="D339" s="513">
        <f>'Cost input'!C33</f>
        <v>40.22</v>
      </c>
      <c r="E339" s="513">
        <f>'Cost input'!D33</f>
        <v>14.29</v>
      </c>
      <c r="F339" s="513">
        <f>'Cost input'!E33</f>
        <v>56.64965311236994</v>
      </c>
      <c r="G339" s="514">
        <f ca="1">'PSA inputs'!J295</f>
        <v>60.778339278378027</v>
      </c>
      <c r="I339" s="490" t="s">
        <v>1438</v>
      </c>
      <c r="J339" s="513">
        <f>IF(AND('PSA inputs'!$I$867=1,'PSA inputs'!$I$889=1),N339,K339)</f>
        <v>0</v>
      </c>
      <c r="K339" s="513">
        <f>'Cost input'!C61</f>
        <v>40.22</v>
      </c>
      <c r="L339" s="513">
        <f>'Cost input'!D61</f>
        <v>14.29</v>
      </c>
      <c r="M339" s="513">
        <f>'Cost input'!E61</f>
        <v>56.64965311236994</v>
      </c>
      <c r="N339" s="513"/>
      <c r="O339" s="742"/>
    </row>
    <row r="340" spans="2:15" x14ac:dyDescent="0.3">
      <c r="B340" s="490" t="s">
        <v>1441</v>
      </c>
      <c r="C340" s="513">
        <f ca="1">IF(AND('PSA inputs'!$I$867=1,'PSA inputs'!$I$886=1),G340,D340)</f>
        <v>60.778339278378027</v>
      </c>
      <c r="D340" s="513">
        <f>'Cost input'!C34</f>
        <v>40.22</v>
      </c>
      <c r="E340" s="513">
        <f>'Cost input'!D34</f>
        <v>14.29</v>
      </c>
      <c r="F340" s="513">
        <f>'Cost input'!E34</f>
        <v>56.64965311236994</v>
      </c>
      <c r="G340" s="514">
        <f ca="1">'PSA inputs'!J296</f>
        <v>60.778339278378027</v>
      </c>
      <c r="I340" s="490" t="s">
        <v>1441</v>
      </c>
      <c r="J340" s="513">
        <f>IF(AND('PSA inputs'!$I$867=1,'PSA inputs'!$I$889=1),N340,K340)</f>
        <v>0</v>
      </c>
      <c r="K340" s="513">
        <f>'Cost input'!C62</f>
        <v>40.22</v>
      </c>
      <c r="L340" s="513">
        <f>'Cost input'!D62</f>
        <v>14.29</v>
      </c>
      <c r="M340" s="513">
        <f>'Cost input'!E62</f>
        <v>56.64965311236994</v>
      </c>
      <c r="N340" s="513"/>
      <c r="O340" s="742"/>
    </row>
    <row r="341" spans="2:15" x14ac:dyDescent="0.3">
      <c r="B341" s="490" t="s">
        <v>1442</v>
      </c>
      <c r="C341" s="513">
        <f ca="1">IF(AND('PSA inputs'!$I$867=1,'PSA inputs'!$I$886=1),G341,D341)</f>
        <v>60.778339278378027</v>
      </c>
      <c r="D341" s="513">
        <f>'Cost input'!C35</f>
        <v>40.22</v>
      </c>
      <c r="E341" s="513">
        <f>'Cost input'!D35</f>
        <v>14.29</v>
      </c>
      <c r="F341" s="513">
        <f>'Cost input'!E35</f>
        <v>56.64965311236994</v>
      </c>
      <c r="G341" s="514">
        <f ca="1">'PSA inputs'!J297</f>
        <v>60.778339278378027</v>
      </c>
      <c r="I341" s="490" t="s">
        <v>1442</v>
      </c>
      <c r="J341" s="513">
        <f>IF(AND('PSA inputs'!$I$867=1,'PSA inputs'!$I$889=1),N341,K341)</f>
        <v>0</v>
      </c>
      <c r="K341" s="513">
        <f>'Cost input'!C63</f>
        <v>40.22</v>
      </c>
      <c r="L341" s="513">
        <f>'Cost input'!D63</f>
        <v>14.29</v>
      </c>
      <c r="M341" s="513">
        <f>'Cost input'!E63</f>
        <v>56.64965311236994</v>
      </c>
      <c r="N341" s="513"/>
      <c r="O341" s="742"/>
    </row>
    <row r="342" spans="2:15" x14ac:dyDescent="0.3">
      <c r="B342" s="498" t="s">
        <v>920</v>
      </c>
      <c r="C342" s="533"/>
      <c r="D342" s="496"/>
      <c r="E342" s="496"/>
      <c r="F342" s="496"/>
      <c r="G342" s="496"/>
      <c r="I342" s="498" t="s">
        <v>920</v>
      </c>
      <c r="J342" s="533"/>
      <c r="K342" s="496"/>
      <c r="L342" s="496"/>
      <c r="M342" s="496"/>
      <c r="N342" s="496"/>
      <c r="O342" s="747"/>
    </row>
    <row r="343" spans="2:15" x14ac:dyDescent="0.3">
      <c r="B343" s="490" t="s">
        <v>920</v>
      </c>
      <c r="C343" s="513">
        <f ca="1">IF(AND('PSA inputs'!$I$867=1,'PSA inputs'!$I$886=1),G343,D343)</f>
        <v>60.778339278378027</v>
      </c>
      <c r="D343" s="513">
        <f>'Cost input'!C37</f>
        <v>40.22</v>
      </c>
      <c r="E343" s="513">
        <f>'Cost input'!D37</f>
        <v>14.29</v>
      </c>
      <c r="F343" s="513">
        <f>'Cost input'!E37</f>
        <v>56.64965311236994</v>
      </c>
      <c r="G343" s="514">
        <f ca="1">'PSA inputs'!J299</f>
        <v>60.778339278378027</v>
      </c>
      <c r="I343" s="490" t="s">
        <v>920</v>
      </c>
      <c r="J343" s="513">
        <f>IF(AND('PSA inputs'!$I$867=1,'PSA inputs'!$I$889=1),N343,K343)</f>
        <v>0</v>
      </c>
      <c r="K343" s="513">
        <f>'Cost input'!C65</f>
        <v>40.22</v>
      </c>
      <c r="L343" s="513">
        <f>'Cost input'!D65</f>
        <v>14.29</v>
      </c>
      <c r="M343" s="513">
        <f>'Cost input'!E65</f>
        <v>56.64965311236994</v>
      </c>
      <c r="N343" s="513"/>
      <c r="O343" s="742"/>
    </row>
    <row r="344" spans="2:15" x14ac:dyDescent="0.3">
      <c r="B344" s="490" t="s">
        <v>980</v>
      </c>
      <c r="C344" s="513">
        <f ca="1">IF(AND('PSA inputs'!$I$867=1,'PSA inputs'!$I$886=1),G344,D344)</f>
        <v>60.778339278378027</v>
      </c>
      <c r="D344" s="513">
        <f>'Cost input'!C38</f>
        <v>40.22</v>
      </c>
      <c r="E344" s="513">
        <f>'Cost input'!D38</f>
        <v>14.29</v>
      </c>
      <c r="F344" s="513">
        <f>'Cost input'!E38</f>
        <v>56.64965311236994</v>
      </c>
      <c r="G344" s="514">
        <f ca="1">'PSA inputs'!J300</f>
        <v>60.778339278378027</v>
      </c>
      <c r="I344" s="490" t="s">
        <v>980</v>
      </c>
      <c r="J344" s="513">
        <f>IF(AND('PSA inputs'!$I$867=1,'PSA inputs'!$I$889=1),N344,K344)</f>
        <v>0</v>
      </c>
      <c r="K344" s="513">
        <f>'Cost input'!C66</f>
        <v>40.22</v>
      </c>
      <c r="L344" s="513">
        <f>'Cost input'!D66</f>
        <v>14.29</v>
      </c>
      <c r="M344" s="513">
        <f>'Cost input'!E66</f>
        <v>56.64965311236994</v>
      </c>
      <c r="N344" s="513"/>
      <c r="O344" s="742"/>
    </row>
    <row r="345" spans="2:15" ht="15" customHeight="1" x14ac:dyDescent="0.3">
      <c r="B345" s="520"/>
      <c r="C345" s="520"/>
      <c r="D345" s="520"/>
      <c r="E345" s="520"/>
    </row>
    <row r="346" spans="2:15" ht="15" customHeight="1" x14ac:dyDescent="0.3">
      <c r="B346" s="509" t="s">
        <v>911</v>
      </c>
      <c r="C346" s="519"/>
      <c r="D346" s="519"/>
      <c r="E346" s="519"/>
      <c r="F346" s="519"/>
      <c r="G346" s="519"/>
      <c r="I346" s="509" t="s">
        <v>911</v>
      </c>
      <c r="J346" s="519"/>
      <c r="K346" s="519"/>
      <c r="L346" s="519"/>
      <c r="M346" s="519"/>
      <c r="N346" s="519"/>
      <c r="O346" s="745"/>
    </row>
    <row r="347" spans="2:15" ht="15" customHeight="1" x14ac:dyDescent="0.3">
      <c r="B347" s="510" t="s">
        <v>552</v>
      </c>
      <c r="C347" s="511"/>
      <c r="D347" s="511"/>
      <c r="E347" s="511"/>
      <c r="F347" s="511"/>
      <c r="G347" s="511"/>
      <c r="I347" s="512" t="s">
        <v>553</v>
      </c>
      <c r="J347" s="511"/>
      <c r="K347" s="511"/>
      <c r="L347" s="511"/>
      <c r="M347" s="511"/>
      <c r="N347" s="511"/>
      <c r="O347" s="745"/>
    </row>
    <row r="348" spans="2:15" ht="15" customHeight="1" x14ac:dyDescent="0.3">
      <c r="B348" s="484" t="s">
        <v>950</v>
      </c>
      <c r="C348" s="485" t="s">
        <v>724</v>
      </c>
      <c r="D348" s="485" t="s">
        <v>995</v>
      </c>
      <c r="E348" s="485" t="s">
        <v>985</v>
      </c>
      <c r="F348" s="485" t="s">
        <v>986</v>
      </c>
      <c r="G348" s="485" t="s">
        <v>996</v>
      </c>
      <c r="I348" s="484" t="s">
        <v>950</v>
      </c>
      <c r="J348" s="485" t="s">
        <v>724</v>
      </c>
      <c r="K348" s="485" t="s">
        <v>995</v>
      </c>
      <c r="L348" s="485" t="s">
        <v>985</v>
      </c>
      <c r="M348" s="485" t="s">
        <v>986</v>
      </c>
      <c r="N348" s="485" t="s">
        <v>996</v>
      </c>
      <c r="O348" s="738"/>
    </row>
    <row r="349" spans="2:15" ht="15" customHeight="1" x14ac:dyDescent="0.3">
      <c r="B349" s="487" t="s">
        <v>1445</v>
      </c>
      <c r="D349" s="520"/>
      <c r="E349" s="520"/>
      <c r="I349" s="487" t="s">
        <v>988</v>
      </c>
    </row>
    <row r="350" spans="2:15" ht="15" customHeight="1" x14ac:dyDescent="0.3">
      <c r="B350" s="493" t="s">
        <v>2</v>
      </c>
      <c r="C350" s="513">
        <f ca="1">IF(AND('PSA inputs'!$I$867=1,'PSA inputs'!$I$887=1),G350,D350)</f>
        <v>45.675535995813576</v>
      </c>
      <c r="D350" s="513">
        <f>'Cost input'!C75</f>
        <v>67.52</v>
      </c>
      <c r="E350" s="513">
        <f>'Cost input'!D75</f>
        <v>33.76</v>
      </c>
      <c r="F350" s="513">
        <f>'Cost input'!E75</f>
        <v>101.28</v>
      </c>
      <c r="G350" s="514">
        <f ca="1">'PSA inputs'!J306</f>
        <v>45.675535995813576</v>
      </c>
      <c r="I350" s="493" t="s">
        <v>2</v>
      </c>
      <c r="J350" s="513">
        <f ca="1">IF(AND('PSA inputs'!$I$867=1,'PSA inputs'!$I$890=1),N350,K350)</f>
        <v>45.675535995813576</v>
      </c>
      <c r="K350" s="513">
        <f>'Cost input'!C103</f>
        <v>67.52</v>
      </c>
      <c r="L350" s="513">
        <f>'Cost input'!D103</f>
        <v>33.76</v>
      </c>
      <c r="M350" s="513">
        <f>'Cost input'!E103</f>
        <v>101.28</v>
      </c>
      <c r="N350" s="513">
        <f ca="1">'PSA inputs'!U306</f>
        <v>45.675535995813576</v>
      </c>
      <c r="O350" s="742"/>
    </row>
    <row r="351" spans="2:15" ht="15" customHeight="1" x14ac:dyDescent="0.3">
      <c r="B351" s="493" t="s">
        <v>3</v>
      </c>
      <c r="C351" s="513">
        <f ca="1">IF(AND('PSA inputs'!$I$867=1,'PSA inputs'!$I$887=1),G351,D351)</f>
        <v>45.675535995813576</v>
      </c>
      <c r="D351" s="513">
        <f>'Cost input'!C76</f>
        <v>67.52</v>
      </c>
      <c r="E351" s="513">
        <f>'Cost input'!D76</f>
        <v>33.76</v>
      </c>
      <c r="F351" s="513">
        <f>'Cost input'!E76</f>
        <v>101.28</v>
      </c>
      <c r="G351" s="514">
        <f ca="1">'PSA inputs'!J307</f>
        <v>45.675535995813576</v>
      </c>
      <c r="I351" s="493" t="s">
        <v>3</v>
      </c>
      <c r="J351" s="513">
        <f ca="1">IF(AND('PSA inputs'!$I$867=1,'PSA inputs'!$I$890=1),N351,K351)</f>
        <v>45.675535995813576</v>
      </c>
      <c r="K351" s="513">
        <f>'Cost input'!C104</f>
        <v>67.52</v>
      </c>
      <c r="L351" s="513">
        <f>'Cost input'!D104</f>
        <v>33.76</v>
      </c>
      <c r="M351" s="513">
        <f>'Cost input'!E104</f>
        <v>101.28</v>
      </c>
      <c r="N351" s="513">
        <f ca="1">'PSA inputs'!U307</f>
        <v>45.675535995813576</v>
      </c>
      <c r="O351" s="742"/>
    </row>
    <row r="352" spans="2:15" ht="15" customHeight="1" x14ac:dyDescent="0.3">
      <c r="B352" s="493" t="s">
        <v>4</v>
      </c>
      <c r="C352" s="513">
        <f ca="1">IF(AND('PSA inputs'!$I$867=1,'PSA inputs'!$I$887=1),G352,D352)</f>
        <v>45.675535995813576</v>
      </c>
      <c r="D352" s="513">
        <f>'Cost input'!C77</f>
        <v>67.52</v>
      </c>
      <c r="E352" s="513">
        <f>'Cost input'!D77</f>
        <v>33.76</v>
      </c>
      <c r="F352" s="513">
        <f>'Cost input'!E77</f>
        <v>101.28</v>
      </c>
      <c r="G352" s="514">
        <f ca="1">'PSA inputs'!J308</f>
        <v>45.675535995813576</v>
      </c>
      <c r="I352" s="493" t="s">
        <v>4</v>
      </c>
      <c r="J352" s="513">
        <f ca="1">IF(AND('PSA inputs'!$I$867=1,'PSA inputs'!$I$890=1),N352,K352)</f>
        <v>45.675535995813576</v>
      </c>
      <c r="K352" s="513">
        <f>'Cost input'!C105</f>
        <v>67.52</v>
      </c>
      <c r="L352" s="513">
        <f>'Cost input'!D105</f>
        <v>33.76</v>
      </c>
      <c r="M352" s="513">
        <f>'Cost input'!E105</f>
        <v>101.28</v>
      </c>
      <c r="N352" s="513">
        <f ca="1">'PSA inputs'!U308</f>
        <v>45.675535995813576</v>
      </c>
      <c r="O352" s="742"/>
    </row>
    <row r="353" spans="2:15" ht="15" customHeight="1" x14ac:dyDescent="0.3">
      <c r="B353" s="493" t="s">
        <v>5</v>
      </c>
      <c r="C353" s="513">
        <f ca="1">IF(AND('PSA inputs'!$I$867=1,'PSA inputs'!$I$887=1),G353,D353)</f>
        <v>45.675535995813576</v>
      </c>
      <c r="D353" s="513">
        <f>'Cost input'!C78</f>
        <v>67.52</v>
      </c>
      <c r="E353" s="513">
        <f>'Cost input'!D78</f>
        <v>33.76</v>
      </c>
      <c r="F353" s="513">
        <f>'Cost input'!E78</f>
        <v>101.28</v>
      </c>
      <c r="G353" s="514">
        <f ca="1">'PSA inputs'!J309</f>
        <v>45.675535995813576</v>
      </c>
      <c r="I353" s="493" t="s">
        <v>5</v>
      </c>
      <c r="J353" s="513">
        <f ca="1">IF(AND('PSA inputs'!$I$867=1,'PSA inputs'!$I$890=1),N353,K353)</f>
        <v>45.675535995813576</v>
      </c>
      <c r="K353" s="513">
        <f>'Cost input'!C106</f>
        <v>67.52</v>
      </c>
      <c r="L353" s="513">
        <f>'Cost input'!D106</f>
        <v>33.76</v>
      </c>
      <c r="M353" s="513">
        <f>'Cost input'!E106</f>
        <v>101.28</v>
      </c>
      <c r="N353" s="513">
        <f ca="1">'PSA inputs'!U309</f>
        <v>45.675535995813576</v>
      </c>
      <c r="O353" s="742"/>
    </row>
    <row r="354" spans="2:15" ht="15" customHeight="1" x14ac:dyDescent="0.3">
      <c r="B354" s="493" t="s">
        <v>6</v>
      </c>
      <c r="C354" s="513">
        <f ca="1">IF(AND('PSA inputs'!$I$867=1,'PSA inputs'!$I$887=1),G354,D354)</f>
        <v>45.675535995813576</v>
      </c>
      <c r="D354" s="513">
        <f>'Cost input'!C79</f>
        <v>67.52</v>
      </c>
      <c r="E354" s="513">
        <f>'Cost input'!D79</f>
        <v>33.76</v>
      </c>
      <c r="F354" s="513">
        <f>'Cost input'!E79</f>
        <v>101.28</v>
      </c>
      <c r="G354" s="514">
        <f ca="1">'PSA inputs'!J310</f>
        <v>45.675535995813576</v>
      </c>
      <c r="I354" s="493" t="s">
        <v>6</v>
      </c>
      <c r="J354" s="513">
        <f ca="1">IF(AND('PSA inputs'!$I$867=1,'PSA inputs'!$I$890=1),N354,K354)</f>
        <v>45.675535995813576</v>
      </c>
      <c r="K354" s="513">
        <f>'Cost input'!C107</f>
        <v>67.52</v>
      </c>
      <c r="L354" s="513">
        <f>'Cost input'!D107</f>
        <v>33.76</v>
      </c>
      <c r="M354" s="513">
        <f>'Cost input'!E107</f>
        <v>101.28</v>
      </c>
      <c r="N354" s="513">
        <f ca="1">'PSA inputs'!U310</f>
        <v>45.675535995813576</v>
      </c>
      <c r="O354" s="742"/>
    </row>
    <row r="355" spans="2:15" ht="15" customHeight="1" x14ac:dyDescent="0.3">
      <c r="B355" s="493" t="s">
        <v>7</v>
      </c>
      <c r="C355" s="513">
        <f ca="1">IF(AND('PSA inputs'!$I$867=1,'PSA inputs'!$I$887=1),G355,D355)</f>
        <v>45.675535995813576</v>
      </c>
      <c r="D355" s="513">
        <f>'Cost input'!C80</f>
        <v>67.52</v>
      </c>
      <c r="E355" s="513">
        <f>'Cost input'!D80</f>
        <v>33.76</v>
      </c>
      <c r="F355" s="513">
        <f>'Cost input'!E80</f>
        <v>101.28</v>
      </c>
      <c r="G355" s="514">
        <f ca="1">'PSA inputs'!J311</f>
        <v>45.675535995813576</v>
      </c>
      <c r="I355" s="493" t="s">
        <v>7</v>
      </c>
      <c r="J355" s="513">
        <f ca="1">IF(AND('PSA inputs'!$I$867=1,'PSA inputs'!$I$890=1),N355,K355)</f>
        <v>45.675535995813576</v>
      </c>
      <c r="K355" s="513">
        <f>'Cost input'!C108</f>
        <v>67.52</v>
      </c>
      <c r="L355" s="513">
        <f>'Cost input'!D108</f>
        <v>33.76</v>
      </c>
      <c r="M355" s="513">
        <f>'Cost input'!E108</f>
        <v>101.28</v>
      </c>
      <c r="N355" s="513">
        <f ca="1">'PSA inputs'!U311</f>
        <v>45.675535995813576</v>
      </c>
      <c r="O355" s="742"/>
    </row>
    <row r="356" spans="2:15" ht="15" customHeight="1" x14ac:dyDescent="0.3">
      <c r="B356" s="493" t="s">
        <v>1469</v>
      </c>
      <c r="C356" s="513">
        <f ca="1">IF(AND('PSA inputs'!$I$867=1,'PSA inputs'!$I$887=1),G356,D356)</f>
        <v>45.675535995813576</v>
      </c>
      <c r="D356" s="513">
        <f>'Cost input'!C81</f>
        <v>67.52</v>
      </c>
      <c r="E356" s="513">
        <f>'Cost input'!D81</f>
        <v>33.76</v>
      </c>
      <c r="F356" s="513">
        <f>'Cost input'!E81</f>
        <v>101.28</v>
      </c>
      <c r="G356" s="514">
        <f ca="1">'PSA inputs'!J312</f>
        <v>45.675535995813576</v>
      </c>
      <c r="I356" s="493" t="s">
        <v>1469</v>
      </c>
      <c r="J356" s="513">
        <f ca="1">IF(AND('PSA inputs'!$I$867=1,'PSA inputs'!$I$890=1),N356,K356)</f>
        <v>45.675535995813576</v>
      </c>
      <c r="K356" s="513">
        <f>'Cost input'!C109</f>
        <v>67.52</v>
      </c>
      <c r="L356" s="513">
        <f>'Cost input'!D109</f>
        <v>33.76</v>
      </c>
      <c r="M356" s="513">
        <f>'Cost input'!E109</f>
        <v>101.28</v>
      </c>
      <c r="N356" s="513">
        <f ca="1">'PSA inputs'!U312</f>
        <v>45.675535995813576</v>
      </c>
      <c r="O356" s="742"/>
    </row>
    <row r="357" spans="2:15" x14ac:dyDescent="0.3">
      <c r="B357" s="487" t="s">
        <v>1444</v>
      </c>
      <c r="C357" s="515"/>
      <c r="D357" s="515"/>
      <c r="E357" s="515"/>
      <c r="F357" s="515"/>
      <c r="G357" s="515"/>
      <c r="H357" s="517"/>
      <c r="I357" s="487" t="s">
        <v>988</v>
      </c>
      <c r="J357" s="515"/>
      <c r="K357" s="515"/>
      <c r="L357" s="515"/>
      <c r="M357" s="515"/>
      <c r="N357" s="515"/>
      <c r="O357" s="746"/>
    </row>
    <row r="358" spans="2:15" x14ac:dyDescent="0.3">
      <c r="B358" s="493" t="s">
        <v>2</v>
      </c>
      <c r="C358" s="513">
        <f ca="1">IF(AND('PSA inputs'!$I$867=1,'PSA inputs'!$I$887=1),G358,D358)</f>
        <v>86.212081133790505</v>
      </c>
      <c r="D358" s="513">
        <f>'Cost input'!C83</f>
        <v>67.52</v>
      </c>
      <c r="E358" s="513">
        <f>'Cost input'!D83</f>
        <v>33.76</v>
      </c>
      <c r="F358" s="513">
        <f>'Cost input'!E83</f>
        <v>101.28</v>
      </c>
      <c r="G358" s="514">
        <f ca="1">'PSA inputs'!J314</f>
        <v>86.212081133790505</v>
      </c>
      <c r="H358" s="517"/>
      <c r="I358" s="493" t="s">
        <v>2</v>
      </c>
      <c r="J358" s="513">
        <f ca="1">IF(AND('PSA inputs'!$I$867=1,'PSA inputs'!$I$890=1),N358,K358)</f>
        <v>80.236123601023706</v>
      </c>
      <c r="K358" s="513">
        <f>'Cost input'!C111</f>
        <v>67.52</v>
      </c>
      <c r="L358" s="513">
        <f>'Cost input'!D111</f>
        <v>33.76</v>
      </c>
      <c r="M358" s="513">
        <f>'Cost input'!E111</f>
        <v>101.28</v>
      </c>
      <c r="N358" s="513">
        <f ca="1">'PSA inputs'!U314</f>
        <v>80.236123601023706</v>
      </c>
      <c r="O358" s="742"/>
    </row>
    <row r="359" spans="2:15" x14ac:dyDescent="0.3">
      <c r="B359" s="493" t="s">
        <v>3</v>
      </c>
      <c r="C359" s="513">
        <f ca="1">IF(AND('PSA inputs'!$I$867=1,'PSA inputs'!$I$887=1),G359,D359)</f>
        <v>86.212081133790505</v>
      </c>
      <c r="D359" s="513">
        <f>'Cost input'!C84</f>
        <v>67.52</v>
      </c>
      <c r="E359" s="513">
        <f>'Cost input'!D84</f>
        <v>33.76</v>
      </c>
      <c r="F359" s="513">
        <f>'Cost input'!E84</f>
        <v>101.28</v>
      </c>
      <c r="G359" s="514">
        <f ca="1">'PSA inputs'!J315</f>
        <v>86.212081133790505</v>
      </c>
      <c r="H359" s="517"/>
      <c r="I359" s="493" t="s">
        <v>3</v>
      </c>
      <c r="J359" s="513">
        <f ca="1">IF(AND('PSA inputs'!$I$867=1,'PSA inputs'!$I$890=1),N359,K359)</f>
        <v>80.236123601023706</v>
      </c>
      <c r="K359" s="513">
        <f>'Cost input'!C112</f>
        <v>67.52</v>
      </c>
      <c r="L359" s="513">
        <f>'Cost input'!D112</f>
        <v>33.76</v>
      </c>
      <c r="M359" s="513">
        <f>'Cost input'!E112</f>
        <v>101.28</v>
      </c>
      <c r="N359" s="513">
        <f ca="1">'PSA inputs'!U315</f>
        <v>80.236123601023706</v>
      </c>
      <c r="O359" s="742"/>
    </row>
    <row r="360" spans="2:15" x14ac:dyDescent="0.3">
      <c r="B360" s="493" t="s">
        <v>4</v>
      </c>
      <c r="C360" s="513">
        <f ca="1">IF(AND('PSA inputs'!$I$867=1,'PSA inputs'!$I$887=1),G360,D360)</f>
        <v>86.212081133790505</v>
      </c>
      <c r="D360" s="513">
        <f>'Cost input'!C85</f>
        <v>67.52</v>
      </c>
      <c r="E360" s="513">
        <f>'Cost input'!D85</f>
        <v>33.76</v>
      </c>
      <c r="F360" s="513">
        <f>'Cost input'!E85</f>
        <v>101.28</v>
      </c>
      <c r="G360" s="514">
        <f ca="1">'PSA inputs'!J316</f>
        <v>86.212081133790505</v>
      </c>
      <c r="H360" s="517"/>
      <c r="I360" s="493" t="s">
        <v>4</v>
      </c>
      <c r="J360" s="513">
        <f ca="1">IF(AND('PSA inputs'!$I$867=1,'PSA inputs'!$I$890=1),N360,K360)</f>
        <v>80.236123601023706</v>
      </c>
      <c r="K360" s="513">
        <f>'Cost input'!C113</f>
        <v>67.52</v>
      </c>
      <c r="L360" s="513">
        <f>'Cost input'!D113</f>
        <v>33.76</v>
      </c>
      <c r="M360" s="513">
        <f>'Cost input'!E113</f>
        <v>101.28</v>
      </c>
      <c r="N360" s="513">
        <f ca="1">'PSA inputs'!U316</f>
        <v>80.236123601023706</v>
      </c>
      <c r="O360" s="742"/>
    </row>
    <row r="361" spans="2:15" x14ac:dyDescent="0.3">
      <c r="B361" s="493" t="s">
        <v>5</v>
      </c>
      <c r="C361" s="513">
        <f ca="1">IF(AND('PSA inputs'!$I$867=1,'PSA inputs'!$I$887=1),G361,D361)</f>
        <v>86.212081133790505</v>
      </c>
      <c r="D361" s="513">
        <f>'Cost input'!C86</f>
        <v>67.52</v>
      </c>
      <c r="E361" s="513">
        <f>'Cost input'!D86</f>
        <v>33.76</v>
      </c>
      <c r="F361" s="513">
        <f>'Cost input'!E86</f>
        <v>101.28</v>
      </c>
      <c r="G361" s="514">
        <f ca="1">'PSA inputs'!J317</f>
        <v>86.212081133790505</v>
      </c>
      <c r="H361" s="517"/>
      <c r="I361" s="493" t="s">
        <v>5</v>
      </c>
      <c r="J361" s="513">
        <f ca="1">IF(AND('PSA inputs'!$I$867=1,'PSA inputs'!$I$890=1),N361,K361)</f>
        <v>80.236123601023706</v>
      </c>
      <c r="K361" s="513">
        <f>'Cost input'!C114</f>
        <v>67.52</v>
      </c>
      <c r="L361" s="513">
        <f>'Cost input'!D114</f>
        <v>33.76</v>
      </c>
      <c r="M361" s="513">
        <f>'Cost input'!E114</f>
        <v>101.28</v>
      </c>
      <c r="N361" s="513">
        <f ca="1">'PSA inputs'!U317</f>
        <v>80.236123601023706</v>
      </c>
      <c r="O361" s="742"/>
    </row>
    <row r="362" spans="2:15" x14ac:dyDescent="0.3">
      <c r="B362" s="493" t="s">
        <v>6</v>
      </c>
      <c r="C362" s="513">
        <f ca="1">IF(AND('PSA inputs'!$I$867=1,'PSA inputs'!$I$887=1),G362,D362)</f>
        <v>86.212081133790505</v>
      </c>
      <c r="D362" s="513">
        <f>'Cost input'!C87</f>
        <v>67.52</v>
      </c>
      <c r="E362" s="513">
        <f>'Cost input'!D87</f>
        <v>33.76</v>
      </c>
      <c r="F362" s="513">
        <f>'Cost input'!E87</f>
        <v>101.28</v>
      </c>
      <c r="G362" s="514">
        <f ca="1">'PSA inputs'!J318</f>
        <v>86.212081133790505</v>
      </c>
      <c r="H362" s="517"/>
      <c r="I362" s="493" t="s">
        <v>6</v>
      </c>
      <c r="J362" s="513">
        <f ca="1">IF(AND('PSA inputs'!$I$867=1,'PSA inputs'!$I$890=1),N362,K362)</f>
        <v>80.236123601023706</v>
      </c>
      <c r="K362" s="513">
        <f>'Cost input'!C115</f>
        <v>67.52</v>
      </c>
      <c r="L362" s="513">
        <f>'Cost input'!D115</f>
        <v>33.76</v>
      </c>
      <c r="M362" s="513">
        <f>'Cost input'!E115</f>
        <v>101.28</v>
      </c>
      <c r="N362" s="513">
        <f ca="1">'PSA inputs'!U318</f>
        <v>80.236123601023706</v>
      </c>
      <c r="O362" s="742"/>
    </row>
    <row r="363" spans="2:15" x14ac:dyDescent="0.3">
      <c r="B363" s="493" t="s">
        <v>7</v>
      </c>
      <c r="C363" s="513">
        <f ca="1">IF(AND('PSA inputs'!$I$867=1,'PSA inputs'!$I$887=1),G363,D363)</f>
        <v>86.212081133790505</v>
      </c>
      <c r="D363" s="513">
        <f>'Cost input'!C88</f>
        <v>67.52</v>
      </c>
      <c r="E363" s="513">
        <f>'Cost input'!D88</f>
        <v>33.76</v>
      </c>
      <c r="F363" s="513">
        <f>'Cost input'!E88</f>
        <v>101.28</v>
      </c>
      <c r="G363" s="514">
        <f ca="1">'PSA inputs'!J319</f>
        <v>86.212081133790505</v>
      </c>
      <c r="H363" s="517"/>
      <c r="I363" s="493" t="s">
        <v>7</v>
      </c>
      <c r="J363" s="513">
        <f ca="1">IF(AND('PSA inputs'!$I$867=1,'PSA inputs'!$I$890=1),N363,K363)</f>
        <v>80.236123601023706</v>
      </c>
      <c r="K363" s="513">
        <f>'Cost input'!C116</f>
        <v>67.52</v>
      </c>
      <c r="L363" s="513">
        <f>'Cost input'!D116</f>
        <v>33.76</v>
      </c>
      <c r="M363" s="513">
        <f>'Cost input'!E116</f>
        <v>101.28</v>
      </c>
      <c r="N363" s="513">
        <f ca="1">'PSA inputs'!U319</f>
        <v>80.236123601023706</v>
      </c>
      <c r="O363" s="742"/>
    </row>
    <row r="364" spans="2:15" x14ac:dyDescent="0.3">
      <c r="B364" s="493" t="s">
        <v>1469</v>
      </c>
      <c r="C364" s="513">
        <f ca="1">IF(AND('PSA inputs'!$I$867=1,'PSA inputs'!$I$887=1),G364,D364)</f>
        <v>86.212081133790505</v>
      </c>
      <c r="D364" s="513">
        <f>'Cost input'!C89</f>
        <v>67.52</v>
      </c>
      <c r="E364" s="513">
        <f>'Cost input'!D89</f>
        <v>33.76</v>
      </c>
      <c r="F364" s="513">
        <f>'Cost input'!E89</f>
        <v>101.28</v>
      </c>
      <c r="G364" s="514">
        <f ca="1">'PSA inputs'!J320</f>
        <v>86.212081133790505</v>
      </c>
      <c r="H364" s="517"/>
      <c r="I364" s="493" t="s">
        <v>1469</v>
      </c>
      <c r="J364" s="513">
        <f ca="1">IF(AND('PSA inputs'!$I$867=1,'PSA inputs'!$I$890=1),N364,K364)</f>
        <v>80.236123601023706</v>
      </c>
      <c r="K364" s="513">
        <f>'Cost input'!C117</f>
        <v>67.52</v>
      </c>
      <c r="L364" s="513">
        <f>'Cost input'!D117</f>
        <v>33.76</v>
      </c>
      <c r="M364" s="513">
        <f>'Cost input'!E117</f>
        <v>101.28</v>
      </c>
      <c r="N364" s="513">
        <f ca="1">'PSA inputs'!U320</f>
        <v>80.236123601023706</v>
      </c>
      <c r="O364" s="742"/>
    </row>
    <row r="365" spans="2:15" ht="15" customHeight="1" x14ac:dyDescent="0.3">
      <c r="B365" s="498" t="s">
        <v>227</v>
      </c>
      <c r="C365" s="515"/>
      <c r="D365" s="515"/>
      <c r="E365" s="515"/>
      <c r="F365" s="515"/>
      <c r="G365" s="515"/>
      <c r="I365" s="498" t="s">
        <v>227</v>
      </c>
      <c r="J365" s="515"/>
      <c r="K365" s="515"/>
      <c r="L365" s="515"/>
      <c r="M365" s="515"/>
      <c r="N365" s="515"/>
      <c r="O365" s="746"/>
    </row>
    <row r="366" spans="2:15" ht="15" customHeight="1" x14ac:dyDescent="0.3">
      <c r="B366" s="490" t="s">
        <v>1437</v>
      </c>
      <c r="C366" s="513">
        <f ca="1">IF(AND('PSA inputs'!$I$867=1,'PSA inputs'!$I$887=1),G366,D366)</f>
        <v>100.1575233277802</v>
      </c>
      <c r="D366" s="513">
        <f>'Cost input'!C91</f>
        <v>67.52</v>
      </c>
      <c r="E366" s="513">
        <f>'Cost input'!D91</f>
        <v>33.76</v>
      </c>
      <c r="F366" s="513">
        <f>'Cost input'!E91</f>
        <v>101.28</v>
      </c>
      <c r="G366" s="514">
        <f ca="1">'PSA inputs'!J322</f>
        <v>100.1575233277802</v>
      </c>
      <c r="I366" s="490" t="s">
        <v>1437</v>
      </c>
      <c r="J366" s="513">
        <f ca="1">IF(AND('PSA inputs'!$I$867=1,'PSA inputs'!$I$890=1),N366,K366)</f>
        <v>86.184465837775662</v>
      </c>
      <c r="K366" s="513">
        <f>'Cost input'!C119</f>
        <v>67.52</v>
      </c>
      <c r="L366" s="513">
        <f>'Cost input'!D119</f>
        <v>33.76</v>
      </c>
      <c r="M366" s="513">
        <f>'Cost input'!E119</f>
        <v>101.28</v>
      </c>
      <c r="N366" s="513">
        <f ca="1">'PSA inputs'!U322</f>
        <v>86.184465837775662</v>
      </c>
      <c r="O366" s="742"/>
    </row>
    <row r="367" spans="2:15" ht="15" customHeight="1" x14ac:dyDescent="0.3">
      <c r="B367" s="490" t="s">
        <v>1438</v>
      </c>
      <c r="C367" s="513">
        <f ca="1">IF(AND('PSA inputs'!$I$867=1,'PSA inputs'!$I$887=1),G367,D367)</f>
        <v>100.1575233277802</v>
      </c>
      <c r="D367" s="513">
        <f>'Cost input'!C92</f>
        <v>67.52</v>
      </c>
      <c r="E367" s="513">
        <f>'Cost input'!D92</f>
        <v>33.76</v>
      </c>
      <c r="F367" s="513">
        <f>'Cost input'!E92</f>
        <v>101.28</v>
      </c>
      <c r="G367" s="514">
        <f ca="1">'PSA inputs'!J323</f>
        <v>100.1575233277802</v>
      </c>
      <c r="I367" s="490" t="s">
        <v>1438</v>
      </c>
      <c r="J367" s="513">
        <f ca="1">IF(AND('PSA inputs'!$I$867=1,'PSA inputs'!$I$890=1),N367,K367)</f>
        <v>86.184465837775662</v>
      </c>
      <c r="K367" s="513">
        <f>'Cost input'!C120</f>
        <v>67.52</v>
      </c>
      <c r="L367" s="513">
        <f>'Cost input'!D120</f>
        <v>33.76</v>
      </c>
      <c r="M367" s="513">
        <f>'Cost input'!E120</f>
        <v>101.28</v>
      </c>
      <c r="N367" s="513">
        <f ca="1">'PSA inputs'!U323</f>
        <v>86.184465837775662</v>
      </c>
      <c r="O367" s="742"/>
    </row>
    <row r="368" spans="2:15" ht="15" customHeight="1" x14ac:dyDescent="0.3">
      <c r="B368" s="490" t="s">
        <v>1441</v>
      </c>
      <c r="C368" s="513">
        <f ca="1">IF(AND('PSA inputs'!$I$867=1,'PSA inputs'!$I$887=1),G368,D368)</f>
        <v>100.1575233277802</v>
      </c>
      <c r="D368" s="513">
        <f>'Cost input'!C93</f>
        <v>67.52</v>
      </c>
      <c r="E368" s="513">
        <f>'Cost input'!D93</f>
        <v>33.76</v>
      </c>
      <c r="F368" s="513">
        <f>'Cost input'!E93</f>
        <v>101.28</v>
      </c>
      <c r="G368" s="514">
        <f ca="1">'PSA inputs'!J324</f>
        <v>100.1575233277802</v>
      </c>
      <c r="I368" s="490" t="s">
        <v>1441</v>
      </c>
      <c r="J368" s="513">
        <f ca="1">IF(AND('PSA inputs'!$I$867=1,'PSA inputs'!$I$890=1),N368,K368)</f>
        <v>86.184465837775662</v>
      </c>
      <c r="K368" s="513">
        <f>'Cost input'!C121</f>
        <v>67.52</v>
      </c>
      <c r="L368" s="513">
        <f>'Cost input'!D121</f>
        <v>33.76</v>
      </c>
      <c r="M368" s="513">
        <f>'Cost input'!E121</f>
        <v>101.28</v>
      </c>
      <c r="N368" s="513">
        <f ca="1">'PSA inputs'!U324</f>
        <v>86.184465837775662</v>
      </c>
      <c r="O368" s="742"/>
    </row>
    <row r="369" spans="2:15" ht="15" customHeight="1" x14ac:dyDescent="0.3">
      <c r="B369" s="490" t="s">
        <v>1442</v>
      </c>
      <c r="C369" s="513">
        <f ca="1">IF(AND('PSA inputs'!$I$867=1,'PSA inputs'!$I$887=1),G369,D369)</f>
        <v>100.1575233277802</v>
      </c>
      <c r="D369" s="513">
        <f>'Cost input'!C94</f>
        <v>67.52</v>
      </c>
      <c r="E369" s="513">
        <f>'Cost input'!D94</f>
        <v>33.76</v>
      </c>
      <c r="F369" s="513">
        <f>'Cost input'!E94</f>
        <v>101.28</v>
      </c>
      <c r="G369" s="514">
        <f ca="1">'PSA inputs'!J325</f>
        <v>100.1575233277802</v>
      </c>
      <c r="I369" s="490" t="s">
        <v>1442</v>
      </c>
      <c r="J369" s="513">
        <f ca="1">IF(AND('PSA inputs'!$I$867=1,'PSA inputs'!$I$890=1),N369,K369)</f>
        <v>86.184465837775662</v>
      </c>
      <c r="K369" s="513">
        <f>'Cost input'!C122</f>
        <v>67.52</v>
      </c>
      <c r="L369" s="513">
        <f>'Cost input'!D122</f>
        <v>33.76</v>
      </c>
      <c r="M369" s="513">
        <f>'Cost input'!E122</f>
        <v>101.28</v>
      </c>
      <c r="N369" s="513">
        <f ca="1">'PSA inputs'!U325</f>
        <v>86.184465837775662</v>
      </c>
      <c r="O369" s="742"/>
    </row>
    <row r="370" spans="2:15" ht="15" customHeight="1" x14ac:dyDescent="0.3">
      <c r="B370" s="498" t="s">
        <v>920</v>
      </c>
      <c r="C370" s="515"/>
      <c r="D370" s="515"/>
      <c r="E370" s="515"/>
      <c r="F370" s="515"/>
      <c r="G370" s="515"/>
      <c r="I370" s="498" t="s">
        <v>920</v>
      </c>
      <c r="J370" s="515"/>
      <c r="K370" s="515"/>
      <c r="L370" s="515"/>
      <c r="M370" s="515"/>
      <c r="N370" s="515"/>
      <c r="O370" s="746"/>
    </row>
    <row r="371" spans="2:15" ht="15" customHeight="1" x14ac:dyDescent="0.3">
      <c r="B371" s="490" t="s">
        <v>920</v>
      </c>
      <c r="C371" s="513">
        <f ca="1">IF(AND('PSA inputs'!$I$867=1,'PSA inputs'!$I$887=1),G371,D371)</f>
        <v>100.1575233277802</v>
      </c>
      <c r="D371" s="513">
        <f>'Cost input'!C96</f>
        <v>67.52</v>
      </c>
      <c r="E371" s="513">
        <f>'Cost input'!D96</f>
        <v>33.76</v>
      </c>
      <c r="F371" s="513">
        <f>'Cost input'!E96</f>
        <v>101.28</v>
      </c>
      <c r="G371" s="514">
        <f ca="1">'PSA inputs'!J327</f>
        <v>100.1575233277802</v>
      </c>
      <c r="I371" s="490" t="s">
        <v>920</v>
      </c>
      <c r="J371" s="513">
        <f ca="1">IF(AND('PSA inputs'!$I$867=1,'PSA inputs'!$I$890=1),N371,K371)</f>
        <v>43.970260292623294</v>
      </c>
      <c r="K371" s="513">
        <f>'Cost input'!C124</f>
        <v>67.52</v>
      </c>
      <c r="L371" s="513">
        <f>'Cost input'!D124</f>
        <v>33.76</v>
      </c>
      <c r="M371" s="513">
        <f>'Cost input'!E124</f>
        <v>101.28</v>
      </c>
      <c r="N371" s="513">
        <f ca="1">'PSA inputs'!U327</f>
        <v>43.970260292623294</v>
      </c>
      <c r="O371" s="742"/>
    </row>
    <row r="372" spans="2:15" ht="15" customHeight="1" x14ac:dyDescent="0.3">
      <c r="B372" s="490" t="s">
        <v>980</v>
      </c>
      <c r="C372" s="513">
        <f ca="1">IF(AND('PSA inputs'!$I$867=1,'PSA inputs'!$I$887=1),G372,D372)</f>
        <v>100.1575233277802</v>
      </c>
      <c r="D372" s="513">
        <f>'Cost input'!C97</f>
        <v>67.52</v>
      </c>
      <c r="E372" s="513">
        <f>'Cost input'!D97</f>
        <v>33.76</v>
      </c>
      <c r="F372" s="513">
        <f>'Cost input'!E97</f>
        <v>101.28</v>
      </c>
      <c r="G372" s="514">
        <f ca="1">'PSA inputs'!J328</f>
        <v>100.1575233277802</v>
      </c>
      <c r="I372" s="490" t="s">
        <v>980</v>
      </c>
      <c r="J372" s="513">
        <f ca="1">IF(AND('PSA inputs'!$I$867=1,'PSA inputs'!$I$890=1),N372,K372)</f>
        <v>43.970260292623294</v>
      </c>
      <c r="K372" s="513">
        <f>'Cost input'!C125</f>
        <v>67.52</v>
      </c>
      <c r="L372" s="513">
        <f>'Cost input'!D125</f>
        <v>33.76</v>
      </c>
      <c r="M372" s="513">
        <f>'Cost input'!E125</f>
        <v>101.28</v>
      </c>
      <c r="N372" s="513">
        <f ca="1">'PSA inputs'!U328</f>
        <v>43.970260292623294</v>
      </c>
      <c r="O372" s="742"/>
    </row>
    <row r="373" spans="2:15" ht="15" customHeight="1" x14ac:dyDescent="0.3">
      <c r="B373" s="518"/>
      <c r="C373" s="449"/>
      <c r="D373" s="449"/>
      <c r="E373" s="449"/>
      <c r="F373" s="449"/>
      <c r="G373" s="449"/>
      <c r="I373" s="518"/>
      <c r="J373" s="449"/>
      <c r="K373" s="449"/>
      <c r="L373" s="449"/>
      <c r="M373" s="449"/>
      <c r="N373" s="449"/>
      <c r="O373" s="742"/>
    </row>
    <row r="374" spans="2:15" s="296" customFormat="1" ht="15" customHeight="1" x14ac:dyDescent="0.3">
      <c r="B374" s="294" t="s">
        <v>1446</v>
      </c>
      <c r="C374" s="305"/>
      <c r="D374" s="305"/>
      <c r="E374" s="305"/>
      <c r="F374" s="305"/>
      <c r="G374" s="305"/>
      <c r="I374" s="294" t="s">
        <v>1446</v>
      </c>
      <c r="J374" s="305"/>
      <c r="K374" s="305"/>
      <c r="L374" s="305"/>
      <c r="M374" s="305"/>
      <c r="N374" s="305"/>
      <c r="O374" s="749"/>
    </row>
    <row r="375" spans="2:15" x14ac:dyDescent="0.3">
      <c r="B375" s="613" t="s">
        <v>1535</v>
      </c>
      <c r="C375" s="614"/>
      <c r="D375" s="614"/>
      <c r="E375" s="614"/>
      <c r="F375" s="614"/>
      <c r="G375" s="614"/>
      <c r="I375" s="613" t="s">
        <v>1497</v>
      </c>
      <c r="J375" s="614"/>
      <c r="K375" s="614"/>
      <c r="L375" s="614"/>
      <c r="M375" s="614"/>
      <c r="N375" s="614"/>
      <c r="O375" s="742"/>
    </row>
    <row r="376" spans="2:15" s="296" customFormat="1" ht="15" customHeight="1" x14ac:dyDescent="0.3">
      <c r="B376" s="17" t="s">
        <v>950</v>
      </c>
      <c r="C376" s="152" t="s">
        <v>724</v>
      </c>
      <c r="D376" s="152" t="s">
        <v>995</v>
      </c>
      <c r="E376" s="152" t="s">
        <v>985</v>
      </c>
      <c r="F376" s="152" t="s">
        <v>986</v>
      </c>
      <c r="G376" s="152" t="s">
        <v>996</v>
      </c>
      <c r="I376" s="17" t="s">
        <v>950</v>
      </c>
      <c r="J376" s="152" t="s">
        <v>724</v>
      </c>
      <c r="K376" s="152" t="s">
        <v>995</v>
      </c>
      <c r="L376" s="152" t="s">
        <v>985</v>
      </c>
      <c r="M376" s="152" t="s">
        <v>986</v>
      </c>
      <c r="N376" s="152" t="s">
        <v>996</v>
      </c>
      <c r="O376" s="750"/>
    </row>
    <row r="377" spans="2:15" s="296" customFormat="1" ht="15" customHeight="1" x14ac:dyDescent="0.3">
      <c r="B377" s="315" t="s">
        <v>1445</v>
      </c>
      <c r="D377" s="306"/>
      <c r="E377" s="306"/>
      <c r="I377" s="315" t="s">
        <v>1445</v>
      </c>
      <c r="K377" s="306"/>
      <c r="L377" s="306"/>
      <c r="O377" s="743"/>
    </row>
    <row r="378" spans="2:15" s="296" customFormat="1" ht="15" customHeight="1" x14ac:dyDescent="0.3">
      <c r="B378" s="313" t="s">
        <v>2</v>
      </c>
      <c r="C378" s="513">
        <f ca="1">IF(AND('PSA inputs'!$I$867=1,'PSA inputs'!$I$896=1),G378,D378)</f>
        <v>33.85152517087468</v>
      </c>
      <c r="D378" s="513">
        <f>'Cost input'!C222</f>
        <v>32.621217391304349</v>
      </c>
      <c r="E378" s="513">
        <f>'Cost input'!D222</f>
        <v>21.208478260869569</v>
      </c>
      <c r="F378" s="513">
        <f>'Cost input'!E222</f>
        <v>44.04567391304348</v>
      </c>
      <c r="G378" s="514">
        <f ca="1">'PSA inputs'!J389</f>
        <v>33.85152517087468</v>
      </c>
      <c r="I378" s="313" t="s">
        <v>2</v>
      </c>
      <c r="J378" s="513">
        <f ca="1">IF(AND('PSA inputs'!$I$867=1,'PSA inputs'!$I$898=1),N378,K378)</f>
        <v>28.367212351562717</v>
      </c>
      <c r="K378" s="513">
        <f>'Cost input'!C277</f>
        <v>32.621217391304349</v>
      </c>
      <c r="L378" s="513">
        <f>'Cost input'!D277</f>
        <v>21.208478260869569</v>
      </c>
      <c r="M378" s="513">
        <f>'Cost input'!E277</f>
        <v>44.04567391304348</v>
      </c>
      <c r="N378" s="514">
        <f ca="1">'PSA inputs'!U389</f>
        <v>28.367212351562717</v>
      </c>
      <c r="O378" s="742"/>
    </row>
    <row r="379" spans="2:15" s="296" customFormat="1" ht="15" customHeight="1" x14ac:dyDescent="0.3">
      <c r="B379" s="313" t="s">
        <v>3</v>
      </c>
      <c r="C379" s="513">
        <f ca="1">IF(AND('PSA inputs'!$I$867=1,'PSA inputs'!$I$896=1),G379,D379)</f>
        <v>33.85152517087468</v>
      </c>
      <c r="D379" s="513">
        <f>'Cost input'!C223</f>
        <v>32.621217391304349</v>
      </c>
      <c r="E379" s="513">
        <f>'Cost input'!D223</f>
        <v>21.208478260869569</v>
      </c>
      <c r="F379" s="513">
        <f>'Cost input'!E223</f>
        <v>44.04567391304348</v>
      </c>
      <c r="G379" s="514">
        <f ca="1">'PSA inputs'!J390</f>
        <v>33.85152517087468</v>
      </c>
      <c r="I379" s="313" t="s">
        <v>3</v>
      </c>
      <c r="J379" s="513">
        <f ca="1">IF(AND('PSA inputs'!$I$867=1,'PSA inputs'!$I$898=1),N379,K379)</f>
        <v>28.367212351562717</v>
      </c>
      <c r="K379" s="513">
        <f>'Cost input'!C278</f>
        <v>32.621217391304349</v>
      </c>
      <c r="L379" s="513">
        <f>'Cost input'!D278</f>
        <v>21.208478260869569</v>
      </c>
      <c r="M379" s="513">
        <f>'Cost input'!E278</f>
        <v>44.04567391304348</v>
      </c>
      <c r="N379" s="514">
        <f ca="1">'PSA inputs'!U390</f>
        <v>28.367212351562717</v>
      </c>
      <c r="O379" s="742"/>
    </row>
    <row r="380" spans="2:15" s="296" customFormat="1" ht="15" customHeight="1" x14ac:dyDescent="0.3">
      <c r="B380" s="313" t="s">
        <v>4</v>
      </c>
      <c r="C380" s="513">
        <f ca="1">IF(AND('PSA inputs'!$I$867=1,'PSA inputs'!$I$896=1),G380,D380)</f>
        <v>33.85152517087468</v>
      </c>
      <c r="D380" s="513">
        <f>'Cost input'!C224</f>
        <v>32.621217391304349</v>
      </c>
      <c r="E380" s="513">
        <f>'Cost input'!D224</f>
        <v>21.208478260869569</v>
      </c>
      <c r="F380" s="513">
        <f>'Cost input'!E224</f>
        <v>44.04567391304348</v>
      </c>
      <c r="G380" s="514">
        <f ca="1">'PSA inputs'!J391</f>
        <v>33.85152517087468</v>
      </c>
      <c r="I380" s="313" t="s">
        <v>4</v>
      </c>
      <c r="J380" s="513">
        <f ca="1">IF(AND('PSA inputs'!$I$867=1,'PSA inputs'!$I$898=1),N380,K380)</f>
        <v>28.367212351562717</v>
      </c>
      <c r="K380" s="513">
        <f>'Cost input'!C279</f>
        <v>32.621217391304349</v>
      </c>
      <c r="L380" s="513">
        <f>'Cost input'!D279</f>
        <v>21.208478260869569</v>
      </c>
      <c r="M380" s="513">
        <f>'Cost input'!E279</f>
        <v>44.04567391304348</v>
      </c>
      <c r="N380" s="514">
        <f ca="1">'PSA inputs'!U391</f>
        <v>28.367212351562717</v>
      </c>
      <c r="O380" s="742"/>
    </row>
    <row r="381" spans="2:15" s="296" customFormat="1" ht="15" customHeight="1" x14ac:dyDescent="0.3">
      <c r="B381" s="313" t="s">
        <v>5</v>
      </c>
      <c r="C381" s="513">
        <f ca="1">IF(AND('PSA inputs'!$I$867=1,'PSA inputs'!$I$896=1),G381,D381)</f>
        <v>34.215082035350122</v>
      </c>
      <c r="D381" s="513">
        <f>'Cost input'!C225</f>
        <v>32.832130434782606</v>
      </c>
      <c r="E381" s="513">
        <f>'Cost input'!D225</f>
        <v>19.404</v>
      </c>
      <c r="F381" s="513">
        <f>'Cost input'!E225</f>
        <v>46.365717391304351</v>
      </c>
      <c r="G381" s="514">
        <f ca="1">'PSA inputs'!J392</f>
        <v>34.215082035350122</v>
      </c>
      <c r="I381" s="313" t="s">
        <v>5</v>
      </c>
      <c r="J381" s="513">
        <f ca="1">IF(AND('PSA inputs'!$I$867=1,'PSA inputs'!$I$898=1),N381,K381)</f>
        <v>27.785018120945519</v>
      </c>
      <c r="K381" s="513">
        <f>'Cost input'!C280</f>
        <v>32.832130434782606</v>
      </c>
      <c r="L381" s="513">
        <f>'Cost input'!D280</f>
        <v>19.404</v>
      </c>
      <c r="M381" s="513">
        <f>'Cost input'!E280</f>
        <v>46.365717391304351</v>
      </c>
      <c r="N381" s="514">
        <f ca="1">'PSA inputs'!U392</f>
        <v>27.785018120945519</v>
      </c>
      <c r="O381" s="742"/>
    </row>
    <row r="382" spans="2:15" s="296" customFormat="1" ht="15" customHeight="1" x14ac:dyDescent="0.3">
      <c r="B382" s="313" t="s">
        <v>6</v>
      </c>
      <c r="C382" s="513">
        <f ca="1">IF(AND('PSA inputs'!$I$867=1,'PSA inputs'!$I$896=1),G382,D382)</f>
        <v>34.215082035350122</v>
      </c>
      <c r="D382" s="513">
        <f>'Cost input'!C226</f>
        <v>32.832130434782606</v>
      </c>
      <c r="E382" s="513">
        <f>'Cost input'!D226</f>
        <v>19.404</v>
      </c>
      <c r="F382" s="513">
        <f>'Cost input'!E226</f>
        <v>46.365717391304351</v>
      </c>
      <c r="G382" s="514">
        <f ca="1">'PSA inputs'!J393</f>
        <v>34.215082035350122</v>
      </c>
      <c r="I382" s="313" t="s">
        <v>6</v>
      </c>
      <c r="J382" s="513">
        <f ca="1">IF(AND('PSA inputs'!$I$867=1,'PSA inputs'!$I$898=1),N382,K382)</f>
        <v>27.785018120945519</v>
      </c>
      <c r="K382" s="513">
        <f>'Cost input'!C281</f>
        <v>32.832130434782606</v>
      </c>
      <c r="L382" s="513">
        <f>'Cost input'!D281</f>
        <v>19.404</v>
      </c>
      <c r="M382" s="513">
        <f>'Cost input'!E281</f>
        <v>46.365717391304351</v>
      </c>
      <c r="N382" s="514">
        <f ca="1">'PSA inputs'!U393</f>
        <v>27.785018120945519</v>
      </c>
      <c r="O382" s="742"/>
    </row>
    <row r="383" spans="2:15" s="296" customFormat="1" ht="15" customHeight="1" x14ac:dyDescent="0.3">
      <c r="B383" s="313" t="s">
        <v>7</v>
      </c>
      <c r="C383" s="513">
        <f ca="1">IF(AND('PSA inputs'!$I$867=1,'PSA inputs'!$I$896=1),G383,D383)</f>
        <v>34.215082035350122</v>
      </c>
      <c r="D383" s="513">
        <f>'Cost input'!C227</f>
        <v>32.832130434782606</v>
      </c>
      <c r="E383" s="513">
        <f>'Cost input'!D227</f>
        <v>19.404</v>
      </c>
      <c r="F383" s="513">
        <f>'Cost input'!E227</f>
        <v>46.365717391304351</v>
      </c>
      <c r="G383" s="514">
        <f ca="1">'PSA inputs'!J394</f>
        <v>34.215082035350122</v>
      </c>
      <c r="I383" s="313" t="s">
        <v>7</v>
      </c>
      <c r="J383" s="513">
        <f ca="1">IF(AND('PSA inputs'!$I$867=1,'PSA inputs'!$I$898=1),N383,K383)</f>
        <v>27.785018120945519</v>
      </c>
      <c r="K383" s="513">
        <f>'Cost input'!C282</f>
        <v>32.832130434782606</v>
      </c>
      <c r="L383" s="513">
        <f>'Cost input'!D282</f>
        <v>19.404</v>
      </c>
      <c r="M383" s="513">
        <f>'Cost input'!E282</f>
        <v>46.365717391304351</v>
      </c>
      <c r="N383" s="514">
        <f ca="1">'PSA inputs'!U394</f>
        <v>27.785018120945519</v>
      </c>
      <c r="O383" s="742"/>
    </row>
    <row r="384" spans="2:15" s="296" customFormat="1" ht="15" customHeight="1" x14ac:dyDescent="0.3">
      <c r="B384" s="313" t="s">
        <v>11</v>
      </c>
      <c r="C384" s="513">
        <f ca="1">IF(AND('PSA inputs'!$I$867=1,'PSA inputs'!$I$896=1),G384,D384)</f>
        <v>34.156670894585453</v>
      </c>
      <c r="D384" s="513">
        <f>'Cost input'!C228</f>
        <v>32.843847826086964</v>
      </c>
      <c r="E384" s="513">
        <f>'Cost input'!D228</f>
        <v>20.364826086956526</v>
      </c>
      <c r="F384" s="513">
        <f>'Cost input'!E228</f>
        <v>45.322869565217395</v>
      </c>
      <c r="G384" s="514">
        <f ca="1">'PSA inputs'!J395</f>
        <v>34.156670894585453</v>
      </c>
      <c r="I384" s="313" t="s">
        <v>11</v>
      </c>
      <c r="J384" s="513">
        <f ca="1">IF(AND('PSA inputs'!$I$867=1,'PSA inputs'!$I$898=1),N384,K384)</f>
        <v>28.183228629693343</v>
      </c>
      <c r="K384" s="513">
        <f>'Cost input'!C283</f>
        <v>32.843847826086964</v>
      </c>
      <c r="L384" s="513">
        <f>'Cost input'!D283</f>
        <v>20.364826086956526</v>
      </c>
      <c r="M384" s="513">
        <f>'Cost input'!E283</f>
        <v>45.322869565217395</v>
      </c>
      <c r="N384" s="514">
        <f ca="1">'PSA inputs'!U395</f>
        <v>28.183228629693343</v>
      </c>
      <c r="O384" s="742"/>
    </row>
    <row r="385" spans="2:15" s="296" customFormat="1" x14ac:dyDescent="0.3">
      <c r="B385" s="315" t="s">
        <v>1444</v>
      </c>
      <c r="C385" s="515"/>
      <c r="D385" s="515"/>
      <c r="E385" s="515"/>
      <c r="F385" s="515"/>
      <c r="G385" s="515"/>
      <c r="H385" s="322"/>
      <c r="I385" s="315" t="s">
        <v>1444</v>
      </c>
      <c r="J385" s="515"/>
      <c r="K385" s="515"/>
      <c r="L385" s="515"/>
      <c r="M385" s="515"/>
      <c r="N385" s="515"/>
      <c r="O385" s="746"/>
    </row>
    <row r="386" spans="2:15" s="296" customFormat="1" x14ac:dyDescent="0.3">
      <c r="B386" s="313" t="s">
        <v>2</v>
      </c>
      <c r="C386" s="513">
        <f ca="1">IF(AND('PSA inputs'!$I$867=1,'PSA inputs'!$I$896=1),G386,D386)</f>
        <v>30.149386408778881</v>
      </c>
      <c r="D386" s="513">
        <f>'Cost input'!C230</f>
        <v>33.089913043478262</v>
      </c>
      <c r="E386" s="513">
        <f>'Cost input'!D230</f>
        <v>20.187913280652175</v>
      </c>
      <c r="F386" s="513">
        <f>'Cost input'!E230</f>
        <v>46.001966328043487</v>
      </c>
      <c r="G386" s="514">
        <f ca="1">'PSA inputs'!J397</f>
        <v>30.149386408778881</v>
      </c>
      <c r="H386" s="322"/>
      <c r="I386" s="313" t="s">
        <v>2</v>
      </c>
      <c r="J386" s="513">
        <f ca="1">IF(AND('PSA inputs'!$I$867=1,'PSA inputs'!$I$898=1),N386,K386)</f>
        <v>29.010412732388012</v>
      </c>
      <c r="K386" s="513">
        <f>'Cost input'!C285</f>
        <v>33.089913043478262</v>
      </c>
      <c r="L386" s="513">
        <f>'Cost input'!D285</f>
        <v>20.187913280652175</v>
      </c>
      <c r="M386" s="513">
        <f>'Cost input'!E285</f>
        <v>46.001966328043487</v>
      </c>
      <c r="N386" s="514">
        <f ca="1">'PSA inputs'!U397</f>
        <v>29.010412732388012</v>
      </c>
      <c r="O386" s="742"/>
    </row>
    <row r="387" spans="2:15" s="296" customFormat="1" x14ac:dyDescent="0.3">
      <c r="B387" s="313" t="s">
        <v>3</v>
      </c>
      <c r="C387" s="513">
        <f ca="1">IF(AND('PSA inputs'!$I$867=1,'PSA inputs'!$I$896=1),G387,D387)</f>
        <v>30.149386408778881</v>
      </c>
      <c r="D387" s="513">
        <f>'Cost input'!C231</f>
        <v>33.089913043478262</v>
      </c>
      <c r="E387" s="513">
        <f>'Cost input'!D231</f>
        <v>20.187913280652175</v>
      </c>
      <c r="F387" s="513">
        <f>'Cost input'!E231</f>
        <v>46.001966328043487</v>
      </c>
      <c r="G387" s="514">
        <f ca="1">'PSA inputs'!J398</f>
        <v>30.149386408778881</v>
      </c>
      <c r="H387" s="322"/>
      <c r="I387" s="313" t="s">
        <v>3</v>
      </c>
      <c r="J387" s="513">
        <f ca="1">IF(AND('PSA inputs'!$I$867=1,'PSA inputs'!$I$898=1),N387,K387)</f>
        <v>29.010412732388012</v>
      </c>
      <c r="K387" s="513">
        <f>'Cost input'!C286</f>
        <v>33.089913043478262</v>
      </c>
      <c r="L387" s="513">
        <f>'Cost input'!D286</f>
        <v>20.187913280652175</v>
      </c>
      <c r="M387" s="513">
        <f>'Cost input'!E286</f>
        <v>46.001966328043487</v>
      </c>
      <c r="N387" s="514">
        <f ca="1">'PSA inputs'!U398</f>
        <v>29.010412732388012</v>
      </c>
      <c r="O387" s="742"/>
    </row>
    <row r="388" spans="2:15" s="296" customFormat="1" x14ac:dyDescent="0.3">
      <c r="B388" s="313" t="s">
        <v>4</v>
      </c>
      <c r="C388" s="513">
        <f ca="1">IF(AND('PSA inputs'!$I$867=1,'PSA inputs'!$I$896=1),G388,D388)</f>
        <v>30.149386408778881</v>
      </c>
      <c r="D388" s="513">
        <f>'Cost input'!C232</f>
        <v>33.089913043478262</v>
      </c>
      <c r="E388" s="513">
        <f>'Cost input'!D232</f>
        <v>20.187913280652175</v>
      </c>
      <c r="F388" s="513">
        <f>'Cost input'!E232</f>
        <v>46.001966328043487</v>
      </c>
      <c r="G388" s="514">
        <f ca="1">'PSA inputs'!J399</f>
        <v>30.149386408778881</v>
      </c>
      <c r="H388" s="322"/>
      <c r="I388" s="313" t="s">
        <v>4</v>
      </c>
      <c r="J388" s="513">
        <f ca="1">IF(AND('PSA inputs'!$I$867=1,'PSA inputs'!$I$898=1),N388,K388)</f>
        <v>29.010412732388012</v>
      </c>
      <c r="K388" s="513">
        <f>'Cost input'!C287</f>
        <v>33.089913043478262</v>
      </c>
      <c r="L388" s="513">
        <f>'Cost input'!D287</f>
        <v>20.187913280652175</v>
      </c>
      <c r="M388" s="513">
        <f>'Cost input'!E287</f>
        <v>46.001966328043487</v>
      </c>
      <c r="N388" s="514">
        <f ca="1">'PSA inputs'!U399</f>
        <v>29.010412732388012</v>
      </c>
      <c r="O388" s="742"/>
    </row>
    <row r="389" spans="2:15" s="296" customFormat="1" x14ac:dyDescent="0.3">
      <c r="B389" s="313" t="s">
        <v>5</v>
      </c>
      <c r="C389" s="513">
        <f ca="1">IF(AND('PSA inputs'!$I$867=1,'PSA inputs'!$I$896=1),G389,D389)</f>
        <v>30.149386408778881</v>
      </c>
      <c r="D389" s="513">
        <f>'Cost input'!C233</f>
        <v>33.089913043478262</v>
      </c>
      <c r="E389" s="513">
        <f>'Cost input'!D233</f>
        <v>20.187913280652175</v>
      </c>
      <c r="F389" s="513">
        <f>'Cost input'!E233</f>
        <v>46.001966328043487</v>
      </c>
      <c r="G389" s="514">
        <f ca="1">'PSA inputs'!J400</f>
        <v>30.149386408778881</v>
      </c>
      <c r="H389" s="322"/>
      <c r="I389" s="313" t="s">
        <v>5</v>
      </c>
      <c r="J389" s="513">
        <f ca="1">IF(AND('PSA inputs'!$I$867=1,'PSA inputs'!$I$898=1),N389,K389)</f>
        <v>29.010412732388012</v>
      </c>
      <c r="K389" s="513">
        <f>'Cost input'!C288</f>
        <v>33.089913043478262</v>
      </c>
      <c r="L389" s="513">
        <f>'Cost input'!D288</f>
        <v>20.187913280652175</v>
      </c>
      <c r="M389" s="513">
        <f>'Cost input'!E288</f>
        <v>46.001966328043487</v>
      </c>
      <c r="N389" s="514">
        <f ca="1">'PSA inputs'!U400</f>
        <v>29.010412732388012</v>
      </c>
      <c r="O389" s="742"/>
    </row>
    <row r="390" spans="2:15" s="296" customFormat="1" x14ac:dyDescent="0.3">
      <c r="B390" s="313" t="s">
        <v>6</v>
      </c>
      <c r="C390" s="513">
        <f ca="1">IF(AND('PSA inputs'!$I$867=1,'PSA inputs'!$I$896=1),G390,D390)</f>
        <v>30.149386408778881</v>
      </c>
      <c r="D390" s="513">
        <f>'Cost input'!C234</f>
        <v>33.089913043478262</v>
      </c>
      <c r="E390" s="513">
        <f>'Cost input'!D234</f>
        <v>20.187913280652175</v>
      </c>
      <c r="F390" s="513">
        <f>'Cost input'!E234</f>
        <v>46.001966328043487</v>
      </c>
      <c r="G390" s="514">
        <f ca="1">'PSA inputs'!J401</f>
        <v>30.149386408778881</v>
      </c>
      <c r="H390" s="322"/>
      <c r="I390" s="313" t="s">
        <v>6</v>
      </c>
      <c r="J390" s="513">
        <f ca="1">IF(AND('PSA inputs'!$I$867=1,'PSA inputs'!$I$898=1),N390,K390)</f>
        <v>29.010412732388012</v>
      </c>
      <c r="K390" s="513">
        <f>'Cost input'!C289</f>
        <v>33.089913043478262</v>
      </c>
      <c r="L390" s="513">
        <f>'Cost input'!D289</f>
        <v>20.187913280652175</v>
      </c>
      <c r="M390" s="513">
        <f>'Cost input'!E289</f>
        <v>46.001966328043487</v>
      </c>
      <c r="N390" s="514">
        <f ca="1">'PSA inputs'!U401</f>
        <v>29.010412732388012</v>
      </c>
      <c r="O390" s="742"/>
    </row>
    <row r="391" spans="2:15" s="296" customFormat="1" x14ac:dyDescent="0.3">
      <c r="B391" s="313" t="s">
        <v>7</v>
      </c>
      <c r="C391" s="513">
        <f ca="1">IF(AND('PSA inputs'!$I$867=1,'PSA inputs'!$I$896=1),G391,D391)</f>
        <v>30.149386408778881</v>
      </c>
      <c r="D391" s="513">
        <f>'Cost input'!C235</f>
        <v>33.089913043478262</v>
      </c>
      <c r="E391" s="513">
        <f>'Cost input'!D235</f>
        <v>20.187913280652175</v>
      </c>
      <c r="F391" s="513">
        <f>'Cost input'!E235</f>
        <v>46.001966328043487</v>
      </c>
      <c r="G391" s="514">
        <f ca="1">'PSA inputs'!J402</f>
        <v>30.149386408778881</v>
      </c>
      <c r="H391" s="322"/>
      <c r="I391" s="313" t="s">
        <v>7</v>
      </c>
      <c r="J391" s="513">
        <f ca="1">IF(AND('PSA inputs'!$I$867=1,'PSA inputs'!$I$898=1),N391,K391)</f>
        <v>29.010412732388012</v>
      </c>
      <c r="K391" s="513">
        <f>'Cost input'!C290</f>
        <v>33.089913043478262</v>
      </c>
      <c r="L391" s="513">
        <f>'Cost input'!D290</f>
        <v>20.187913280652175</v>
      </c>
      <c r="M391" s="513">
        <f>'Cost input'!E290</f>
        <v>46.001966328043487</v>
      </c>
      <c r="N391" s="514">
        <f ca="1">'PSA inputs'!U402</f>
        <v>29.010412732388012</v>
      </c>
      <c r="O391" s="742"/>
    </row>
    <row r="392" spans="2:15" s="296" customFormat="1" x14ac:dyDescent="0.3">
      <c r="B392" s="313" t="s">
        <v>11</v>
      </c>
      <c r="C392" s="513">
        <f ca="1">IF(AND('PSA inputs'!$I$867=1,'PSA inputs'!$I$896=1),G392,D392)</f>
        <v>30.149386408778881</v>
      </c>
      <c r="D392" s="513">
        <f>'Cost input'!C236</f>
        <v>33.089913043478262</v>
      </c>
      <c r="E392" s="513">
        <f>'Cost input'!D236</f>
        <v>20.187913280652175</v>
      </c>
      <c r="F392" s="513">
        <f>'Cost input'!E236</f>
        <v>46.001966328043487</v>
      </c>
      <c r="G392" s="514">
        <f ca="1">'PSA inputs'!J403</f>
        <v>30.149386408778881</v>
      </c>
      <c r="H392" s="322"/>
      <c r="I392" s="313" t="s">
        <v>11</v>
      </c>
      <c r="J392" s="513">
        <f ca="1">IF(AND('PSA inputs'!$I$867=1,'PSA inputs'!$I$898=1),N392,K392)</f>
        <v>29.010412732388012</v>
      </c>
      <c r="K392" s="513">
        <f>'Cost input'!C291</f>
        <v>33.089913043478262</v>
      </c>
      <c r="L392" s="513">
        <f>'Cost input'!D291</f>
        <v>20.187913280652175</v>
      </c>
      <c r="M392" s="513">
        <f>'Cost input'!E291</f>
        <v>46.001966328043487</v>
      </c>
      <c r="N392" s="514">
        <f ca="1">'PSA inputs'!U403</f>
        <v>29.010412732388012</v>
      </c>
      <c r="O392" s="742"/>
    </row>
    <row r="393" spans="2:15" s="296" customFormat="1" ht="15" customHeight="1" x14ac:dyDescent="0.3">
      <c r="B393" s="207" t="s">
        <v>227</v>
      </c>
      <c r="C393" s="515"/>
      <c r="D393" s="515"/>
      <c r="E393" s="515"/>
      <c r="F393" s="515"/>
      <c r="G393" s="515"/>
      <c r="I393" s="207" t="s">
        <v>227</v>
      </c>
      <c r="J393" s="515"/>
      <c r="K393" s="515"/>
      <c r="L393" s="515"/>
      <c r="M393" s="515"/>
      <c r="N393" s="515"/>
      <c r="O393" s="746"/>
    </row>
    <row r="394" spans="2:15" s="296" customFormat="1" ht="15" customHeight="1" x14ac:dyDescent="0.3">
      <c r="B394" s="206" t="s">
        <v>1437</v>
      </c>
      <c r="C394" s="513">
        <f ca="1">IF(AND('PSA inputs'!$I$867=1,'PSA inputs'!$I$896=1),G394,D394)</f>
        <v>28.156333904694968</v>
      </c>
      <c r="D394" s="513">
        <f>'Cost input'!C238</f>
        <v>32.000195652173915</v>
      </c>
      <c r="E394" s="513">
        <f>'Cost input'!D238</f>
        <v>13.761111980000003</v>
      </c>
      <c r="F394" s="513">
        <f>'Cost input'!E238</f>
        <v>50.244060020000006</v>
      </c>
      <c r="G394" s="514">
        <f ca="1">'PSA inputs'!J405</f>
        <v>28.156333904694968</v>
      </c>
      <c r="I394" s="206" t="s">
        <v>1437</v>
      </c>
      <c r="J394" s="513">
        <f ca="1">IF(AND('PSA inputs'!$I$867=1,'PSA inputs'!$I$898=1),N394,K394)</f>
        <v>33.360314523996344</v>
      </c>
      <c r="K394" s="513">
        <f>'Cost input'!C293</f>
        <v>32.000195652173915</v>
      </c>
      <c r="L394" s="513">
        <f>'Cost input'!D293</f>
        <v>13.761111980000003</v>
      </c>
      <c r="M394" s="513">
        <f>'Cost input'!E293</f>
        <v>50.244060020000006</v>
      </c>
      <c r="N394" s="514">
        <f ca="1">'PSA inputs'!U405</f>
        <v>33.360314523996344</v>
      </c>
      <c r="O394" s="742"/>
    </row>
    <row r="395" spans="2:15" s="296" customFormat="1" ht="15" customHeight="1" x14ac:dyDescent="0.3">
      <c r="B395" s="206" t="s">
        <v>1438</v>
      </c>
      <c r="C395" s="513">
        <f ca="1">IF(AND('PSA inputs'!$I$867=1,'PSA inputs'!$I$896=1),G395,D395)</f>
        <v>28.156333904694968</v>
      </c>
      <c r="D395" s="513">
        <f>'Cost input'!C239</f>
        <v>32.000195652173915</v>
      </c>
      <c r="E395" s="513">
        <f>'Cost input'!D239</f>
        <v>13.761111980000003</v>
      </c>
      <c r="F395" s="513">
        <f>'Cost input'!E239</f>
        <v>50.244060020000006</v>
      </c>
      <c r="G395" s="514">
        <f ca="1">'PSA inputs'!J406</f>
        <v>28.156333904694968</v>
      </c>
      <c r="I395" s="206" t="s">
        <v>1438</v>
      </c>
      <c r="J395" s="513">
        <f ca="1">IF(AND('PSA inputs'!$I$867=1,'PSA inputs'!$I$898=1),N395,K395)</f>
        <v>33.360314523996344</v>
      </c>
      <c r="K395" s="513">
        <f>'Cost input'!C294</f>
        <v>32.000195652173915</v>
      </c>
      <c r="L395" s="513">
        <f>'Cost input'!D294</f>
        <v>13.761111980000003</v>
      </c>
      <c r="M395" s="513">
        <f>'Cost input'!E294</f>
        <v>50.244060020000006</v>
      </c>
      <c r="N395" s="514">
        <f ca="1">'PSA inputs'!U406</f>
        <v>33.360314523996344</v>
      </c>
      <c r="O395" s="742"/>
    </row>
    <row r="396" spans="2:15" s="296" customFormat="1" ht="15" customHeight="1" x14ac:dyDescent="0.3">
      <c r="B396" s="206" t="s">
        <v>1441</v>
      </c>
      <c r="C396" s="513">
        <f ca="1">IF(AND('PSA inputs'!$I$867=1,'PSA inputs'!$I$896=1),G396,D396)</f>
        <v>29.715993344578692</v>
      </c>
      <c r="D396" s="513">
        <f>'Cost input'!C240</f>
        <v>32.867282608695653</v>
      </c>
      <c r="E396" s="513">
        <f>'Cost input'!D240</f>
        <v>17.419877140217391</v>
      </c>
      <c r="F396" s="513">
        <f>'Cost input'!E240</f>
        <v>48.31550829456522</v>
      </c>
      <c r="G396" s="514">
        <f ca="1">'PSA inputs'!J407</f>
        <v>29.715993344578692</v>
      </c>
      <c r="I396" s="206" t="s">
        <v>1441</v>
      </c>
      <c r="J396" s="513">
        <f ca="1">IF(AND('PSA inputs'!$I$867=1,'PSA inputs'!$I$898=1),N396,K396)</f>
        <v>34.15369020943146</v>
      </c>
      <c r="K396" s="513">
        <f>'Cost input'!C295</f>
        <v>32.867282608695653</v>
      </c>
      <c r="L396" s="513">
        <f>'Cost input'!D295</f>
        <v>17.419877140217391</v>
      </c>
      <c r="M396" s="513">
        <f>'Cost input'!E295</f>
        <v>48.31550829456522</v>
      </c>
      <c r="N396" s="514">
        <f ca="1">'PSA inputs'!U407</f>
        <v>34.15369020943146</v>
      </c>
      <c r="O396" s="742"/>
    </row>
    <row r="397" spans="2:15" s="296" customFormat="1" ht="15" customHeight="1" x14ac:dyDescent="0.3">
      <c r="B397" s="206" t="s">
        <v>1442</v>
      </c>
      <c r="C397" s="513">
        <f ca="1">IF(AND('PSA inputs'!$I$867=1,'PSA inputs'!$I$896=1),G397,D397)</f>
        <v>29.715993344578692</v>
      </c>
      <c r="D397" s="513">
        <f>'Cost input'!C241</f>
        <v>32.867282608695653</v>
      </c>
      <c r="E397" s="513">
        <f>'Cost input'!D241</f>
        <v>17.419877140217391</v>
      </c>
      <c r="F397" s="513">
        <f>'Cost input'!E241</f>
        <v>48.31550829456522</v>
      </c>
      <c r="G397" s="514">
        <f ca="1">'PSA inputs'!J408</f>
        <v>29.715993344578692</v>
      </c>
      <c r="I397" s="206" t="s">
        <v>1442</v>
      </c>
      <c r="J397" s="513">
        <f ca="1">IF(AND('PSA inputs'!$I$867=1,'PSA inputs'!$I$898=1),N397,K397)</f>
        <v>34.15369020943146</v>
      </c>
      <c r="K397" s="513">
        <f>'Cost input'!C296</f>
        <v>32.867282608695653</v>
      </c>
      <c r="L397" s="513">
        <f>'Cost input'!D296</f>
        <v>17.419877140217391</v>
      </c>
      <c r="M397" s="513">
        <f>'Cost input'!E296</f>
        <v>48.31550829456522</v>
      </c>
      <c r="N397" s="514">
        <f ca="1">'PSA inputs'!U408</f>
        <v>34.15369020943146</v>
      </c>
      <c r="O397" s="742"/>
    </row>
    <row r="398" spans="2:15" s="296" customFormat="1" ht="15" customHeight="1" x14ac:dyDescent="0.3">
      <c r="B398" s="207" t="s">
        <v>920</v>
      </c>
      <c r="C398" s="515"/>
      <c r="D398" s="515"/>
      <c r="E398" s="515"/>
      <c r="F398" s="515"/>
      <c r="G398" s="515"/>
      <c r="I398" s="207" t="s">
        <v>920</v>
      </c>
      <c r="J398" s="515"/>
      <c r="K398" s="515"/>
      <c r="L398" s="515"/>
      <c r="M398" s="515"/>
      <c r="N398" s="515"/>
      <c r="O398" s="746"/>
    </row>
    <row r="399" spans="2:15" s="296" customFormat="1" ht="15" customHeight="1" x14ac:dyDescent="0.3">
      <c r="B399" s="206" t="s">
        <v>920</v>
      </c>
      <c r="C399" s="513">
        <f ca="1">IF(AND('PSA inputs'!$I$867=1,'PSA inputs'!$I$896=1),G399,D399)</f>
        <v>30.055809130297636</v>
      </c>
      <c r="D399" s="513">
        <f>'Cost input'!C243</f>
        <v>32.832130434782606</v>
      </c>
      <c r="E399" s="513">
        <f>'Cost input'!D243</f>
        <v>19.404</v>
      </c>
      <c r="F399" s="513">
        <f>'Cost input'!E243</f>
        <v>46.365717391304351</v>
      </c>
      <c r="G399" s="514">
        <f ca="1">'PSA inputs'!J410</f>
        <v>30.055809130297636</v>
      </c>
      <c r="I399" s="206" t="s">
        <v>920</v>
      </c>
      <c r="J399" s="513">
        <f ca="1">IF(AND('PSA inputs'!$I$867=1,'PSA inputs'!$I$898=1),N399,K399)</f>
        <v>51.947732123640563</v>
      </c>
      <c r="K399" s="513">
        <f>'Cost input'!C298</f>
        <v>32.832130434782606</v>
      </c>
      <c r="L399" s="513">
        <f>'Cost input'!D298</f>
        <v>19.404</v>
      </c>
      <c r="M399" s="513">
        <f>'Cost input'!E298</f>
        <v>46.365717391304351</v>
      </c>
      <c r="N399" s="514">
        <f ca="1">'PSA inputs'!U410</f>
        <v>51.947732123640563</v>
      </c>
      <c r="O399" s="742"/>
    </row>
    <row r="400" spans="2:15" s="296" customFormat="1" ht="15" customHeight="1" x14ac:dyDescent="0.3">
      <c r="B400" s="206" t="s">
        <v>980</v>
      </c>
      <c r="C400" s="513">
        <f ca="1">IF(AND('PSA inputs'!$I$867=1,'PSA inputs'!$I$896=1),G400,D400)</f>
        <v>30.055809130297636</v>
      </c>
      <c r="D400" s="513">
        <f>'Cost input'!C244</f>
        <v>32.832130434782606</v>
      </c>
      <c r="E400" s="513">
        <f>'Cost input'!D244</f>
        <v>19.404</v>
      </c>
      <c r="F400" s="513">
        <f>'Cost input'!E244</f>
        <v>46.365717391304351</v>
      </c>
      <c r="G400" s="514">
        <f ca="1">'PSA inputs'!J411</f>
        <v>30.055809130297636</v>
      </c>
      <c r="I400" s="206" t="s">
        <v>980</v>
      </c>
      <c r="J400" s="513">
        <f ca="1">IF(AND('PSA inputs'!$I$867=1,'PSA inputs'!$I$898=1),N400,K400)</f>
        <v>51.947732123640563</v>
      </c>
      <c r="K400" s="513">
        <f>'Cost input'!C299</f>
        <v>32.832130434782606</v>
      </c>
      <c r="L400" s="513">
        <f>'Cost input'!D299</f>
        <v>19.404</v>
      </c>
      <c r="M400" s="513">
        <f>'Cost input'!E299</f>
        <v>46.365717391304351</v>
      </c>
      <c r="N400" s="514">
        <f ca="1">'PSA inputs'!U411</f>
        <v>51.947732123640563</v>
      </c>
      <c r="O400" s="742"/>
    </row>
    <row r="401" spans="2:15" s="296" customFormat="1" ht="15" customHeight="1" x14ac:dyDescent="0.3">
      <c r="B401" s="306"/>
      <c r="C401" s="520"/>
      <c r="D401" s="520"/>
      <c r="E401" s="520"/>
      <c r="F401" s="481"/>
      <c r="G401" s="481"/>
      <c r="I401" s="306"/>
      <c r="J401" s="520"/>
      <c r="K401" s="520"/>
      <c r="L401" s="520"/>
      <c r="M401" s="481"/>
      <c r="N401" s="481"/>
      <c r="O401" s="576"/>
    </row>
    <row r="402" spans="2:15" s="296" customFormat="1" ht="15" customHeight="1" x14ac:dyDescent="0.3">
      <c r="B402" s="294" t="s">
        <v>1447</v>
      </c>
      <c r="C402" s="519"/>
      <c r="D402" s="519"/>
      <c r="E402" s="519"/>
      <c r="F402" s="519"/>
      <c r="G402" s="519"/>
      <c r="I402" s="294" t="s">
        <v>1447</v>
      </c>
      <c r="J402" s="519"/>
      <c r="K402" s="519"/>
      <c r="L402" s="519"/>
      <c r="M402" s="519"/>
      <c r="N402" s="519"/>
      <c r="O402" s="745"/>
    </row>
    <row r="403" spans="2:15" x14ac:dyDescent="0.3">
      <c r="B403" s="613" t="s">
        <v>1535</v>
      </c>
      <c r="C403" s="614"/>
      <c r="D403" s="614"/>
      <c r="E403" s="614"/>
      <c r="F403" s="614"/>
      <c r="G403" s="614"/>
      <c r="I403" s="613" t="s">
        <v>1497</v>
      </c>
      <c r="J403" s="614"/>
      <c r="K403" s="614"/>
      <c r="L403" s="614"/>
      <c r="M403" s="614"/>
      <c r="N403" s="614"/>
      <c r="O403" s="742"/>
    </row>
    <row r="404" spans="2:15" s="296" customFormat="1" ht="15" customHeight="1" x14ac:dyDescent="0.3">
      <c r="B404" s="17" t="s">
        <v>950</v>
      </c>
      <c r="C404" s="485" t="s">
        <v>724</v>
      </c>
      <c r="D404" s="485" t="s">
        <v>995</v>
      </c>
      <c r="E404" s="485" t="s">
        <v>985</v>
      </c>
      <c r="F404" s="485" t="s">
        <v>986</v>
      </c>
      <c r="G404" s="485" t="s">
        <v>996</v>
      </c>
      <c r="I404" s="17" t="s">
        <v>950</v>
      </c>
      <c r="J404" s="485" t="s">
        <v>724</v>
      </c>
      <c r="K404" s="485" t="s">
        <v>995</v>
      </c>
      <c r="L404" s="485" t="s">
        <v>985</v>
      </c>
      <c r="M404" s="485" t="s">
        <v>986</v>
      </c>
      <c r="N404" s="485" t="s">
        <v>996</v>
      </c>
      <c r="O404" s="738"/>
    </row>
    <row r="405" spans="2:15" s="296" customFormat="1" ht="15" customHeight="1" x14ac:dyDescent="0.3">
      <c r="B405" s="315" t="s">
        <v>1445</v>
      </c>
      <c r="C405" s="481"/>
      <c r="D405" s="520"/>
      <c r="E405" s="520"/>
      <c r="F405" s="481"/>
      <c r="G405" s="481"/>
      <c r="I405" s="315" t="s">
        <v>1445</v>
      </c>
      <c r="J405" s="481"/>
      <c r="K405" s="520"/>
      <c r="L405" s="520"/>
      <c r="M405" s="481"/>
      <c r="N405" s="481"/>
      <c r="O405" s="576"/>
    </row>
    <row r="406" spans="2:15" s="296" customFormat="1" ht="15" customHeight="1" x14ac:dyDescent="0.3">
      <c r="B406" s="313" t="s">
        <v>2</v>
      </c>
      <c r="C406" s="491">
        <f ca="1">IF(AND('PSA inputs'!$I$867=1,'PSA inputs'!$I$897=1),G406,D406)</f>
        <v>8931.7140462614079</v>
      </c>
      <c r="D406" s="491">
        <f>'Cost input'!C249</f>
        <v>7996.6039999999985</v>
      </c>
      <c r="E406" s="491">
        <f>'Cost input'!D249</f>
        <v>3898.2514320749997</v>
      </c>
      <c r="F406" s="491">
        <f>'Cost input'!E249</f>
        <v>13493.947264875</v>
      </c>
      <c r="G406" s="492">
        <f ca="1">'PSA inputs'!J416</f>
        <v>8931.7140462614079</v>
      </c>
      <c r="I406" s="313" t="s">
        <v>2</v>
      </c>
      <c r="J406" s="513">
        <f ca="1">IF(AND('PSA inputs'!$I$867=1,'PSA inputs'!$I$899=1),N406,K406)</f>
        <v>5234.445394940326</v>
      </c>
      <c r="K406" s="491">
        <f>'Cost input'!C304</f>
        <v>7996.6039999999985</v>
      </c>
      <c r="L406" s="491">
        <f>'Cost input'!D304</f>
        <v>3898.2514320749997</v>
      </c>
      <c r="M406" s="491">
        <f>'Cost input'!E304</f>
        <v>13493.947264875</v>
      </c>
      <c r="N406" s="492">
        <f ca="1">'PSA inputs'!U416</f>
        <v>5234.445394940326</v>
      </c>
      <c r="O406" s="739"/>
    </row>
    <row r="407" spans="2:15" s="296" customFormat="1" ht="15" customHeight="1" x14ac:dyDescent="0.3">
      <c r="B407" s="313" t="s">
        <v>3</v>
      </c>
      <c r="C407" s="491">
        <f ca="1">IF(AND('PSA inputs'!$I$867=1,'PSA inputs'!$I$897=1),G407,D407)</f>
        <v>8931.7140462614079</v>
      </c>
      <c r="D407" s="491">
        <f>'Cost input'!C250</f>
        <v>7996.6039999999985</v>
      </c>
      <c r="E407" s="491">
        <f>'Cost input'!D250</f>
        <v>3898.2514320749997</v>
      </c>
      <c r="F407" s="491">
        <f>'Cost input'!E250</f>
        <v>13493.947264875</v>
      </c>
      <c r="G407" s="492">
        <f ca="1">'PSA inputs'!J417</f>
        <v>8931.7140462614079</v>
      </c>
      <c r="I407" s="313" t="s">
        <v>3</v>
      </c>
      <c r="J407" s="513">
        <f ca="1">IF(AND('PSA inputs'!$I$867=1,'PSA inputs'!$I$899=1),N407,K407)</f>
        <v>5234.445394940326</v>
      </c>
      <c r="K407" s="491">
        <f>'Cost input'!C305</f>
        <v>7996.6039999999985</v>
      </c>
      <c r="L407" s="491">
        <f>'Cost input'!D305</f>
        <v>3898.2514320749997</v>
      </c>
      <c r="M407" s="491">
        <f>'Cost input'!E305</f>
        <v>13493.947264875</v>
      </c>
      <c r="N407" s="492">
        <f ca="1">'PSA inputs'!U417</f>
        <v>5234.445394940326</v>
      </c>
      <c r="O407" s="739"/>
    </row>
    <row r="408" spans="2:15" s="296" customFormat="1" ht="15" customHeight="1" x14ac:dyDescent="0.3">
      <c r="B408" s="313" t="s">
        <v>4</v>
      </c>
      <c r="C408" s="491">
        <f ca="1">IF(AND('PSA inputs'!$I$867=1,'PSA inputs'!$I$897=1),G408,D408)</f>
        <v>8931.7140462614079</v>
      </c>
      <c r="D408" s="491">
        <f>'Cost input'!C251</f>
        <v>7996.6039999999985</v>
      </c>
      <c r="E408" s="491">
        <f>'Cost input'!D251</f>
        <v>3898.2514320749997</v>
      </c>
      <c r="F408" s="491">
        <f>'Cost input'!E251</f>
        <v>13493.947264875</v>
      </c>
      <c r="G408" s="492">
        <f ca="1">'PSA inputs'!J418</f>
        <v>8931.7140462614079</v>
      </c>
      <c r="I408" s="313" t="s">
        <v>4</v>
      </c>
      <c r="J408" s="513">
        <f ca="1">IF(AND('PSA inputs'!$I$867=1,'PSA inputs'!$I$899=1),N408,K408)</f>
        <v>5234.445394940326</v>
      </c>
      <c r="K408" s="491">
        <f>'Cost input'!C306</f>
        <v>7996.6039999999985</v>
      </c>
      <c r="L408" s="491">
        <f>'Cost input'!D306</f>
        <v>3898.2514320749997</v>
      </c>
      <c r="M408" s="491">
        <f>'Cost input'!E306</f>
        <v>13493.947264875</v>
      </c>
      <c r="N408" s="492">
        <f ca="1">'PSA inputs'!U418</f>
        <v>5234.445394940326</v>
      </c>
      <c r="O408" s="739"/>
    </row>
    <row r="409" spans="2:15" s="296" customFormat="1" ht="15" customHeight="1" x14ac:dyDescent="0.3">
      <c r="B409" s="313" t="s">
        <v>5</v>
      </c>
      <c r="C409" s="491">
        <f ca="1">IF(AND('PSA inputs'!$I$867=1,'PSA inputs'!$I$897=1),G409,D409)</f>
        <v>12372.281858389495</v>
      </c>
      <c r="D409" s="491">
        <f>'Cost input'!C252</f>
        <v>11062.529739130434</v>
      </c>
      <c r="E409" s="491">
        <f>'Cost input'!D252</f>
        <v>5309.8663769321774</v>
      </c>
      <c r="F409" s="491">
        <f>'Cost input'!E252</f>
        <v>18805.776751634785</v>
      </c>
      <c r="G409" s="492">
        <f ca="1">'PSA inputs'!J419</f>
        <v>12372.281858389495</v>
      </c>
      <c r="I409" s="313" t="s">
        <v>5</v>
      </c>
      <c r="J409" s="513">
        <f ca="1">IF(AND('PSA inputs'!$I$867=1,'PSA inputs'!$I$899=1),N409,K409)</f>
        <v>7182.080851786568</v>
      </c>
      <c r="K409" s="491">
        <f>'Cost input'!C307</f>
        <v>11062.529739130434</v>
      </c>
      <c r="L409" s="491">
        <f>'Cost input'!D307</f>
        <v>5309.8663769321774</v>
      </c>
      <c r="M409" s="491">
        <f>'Cost input'!E307</f>
        <v>18805.776751634785</v>
      </c>
      <c r="N409" s="492">
        <f ca="1">'PSA inputs'!U419</f>
        <v>7182.080851786568</v>
      </c>
      <c r="O409" s="739"/>
    </row>
    <row r="410" spans="2:15" s="296" customFormat="1" ht="15" customHeight="1" x14ac:dyDescent="0.3">
      <c r="B410" s="313" t="s">
        <v>6</v>
      </c>
      <c r="C410" s="491">
        <f ca="1">IF(AND('PSA inputs'!$I$867=1,'PSA inputs'!$I$897=1),G410,D410)</f>
        <v>12372.281858389495</v>
      </c>
      <c r="D410" s="491">
        <f>'Cost input'!C253</f>
        <v>11062.529739130434</v>
      </c>
      <c r="E410" s="491">
        <f>'Cost input'!D253</f>
        <v>5309.8663769321774</v>
      </c>
      <c r="F410" s="491">
        <f>'Cost input'!E253</f>
        <v>18805.776751634785</v>
      </c>
      <c r="G410" s="492">
        <f ca="1">'PSA inputs'!J420</f>
        <v>12372.281858389495</v>
      </c>
      <c r="I410" s="313" t="s">
        <v>6</v>
      </c>
      <c r="J410" s="513">
        <f ca="1">IF(AND('PSA inputs'!$I$867=1,'PSA inputs'!$I$899=1),N410,K410)</f>
        <v>7182.080851786568</v>
      </c>
      <c r="K410" s="491">
        <f>'Cost input'!C308</f>
        <v>11062.529739130434</v>
      </c>
      <c r="L410" s="491">
        <f>'Cost input'!D308</f>
        <v>5309.8663769321774</v>
      </c>
      <c r="M410" s="491">
        <f>'Cost input'!E308</f>
        <v>18805.776751634785</v>
      </c>
      <c r="N410" s="492">
        <f ca="1">'PSA inputs'!U420</f>
        <v>7182.080851786568</v>
      </c>
      <c r="O410" s="739"/>
    </row>
    <row r="411" spans="2:15" s="296" customFormat="1" ht="15" customHeight="1" x14ac:dyDescent="0.3">
      <c r="B411" s="313" t="s">
        <v>7</v>
      </c>
      <c r="C411" s="491">
        <f ca="1">IF(AND('PSA inputs'!$I$867=1,'PSA inputs'!$I$897=1),G411,D411)</f>
        <v>12372.281858389495</v>
      </c>
      <c r="D411" s="491">
        <f>'Cost input'!C254</f>
        <v>11062.529739130434</v>
      </c>
      <c r="E411" s="491">
        <f>'Cost input'!D254</f>
        <v>5309.8663769321774</v>
      </c>
      <c r="F411" s="491">
        <f>'Cost input'!E254</f>
        <v>18805.776751634785</v>
      </c>
      <c r="G411" s="492">
        <f ca="1">'PSA inputs'!J421</f>
        <v>12372.281858389495</v>
      </c>
      <c r="I411" s="313" t="s">
        <v>7</v>
      </c>
      <c r="J411" s="513">
        <f ca="1">IF(AND('PSA inputs'!$I$867=1,'PSA inputs'!$I$899=1),N411,K411)</f>
        <v>7182.080851786568</v>
      </c>
      <c r="K411" s="491">
        <f>'Cost input'!C309</f>
        <v>11062.529739130434</v>
      </c>
      <c r="L411" s="491">
        <f>'Cost input'!D309</f>
        <v>5309.8663769321774</v>
      </c>
      <c r="M411" s="491">
        <f>'Cost input'!E309</f>
        <v>18805.776751634785</v>
      </c>
      <c r="N411" s="492">
        <f ca="1">'PSA inputs'!U421</f>
        <v>7182.080851786568</v>
      </c>
      <c r="O411" s="739"/>
    </row>
    <row r="412" spans="2:15" s="296" customFormat="1" ht="15" customHeight="1" x14ac:dyDescent="0.3">
      <c r="B412" s="313" t="s">
        <v>11</v>
      </c>
      <c r="C412" s="491">
        <f ca="1">IF(AND('PSA inputs'!$I$867=1,'PSA inputs'!$I$897=1),G412,D412)</f>
        <v>12629.13678895368</v>
      </c>
      <c r="D412" s="491">
        <f>'Cost input'!C255</f>
        <v>11460.077391304349</v>
      </c>
      <c r="E412" s="491">
        <f>'Cost input'!D255</f>
        <v>5328.8825363184769</v>
      </c>
      <c r="F412" s="491">
        <f>'Cost input'!E255</f>
        <v>16871.020777499991</v>
      </c>
      <c r="G412" s="492">
        <f ca="1">'PSA inputs'!J422</f>
        <v>12629.13678895368</v>
      </c>
      <c r="I412" s="313" t="s">
        <v>11</v>
      </c>
      <c r="J412" s="513">
        <f ca="1">IF(AND('PSA inputs'!$I$867=1,'PSA inputs'!$I$899=1),N412,K412)</f>
        <v>8102.7753139092338</v>
      </c>
      <c r="K412" s="491">
        <f>'Cost input'!C310</f>
        <v>11460.077391304349</v>
      </c>
      <c r="L412" s="491">
        <f>'Cost input'!D310</f>
        <v>5328.8825363184769</v>
      </c>
      <c r="M412" s="491">
        <f>'Cost input'!E310</f>
        <v>16871.020777499991</v>
      </c>
      <c r="N412" s="492">
        <f ca="1">'PSA inputs'!U422</f>
        <v>8102.7753139092338</v>
      </c>
      <c r="O412" s="739"/>
    </row>
    <row r="413" spans="2:15" s="296" customFormat="1" x14ac:dyDescent="0.3">
      <c r="B413" s="315" t="s">
        <v>1444</v>
      </c>
      <c r="C413" s="533"/>
      <c r="D413" s="533"/>
      <c r="E413" s="533"/>
      <c r="F413" s="533"/>
      <c r="G413" s="533"/>
      <c r="H413" s="322"/>
      <c r="I413" s="315" t="s">
        <v>1444</v>
      </c>
      <c r="J413" s="515"/>
      <c r="K413" s="533"/>
      <c r="L413" s="533"/>
      <c r="M413" s="533"/>
      <c r="N413" s="533"/>
      <c r="O413" s="748"/>
    </row>
    <row r="414" spans="2:15" s="296" customFormat="1" x14ac:dyDescent="0.3">
      <c r="B414" s="313" t="s">
        <v>2</v>
      </c>
      <c r="C414" s="491">
        <f ca="1">IF(AND('PSA inputs'!$I$867=1,'PSA inputs'!$I$897=1),G414,D414)</f>
        <v>8481.2737336374321</v>
      </c>
      <c r="D414" s="491">
        <f>'Cost input'!C257</f>
        <v>11761.06202173913</v>
      </c>
      <c r="E414" s="491">
        <f>'Cost input'!D257</f>
        <v>5380.7032865204328</v>
      </c>
      <c r="F414" s="491">
        <f>'Cost input'!E257</f>
        <v>20434.91138869779</v>
      </c>
      <c r="G414" s="492">
        <f ca="1">'PSA inputs'!J424</f>
        <v>8481.2737336374321</v>
      </c>
      <c r="H414" s="322"/>
      <c r="I414" s="313" t="s">
        <v>2</v>
      </c>
      <c r="J414" s="513">
        <f ca="1">IF(AND('PSA inputs'!$I$867=1,'PSA inputs'!$I$899=1),N414,K414)</f>
        <v>16218.397444402803</v>
      </c>
      <c r="K414" s="491">
        <f>'Cost input'!C312</f>
        <v>11761.06202173913</v>
      </c>
      <c r="L414" s="491">
        <f>'Cost input'!D312</f>
        <v>5380.7032865204328</v>
      </c>
      <c r="M414" s="491">
        <f>'Cost input'!E312</f>
        <v>20434.91138869779</v>
      </c>
      <c r="N414" s="492">
        <f ca="1">'PSA inputs'!U424</f>
        <v>16218.397444402803</v>
      </c>
      <c r="O414" s="739"/>
    </row>
    <row r="415" spans="2:15" s="296" customFormat="1" x14ac:dyDescent="0.3">
      <c r="B415" s="313" t="s">
        <v>3</v>
      </c>
      <c r="C415" s="491">
        <f ca="1">IF(AND('PSA inputs'!$I$867=1,'PSA inputs'!$I$897=1),G415,D415)</f>
        <v>8481.2737336374321</v>
      </c>
      <c r="D415" s="491">
        <f>'Cost input'!C258</f>
        <v>11761.06202173913</v>
      </c>
      <c r="E415" s="491">
        <f>'Cost input'!D258</f>
        <v>5380.7032865204328</v>
      </c>
      <c r="F415" s="491">
        <f>'Cost input'!E258</f>
        <v>20434.91138869779</v>
      </c>
      <c r="G415" s="492">
        <f ca="1">'PSA inputs'!J425</f>
        <v>8481.2737336374321</v>
      </c>
      <c r="H415" s="322"/>
      <c r="I415" s="313" t="s">
        <v>3</v>
      </c>
      <c r="J415" s="513">
        <f ca="1">IF(AND('PSA inputs'!$I$867=1,'PSA inputs'!$I$899=1),N415,K415)</f>
        <v>16218.397444402803</v>
      </c>
      <c r="K415" s="491">
        <f>'Cost input'!C313</f>
        <v>11761.06202173913</v>
      </c>
      <c r="L415" s="491">
        <f>'Cost input'!D313</f>
        <v>5380.7032865204328</v>
      </c>
      <c r="M415" s="491">
        <f>'Cost input'!E313</f>
        <v>20434.91138869779</v>
      </c>
      <c r="N415" s="492">
        <f ca="1">'PSA inputs'!U425</f>
        <v>16218.397444402803</v>
      </c>
      <c r="O415" s="739"/>
    </row>
    <row r="416" spans="2:15" s="296" customFormat="1" x14ac:dyDescent="0.3">
      <c r="B416" s="313" t="s">
        <v>4</v>
      </c>
      <c r="C416" s="491">
        <f ca="1">IF(AND('PSA inputs'!$I$867=1,'PSA inputs'!$I$897=1),G416,D416)</f>
        <v>8481.2737336374321</v>
      </c>
      <c r="D416" s="491">
        <f>'Cost input'!C259</f>
        <v>11761.06202173913</v>
      </c>
      <c r="E416" s="491">
        <f>'Cost input'!D259</f>
        <v>5380.7032865204328</v>
      </c>
      <c r="F416" s="491">
        <f>'Cost input'!E259</f>
        <v>20434.91138869779</v>
      </c>
      <c r="G416" s="492">
        <f ca="1">'PSA inputs'!J426</f>
        <v>8481.2737336374321</v>
      </c>
      <c r="H416" s="322"/>
      <c r="I416" s="313" t="s">
        <v>4</v>
      </c>
      <c r="J416" s="513">
        <f ca="1">IF(AND('PSA inputs'!$I$867=1,'PSA inputs'!$I$899=1),N416,K416)</f>
        <v>16218.397444402803</v>
      </c>
      <c r="K416" s="491">
        <f>'Cost input'!C314</f>
        <v>11761.06202173913</v>
      </c>
      <c r="L416" s="491">
        <f>'Cost input'!D314</f>
        <v>5380.7032865204328</v>
      </c>
      <c r="M416" s="491">
        <f>'Cost input'!E314</f>
        <v>20434.91138869779</v>
      </c>
      <c r="N416" s="492">
        <f ca="1">'PSA inputs'!U426</f>
        <v>16218.397444402803</v>
      </c>
      <c r="O416" s="739"/>
    </row>
    <row r="417" spans="2:29" s="296" customFormat="1" x14ac:dyDescent="0.3">
      <c r="B417" s="313" t="s">
        <v>5</v>
      </c>
      <c r="C417" s="491">
        <f ca="1">IF(AND('PSA inputs'!$I$867=1,'PSA inputs'!$I$897=1),G417,D417)</f>
        <v>8481.2737336374321</v>
      </c>
      <c r="D417" s="491">
        <f>'Cost input'!C260</f>
        <v>11761.06202173913</v>
      </c>
      <c r="E417" s="491">
        <f>'Cost input'!D260</f>
        <v>5380.7032865204328</v>
      </c>
      <c r="F417" s="491">
        <f>'Cost input'!E260</f>
        <v>20434.91138869779</v>
      </c>
      <c r="G417" s="492">
        <f ca="1">'PSA inputs'!J427</f>
        <v>8481.2737336374321</v>
      </c>
      <c r="H417" s="322"/>
      <c r="I417" s="313" t="s">
        <v>5</v>
      </c>
      <c r="J417" s="513">
        <f ca="1">IF(AND('PSA inputs'!$I$867=1,'PSA inputs'!$I$899=1),N417,K417)</f>
        <v>16218.397444402803</v>
      </c>
      <c r="K417" s="491">
        <f>'Cost input'!C315</f>
        <v>11761.06202173913</v>
      </c>
      <c r="L417" s="491">
        <f>'Cost input'!D315</f>
        <v>5380.7032865204328</v>
      </c>
      <c r="M417" s="491">
        <f>'Cost input'!E315</f>
        <v>20434.91138869779</v>
      </c>
      <c r="N417" s="492">
        <f ca="1">'PSA inputs'!U427</f>
        <v>16218.397444402803</v>
      </c>
      <c r="O417" s="739"/>
    </row>
    <row r="418" spans="2:29" s="296" customFormat="1" x14ac:dyDescent="0.3">
      <c r="B418" s="313" t="s">
        <v>6</v>
      </c>
      <c r="C418" s="491">
        <f ca="1">IF(AND('PSA inputs'!$I$867=1,'PSA inputs'!$I$897=1),G418,D418)</f>
        <v>8481.2737336374321</v>
      </c>
      <c r="D418" s="491">
        <f>'Cost input'!C261</f>
        <v>11761.06202173913</v>
      </c>
      <c r="E418" s="491">
        <f>'Cost input'!D261</f>
        <v>5380.7032865204328</v>
      </c>
      <c r="F418" s="491">
        <f>'Cost input'!E261</f>
        <v>20434.91138869779</v>
      </c>
      <c r="G418" s="492">
        <f ca="1">'PSA inputs'!J428</f>
        <v>8481.2737336374321</v>
      </c>
      <c r="H418" s="322"/>
      <c r="I418" s="313" t="s">
        <v>6</v>
      </c>
      <c r="J418" s="513">
        <f ca="1">IF(AND('PSA inputs'!$I$867=1,'PSA inputs'!$I$899=1),N418,K418)</f>
        <v>16218.397444402803</v>
      </c>
      <c r="K418" s="491">
        <f>'Cost input'!C316</f>
        <v>11761.06202173913</v>
      </c>
      <c r="L418" s="491">
        <f>'Cost input'!D316</f>
        <v>5380.7032865204328</v>
      </c>
      <c r="M418" s="491">
        <f>'Cost input'!E316</f>
        <v>20434.91138869779</v>
      </c>
      <c r="N418" s="492">
        <f ca="1">'PSA inputs'!U428</f>
        <v>16218.397444402803</v>
      </c>
      <c r="O418" s="739"/>
    </row>
    <row r="419" spans="2:29" s="296" customFormat="1" x14ac:dyDescent="0.3">
      <c r="B419" s="313" t="s">
        <v>7</v>
      </c>
      <c r="C419" s="491">
        <f ca="1">IF(AND('PSA inputs'!$I$867=1,'PSA inputs'!$I$897=1),G419,D419)</f>
        <v>8481.2737336374321</v>
      </c>
      <c r="D419" s="491">
        <f>'Cost input'!C262</f>
        <v>11761.06202173913</v>
      </c>
      <c r="E419" s="491">
        <f>'Cost input'!D262</f>
        <v>5380.7032865204328</v>
      </c>
      <c r="F419" s="491">
        <f>'Cost input'!E262</f>
        <v>20434.91138869779</v>
      </c>
      <c r="G419" s="492">
        <f ca="1">'PSA inputs'!J429</f>
        <v>8481.2737336374321</v>
      </c>
      <c r="H419" s="322"/>
      <c r="I419" s="313" t="s">
        <v>7</v>
      </c>
      <c r="J419" s="513">
        <f ca="1">IF(AND('PSA inputs'!$I$867=1,'PSA inputs'!$I$899=1),N419,K419)</f>
        <v>16218.397444402803</v>
      </c>
      <c r="K419" s="491">
        <f>'Cost input'!C317</f>
        <v>11761.06202173913</v>
      </c>
      <c r="L419" s="491">
        <f>'Cost input'!D317</f>
        <v>5380.7032865204328</v>
      </c>
      <c r="M419" s="491">
        <f>'Cost input'!E317</f>
        <v>20434.91138869779</v>
      </c>
      <c r="N419" s="492">
        <f ca="1">'PSA inputs'!U429</f>
        <v>16218.397444402803</v>
      </c>
      <c r="O419" s="739"/>
    </row>
    <row r="420" spans="2:29" s="296" customFormat="1" x14ac:dyDescent="0.3">
      <c r="B420" s="313" t="s">
        <v>11</v>
      </c>
      <c r="C420" s="491">
        <f ca="1">IF(AND('PSA inputs'!$I$867=1,'PSA inputs'!$I$897=1),G420,D420)</f>
        <v>8481.2737336374321</v>
      </c>
      <c r="D420" s="491">
        <f>'Cost input'!C263</f>
        <v>11761.06202173913</v>
      </c>
      <c r="E420" s="491">
        <f>'Cost input'!D263</f>
        <v>5380.7032865204328</v>
      </c>
      <c r="F420" s="491">
        <f>'Cost input'!E263</f>
        <v>20434.91138869779</v>
      </c>
      <c r="G420" s="492">
        <f ca="1">'PSA inputs'!J430</f>
        <v>8481.2737336374321</v>
      </c>
      <c r="H420" s="322"/>
      <c r="I420" s="313" t="s">
        <v>11</v>
      </c>
      <c r="J420" s="513">
        <f ca="1">IF(AND('PSA inputs'!$I$867=1,'PSA inputs'!$I$899=1),N420,K420)</f>
        <v>16218.397444402803</v>
      </c>
      <c r="K420" s="491">
        <f>'Cost input'!C318</f>
        <v>11761.06202173913</v>
      </c>
      <c r="L420" s="491">
        <f>'Cost input'!D318</f>
        <v>5380.7032865204328</v>
      </c>
      <c r="M420" s="491">
        <f>'Cost input'!E318</f>
        <v>20434.91138869779</v>
      </c>
      <c r="N420" s="492">
        <f ca="1">'PSA inputs'!U430</f>
        <v>16218.397444402803</v>
      </c>
      <c r="O420" s="739"/>
    </row>
    <row r="421" spans="2:29" s="296" customFormat="1" ht="15" customHeight="1" x14ac:dyDescent="0.3">
      <c r="B421" s="207" t="s">
        <v>227</v>
      </c>
      <c r="C421" s="533"/>
      <c r="D421" s="533"/>
      <c r="E421" s="533"/>
      <c r="F421" s="533"/>
      <c r="G421" s="533"/>
      <c r="I421" s="207" t="s">
        <v>227</v>
      </c>
      <c r="J421" s="515"/>
      <c r="K421" s="533"/>
      <c r="L421" s="533"/>
      <c r="M421" s="533"/>
      <c r="N421" s="533"/>
      <c r="O421" s="748"/>
    </row>
    <row r="422" spans="2:29" s="296" customFormat="1" ht="15" customHeight="1" x14ac:dyDescent="0.3">
      <c r="B422" s="206" t="s">
        <v>1437</v>
      </c>
      <c r="C422" s="491">
        <f ca="1">IF(AND('PSA inputs'!$I$867=1,'PSA inputs'!$I$897=1),G422,D422)</f>
        <v>6649.2807992703965</v>
      </c>
      <c r="D422" s="491">
        <f>'Cost input'!C265</f>
        <v>12523.44236956522</v>
      </c>
      <c r="E422" s="491">
        <f>'Cost input'!D265</f>
        <v>4038.7397262586951</v>
      </c>
      <c r="F422" s="491">
        <f>'Cost input'!E265</f>
        <v>24576.827016380466</v>
      </c>
      <c r="G422" s="492">
        <f ca="1">'PSA inputs'!J432</f>
        <v>6649.2807992703965</v>
      </c>
      <c r="I422" s="206" t="s">
        <v>1437</v>
      </c>
      <c r="J422" s="513">
        <f ca="1">IF(AND('PSA inputs'!$I$867=1,'PSA inputs'!$I$899=1),N422,K422)</f>
        <v>3935.8008917277593</v>
      </c>
      <c r="K422" s="491">
        <f>'Cost input'!C320</f>
        <v>12523.44236956522</v>
      </c>
      <c r="L422" s="491">
        <f>'Cost input'!D320</f>
        <v>4038.7397262586951</v>
      </c>
      <c r="M422" s="491">
        <f>'Cost input'!E320</f>
        <v>24576.827016380466</v>
      </c>
      <c r="N422" s="492">
        <f ca="1">'PSA inputs'!U432</f>
        <v>3935.8008917277593</v>
      </c>
      <c r="O422" s="739"/>
    </row>
    <row r="423" spans="2:29" s="296" customFormat="1" ht="15" customHeight="1" x14ac:dyDescent="0.3">
      <c r="B423" s="206" t="s">
        <v>1438</v>
      </c>
      <c r="C423" s="491">
        <f ca="1">IF(AND('PSA inputs'!$I$867=1,'PSA inputs'!$I$897=1),G423,D423)</f>
        <v>6649.2807992703965</v>
      </c>
      <c r="D423" s="491">
        <f>'Cost input'!C266</f>
        <v>12523.44236956522</v>
      </c>
      <c r="E423" s="491">
        <f>'Cost input'!D266</f>
        <v>4038.7397262586951</v>
      </c>
      <c r="F423" s="491">
        <f>'Cost input'!E266</f>
        <v>24576.827016380466</v>
      </c>
      <c r="G423" s="492">
        <f ca="1">'PSA inputs'!J433</f>
        <v>6649.2807992703965</v>
      </c>
      <c r="I423" s="206" t="s">
        <v>1438</v>
      </c>
      <c r="J423" s="513">
        <f ca="1">IF(AND('PSA inputs'!$I$867=1,'PSA inputs'!$I$899=1),N423,K423)</f>
        <v>3935.8008917277593</v>
      </c>
      <c r="K423" s="491">
        <f>'Cost input'!C321</f>
        <v>12523.44236956522</v>
      </c>
      <c r="L423" s="491">
        <f>'Cost input'!D321</f>
        <v>4038.7397262586951</v>
      </c>
      <c r="M423" s="491">
        <f>'Cost input'!E321</f>
        <v>24576.827016380466</v>
      </c>
      <c r="N423" s="492">
        <f ca="1">'PSA inputs'!U433</f>
        <v>3935.8008917277593</v>
      </c>
      <c r="O423" s="739"/>
    </row>
    <row r="424" spans="2:29" s="296" customFormat="1" ht="15" customHeight="1" x14ac:dyDescent="0.3">
      <c r="B424" s="206" t="s">
        <v>1441</v>
      </c>
      <c r="C424" s="491">
        <f ca="1">IF(AND('PSA inputs'!$I$867=1,'PSA inputs'!$I$897=1),G424,D424)</f>
        <v>5005.4729012472699</v>
      </c>
      <c r="D424" s="491">
        <f>'Cost input'!C267</f>
        <v>8595.6321956521733</v>
      </c>
      <c r="E424" s="491">
        <f>'Cost input'!D267</f>
        <v>3416.6498527030458</v>
      </c>
      <c r="F424" s="491">
        <f>'Cost input'!E267</f>
        <v>15793.947432306521</v>
      </c>
      <c r="G424" s="492">
        <f ca="1">'PSA inputs'!J434</f>
        <v>5005.4729012472699</v>
      </c>
      <c r="I424" s="206" t="s">
        <v>1441</v>
      </c>
      <c r="J424" s="513">
        <f ca="1">IF(AND('PSA inputs'!$I$867=1,'PSA inputs'!$I$899=1),N424,K424)</f>
        <v>3213.9403771071934</v>
      </c>
      <c r="K424" s="491">
        <f>'Cost input'!C322</f>
        <v>8595.6321956521733</v>
      </c>
      <c r="L424" s="491">
        <f>'Cost input'!D322</f>
        <v>3416.6498527030458</v>
      </c>
      <c r="M424" s="491">
        <f>'Cost input'!E322</f>
        <v>15793.947432306521</v>
      </c>
      <c r="N424" s="492">
        <f ca="1">'PSA inputs'!U434</f>
        <v>3213.9403771071934</v>
      </c>
      <c r="O424" s="739"/>
    </row>
    <row r="425" spans="2:29" s="296" customFormat="1" ht="15" customHeight="1" x14ac:dyDescent="0.3">
      <c r="B425" s="206" t="s">
        <v>1442</v>
      </c>
      <c r="C425" s="491">
        <f ca="1">IF(AND('PSA inputs'!$I$867=1,'PSA inputs'!$I$897=1),G425,D425)</f>
        <v>5005.4729012472699</v>
      </c>
      <c r="D425" s="491">
        <f>'Cost input'!C268</f>
        <v>8595.6321956521733</v>
      </c>
      <c r="E425" s="491">
        <f>'Cost input'!D268</f>
        <v>3416.6498527030458</v>
      </c>
      <c r="F425" s="491">
        <f>'Cost input'!E268</f>
        <v>15793.947432306521</v>
      </c>
      <c r="G425" s="492">
        <f ca="1">'PSA inputs'!J435</f>
        <v>5005.4729012472699</v>
      </c>
      <c r="I425" s="206" t="s">
        <v>1442</v>
      </c>
      <c r="J425" s="513">
        <f ca="1">IF(AND('PSA inputs'!$I$867=1,'PSA inputs'!$I$899=1),N425,K425)</f>
        <v>3213.9403771071934</v>
      </c>
      <c r="K425" s="491">
        <f>'Cost input'!C323</f>
        <v>8595.6321956521733</v>
      </c>
      <c r="L425" s="491">
        <f>'Cost input'!D323</f>
        <v>3416.6498527030458</v>
      </c>
      <c r="M425" s="491">
        <f>'Cost input'!E323</f>
        <v>15793.947432306521</v>
      </c>
      <c r="N425" s="492">
        <f ca="1">'PSA inputs'!U435</f>
        <v>3213.9403771071934</v>
      </c>
      <c r="O425" s="739"/>
    </row>
    <row r="426" spans="2:29" s="296" customFormat="1" ht="15" customHeight="1" x14ac:dyDescent="0.3">
      <c r="B426" s="207" t="s">
        <v>920</v>
      </c>
      <c r="C426" s="533"/>
      <c r="D426" s="533"/>
      <c r="E426" s="533"/>
      <c r="F426" s="533"/>
      <c r="G426" s="533"/>
      <c r="I426" s="207" t="s">
        <v>920</v>
      </c>
      <c r="J426" s="515"/>
      <c r="K426" s="533"/>
      <c r="L426" s="533"/>
      <c r="M426" s="533"/>
      <c r="N426" s="533"/>
      <c r="O426" s="748"/>
    </row>
    <row r="427" spans="2:29" s="296" customFormat="1" ht="15" customHeight="1" x14ac:dyDescent="0.3">
      <c r="B427" s="206" t="s">
        <v>920</v>
      </c>
      <c r="C427" s="491">
        <f ca="1">IF(AND('PSA inputs'!$I$867=1,'PSA inputs'!$I$897=1),G427,D427)</f>
        <v>11743.028735196802</v>
      </c>
      <c r="D427" s="491">
        <f>'Cost input'!C270</f>
        <v>11387.898260869566</v>
      </c>
      <c r="E427" s="491">
        <f>'Cost input'!D270</f>
        <v>5466.0389174301827</v>
      </c>
      <c r="F427" s="491">
        <f>'Cost input'!E270</f>
        <v>19358.887832565219</v>
      </c>
      <c r="G427" s="492">
        <f ca="1">'PSA inputs'!J437</f>
        <v>11743.028735196802</v>
      </c>
      <c r="I427" s="206" t="s">
        <v>920</v>
      </c>
      <c r="J427" s="513">
        <f ca="1">IF(AND('PSA inputs'!$I$867=1,'PSA inputs'!$I$899=1),N427,K427)</f>
        <v>12733.368608595008</v>
      </c>
      <c r="K427" s="491">
        <f>'Cost input'!C325</f>
        <v>11387.898260869566</v>
      </c>
      <c r="L427" s="491">
        <f>'Cost input'!D325</f>
        <v>5466.0389174301827</v>
      </c>
      <c r="M427" s="491">
        <f>'Cost input'!E325</f>
        <v>19358.887832565219</v>
      </c>
      <c r="N427" s="492">
        <f ca="1">'PSA inputs'!U437</f>
        <v>12733.368608595008</v>
      </c>
      <c r="O427" s="739"/>
    </row>
    <row r="428" spans="2:29" s="296" customFormat="1" ht="15" customHeight="1" x14ac:dyDescent="0.3">
      <c r="B428" s="206" t="s">
        <v>980</v>
      </c>
      <c r="C428" s="491">
        <f ca="1">IF(AND('PSA inputs'!$I$867=1,'PSA inputs'!$I$897=1),G428,D428)</f>
        <v>11743.028735196802</v>
      </c>
      <c r="D428" s="491">
        <f>'Cost input'!C271</f>
        <v>11387.898260869566</v>
      </c>
      <c r="E428" s="491">
        <f>'Cost input'!D271</f>
        <v>5466.0389174301827</v>
      </c>
      <c r="F428" s="491">
        <f>'Cost input'!E271</f>
        <v>19358.887832565219</v>
      </c>
      <c r="G428" s="492">
        <f ca="1">'PSA inputs'!J438</f>
        <v>11743.028735196802</v>
      </c>
      <c r="I428" s="206" t="s">
        <v>980</v>
      </c>
      <c r="J428" s="513">
        <f ca="1">IF(AND('PSA inputs'!$I$867=1,'PSA inputs'!$I$899=1),N428,K428)</f>
        <v>12733.368608595008</v>
      </c>
      <c r="K428" s="491">
        <f>'Cost input'!C326</f>
        <v>11387.898260869566</v>
      </c>
      <c r="L428" s="491">
        <f>'Cost input'!D326</f>
        <v>5466.0389174301827</v>
      </c>
      <c r="M428" s="491">
        <f>'Cost input'!E326</f>
        <v>19358.887832565219</v>
      </c>
      <c r="N428" s="492">
        <f ca="1">'PSA inputs'!U438</f>
        <v>12733.368608595008</v>
      </c>
      <c r="O428" s="739"/>
    </row>
    <row r="429" spans="2:29" s="296" customFormat="1" ht="15" customHeight="1" x14ac:dyDescent="0.3">
      <c r="B429" s="306"/>
      <c r="C429" s="306"/>
      <c r="D429" s="306"/>
      <c r="E429" s="306"/>
      <c r="I429" s="434"/>
      <c r="O429" s="743"/>
    </row>
    <row r="430" spans="2:29" ht="15" customHeight="1" x14ac:dyDescent="0.3">
      <c r="B430" s="509" t="s">
        <v>1375</v>
      </c>
      <c r="C430" s="519"/>
      <c r="D430" s="519"/>
      <c r="E430" s="519"/>
      <c r="F430" s="519"/>
      <c r="G430" s="519"/>
    </row>
    <row r="431" spans="2:29" ht="15" customHeight="1" x14ac:dyDescent="0.3">
      <c r="B431" s="484" t="s">
        <v>950</v>
      </c>
      <c r="C431" s="485" t="s">
        <v>724</v>
      </c>
      <c r="D431" s="485" t="s">
        <v>995</v>
      </c>
      <c r="E431" s="485" t="s">
        <v>985</v>
      </c>
      <c r="F431" s="485" t="s">
        <v>986</v>
      </c>
      <c r="G431" s="485" t="s">
        <v>996</v>
      </c>
    </row>
    <row r="432" spans="2:29" ht="15" customHeight="1" x14ac:dyDescent="0.3">
      <c r="B432" s="487" t="s">
        <v>1445</v>
      </c>
      <c r="Q432" s="489" t="s">
        <v>909</v>
      </c>
      <c r="T432" s="489"/>
      <c r="W432" s="489"/>
      <c r="Z432" s="489"/>
      <c r="AC432" s="489"/>
    </row>
    <row r="433" spans="2:29" ht="15" customHeight="1" x14ac:dyDescent="0.3">
      <c r="B433" s="493" t="s">
        <v>2</v>
      </c>
      <c r="C433" s="491">
        <f ca="1">IF(AND('PSA inputs'!$I$867=1,'PSA inputs'!$I$892=1),G433,D433)</f>
        <v>279.07192697537022</v>
      </c>
      <c r="D433" s="491">
        <f>'Cost input'!C134</f>
        <v>326.21217391304344</v>
      </c>
      <c r="E433" s="491">
        <f>'Cost input'!D134</f>
        <v>212.08478260869566</v>
      </c>
      <c r="F433" s="491">
        <f>'Cost input'!E134</f>
        <v>440.45673913043476</v>
      </c>
      <c r="G433" s="492">
        <f ca="1">'PSA inputs'!J334</f>
        <v>279.07192697537022</v>
      </c>
      <c r="Q433" s="495" t="s">
        <v>907</v>
      </c>
      <c r="T433" s="495"/>
      <c r="W433" s="495"/>
      <c r="Z433" s="495"/>
      <c r="AC433" s="495"/>
    </row>
    <row r="434" spans="2:29" ht="15" customHeight="1" x14ac:dyDescent="0.3">
      <c r="B434" s="493" t="s">
        <v>3</v>
      </c>
      <c r="C434" s="491">
        <f ca="1">IF(AND('PSA inputs'!$I$867=1,'PSA inputs'!$I$892=1),G434,D434)</f>
        <v>279.07192697537022</v>
      </c>
      <c r="D434" s="491">
        <f>'Cost input'!C135</f>
        <v>326.21217391304344</v>
      </c>
      <c r="E434" s="491">
        <f>'Cost input'!D135</f>
        <v>212.08478260869566</v>
      </c>
      <c r="F434" s="491">
        <f>'Cost input'!E135</f>
        <v>440.45673913043476</v>
      </c>
      <c r="G434" s="492">
        <f ca="1">'PSA inputs'!J335</f>
        <v>279.07192697537022</v>
      </c>
    </row>
    <row r="435" spans="2:29" ht="15" customHeight="1" x14ac:dyDescent="0.3">
      <c r="B435" s="493" t="s">
        <v>4</v>
      </c>
      <c r="C435" s="491">
        <f ca="1">IF(AND('PSA inputs'!$I$867=1,'PSA inputs'!$I$892=1),G435,D435)</f>
        <v>279.07192697537022</v>
      </c>
      <c r="D435" s="491">
        <f>'Cost input'!C136</f>
        <v>326.21217391304344</v>
      </c>
      <c r="E435" s="491">
        <f>'Cost input'!D136</f>
        <v>212.08478260869566</v>
      </c>
      <c r="F435" s="491">
        <f>'Cost input'!E136</f>
        <v>440.45673913043476</v>
      </c>
      <c r="G435" s="492">
        <f ca="1">'PSA inputs'!J336</f>
        <v>279.07192697537022</v>
      </c>
    </row>
    <row r="436" spans="2:29" ht="15" customHeight="1" x14ac:dyDescent="0.3">
      <c r="B436" s="493" t="s">
        <v>5</v>
      </c>
      <c r="C436" s="491">
        <f ca="1">IF(AND('PSA inputs'!$I$867=1,'PSA inputs'!$I$892=1),G436,D436)</f>
        <v>272.52168723251503</v>
      </c>
      <c r="D436" s="491">
        <f>'Cost input'!C137</f>
        <v>328.32130434782607</v>
      </c>
      <c r="E436" s="491">
        <f>'Cost input'!D137</f>
        <v>194.04</v>
      </c>
      <c r="F436" s="491">
        <f>'Cost input'!E137</f>
        <v>463.65717391304349</v>
      </c>
      <c r="G436" s="492">
        <f ca="1">'PSA inputs'!J337</f>
        <v>272.52168723251503</v>
      </c>
      <c r="Q436" s="790"/>
      <c r="R436" s="790"/>
      <c r="S436" s="790"/>
    </row>
    <row r="437" spans="2:29" ht="15" customHeight="1" x14ac:dyDescent="0.3">
      <c r="B437" s="493" t="s">
        <v>6</v>
      </c>
      <c r="C437" s="491">
        <f ca="1">IF(AND('PSA inputs'!$I$867=1,'PSA inputs'!$I$892=1),G437,D437)</f>
        <v>272.52168723251503</v>
      </c>
      <c r="D437" s="491">
        <f>'Cost input'!C138</f>
        <v>328.32130434782607</v>
      </c>
      <c r="E437" s="491">
        <f>'Cost input'!D138</f>
        <v>194.04</v>
      </c>
      <c r="F437" s="491">
        <f>'Cost input'!E138</f>
        <v>463.65717391304349</v>
      </c>
      <c r="G437" s="492">
        <f ca="1">'PSA inputs'!J338</f>
        <v>272.52168723251503</v>
      </c>
    </row>
    <row r="438" spans="2:29" ht="15" customHeight="1" x14ac:dyDescent="0.3">
      <c r="B438" s="493" t="s">
        <v>7</v>
      </c>
      <c r="C438" s="491">
        <f ca="1">IF(AND('PSA inputs'!$I$867=1,'PSA inputs'!$I$892=1),G438,D438)</f>
        <v>272.52168723251503</v>
      </c>
      <c r="D438" s="491">
        <f>'Cost input'!C139</f>
        <v>328.32130434782607</v>
      </c>
      <c r="E438" s="491">
        <f>'Cost input'!D139</f>
        <v>194.04</v>
      </c>
      <c r="F438" s="491">
        <f>'Cost input'!E139</f>
        <v>463.65717391304349</v>
      </c>
      <c r="G438" s="492">
        <f ca="1">'PSA inputs'!J339</f>
        <v>272.52168723251503</v>
      </c>
    </row>
    <row r="439" spans="2:29" ht="15" customHeight="1" x14ac:dyDescent="0.3">
      <c r="B439" s="493" t="s">
        <v>1469</v>
      </c>
      <c r="C439" s="491">
        <f ca="1">IF(AND('PSA inputs'!$I$867=1,'PSA inputs'!$I$892=1),G439,D439)</f>
        <v>276.85157412313112</v>
      </c>
      <c r="D439" s="491">
        <f>'Cost input'!C140</f>
        <v>328.4384782608696</v>
      </c>
      <c r="E439" s="491">
        <f>'Cost input'!D140</f>
        <v>203.64826086956523</v>
      </c>
      <c r="F439" s="491">
        <f>'Cost input'!E140</f>
        <v>453.22869565217394</v>
      </c>
      <c r="G439" s="492">
        <f ca="1">'PSA inputs'!J340</f>
        <v>276.85157412313112</v>
      </c>
    </row>
    <row r="440" spans="2:29" x14ac:dyDescent="0.3">
      <c r="B440" s="487" t="s">
        <v>1444</v>
      </c>
      <c r="C440" s="533"/>
      <c r="D440" s="533"/>
      <c r="E440" s="533"/>
      <c r="F440" s="533"/>
      <c r="G440" s="533"/>
      <c r="H440" s="487"/>
      <c r="I440" s="487"/>
    </row>
    <row r="441" spans="2:29" x14ac:dyDescent="0.3">
      <c r="B441" s="493" t="s">
        <v>2</v>
      </c>
      <c r="C441" s="491">
        <f ca="1">IF(AND('PSA inputs'!$I$867=1,'PSA inputs'!$I$892=1),G441,D441)</f>
        <v>360.85088931886048</v>
      </c>
      <c r="D441" s="491">
        <f>'Cost input'!C142</f>
        <v>330.89913043478259</v>
      </c>
      <c r="E441" s="491">
        <f>'Cost input'!D142</f>
        <v>201.87913280652174</v>
      </c>
      <c r="F441" s="491">
        <f>'Cost input'!E142</f>
        <v>460.01966328043483</v>
      </c>
      <c r="G441" s="492">
        <f ca="1">'PSA inputs'!J342</f>
        <v>360.85088931886048</v>
      </c>
      <c r="H441" s="500"/>
      <c r="I441" s="500"/>
      <c r="J441" s="449"/>
      <c r="K441" s="449"/>
      <c r="L441" s="449"/>
      <c r="M441" s="449"/>
      <c r="N441" s="449"/>
      <c r="O441" s="742"/>
    </row>
    <row r="442" spans="2:29" x14ac:dyDescent="0.3">
      <c r="B442" s="493" t="s">
        <v>3</v>
      </c>
      <c r="C442" s="491">
        <f ca="1">IF(AND('PSA inputs'!$I$867=1,'PSA inputs'!$I$892=1),G442,D442)</f>
        <v>360.85088931886048</v>
      </c>
      <c r="D442" s="491">
        <f>'Cost input'!C143</f>
        <v>330.89913043478259</v>
      </c>
      <c r="E442" s="491">
        <f>'Cost input'!D143</f>
        <v>201.87913280652174</v>
      </c>
      <c r="F442" s="491">
        <f>'Cost input'!E143</f>
        <v>460.01966328043483</v>
      </c>
      <c r="G442" s="492">
        <f ca="1">'PSA inputs'!J343</f>
        <v>360.85088931886048</v>
      </c>
      <c r="H442" s="500"/>
      <c r="I442" s="500"/>
      <c r="J442" s="449"/>
      <c r="K442" s="449"/>
      <c r="L442" s="449"/>
      <c r="M442" s="449"/>
      <c r="N442" s="449"/>
      <c r="O442" s="742"/>
    </row>
    <row r="443" spans="2:29" x14ac:dyDescent="0.3">
      <c r="B443" s="493" t="s">
        <v>4</v>
      </c>
      <c r="C443" s="491">
        <f ca="1">IF(AND('PSA inputs'!$I$867=1,'PSA inputs'!$I$892=1),G443,D443)</f>
        <v>360.85088931886048</v>
      </c>
      <c r="D443" s="491">
        <f>'Cost input'!C144</f>
        <v>330.89913043478259</v>
      </c>
      <c r="E443" s="491">
        <f>'Cost input'!D144</f>
        <v>201.87913280652174</v>
      </c>
      <c r="F443" s="491">
        <f>'Cost input'!E144</f>
        <v>460.01966328043483</v>
      </c>
      <c r="G443" s="492">
        <f ca="1">'PSA inputs'!J344</f>
        <v>360.85088931886048</v>
      </c>
      <c r="H443" s="500"/>
      <c r="I443" s="500"/>
      <c r="J443" s="449"/>
      <c r="K443" s="449"/>
      <c r="L443" s="449"/>
      <c r="M443" s="449"/>
      <c r="N443" s="449"/>
      <c r="O443" s="742"/>
    </row>
    <row r="444" spans="2:29" x14ac:dyDescent="0.3">
      <c r="B444" s="493" t="s">
        <v>5</v>
      </c>
      <c r="C444" s="491">
        <f ca="1">IF(AND('PSA inputs'!$I$867=1,'PSA inputs'!$I$892=1),G444,D444)</f>
        <v>360.85088931886048</v>
      </c>
      <c r="D444" s="491">
        <f>'Cost input'!C145</f>
        <v>330.89913043478259</v>
      </c>
      <c r="E444" s="491">
        <f>'Cost input'!D145</f>
        <v>201.87913280652174</v>
      </c>
      <c r="F444" s="491">
        <f>'Cost input'!E145</f>
        <v>460.01966328043483</v>
      </c>
      <c r="G444" s="492">
        <f ca="1">'PSA inputs'!J345</f>
        <v>360.85088931886048</v>
      </c>
      <c r="H444" s="500"/>
      <c r="I444" s="500"/>
      <c r="J444" s="449"/>
      <c r="K444" s="449"/>
      <c r="L444" s="449"/>
      <c r="M444" s="449"/>
      <c r="N444" s="449"/>
      <c r="O444" s="742"/>
    </row>
    <row r="445" spans="2:29" x14ac:dyDescent="0.3">
      <c r="B445" s="493" t="s">
        <v>6</v>
      </c>
      <c r="C445" s="491">
        <f ca="1">IF(AND('PSA inputs'!$I$867=1,'PSA inputs'!$I$892=1),G445,D445)</f>
        <v>360.85088931886048</v>
      </c>
      <c r="D445" s="491">
        <f>'Cost input'!C146</f>
        <v>330.89913043478259</v>
      </c>
      <c r="E445" s="491">
        <f>'Cost input'!D146</f>
        <v>201.87913280652174</v>
      </c>
      <c r="F445" s="491">
        <f>'Cost input'!E146</f>
        <v>460.01966328043483</v>
      </c>
      <c r="G445" s="492">
        <f ca="1">'PSA inputs'!J346</f>
        <v>360.85088931886048</v>
      </c>
      <c r="H445" s="500"/>
      <c r="I445" s="500"/>
      <c r="J445" s="449"/>
      <c r="K445" s="449"/>
      <c r="L445" s="449"/>
      <c r="M445" s="449"/>
      <c r="N445" s="449"/>
      <c r="O445" s="742"/>
    </row>
    <row r="446" spans="2:29" x14ac:dyDescent="0.3">
      <c r="B446" s="493" t="s">
        <v>7</v>
      </c>
      <c r="C446" s="491">
        <f ca="1">IF(AND('PSA inputs'!$I$867=1,'PSA inputs'!$I$892=1),G446,D446)</f>
        <v>360.85088931886048</v>
      </c>
      <c r="D446" s="491">
        <f>'Cost input'!C147</f>
        <v>330.89913043478259</v>
      </c>
      <c r="E446" s="491">
        <f>'Cost input'!D147</f>
        <v>201.87913280652174</v>
      </c>
      <c r="F446" s="491">
        <f>'Cost input'!E147</f>
        <v>460.01966328043483</v>
      </c>
      <c r="G446" s="492">
        <f ca="1">'PSA inputs'!J347</f>
        <v>360.85088931886048</v>
      </c>
      <c r="H446" s="500"/>
      <c r="I446" s="500"/>
      <c r="J446" s="449"/>
      <c r="K446" s="449"/>
      <c r="L446" s="449"/>
      <c r="M446" s="449"/>
      <c r="N446" s="449"/>
      <c r="O446" s="742"/>
    </row>
    <row r="447" spans="2:29" x14ac:dyDescent="0.3">
      <c r="B447" s="493" t="s">
        <v>1469</v>
      </c>
      <c r="C447" s="491">
        <f ca="1">IF(AND('PSA inputs'!$I$867=1,'PSA inputs'!$I$892=1),G447,D447)</f>
        <v>360.85088931886048</v>
      </c>
      <c r="D447" s="491">
        <f>'Cost input'!C148</f>
        <v>330.89913043478259</v>
      </c>
      <c r="E447" s="491">
        <f>'Cost input'!D148</f>
        <v>201.87913280652174</v>
      </c>
      <c r="F447" s="491">
        <f>'Cost input'!E148</f>
        <v>460.01966328043483</v>
      </c>
      <c r="G447" s="492">
        <f ca="1">'PSA inputs'!J348</f>
        <v>360.85088931886048</v>
      </c>
      <c r="H447" s="500"/>
      <c r="I447" s="500"/>
      <c r="J447" s="449"/>
      <c r="K447" s="449"/>
      <c r="L447" s="449"/>
      <c r="M447" s="449"/>
      <c r="N447" s="449"/>
      <c r="O447" s="742"/>
    </row>
    <row r="448" spans="2:29" ht="15" customHeight="1" x14ac:dyDescent="0.3">
      <c r="B448" s="498" t="s">
        <v>227</v>
      </c>
      <c r="C448" s="533"/>
      <c r="D448" s="533"/>
      <c r="E448" s="533"/>
      <c r="F448" s="533"/>
      <c r="G448" s="533"/>
    </row>
    <row r="449" spans="2:29" ht="15" customHeight="1" x14ac:dyDescent="0.3">
      <c r="B449" s="490" t="s">
        <v>1437</v>
      </c>
      <c r="C449" s="491">
        <f ca="1">IF(AND('PSA inputs'!$I$867=1,'PSA inputs'!$I$892=1),G449,D449)</f>
        <v>498.21142553472356</v>
      </c>
      <c r="D449" s="491">
        <f>'Cost input'!C150</f>
        <v>320.00195652173915</v>
      </c>
      <c r="E449" s="491">
        <f>'Cost input'!D150</f>
        <v>137.61111980000001</v>
      </c>
      <c r="F449" s="491">
        <f>'Cost input'!E150</f>
        <v>502.44060020000001</v>
      </c>
      <c r="G449" s="492">
        <f ca="1">'PSA inputs'!J350</f>
        <v>498.21142553472356</v>
      </c>
    </row>
    <row r="450" spans="2:29" ht="15" customHeight="1" x14ac:dyDescent="0.3">
      <c r="B450" s="490" t="s">
        <v>1438</v>
      </c>
      <c r="C450" s="491">
        <f ca="1">IF(AND('PSA inputs'!$I$867=1,'PSA inputs'!$I$892=1),G450,D450)</f>
        <v>498.21142553472356</v>
      </c>
      <c r="D450" s="491">
        <f>'Cost input'!C151</f>
        <v>320.00195652173915</v>
      </c>
      <c r="E450" s="491">
        <f>'Cost input'!D151</f>
        <v>137.61111980000001</v>
      </c>
      <c r="F450" s="491">
        <f>'Cost input'!E151</f>
        <v>502.44060020000001</v>
      </c>
      <c r="G450" s="492">
        <f ca="1">'PSA inputs'!J351</f>
        <v>498.21142553472356</v>
      </c>
    </row>
    <row r="451" spans="2:29" ht="15" customHeight="1" x14ac:dyDescent="0.3">
      <c r="B451" s="490" t="s">
        <v>1441</v>
      </c>
      <c r="C451" s="491">
        <f ca="1">IF(AND('PSA inputs'!$I$867=1,'PSA inputs'!$I$892=1),G451,D451)</f>
        <v>477.32692510813979</v>
      </c>
      <c r="D451" s="491">
        <f>'Cost input'!C152</f>
        <v>328.67282608695655</v>
      </c>
      <c r="E451" s="491">
        <f>'Cost input'!D152</f>
        <v>174.19877140217392</v>
      </c>
      <c r="F451" s="491">
        <f>'Cost input'!E152</f>
        <v>483.15508294565217</v>
      </c>
      <c r="G451" s="492">
        <f ca="1">'PSA inputs'!J352</f>
        <v>477.32692510813979</v>
      </c>
    </row>
    <row r="452" spans="2:29" ht="15" customHeight="1" x14ac:dyDescent="0.3">
      <c r="B452" s="490" t="s">
        <v>1442</v>
      </c>
      <c r="C452" s="491">
        <f ca="1">IF(AND('PSA inputs'!$I$867=1,'PSA inputs'!$I$892=1),G452,D452)</f>
        <v>477.32692510813979</v>
      </c>
      <c r="D452" s="491">
        <f>'Cost input'!C153</f>
        <v>328.67282608695655</v>
      </c>
      <c r="E452" s="491">
        <f>'Cost input'!D153</f>
        <v>174.19877140217392</v>
      </c>
      <c r="F452" s="491">
        <f>'Cost input'!E153</f>
        <v>483.15508294565217</v>
      </c>
      <c r="G452" s="492">
        <f ca="1">'PSA inputs'!J353</f>
        <v>477.32692510813979</v>
      </c>
    </row>
    <row r="453" spans="2:29" ht="15" customHeight="1" x14ac:dyDescent="0.3">
      <c r="B453" s="498" t="s">
        <v>920</v>
      </c>
      <c r="C453" s="533"/>
      <c r="D453" s="533"/>
      <c r="E453" s="533"/>
      <c r="F453" s="533"/>
      <c r="G453" s="533"/>
    </row>
    <row r="454" spans="2:29" ht="15" customHeight="1" x14ac:dyDescent="0.3">
      <c r="B454" s="490" t="s">
        <v>920</v>
      </c>
      <c r="C454" s="491">
        <f ca="1">IF(AND('PSA inputs'!$I$867=1,'PSA inputs'!$I$892=1),G454,D454)</f>
        <v>456.83800204225014</v>
      </c>
      <c r="D454" s="491">
        <f>'Cost input'!C155</f>
        <v>328.32130434782607</v>
      </c>
      <c r="E454" s="491">
        <f>'Cost input'!D155</f>
        <v>194.04</v>
      </c>
      <c r="F454" s="491">
        <f>'Cost input'!E155</f>
        <v>463.65717391304349</v>
      </c>
      <c r="G454" s="492">
        <f ca="1">'PSA inputs'!J355</f>
        <v>456.83800204225014</v>
      </c>
    </row>
    <row r="455" spans="2:29" ht="15" customHeight="1" x14ac:dyDescent="0.3">
      <c r="B455" s="490" t="s">
        <v>980</v>
      </c>
      <c r="C455" s="491">
        <f ca="1">IF(AND('PSA inputs'!$I$867=1,'PSA inputs'!$I$892=1),G455,D455)</f>
        <v>456.83800204225014</v>
      </c>
      <c r="D455" s="491">
        <f>'Cost input'!C156</f>
        <v>328.32130434782607</v>
      </c>
      <c r="E455" s="491">
        <f>'Cost input'!D156</f>
        <v>194.04</v>
      </c>
      <c r="F455" s="491">
        <f>'Cost input'!E156</f>
        <v>463.65717391304349</v>
      </c>
      <c r="G455" s="492">
        <f ca="1">'PSA inputs'!J356</f>
        <v>456.83800204225014</v>
      </c>
    </row>
    <row r="456" spans="2:29" ht="15" customHeight="1" x14ac:dyDescent="0.3">
      <c r="B456" s="527"/>
      <c r="E456" s="527"/>
    </row>
    <row r="457" spans="2:29" ht="15" customHeight="1" x14ac:dyDescent="0.3">
      <c r="B457" s="509" t="s">
        <v>1544</v>
      </c>
      <c r="C457" s="519"/>
      <c r="D457" s="519"/>
      <c r="E457" s="519"/>
      <c r="F457" s="519"/>
      <c r="G457" s="519"/>
    </row>
    <row r="458" spans="2:29" ht="15" customHeight="1" x14ac:dyDescent="0.3">
      <c r="B458" s="484" t="s">
        <v>950</v>
      </c>
      <c r="C458" s="485" t="s">
        <v>724</v>
      </c>
      <c r="D458" s="485" t="s">
        <v>995</v>
      </c>
      <c r="E458" s="485" t="s">
        <v>985</v>
      </c>
      <c r="F458" s="485" t="s">
        <v>986</v>
      </c>
      <c r="G458" s="485" t="s">
        <v>996</v>
      </c>
    </row>
    <row r="459" spans="2:29" ht="15" customHeight="1" x14ac:dyDescent="0.3">
      <c r="B459" s="487" t="s">
        <v>1445</v>
      </c>
      <c r="Q459" s="489" t="s">
        <v>909</v>
      </c>
      <c r="T459" s="489"/>
      <c r="W459" s="489"/>
      <c r="Z459" s="489"/>
      <c r="AC459" s="489"/>
    </row>
    <row r="460" spans="2:29" ht="15" customHeight="1" x14ac:dyDescent="0.3">
      <c r="B460" s="493" t="s">
        <v>2</v>
      </c>
      <c r="C460" s="491">
        <f ca="1">IF(AND('PSA inputs'!$I$867=1,OR('PSA inputs'!$I$893=1,'PSA inputs'!$I$894=1)),G460,D460)</f>
        <v>5233.7639652583184</v>
      </c>
      <c r="D460" s="491">
        <f>'Cost input'!O165*'Cost input'!O192</f>
        <v>7996.6039999999985</v>
      </c>
      <c r="E460" s="491">
        <f>'Cost input'!P165*'Cost input'!P192</f>
        <v>3898.2514320749997</v>
      </c>
      <c r="F460" s="491">
        <f>'Cost input'!Q165*'Cost input'!Q192</f>
        <v>13493.947264875</v>
      </c>
      <c r="G460" s="492">
        <f ca="1">'PSA inputs'!J362*'PSA inputs'!U362</f>
        <v>5233.7639652583184</v>
      </c>
      <c r="Q460" s="495" t="s">
        <v>907</v>
      </c>
      <c r="T460" s="495"/>
      <c r="W460" s="495"/>
      <c r="Z460" s="495"/>
      <c r="AC460" s="495"/>
    </row>
    <row r="461" spans="2:29" ht="15" customHeight="1" x14ac:dyDescent="0.3">
      <c r="B461" s="493" t="s">
        <v>3</v>
      </c>
      <c r="C461" s="491">
        <f ca="1">IF(AND('PSA inputs'!$I$867=1,OR('PSA inputs'!$I$893=1,'PSA inputs'!$I$894=1)),G461,D461)</f>
        <v>5233.7639652583184</v>
      </c>
      <c r="D461" s="491">
        <f>'Cost input'!O166*'Cost input'!O193</f>
        <v>7996.6039999999985</v>
      </c>
      <c r="E461" s="491">
        <f>'Cost input'!P166*'Cost input'!P193</f>
        <v>3898.2514320749997</v>
      </c>
      <c r="F461" s="491">
        <f>'Cost input'!Q166*'Cost input'!Q193</f>
        <v>13493.947264875</v>
      </c>
      <c r="G461" s="492">
        <f ca="1">'PSA inputs'!J363*'PSA inputs'!U363</f>
        <v>5233.7639652583184</v>
      </c>
    </row>
    <row r="462" spans="2:29" ht="15" customHeight="1" x14ac:dyDescent="0.3">
      <c r="B462" s="493" t="s">
        <v>4</v>
      </c>
      <c r="C462" s="491">
        <f ca="1">IF(AND('PSA inputs'!$I$867=1,OR('PSA inputs'!$I$893=1,'PSA inputs'!$I$894=1)),G462,D462)</f>
        <v>5233.7639652583184</v>
      </c>
      <c r="D462" s="491">
        <f>'Cost input'!O167*'Cost input'!O194</f>
        <v>7996.6039999999985</v>
      </c>
      <c r="E462" s="491">
        <f>'Cost input'!P167*'Cost input'!P194</f>
        <v>3898.2514320749997</v>
      </c>
      <c r="F462" s="491">
        <f>'Cost input'!Q167*'Cost input'!Q194</f>
        <v>13493.947264875</v>
      </c>
      <c r="G462" s="492">
        <f ca="1">'PSA inputs'!J364*'PSA inputs'!U364</f>
        <v>5233.7639652583184</v>
      </c>
    </row>
    <row r="463" spans="2:29" ht="15" customHeight="1" x14ac:dyDescent="0.3">
      <c r="B463" s="493" t="s">
        <v>5</v>
      </c>
      <c r="C463" s="491">
        <f ca="1">IF(AND('PSA inputs'!$I$867=1,OR('PSA inputs'!$I$893=1,'PSA inputs'!$I$894=1)),G463,D463)</f>
        <v>7184.1635661403698</v>
      </c>
      <c r="D463" s="491">
        <f>'Cost input'!O168*'Cost input'!O195</f>
        <v>11062.529739130434</v>
      </c>
      <c r="E463" s="491">
        <f>'Cost input'!P168*'Cost input'!P195</f>
        <v>5309.8663769321774</v>
      </c>
      <c r="F463" s="491">
        <f>'Cost input'!Q168*'Cost input'!Q195</f>
        <v>18805.776751634785</v>
      </c>
      <c r="G463" s="492">
        <f ca="1">'PSA inputs'!J365*'PSA inputs'!U365</f>
        <v>7184.1635661403698</v>
      </c>
    </row>
    <row r="464" spans="2:29" ht="15" customHeight="1" x14ac:dyDescent="0.3">
      <c r="B464" s="493" t="s">
        <v>6</v>
      </c>
      <c r="C464" s="491">
        <f ca="1">IF(AND('PSA inputs'!$I$867=1,OR('PSA inputs'!$I$893=1,'PSA inputs'!$I$894=1)),G464,D464)</f>
        <v>7184.1635661403698</v>
      </c>
      <c r="D464" s="491">
        <f>'Cost input'!O169*'Cost input'!O196</f>
        <v>11062.529739130434</v>
      </c>
      <c r="E464" s="491">
        <f>'Cost input'!P169*'Cost input'!P196</f>
        <v>5309.8663769321774</v>
      </c>
      <c r="F464" s="491">
        <f>'Cost input'!Q169*'Cost input'!Q196</f>
        <v>18805.776751634785</v>
      </c>
      <c r="G464" s="492">
        <f ca="1">'PSA inputs'!J366*'PSA inputs'!U366</f>
        <v>7184.1635661403698</v>
      </c>
    </row>
    <row r="465" spans="2:15" ht="15" customHeight="1" x14ac:dyDescent="0.3">
      <c r="B465" s="493" t="s">
        <v>7</v>
      </c>
      <c r="C465" s="491">
        <f ca="1">IF(AND('PSA inputs'!$I$867=1,OR('PSA inputs'!$I$893=1,'PSA inputs'!$I$894=1)),G465,D465)</f>
        <v>7184.1635661403698</v>
      </c>
      <c r="D465" s="491">
        <f>'Cost input'!O170*'Cost input'!O197</f>
        <v>11062.529739130434</v>
      </c>
      <c r="E465" s="491">
        <f>'Cost input'!P170*'Cost input'!P197</f>
        <v>5309.8663769321774</v>
      </c>
      <c r="F465" s="491">
        <f>'Cost input'!Q170*'Cost input'!Q197</f>
        <v>18805.776751634785</v>
      </c>
      <c r="G465" s="492">
        <f ca="1">'PSA inputs'!J367*'PSA inputs'!U367</f>
        <v>7184.1635661403698</v>
      </c>
    </row>
    <row r="466" spans="2:15" ht="15" customHeight="1" x14ac:dyDescent="0.3">
      <c r="B466" s="493" t="s">
        <v>1469</v>
      </c>
      <c r="C466" s="491">
        <f ca="1">IF(AND('PSA inputs'!$I$867=1,OR('PSA inputs'!$I$893=1,'PSA inputs'!$I$894=1)),G466,D466)</f>
        <v>7919.5775898426537</v>
      </c>
      <c r="D466" s="491">
        <f>'Cost input'!O171*'Cost input'!O198</f>
        <v>11460.077391304349</v>
      </c>
      <c r="E466" s="491">
        <f>'Cost input'!P171*'Cost input'!P198</f>
        <v>5328.8825363184769</v>
      </c>
      <c r="F466" s="491">
        <f>'Cost input'!Q171*'Cost input'!Q198</f>
        <v>16871.020777499991</v>
      </c>
      <c r="G466" s="492">
        <f ca="1">'PSA inputs'!J368*'PSA inputs'!U368</f>
        <v>7919.5775898426537</v>
      </c>
    </row>
    <row r="467" spans="2:15" x14ac:dyDescent="0.3">
      <c r="B467" s="487" t="s">
        <v>1444</v>
      </c>
      <c r="C467" s="533"/>
      <c r="D467" s="533"/>
      <c r="E467" s="533"/>
      <c r="F467" s="533"/>
      <c r="G467" s="533"/>
      <c r="H467" s="487"/>
    </row>
    <row r="468" spans="2:15" x14ac:dyDescent="0.3">
      <c r="B468" s="493" t="s">
        <v>2</v>
      </c>
      <c r="C468" s="491">
        <f ca="1">IF(AND('PSA inputs'!$I$867=1,OR('PSA inputs'!$I$893=1,'PSA inputs'!$I$894=1)),G468,D468)</f>
        <v>8591.5606427174935</v>
      </c>
      <c r="D468" s="491">
        <f>'Cost input'!O173*'Cost input'!O200</f>
        <v>11761.06202173913</v>
      </c>
      <c r="E468" s="491">
        <f>'Cost input'!P173*'Cost input'!P200</f>
        <v>5380.7032865204328</v>
      </c>
      <c r="F468" s="491">
        <f>'Cost input'!Q173*'Cost input'!Q200</f>
        <v>20434.91138869779</v>
      </c>
      <c r="G468" s="492">
        <f ca="1">'PSA inputs'!J370*'PSA inputs'!U370</f>
        <v>8591.5606427174935</v>
      </c>
      <c r="H468" s="500"/>
      <c r="I468" s="449"/>
      <c r="J468" s="449"/>
      <c r="K468" s="449"/>
      <c r="L468" s="449"/>
      <c r="M468" s="449"/>
      <c r="N468" s="449"/>
      <c r="O468" s="742"/>
    </row>
    <row r="469" spans="2:15" x14ac:dyDescent="0.3">
      <c r="B469" s="493" t="s">
        <v>3</v>
      </c>
      <c r="C469" s="491">
        <f ca="1">IF(AND('PSA inputs'!$I$867=1,OR('PSA inputs'!$I$893=1,'PSA inputs'!$I$894=1)),G469,D469)</f>
        <v>8591.5606427174935</v>
      </c>
      <c r="D469" s="491">
        <f>'Cost input'!O174*'Cost input'!O201</f>
        <v>11761.06202173913</v>
      </c>
      <c r="E469" s="491">
        <f>'Cost input'!P174*'Cost input'!P201</f>
        <v>5380.7032865204328</v>
      </c>
      <c r="F469" s="491">
        <f>'Cost input'!Q174*'Cost input'!Q201</f>
        <v>20434.91138869779</v>
      </c>
      <c r="G469" s="492">
        <f ca="1">'PSA inputs'!J371*'PSA inputs'!U371</f>
        <v>8591.5606427174935</v>
      </c>
      <c r="H469" s="500"/>
      <c r="I469" s="449"/>
      <c r="J469" s="449"/>
      <c r="K469" s="449"/>
      <c r="L469" s="449"/>
      <c r="M469" s="449"/>
      <c r="N469" s="449"/>
      <c r="O469" s="742"/>
    </row>
    <row r="470" spans="2:15" x14ac:dyDescent="0.3">
      <c r="B470" s="493" t="s">
        <v>4</v>
      </c>
      <c r="C470" s="491">
        <f ca="1">IF(AND('PSA inputs'!$I$867=1,OR('PSA inputs'!$I$893=1,'PSA inputs'!$I$894=1)),G470,D470)</f>
        <v>8591.5606427174935</v>
      </c>
      <c r="D470" s="491">
        <f>'Cost input'!O175*'Cost input'!O202</f>
        <v>11761.06202173913</v>
      </c>
      <c r="E470" s="491">
        <f>'Cost input'!P175*'Cost input'!P202</f>
        <v>5380.7032865204328</v>
      </c>
      <c r="F470" s="491">
        <f>'Cost input'!Q175*'Cost input'!Q202</f>
        <v>20434.91138869779</v>
      </c>
      <c r="G470" s="492">
        <f ca="1">'PSA inputs'!J372*'PSA inputs'!U372</f>
        <v>8591.5606427174935</v>
      </c>
      <c r="H470" s="500"/>
      <c r="I470" s="449"/>
      <c r="J470" s="449"/>
      <c r="K470" s="449"/>
      <c r="L470" s="449"/>
      <c r="M470" s="449"/>
      <c r="N470" s="449"/>
      <c r="O470" s="742"/>
    </row>
    <row r="471" spans="2:15" x14ac:dyDescent="0.3">
      <c r="B471" s="493" t="s">
        <v>5</v>
      </c>
      <c r="C471" s="491">
        <f ca="1">IF(AND('PSA inputs'!$I$867=1,OR('PSA inputs'!$I$893=1,'PSA inputs'!$I$894=1)),G471,D471)</f>
        <v>8591.5606427174935</v>
      </c>
      <c r="D471" s="491">
        <f>'Cost input'!O176*'Cost input'!O203</f>
        <v>11761.06202173913</v>
      </c>
      <c r="E471" s="491">
        <f>'Cost input'!P176*'Cost input'!P203</f>
        <v>5380.7032865204328</v>
      </c>
      <c r="F471" s="491">
        <f>'Cost input'!Q176*'Cost input'!Q203</f>
        <v>20434.91138869779</v>
      </c>
      <c r="G471" s="492">
        <f ca="1">'PSA inputs'!J373*'PSA inputs'!U373</f>
        <v>8591.5606427174935</v>
      </c>
      <c r="H471" s="500"/>
      <c r="I471" s="449"/>
      <c r="J471" s="449"/>
      <c r="K471" s="449"/>
      <c r="L471" s="449"/>
      <c r="M471" s="449"/>
      <c r="N471" s="449"/>
      <c r="O471" s="742"/>
    </row>
    <row r="472" spans="2:15" x14ac:dyDescent="0.3">
      <c r="B472" s="493" t="s">
        <v>6</v>
      </c>
      <c r="C472" s="491">
        <f ca="1">IF(AND('PSA inputs'!$I$867=1,OR('PSA inputs'!$I$893=1,'PSA inputs'!$I$894=1)),G472,D472)</f>
        <v>8591.5606427174935</v>
      </c>
      <c r="D472" s="491">
        <f>'Cost input'!O177*'Cost input'!O204</f>
        <v>11761.06202173913</v>
      </c>
      <c r="E472" s="491">
        <f>'Cost input'!P177*'Cost input'!P204</f>
        <v>5380.7032865204328</v>
      </c>
      <c r="F472" s="491">
        <f>'Cost input'!Q177*'Cost input'!Q204</f>
        <v>20434.91138869779</v>
      </c>
      <c r="G472" s="492">
        <f ca="1">'PSA inputs'!J374*'PSA inputs'!U374</f>
        <v>8591.5606427174935</v>
      </c>
      <c r="H472" s="500"/>
      <c r="I472" s="449"/>
      <c r="J472" s="449"/>
      <c r="K472" s="449"/>
      <c r="L472" s="449"/>
      <c r="M472" s="449"/>
      <c r="N472" s="449"/>
      <c r="O472" s="742"/>
    </row>
    <row r="473" spans="2:15" x14ac:dyDescent="0.3">
      <c r="B473" s="493" t="s">
        <v>7</v>
      </c>
      <c r="C473" s="491">
        <f ca="1">IF(AND('PSA inputs'!$I$867=1,OR('PSA inputs'!$I$893=1,'PSA inputs'!$I$894=1)),G473,D473)</f>
        <v>8591.5606427174935</v>
      </c>
      <c r="D473" s="491">
        <f>'Cost input'!O178*'Cost input'!O205</f>
        <v>11761.06202173913</v>
      </c>
      <c r="E473" s="491">
        <f>'Cost input'!P178*'Cost input'!P205</f>
        <v>5380.7032865204328</v>
      </c>
      <c r="F473" s="491">
        <f>'Cost input'!Q178*'Cost input'!Q205</f>
        <v>20434.91138869779</v>
      </c>
      <c r="G473" s="492">
        <f ca="1">'PSA inputs'!J375*'PSA inputs'!U375</f>
        <v>8591.5606427174935</v>
      </c>
      <c r="H473" s="500"/>
      <c r="I473" s="449"/>
      <c r="J473" s="449"/>
      <c r="K473" s="449"/>
      <c r="L473" s="449"/>
      <c r="M473" s="449"/>
      <c r="N473" s="449"/>
      <c r="O473" s="742"/>
    </row>
    <row r="474" spans="2:15" x14ac:dyDescent="0.3">
      <c r="B474" s="493" t="s">
        <v>1469</v>
      </c>
      <c r="C474" s="491">
        <f ca="1">IF(AND('PSA inputs'!$I$867=1,OR('PSA inputs'!$I$893=1,'PSA inputs'!$I$894=1)),G474,D474)</f>
        <v>8591.5606427174935</v>
      </c>
      <c r="D474" s="491">
        <f>'Cost input'!O179*'Cost input'!O206</f>
        <v>11761.06202173913</v>
      </c>
      <c r="E474" s="491">
        <f>'Cost input'!P179*'Cost input'!P206</f>
        <v>5380.7032865204328</v>
      </c>
      <c r="F474" s="491">
        <f>'Cost input'!Q179*'Cost input'!Q206</f>
        <v>20434.91138869779</v>
      </c>
      <c r="G474" s="492">
        <f ca="1">'PSA inputs'!J376*'PSA inputs'!U376</f>
        <v>8591.5606427174935</v>
      </c>
      <c r="H474" s="500"/>
      <c r="I474" s="449"/>
      <c r="J474" s="449"/>
      <c r="K474" s="449"/>
      <c r="L474" s="449"/>
      <c r="M474" s="449"/>
      <c r="N474" s="449"/>
      <c r="O474" s="742"/>
    </row>
    <row r="475" spans="2:15" ht="15" customHeight="1" x14ac:dyDescent="0.3">
      <c r="B475" s="498" t="s">
        <v>227</v>
      </c>
      <c r="C475" s="533"/>
      <c r="D475" s="533"/>
      <c r="E475" s="533"/>
      <c r="F475" s="533"/>
      <c r="G475" s="533"/>
    </row>
    <row r="476" spans="2:15" ht="15" customHeight="1" x14ac:dyDescent="0.3">
      <c r="B476" s="490" t="s">
        <v>1437</v>
      </c>
      <c r="C476" s="491">
        <f ca="1">IF(AND('PSA inputs'!$I$867=1,OR('PSA inputs'!$I$893=1,'PSA inputs'!$I$894=1)),G476,D476)</f>
        <v>8020.5404645745093</v>
      </c>
      <c r="D476" s="491">
        <f>'Cost input'!O181*'Cost input'!O208</f>
        <v>12523.44236956522</v>
      </c>
      <c r="E476" s="491">
        <f>'Cost input'!P181*'Cost input'!P208</f>
        <v>4038.7397262586951</v>
      </c>
      <c r="F476" s="491">
        <f>'Cost input'!Q181*'Cost input'!Q208</f>
        <v>24576.827016380466</v>
      </c>
      <c r="G476" s="492">
        <f ca="1">'PSA inputs'!J378*'PSA inputs'!U378</f>
        <v>8020.5404645745093</v>
      </c>
    </row>
    <row r="477" spans="2:15" ht="15" customHeight="1" x14ac:dyDescent="0.3">
      <c r="B477" s="490" t="s">
        <v>1438</v>
      </c>
      <c r="C477" s="491">
        <f ca="1">IF(AND('PSA inputs'!$I$867=1,OR('PSA inputs'!$I$893=1,'PSA inputs'!$I$894=1)),G477,D477)</f>
        <v>8020.5404645745093</v>
      </c>
      <c r="D477" s="491">
        <f>'Cost input'!O182*'Cost input'!O209</f>
        <v>12523.44236956522</v>
      </c>
      <c r="E477" s="491">
        <f>'Cost input'!P182*'Cost input'!P209</f>
        <v>4038.7397262586951</v>
      </c>
      <c r="F477" s="491">
        <f>'Cost input'!Q182*'Cost input'!Q209</f>
        <v>24576.827016380466</v>
      </c>
      <c r="G477" s="492">
        <f ca="1">'PSA inputs'!J379*'PSA inputs'!U379</f>
        <v>8020.5404645745093</v>
      </c>
    </row>
    <row r="478" spans="2:15" ht="15" customHeight="1" x14ac:dyDescent="0.3">
      <c r="B478" s="490" t="s">
        <v>1441</v>
      </c>
      <c r="C478" s="491">
        <f ca="1">IF(AND('PSA inputs'!$I$867=1,OR('PSA inputs'!$I$893=1,'PSA inputs'!$I$894=1)),G478,D478)</f>
        <v>6269.9904980592064</v>
      </c>
      <c r="D478" s="491">
        <f>'Cost input'!O183*'Cost input'!O210</f>
        <v>8595.6321956521733</v>
      </c>
      <c r="E478" s="491">
        <f>'Cost input'!P183*'Cost input'!P210</f>
        <v>3416.6498527030458</v>
      </c>
      <c r="F478" s="491">
        <f>'Cost input'!Q183*'Cost input'!Q210</f>
        <v>15793.947432306521</v>
      </c>
      <c r="G478" s="492">
        <f ca="1">'PSA inputs'!J380*'PSA inputs'!U380</f>
        <v>6269.9904980592064</v>
      </c>
    </row>
    <row r="479" spans="2:15" ht="15" customHeight="1" x14ac:dyDescent="0.3">
      <c r="B479" s="490" t="s">
        <v>1442</v>
      </c>
      <c r="C479" s="491">
        <f ca="1">IF(AND('PSA inputs'!$I$867=1,OR('PSA inputs'!$I$893=1,'PSA inputs'!$I$894=1)),G479,D479)</f>
        <v>6269.9904980592064</v>
      </c>
      <c r="D479" s="491">
        <f>'Cost input'!O184*'Cost input'!O211</f>
        <v>8595.6321956521733</v>
      </c>
      <c r="E479" s="491">
        <f>'Cost input'!P184*'Cost input'!P211</f>
        <v>3416.6498527030458</v>
      </c>
      <c r="F479" s="491">
        <f>'Cost input'!Q184*'Cost input'!Q211</f>
        <v>15793.947432306521</v>
      </c>
      <c r="G479" s="492">
        <f ca="1">'PSA inputs'!J381*'PSA inputs'!U381</f>
        <v>6269.9904980592064</v>
      </c>
    </row>
    <row r="480" spans="2:15" ht="15" customHeight="1" x14ac:dyDescent="0.3">
      <c r="B480" s="498" t="s">
        <v>920</v>
      </c>
      <c r="C480" s="533"/>
      <c r="D480" s="533"/>
      <c r="E480" s="533"/>
      <c r="F480" s="533"/>
      <c r="G480" s="533"/>
    </row>
    <row r="481" spans="2:15" ht="15" customHeight="1" x14ac:dyDescent="0.3">
      <c r="B481" s="490" t="s">
        <v>920</v>
      </c>
      <c r="C481" s="491">
        <f ca="1">IF(AND('PSA inputs'!$I$867=1,OR('PSA inputs'!$I$893=1,'PSA inputs'!$I$894=1)),G481,D481)</f>
        <v>15628.766331959794</v>
      </c>
      <c r="D481" s="491">
        <f>'Cost input'!O186*'Cost input'!O213</f>
        <v>11387.898260869566</v>
      </c>
      <c r="E481" s="491">
        <f>'Cost input'!P186*'Cost input'!P213</f>
        <v>5466.0389174301827</v>
      </c>
      <c r="F481" s="491">
        <f>'Cost input'!Q186*'Cost input'!Q213</f>
        <v>19358.887832565219</v>
      </c>
      <c r="G481" s="492">
        <f ca="1">'PSA inputs'!J383*'PSA inputs'!U383</f>
        <v>15628.766331959794</v>
      </c>
    </row>
    <row r="482" spans="2:15" ht="15" customHeight="1" x14ac:dyDescent="0.3">
      <c r="B482" s="490" t="s">
        <v>980</v>
      </c>
      <c r="C482" s="491">
        <f ca="1">IF(AND('PSA inputs'!$I$867=1,OR('PSA inputs'!$I$893=1,'PSA inputs'!$I$894=1)),G482,D482)</f>
        <v>15628.766331959794</v>
      </c>
      <c r="D482" s="491">
        <f>'Cost input'!O187*'Cost input'!O214</f>
        <v>11387.898260869566</v>
      </c>
      <c r="E482" s="491">
        <f>'Cost input'!P187*'Cost input'!P214</f>
        <v>5466.0389174301827</v>
      </c>
      <c r="F482" s="491">
        <f>'Cost input'!Q187*'Cost input'!Q214</f>
        <v>19358.887832565219</v>
      </c>
      <c r="G482" s="492">
        <f ca="1">'PSA inputs'!J384*'PSA inputs'!U384</f>
        <v>15628.766331959794</v>
      </c>
    </row>
    <row r="483" spans="2:15" ht="15" customHeight="1" x14ac:dyDescent="0.3">
      <c r="B483" s="490"/>
      <c r="C483" s="501"/>
      <c r="D483" s="501"/>
      <c r="E483" s="501"/>
      <c r="F483" s="501"/>
      <c r="G483" s="501"/>
    </row>
    <row r="484" spans="2:15" ht="15" customHeight="1" x14ac:dyDescent="0.3">
      <c r="B484" s="349" t="s">
        <v>966</v>
      </c>
      <c r="C484" s="341"/>
      <c r="D484" s="341"/>
      <c r="E484" s="341"/>
      <c r="F484" s="525"/>
      <c r="G484" s="525"/>
      <c r="H484" s="526"/>
      <c r="I484" s="525"/>
      <c r="J484" s="525"/>
      <c r="K484" s="525"/>
      <c r="L484" s="525"/>
      <c r="M484" s="525"/>
      <c r="N484" s="525"/>
    </row>
    <row r="485" spans="2:15" ht="15" customHeight="1" x14ac:dyDescent="0.3">
      <c r="B485" s="520"/>
      <c r="C485" s="560"/>
      <c r="D485" s="560"/>
      <c r="E485" s="560"/>
      <c r="F485" s="488"/>
      <c r="G485" s="488"/>
    </row>
    <row r="486" spans="2:15" ht="15" customHeight="1" x14ac:dyDescent="0.3">
      <c r="B486" s="509" t="s">
        <v>1403</v>
      </c>
      <c r="C486" s="519"/>
      <c r="D486" s="519"/>
      <c r="E486" s="519"/>
      <c r="F486" s="519"/>
      <c r="G486" s="519"/>
      <c r="I486" s="509" t="s">
        <v>1403</v>
      </c>
      <c r="J486" s="519"/>
      <c r="K486" s="519"/>
      <c r="L486" s="519"/>
      <c r="M486" s="519"/>
      <c r="N486" s="519"/>
      <c r="O486" s="745"/>
    </row>
    <row r="487" spans="2:15" ht="15" customHeight="1" x14ac:dyDescent="0.3">
      <c r="B487" s="510" t="s">
        <v>552</v>
      </c>
      <c r="C487" s="511"/>
      <c r="D487" s="511"/>
      <c r="E487" s="511"/>
      <c r="F487" s="511"/>
      <c r="G487" s="511"/>
      <c r="I487" s="512" t="s">
        <v>553</v>
      </c>
      <c r="J487" s="511"/>
      <c r="K487" s="511"/>
      <c r="L487" s="511"/>
      <c r="M487" s="511"/>
      <c r="N487" s="511"/>
      <c r="O487" s="745"/>
    </row>
    <row r="488" spans="2:15" ht="15" customHeight="1" x14ac:dyDescent="0.3">
      <c r="B488" s="484" t="s">
        <v>950</v>
      </c>
      <c r="C488" s="485" t="s">
        <v>724</v>
      </c>
      <c r="D488" s="485" t="s">
        <v>995</v>
      </c>
      <c r="E488" s="485" t="s">
        <v>985</v>
      </c>
      <c r="F488" s="485" t="s">
        <v>986</v>
      </c>
      <c r="G488" s="485" t="s">
        <v>996</v>
      </c>
      <c r="I488" s="484" t="s">
        <v>950</v>
      </c>
      <c r="J488" s="485" t="s">
        <v>724</v>
      </c>
      <c r="K488" s="485" t="s">
        <v>995</v>
      </c>
      <c r="L488" s="485" t="s">
        <v>985</v>
      </c>
      <c r="M488" s="485" t="s">
        <v>986</v>
      </c>
      <c r="N488" s="485" t="s">
        <v>996</v>
      </c>
      <c r="O488" s="738"/>
    </row>
    <row r="489" spans="2:15" ht="15" customHeight="1" x14ac:dyDescent="0.3">
      <c r="B489" s="487" t="s">
        <v>1445</v>
      </c>
      <c r="D489" s="520"/>
      <c r="E489" s="520"/>
      <c r="I489" s="487" t="s">
        <v>988</v>
      </c>
    </row>
    <row r="490" spans="2:15" ht="15" customHeight="1" x14ac:dyDescent="0.3">
      <c r="B490" s="493" t="s">
        <v>2</v>
      </c>
      <c r="C490" s="513">
        <f>IF(AND('PSA inputs'!$I$867=1,'PSA inputs'!$I$901=1),G490,D490)</f>
        <v>0</v>
      </c>
      <c r="D490" s="513">
        <f>'Cost input'!C336</f>
        <v>0</v>
      </c>
      <c r="E490" s="513">
        <f>'Cost input'!D336</f>
        <v>0</v>
      </c>
      <c r="F490" s="513">
        <f>'Cost input'!E336</f>
        <v>0</v>
      </c>
      <c r="G490" s="514">
        <f>'PSA inputs'!J446</f>
        <v>0</v>
      </c>
      <c r="I490" s="493" t="s">
        <v>2</v>
      </c>
      <c r="J490" s="513">
        <f ca="1">IF(AND('PSA inputs'!$I$867=1,'PSA inputs'!$I$902=1),N490,K490)</f>
        <v>59.341044325555174</v>
      </c>
      <c r="K490" s="513">
        <f>'Cost input'!C363</f>
        <v>0</v>
      </c>
      <c r="L490" s="513">
        <f>'Cost input'!D363</f>
        <v>0</v>
      </c>
      <c r="M490" s="513">
        <f>'Cost input'!E363</f>
        <v>0</v>
      </c>
      <c r="N490" s="513">
        <f ca="1">'PSA inputs'!J474</f>
        <v>59.341044325555174</v>
      </c>
      <c r="O490" s="742"/>
    </row>
    <row r="491" spans="2:15" ht="15" customHeight="1" x14ac:dyDescent="0.3">
      <c r="B491" s="493" t="s">
        <v>3</v>
      </c>
      <c r="C491" s="513">
        <f>IF(AND('PSA inputs'!$I$867=1,'PSA inputs'!$I$901=1),G491,D491)</f>
        <v>0</v>
      </c>
      <c r="D491" s="513">
        <f>'Cost input'!C337</f>
        <v>0</v>
      </c>
      <c r="E491" s="513">
        <f>'Cost input'!D337</f>
        <v>0</v>
      </c>
      <c r="F491" s="513">
        <f>'Cost input'!E337</f>
        <v>0</v>
      </c>
      <c r="G491" s="514">
        <f>'PSA inputs'!J447</f>
        <v>0</v>
      </c>
      <c r="I491" s="493" t="s">
        <v>3</v>
      </c>
      <c r="J491" s="513">
        <f ca="1">IF(AND('PSA inputs'!$I$867=1,'PSA inputs'!$I$902=1),N491,K491)</f>
        <v>59.341044325555174</v>
      </c>
      <c r="K491" s="513">
        <f>'Cost input'!C364</f>
        <v>0</v>
      </c>
      <c r="L491" s="513">
        <f>'Cost input'!D364</f>
        <v>0</v>
      </c>
      <c r="M491" s="513">
        <f>'Cost input'!E364</f>
        <v>0</v>
      </c>
      <c r="N491" s="513">
        <f ca="1">'PSA inputs'!J475</f>
        <v>59.341044325555174</v>
      </c>
      <c r="O491" s="742"/>
    </row>
    <row r="492" spans="2:15" ht="15" customHeight="1" x14ac:dyDescent="0.3">
      <c r="B492" s="493" t="s">
        <v>4</v>
      </c>
      <c r="C492" s="513">
        <f>IF(AND('PSA inputs'!$I$867=1,'PSA inputs'!$I$901=1),G492,D492)</f>
        <v>0</v>
      </c>
      <c r="D492" s="513">
        <f>'Cost input'!C338</f>
        <v>0</v>
      </c>
      <c r="E492" s="513">
        <f>'Cost input'!D338</f>
        <v>0</v>
      </c>
      <c r="F492" s="513">
        <f>'Cost input'!E338</f>
        <v>0</v>
      </c>
      <c r="G492" s="514">
        <f>'PSA inputs'!J448</f>
        <v>0</v>
      </c>
      <c r="I492" s="493" t="s">
        <v>4</v>
      </c>
      <c r="J492" s="513">
        <f ca="1">IF(AND('PSA inputs'!$I$867=1,'PSA inputs'!$I$902=1),N492,K492)</f>
        <v>59.341044325555174</v>
      </c>
      <c r="K492" s="513">
        <f>'Cost input'!C365</f>
        <v>0</v>
      </c>
      <c r="L492" s="513">
        <f>'Cost input'!D365</f>
        <v>0</v>
      </c>
      <c r="M492" s="513">
        <f>'Cost input'!E365</f>
        <v>0</v>
      </c>
      <c r="N492" s="513">
        <f ca="1">'PSA inputs'!J476</f>
        <v>59.341044325555174</v>
      </c>
      <c r="O492" s="742"/>
    </row>
    <row r="493" spans="2:15" ht="15" customHeight="1" x14ac:dyDescent="0.3">
      <c r="B493" s="493" t="s">
        <v>5</v>
      </c>
      <c r="C493" s="513">
        <f>IF(AND('PSA inputs'!$I$867=1,'PSA inputs'!$I$901=1),G493,D493)</f>
        <v>0</v>
      </c>
      <c r="D493" s="513">
        <f>'Cost input'!C339</f>
        <v>0</v>
      </c>
      <c r="E493" s="513">
        <f>'Cost input'!D339</f>
        <v>0</v>
      </c>
      <c r="F493" s="513">
        <f>'Cost input'!E339</f>
        <v>0</v>
      </c>
      <c r="G493" s="514">
        <f>'PSA inputs'!J449</f>
        <v>0</v>
      </c>
      <c r="I493" s="493" t="s">
        <v>5</v>
      </c>
      <c r="J493" s="513">
        <f ca="1">IF(AND('PSA inputs'!$I$867=1,'PSA inputs'!$I$902=1),N493,K493)</f>
        <v>59.341044325555174</v>
      </c>
      <c r="K493" s="513">
        <f>'Cost input'!C366</f>
        <v>0</v>
      </c>
      <c r="L493" s="513">
        <f>'Cost input'!D366</f>
        <v>0</v>
      </c>
      <c r="M493" s="513">
        <f>'Cost input'!E366</f>
        <v>0</v>
      </c>
      <c r="N493" s="513">
        <f ca="1">'PSA inputs'!J477</f>
        <v>59.341044325555174</v>
      </c>
      <c r="O493" s="742"/>
    </row>
    <row r="494" spans="2:15" ht="15" customHeight="1" x14ac:dyDescent="0.3">
      <c r="B494" s="493" t="s">
        <v>6</v>
      </c>
      <c r="C494" s="513">
        <f>IF(AND('PSA inputs'!$I$867=1,'PSA inputs'!$I$901=1),G494,D494)</f>
        <v>0</v>
      </c>
      <c r="D494" s="513">
        <f>'Cost input'!C340</f>
        <v>0</v>
      </c>
      <c r="E494" s="513">
        <f>'Cost input'!D340</f>
        <v>0</v>
      </c>
      <c r="F494" s="513">
        <f>'Cost input'!E340</f>
        <v>0</v>
      </c>
      <c r="G494" s="514">
        <f>'PSA inputs'!J450</f>
        <v>0</v>
      </c>
      <c r="I494" s="493" t="s">
        <v>6</v>
      </c>
      <c r="J494" s="513">
        <f ca="1">IF(AND('PSA inputs'!$I$867=1,'PSA inputs'!$I$902=1),N494,K494)</f>
        <v>59.341044325555174</v>
      </c>
      <c r="K494" s="513">
        <f>'Cost input'!C367</f>
        <v>0</v>
      </c>
      <c r="L494" s="513">
        <f>'Cost input'!D367</f>
        <v>0</v>
      </c>
      <c r="M494" s="513">
        <f>'Cost input'!E367</f>
        <v>0</v>
      </c>
      <c r="N494" s="513">
        <f ca="1">'PSA inputs'!J478</f>
        <v>59.341044325555174</v>
      </c>
      <c r="O494" s="742"/>
    </row>
    <row r="495" spans="2:15" ht="15" customHeight="1" x14ac:dyDescent="0.3">
      <c r="B495" s="493" t="s">
        <v>7</v>
      </c>
      <c r="C495" s="513">
        <f>IF(AND('PSA inputs'!$I$867=1,'PSA inputs'!$I$901=1),G495,D495)</f>
        <v>0</v>
      </c>
      <c r="D495" s="513">
        <f>'Cost input'!C341</f>
        <v>0</v>
      </c>
      <c r="E495" s="513">
        <f>'Cost input'!D341</f>
        <v>0</v>
      </c>
      <c r="F495" s="513">
        <f>'Cost input'!E341</f>
        <v>0</v>
      </c>
      <c r="G495" s="514">
        <f>'PSA inputs'!J451</f>
        <v>0</v>
      </c>
      <c r="I495" s="493" t="s">
        <v>7</v>
      </c>
      <c r="J495" s="513">
        <f ca="1">IF(AND('PSA inputs'!$I$867=1,'PSA inputs'!$I$902=1),N495,K495)</f>
        <v>59.341044325555174</v>
      </c>
      <c r="K495" s="513">
        <f>'Cost input'!C368</f>
        <v>0</v>
      </c>
      <c r="L495" s="513">
        <f>'Cost input'!D368</f>
        <v>0</v>
      </c>
      <c r="M495" s="513">
        <f>'Cost input'!E368</f>
        <v>0</v>
      </c>
      <c r="N495" s="513">
        <f ca="1">'PSA inputs'!J479</f>
        <v>59.341044325555174</v>
      </c>
      <c r="O495" s="742"/>
    </row>
    <row r="496" spans="2:15" ht="15" customHeight="1" x14ac:dyDescent="0.3">
      <c r="B496" s="493" t="s">
        <v>1469</v>
      </c>
      <c r="C496" s="513">
        <f>IF(AND('PSA inputs'!$I$867=1,'PSA inputs'!$I$901=1),G496,D496)</f>
        <v>0</v>
      </c>
      <c r="D496" s="513">
        <f>'Cost input'!C342</f>
        <v>0</v>
      </c>
      <c r="E496" s="513">
        <f>'Cost input'!D342</f>
        <v>0</v>
      </c>
      <c r="F496" s="513">
        <f>'Cost input'!E342</f>
        <v>0</v>
      </c>
      <c r="G496" s="514">
        <f>'PSA inputs'!J452</f>
        <v>0</v>
      </c>
      <c r="I496" s="493" t="s">
        <v>1469</v>
      </c>
      <c r="J496" s="513">
        <f ca="1">IF(AND('PSA inputs'!$I$867=1,'PSA inputs'!$I$902=1),N496,K496)</f>
        <v>59.341044325555174</v>
      </c>
      <c r="K496" s="513">
        <f>'Cost input'!C369</f>
        <v>0</v>
      </c>
      <c r="L496" s="513">
        <f>'Cost input'!D369</f>
        <v>0</v>
      </c>
      <c r="M496" s="513">
        <f>'Cost input'!E369</f>
        <v>0</v>
      </c>
      <c r="N496" s="513">
        <f ca="1">'PSA inputs'!J480</f>
        <v>59.341044325555174</v>
      </c>
      <c r="O496" s="742"/>
    </row>
    <row r="497" spans="2:15" x14ac:dyDescent="0.3">
      <c r="B497" s="487" t="s">
        <v>1444</v>
      </c>
      <c r="C497" s="533"/>
      <c r="D497" s="533"/>
      <c r="E497" s="533"/>
      <c r="F497" s="533"/>
      <c r="G497" s="533"/>
      <c r="H497" s="517"/>
      <c r="I497" s="487" t="s">
        <v>988</v>
      </c>
      <c r="J497" s="533"/>
      <c r="K497" s="533"/>
      <c r="L497" s="533"/>
      <c r="M497" s="533"/>
      <c r="N497" s="533"/>
      <c r="O497" s="748"/>
    </row>
    <row r="498" spans="2:15" x14ac:dyDescent="0.3">
      <c r="B498" s="493" t="s">
        <v>2</v>
      </c>
      <c r="C498" s="513">
        <f>IF(AND('PSA inputs'!$I$867=1,'PSA inputs'!$I$901=1),G498,D498)</f>
        <v>0</v>
      </c>
      <c r="D498" s="513">
        <f>'Cost input'!C344</f>
        <v>0</v>
      </c>
      <c r="E498" s="513">
        <f>'Cost input'!D344</f>
        <v>0</v>
      </c>
      <c r="F498" s="513">
        <f>'Cost input'!E344</f>
        <v>0</v>
      </c>
      <c r="G498" s="514">
        <f>'PSA inputs'!J454</f>
        <v>0</v>
      </c>
      <c r="H498" s="517"/>
      <c r="I498" s="493" t="s">
        <v>2</v>
      </c>
      <c r="J498" s="513">
        <f ca="1">IF(AND('PSA inputs'!$I$867=1,'PSA inputs'!$I$902=1),N498,K498)</f>
        <v>40.336113584575138</v>
      </c>
      <c r="K498" s="513">
        <f>'Cost input'!C371</f>
        <v>0</v>
      </c>
      <c r="L498" s="513">
        <f>'Cost input'!D371</f>
        <v>0</v>
      </c>
      <c r="M498" s="513">
        <f>'Cost input'!E371</f>
        <v>0</v>
      </c>
      <c r="N498" s="513">
        <f ca="1">'PSA inputs'!J482</f>
        <v>40.336113584575138</v>
      </c>
      <c r="O498" s="742"/>
    </row>
    <row r="499" spans="2:15" x14ac:dyDescent="0.3">
      <c r="B499" s="493" t="s">
        <v>3</v>
      </c>
      <c r="C499" s="513">
        <f>IF(AND('PSA inputs'!$I$867=1,'PSA inputs'!$I$901=1),G499,D499)</f>
        <v>0</v>
      </c>
      <c r="D499" s="513">
        <f>'Cost input'!C345</f>
        <v>0</v>
      </c>
      <c r="E499" s="513">
        <f>'Cost input'!D345</f>
        <v>0</v>
      </c>
      <c r="F499" s="513">
        <f>'Cost input'!E345</f>
        <v>0</v>
      </c>
      <c r="G499" s="514">
        <f>'PSA inputs'!J455</f>
        <v>0</v>
      </c>
      <c r="H499" s="517"/>
      <c r="I499" s="493" t="s">
        <v>3</v>
      </c>
      <c r="J499" s="513">
        <f ca="1">IF(AND('PSA inputs'!$I$867=1,'PSA inputs'!$I$902=1),N499,K499)</f>
        <v>40.336113584575138</v>
      </c>
      <c r="K499" s="513">
        <f>'Cost input'!C372</f>
        <v>0</v>
      </c>
      <c r="L499" s="513">
        <f>'Cost input'!D372</f>
        <v>0</v>
      </c>
      <c r="M499" s="513">
        <f>'Cost input'!E372</f>
        <v>0</v>
      </c>
      <c r="N499" s="513">
        <f ca="1">'PSA inputs'!J483</f>
        <v>40.336113584575138</v>
      </c>
      <c r="O499" s="742"/>
    </row>
    <row r="500" spans="2:15" x14ac:dyDescent="0.3">
      <c r="B500" s="493" t="s">
        <v>4</v>
      </c>
      <c r="C500" s="513">
        <f>IF(AND('PSA inputs'!$I$867=1,'PSA inputs'!$I$901=1),G500,D500)</f>
        <v>0</v>
      </c>
      <c r="D500" s="513">
        <f>'Cost input'!C346</f>
        <v>0</v>
      </c>
      <c r="E500" s="513">
        <f>'Cost input'!D346</f>
        <v>0</v>
      </c>
      <c r="F500" s="513">
        <f>'Cost input'!E346</f>
        <v>0</v>
      </c>
      <c r="G500" s="514">
        <f>'PSA inputs'!J456</f>
        <v>0</v>
      </c>
      <c r="H500" s="517"/>
      <c r="I500" s="493" t="s">
        <v>4</v>
      </c>
      <c r="J500" s="513">
        <f ca="1">IF(AND('PSA inputs'!$I$867=1,'PSA inputs'!$I$902=1),N500,K500)</f>
        <v>40.336113584575138</v>
      </c>
      <c r="K500" s="513">
        <f>'Cost input'!C373</f>
        <v>0</v>
      </c>
      <c r="L500" s="513">
        <f>'Cost input'!D373</f>
        <v>0</v>
      </c>
      <c r="M500" s="513">
        <f>'Cost input'!E373</f>
        <v>0</v>
      </c>
      <c r="N500" s="513">
        <f ca="1">'PSA inputs'!J484</f>
        <v>40.336113584575138</v>
      </c>
      <c r="O500" s="742"/>
    </row>
    <row r="501" spans="2:15" x14ac:dyDescent="0.3">
      <c r="B501" s="493" t="s">
        <v>5</v>
      </c>
      <c r="C501" s="513">
        <f>IF(AND('PSA inputs'!$I$867=1,'PSA inputs'!$I$901=1),G501,D501)</f>
        <v>0</v>
      </c>
      <c r="D501" s="513">
        <f>'Cost input'!C347</f>
        <v>0</v>
      </c>
      <c r="E501" s="513">
        <f>'Cost input'!D347</f>
        <v>0</v>
      </c>
      <c r="F501" s="513">
        <f>'Cost input'!E347</f>
        <v>0</v>
      </c>
      <c r="G501" s="514">
        <f>'PSA inputs'!J457</f>
        <v>0</v>
      </c>
      <c r="H501" s="517"/>
      <c r="I501" s="493" t="s">
        <v>5</v>
      </c>
      <c r="J501" s="513">
        <f ca="1">IF(AND('PSA inputs'!$I$867=1,'PSA inputs'!$I$902=1),N501,K501)</f>
        <v>67.513315687232549</v>
      </c>
      <c r="K501" s="513">
        <f>'Cost input'!C374</f>
        <v>0</v>
      </c>
      <c r="L501" s="513">
        <f>'Cost input'!D374</f>
        <v>0</v>
      </c>
      <c r="M501" s="513">
        <f>'Cost input'!E374</f>
        <v>0</v>
      </c>
      <c r="N501" s="513">
        <f ca="1">'PSA inputs'!J485</f>
        <v>67.513315687232549</v>
      </c>
      <c r="O501" s="742"/>
    </row>
    <row r="502" spans="2:15" x14ac:dyDescent="0.3">
      <c r="B502" s="493" t="s">
        <v>6</v>
      </c>
      <c r="C502" s="513">
        <f>IF(AND('PSA inputs'!$I$867=1,'PSA inputs'!$I$901=1),G502,D502)</f>
        <v>0</v>
      </c>
      <c r="D502" s="513">
        <f>'Cost input'!C348</f>
        <v>0</v>
      </c>
      <c r="E502" s="513">
        <f>'Cost input'!D348</f>
        <v>0</v>
      </c>
      <c r="F502" s="513">
        <f>'Cost input'!E348</f>
        <v>0</v>
      </c>
      <c r="G502" s="514">
        <f>'PSA inputs'!J458</f>
        <v>0</v>
      </c>
      <c r="H502" s="517"/>
      <c r="I502" s="493" t="s">
        <v>6</v>
      </c>
      <c r="J502" s="513">
        <f ca="1">IF(AND('PSA inputs'!$I$867=1,'PSA inputs'!$I$902=1),N502,K502)</f>
        <v>67.513315687232549</v>
      </c>
      <c r="K502" s="513">
        <f>'Cost input'!C375</f>
        <v>0</v>
      </c>
      <c r="L502" s="513">
        <f>'Cost input'!D375</f>
        <v>0</v>
      </c>
      <c r="M502" s="513">
        <f>'Cost input'!E375</f>
        <v>0</v>
      </c>
      <c r="N502" s="513">
        <f ca="1">'PSA inputs'!J486</f>
        <v>67.513315687232549</v>
      </c>
      <c r="O502" s="742"/>
    </row>
    <row r="503" spans="2:15" x14ac:dyDescent="0.3">
      <c r="B503" s="493" t="s">
        <v>7</v>
      </c>
      <c r="C503" s="513">
        <f>IF(AND('PSA inputs'!$I$867=1,'PSA inputs'!$I$901=1),G503,D503)</f>
        <v>0</v>
      </c>
      <c r="D503" s="513">
        <f>'Cost input'!C349</f>
        <v>0</v>
      </c>
      <c r="E503" s="513">
        <f>'Cost input'!D349</f>
        <v>0</v>
      </c>
      <c r="F503" s="513">
        <f>'Cost input'!E349</f>
        <v>0</v>
      </c>
      <c r="G503" s="514">
        <f>'PSA inputs'!J459</f>
        <v>0</v>
      </c>
      <c r="H503" s="517"/>
      <c r="I503" s="493" t="s">
        <v>7</v>
      </c>
      <c r="J503" s="513">
        <f ca="1">IF(AND('PSA inputs'!$I$867=1,'PSA inputs'!$I$902=1),N503,K503)</f>
        <v>67.513315687232549</v>
      </c>
      <c r="K503" s="513">
        <f>'Cost input'!C376</f>
        <v>0</v>
      </c>
      <c r="L503" s="513">
        <f>'Cost input'!D376</f>
        <v>0</v>
      </c>
      <c r="M503" s="513">
        <f>'Cost input'!E376</f>
        <v>0</v>
      </c>
      <c r="N503" s="513">
        <f ca="1">'PSA inputs'!J487</f>
        <v>67.513315687232549</v>
      </c>
      <c r="O503" s="742"/>
    </row>
    <row r="504" spans="2:15" x14ac:dyDescent="0.3">
      <c r="B504" s="493" t="s">
        <v>1469</v>
      </c>
      <c r="C504" s="513">
        <f>IF(AND('PSA inputs'!$I$867=1,'PSA inputs'!$I$901=1),G504,D504)</f>
        <v>0</v>
      </c>
      <c r="D504" s="513">
        <f>'Cost input'!C350</f>
        <v>0</v>
      </c>
      <c r="E504" s="513">
        <f>'Cost input'!D350</f>
        <v>0</v>
      </c>
      <c r="F504" s="513">
        <f>'Cost input'!E350</f>
        <v>0</v>
      </c>
      <c r="G504" s="514">
        <f>'PSA inputs'!J460</f>
        <v>0</v>
      </c>
      <c r="H504" s="517"/>
      <c r="I504" s="493" t="s">
        <v>1469</v>
      </c>
      <c r="J504" s="513">
        <f ca="1">IF(AND('PSA inputs'!$I$867=1,'PSA inputs'!$I$902=1),N504,K504)</f>
        <v>67.513315687232549</v>
      </c>
      <c r="K504" s="513">
        <f>'Cost input'!C377</f>
        <v>0</v>
      </c>
      <c r="L504" s="513">
        <f>'Cost input'!D377</f>
        <v>0</v>
      </c>
      <c r="M504" s="513">
        <f>'Cost input'!E377</f>
        <v>0</v>
      </c>
      <c r="N504" s="513">
        <f ca="1">'PSA inputs'!J488</f>
        <v>67.513315687232549</v>
      </c>
      <c r="O504" s="742"/>
    </row>
    <row r="505" spans="2:15" ht="15" customHeight="1" x14ac:dyDescent="0.3">
      <c r="B505" s="498" t="s">
        <v>227</v>
      </c>
      <c r="C505" s="533"/>
      <c r="D505" s="533"/>
      <c r="E505" s="533"/>
      <c r="F505" s="533"/>
      <c r="G505" s="533"/>
      <c r="I505" s="498" t="s">
        <v>227</v>
      </c>
      <c r="J505" s="533"/>
      <c r="K505" s="533"/>
      <c r="L505" s="533"/>
      <c r="M505" s="533"/>
      <c r="N505" s="533"/>
      <c r="O505" s="748"/>
    </row>
    <row r="506" spans="2:15" ht="15" customHeight="1" x14ac:dyDescent="0.3">
      <c r="B506" s="490" t="s">
        <v>1437</v>
      </c>
      <c r="C506" s="513">
        <f>IF(AND('PSA inputs'!$I$867=1,'PSA inputs'!$I$901=1),G506,D506)</f>
        <v>0</v>
      </c>
      <c r="D506" s="513">
        <f>'Cost input'!C352</f>
        <v>0</v>
      </c>
      <c r="E506" s="513">
        <f>'Cost input'!D352</f>
        <v>0</v>
      </c>
      <c r="F506" s="513">
        <f>'Cost input'!E352</f>
        <v>0</v>
      </c>
      <c r="G506" s="514">
        <f>'PSA inputs'!J462</f>
        <v>0</v>
      </c>
      <c r="I506" s="490" t="s">
        <v>1437</v>
      </c>
      <c r="J506" s="513">
        <f ca="1">IF(AND('PSA inputs'!$I$867=1,'PSA inputs'!$I$902=1),N506,K506)</f>
        <v>77.69005593799217</v>
      </c>
      <c r="K506" s="513">
        <f>'Cost input'!C379</f>
        <v>0</v>
      </c>
      <c r="L506" s="513">
        <f>'Cost input'!D379</f>
        <v>0</v>
      </c>
      <c r="M506" s="513">
        <f>'Cost input'!E379</f>
        <v>0</v>
      </c>
      <c r="N506" s="513">
        <f ca="1">'PSA inputs'!J490</f>
        <v>77.69005593799217</v>
      </c>
      <c r="O506" s="742"/>
    </row>
    <row r="507" spans="2:15" ht="15" customHeight="1" x14ac:dyDescent="0.3">
      <c r="B507" s="490" t="s">
        <v>1438</v>
      </c>
      <c r="C507" s="513">
        <f>IF(AND('PSA inputs'!$I$867=1,'PSA inputs'!$I$901=1),G507,D507)</f>
        <v>0</v>
      </c>
      <c r="D507" s="513">
        <f>'Cost input'!C353</f>
        <v>0</v>
      </c>
      <c r="E507" s="513">
        <f>'Cost input'!D353</f>
        <v>0</v>
      </c>
      <c r="F507" s="513">
        <f>'Cost input'!E353</f>
        <v>0</v>
      </c>
      <c r="G507" s="514">
        <f>'PSA inputs'!J463</f>
        <v>0</v>
      </c>
      <c r="I507" s="490" t="s">
        <v>1438</v>
      </c>
      <c r="J507" s="513">
        <f ca="1">IF(AND('PSA inputs'!$I$867=1,'PSA inputs'!$I$902=1),N507,K507)</f>
        <v>77.69005593799217</v>
      </c>
      <c r="K507" s="513">
        <f>'Cost input'!C380</f>
        <v>0</v>
      </c>
      <c r="L507" s="513">
        <f>'Cost input'!D380</f>
        <v>0</v>
      </c>
      <c r="M507" s="513">
        <f>'Cost input'!E380</f>
        <v>0</v>
      </c>
      <c r="N507" s="513">
        <f ca="1">'PSA inputs'!J491</f>
        <v>77.69005593799217</v>
      </c>
      <c r="O507" s="742"/>
    </row>
    <row r="508" spans="2:15" ht="15" customHeight="1" x14ac:dyDescent="0.3">
      <c r="B508" s="490" t="s">
        <v>1441</v>
      </c>
      <c r="C508" s="513">
        <f>IF(AND('PSA inputs'!$I$867=1,'PSA inputs'!$I$901=1),G508,D508)</f>
        <v>0</v>
      </c>
      <c r="D508" s="513">
        <f>'Cost input'!C354</f>
        <v>0</v>
      </c>
      <c r="E508" s="513">
        <f>'Cost input'!D354</f>
        <v>0</v>
      </c>
      <c r="F508" s="513">
        <f>'Cost input'!E354</f>
        <v>0</v>
      </c>
      <c r="G508" s="514">
        <f>'PSA inputs'!J464</f>
        <v>0</v>
      </c>
      <c r="I508" s="490" t="s">
        <v>1441</v>
      </c>
      <c r="J508" s="513">
        <f ca="1">IF(AND('PSA inputs'!$I$867=1,'PSA inputs'!$I$902=1),N508,K508)</f>
        <v>77.69005593799217</v>
      </c>
      <c r="K508" s="513">
        <f>'Cost input'!C381</f>
        <v>0</v>
      </c>
      <c r="L508" s="513">
        <f>'Cost input'!D381</f>
        <v>0</v>
      </c>
      <c r="M508" s="513">
        <f>'Cost input'!E381</f>
        <v>0</v>
      </c>
      <c r="N508" s="513">
        <f ca="1">'PSA inputs'!J492</f>
        <v>77.69005593799217</v>
      </c>
      <c r="O508" s="742"/>
    </row>
    <row r="509" spans="2:15" ht="15" customHeight="1" x14ac:dyDescent="0.3">
      <c r="B509" s="490" t="s">
        <v>1442</v>
      </c>
      <c r="C509" s="513">
        <f>IF(AND('PSA inputs'!$I$867=1,'PSA inputs'!$I$901=1),G509,D509)</f>
        <v>0</v>
      </c>
      <c r="D509" s="513">
        <f>'Cost input'!C355</f>
        <v>0</v>
      </c>
      <c r="E509" s="513">
        <f>'Cost input'!D355</f>
        <v>0</v>
      </c>
      <c r="F509" s="513">
        <f>'Cost input'!E355</f>
        <v>0</v>
      </c>
      <c r="G509" s="514">
        <f>'PSA inputs'!J465</f>
        <v>0</v>
      </c>
      <c r="I509" s="490" t="s">
        <v>1442</v>
      </c>
      <c r="J509" s="513">
        <f ca="1">IF(AND('PSA inputs'!$I$867=1,'PSA inputs'!$I$902=1),N509,K509)</f>
        <v>77.69005593799217</v>
      </c>
      <c r="K509" s="513">
        <f>'Cost input'!C382</f>
        <v>0</v>
      </c>
      <c r="L509" s="513">
        <f>'Cost input'!D382</f>
        <v>0</v>
      </c>
      <c r="M509" s="513">
        <f>'Cost input'!E382</f>
        <v>0</v>
      </c>
      <c r="N509" s="513">
        <f ca="1">'PSA inputs'!J493</f>
        <v>77.69005593799217</v>
      </c>
      <c r="O509" s="742"/>
    </row>
    <row r="510" spans="2:15" ht="15" customHeight="1" x14ac:dyDescent="0.3">
      <c r="B510" s="498" t="s">
        <v>920</v>
      </c>
      <c r="C510" s="533"/>
      <c r="D510" s="533"/>
      <c r="E510" s="533"/>
      <c r="F510" s="533"/>
      <c r="G510" s="533"/>
      <c r="I510" s="498" t="s">
        <v>920</v>
      </c>
      <c r="J510" s="533"/>
      <c r="K510" s="533"/>
      <c r="L510" s="533"/>
      <c r="M510" s="533"/>
      <c r="N510" s="533"/>
      <c r="O510" s="748"/>
    </row>
    <row r="511" spans="2:15" ht="15" customHeight="1" x14ac:dyDescent="0.3">
      <c r="B511" s="490" t="s">
        <v>920</v>
      </c>
      <c r="C511" s="513">
        <f>IF(AND('PSA inputs'!$I$867=1,'PSA inputs'!$I$901=1),G511,D511)</f>
        <v>0</v>
      </c>
      <c r="D511" s="513">
        <f>'Cost input'!C357</f>
        <v>0</v>
      </c>
      <c r="E511" s="513">
        <f>'Cost input'!D357</f>
        <v>0</v>
      </c>
      <c r="F511" s="513">
        <f>'Cost input'!E357</f>
        <v>0</v>
      </c>
      <c r="G511" s="514">
        <f>'PSA inputs'!J467</f>
        <v>0</v>
      </c>
      <c r="I511" s="490" t="s">
        <v>920</v>
      </c>
      <c r="J511" s="513">
        <f ca="1">IF(AND('PSA inputs'!$I$867=1,'PSA inputs'!$I$902=1),N511,K511)</f>
        <v>77.69005593799217</v>
      </c>
      <c r="K511" s="513">
        <f>'Cost input'!C384</f>
        <v>0</v>
      </c>
      <c r="L511" s="513">
        <f>'Cost input'!D384</f>
        <v>0</v>
      </c>
      <c r="M511" s="513">
        <f>'Cost input'!E384</f>
        <v>0</v>
      </c>
      <c r="N511" s="513">
        <f ca="1">'PSA inputs'!J495</f>
        <v>77.69005593799217</v>
      </c>
      <c r="O511" s="742"/>
    </row>
    <row r="512" spans="2:15" ht="15" customHeight="1" x14ac:dyDescent="0.3">
      <c r="B512" s="490" t="s">
        <v>980</v>
      </c>
      <c r="C512" s="513">
        <f>IF(AND('PSA inputs'!$I$867=1,'PSA inputs'!$I$901=1),G512,D512)</f>
        <v>0</v>
      </c>
      <c r="D512" s="513">
        <f>'Cost input'!C358</f>
        <v>0</v>
      </c>
      <c r="E512" s="513">
        <f>'Cost input'!D358</f>
        <v>0</v>
      </c>
      <c r="F512" s="513">
        <f>'Cost input'!E358</f>
        <v>0</v>
      </c>
      <c r="G512" s="514">
        <f>'PSA inputs'!J468</f>
        <v>0</v>
      </c>
      <c r="I512" s="490" t="s">
        <v>980</v>
      </c>
      <c r="J512" s="513">
        <f ca="1">IF(AND('PSA inputs'!$I$867=1,'PSA inputs'!$I$902=1),N512,K512)</f>
        <v>77.69005593799217</v>
      </c>
      <c r="K512" s="513">
        <f>'Cost input'!C385</f>
        <v>0</v>
      </c>
      <c r="L512" s="513">
        <f>'Cost input'!D385</f>
        <v>0</v>
      </c>
      <c r="M512" s="513">
        <f>'Cost input'!E385</f>
        <v>0</v>
      </c>
      <c r="N512" s="513">
        <f ca="1">'PSA inputs'!J496</f>
        <v>77.69005593799217</v>
      </c>
      <c r="O512" s="742"/>
    </row>
    <row r="513" spans="2:15" ht="15" customHeight="1" x14ac:dyDescent="0.3">
      <c r="B513" s="520"/>
      <c r="C513" s="520"/>
      <c r="D513" s="520"/>
      <c r="E513" s="520"/>
    </row>
    <row r="514" spans="2:15" ht="15" customHeight="1" x14ac:dyDescent="0.3">
      <c r="B514" s="509" t="s">
        <v>1004</v>
      </c>
      <c r="C514" s="519"/>
      <c r="D514" s="519"/>
      <c r="E514" s="519"/>
      <c r="F514" s="519"/>
      <c r="G514" s="519"/>
    </row>
    <row r="515" spans="2:15" ht="15" customHeight="1" x14ac:dyDescent="0.3">
      <c r="B515" s="484" t="s">
        <v>950</v>
      </c>
      <c r="C515" s="485" t="s">
        <v>724</v>
      </c>
      <c r="D515" s="485" t="s">
        <v>995</v>
      </c>
      <c r="E515" s="485" t="s">
        <v>985</v>
      </c>
      <c r="F515" s="485" t="s">
        <v>986</v>
      </c>
      <c r="G515" s="485" t="s">
        <v>996</v>
      </c>
    </row>
    <row r="516" spans="2:15" ht="15" customHeight="1" x14ac:dyDescent="0.3">
      <c r="B516" s="487" t="s">
        <v>1445</v>
      </c>
      <c r="D516" s="520"/>
      <c r="E516" s="520"/>
    </row>
    <row r="517" spans="2:15" ht="15" customHeight="1" x14ac:dyDescent="0.3">
      <c r="B517" s="493" t="s">
        <v>2</v>
      </c>
      <c r="C517" s="513">
        <f ca="1">IF(AND('PSA inputs'!$I$867=1,'PSA inputs'!$I$903=1),G517,D517)</f>
        <v>59.341044325555174</v>
      </c>
      <c r="D517" s="513">
        <f>'Cost input'!C394</f>
        <v>65.617391304347819</v>
      </c>
      <c r="E517" s="513">
        <f>'Cost input'!D394</f>
        <v>52.493913043478258</v>
      </c>
      <c r="F517" s="513">
        <f>'Cost input'!E394</f>
        <v>78.74086956521738</v>
      </c>
      <c r="G517" s="514">
        <f ca="1">'PSA inputs'!J474</f>
        <v>59.341044325555174</v>
      </c>
    </row>
    <row r="518" spans="2:15" ht="15" customHeight="1" x14ac:dyDescent="0.3">
      <c r="B518" s="493" t="s">
        <v>3</v>
      </c>
      <c r="C518" s="513">
        <f ca="1">IF(AND('PSA inputs'!$I$867=1,'PSA inputs'!$I$903=1),G518,D518)</f>
        <v>59.341044325555174</v>
      </c>
      <c r="D518" s="513">
        <f>'Cost input'!C395</f>
        <v>65.617391304347819</v>
      </c>
      <c r="E518" s="513">
        <f>'Cost input'!D395</f>
        <v>52.493913043478258</v>
      </c>
      <c r="F518" s="513">
        <f>'Cost input'!E395</f>
        <v>78.74086956521738</v>
      </c>
      <c r="G518" s="514">
        <f ca="1">'PSA inputs'!J475</f>
        <v>59.341044325555174</v>
      </c>
    </row>
    <row r="519" spans="2:15" ht="15" customHeight="1" x14ac:dyDescent="0.3">
      <c r="B519" s="493" t="s">
        <v>4</v>
      </c>
      <c r="C519" s="513">
        <f ca="1">IF(AND('PSA inputs'!$I$867=1,'PSA inputs'!$I$903=1),G519,D519)</f>
        <v>59.341044325555174</v>
      </c>
      <c r="D519" s="513">
        <f>'Cost input'!C396</f>
        <v>65.617391304347819</v>
      </c>
      <c r="E519" s="513">
        <f>'Cost input'!D396</f>
        <v>52.493913043478258</v>
      </c>
      <c r="F519" s="513">
        <f>'Cost input'!E396</f>
        <v>78.74086956521738</v>
      </c>
      <c r="G519" s="514">
        <f ca="1">'PSA inputs'!J476</f>
        <v>59.341044325555174</v>
      </c>
    </row>
    <row r="520" spans="2:15" ht="15" customHeight="1" x14ac:dyDescent="0.3">
      <c r="B520" s="493" t="s">
        <v>5</v>
      </c>
      <c r="C520" s="513">
        <f ca="1">IF(AND('PSA inputs'!$I$867=1,'PSA inputs'!$I$903=1),G520,D520)</f>
        <v>59.341044325555174</v>
      </c>
      <c r="D520" s="513">
        <f>'Cost input'!C397</f>
        <v>65.617391304347819</v>
      </c>
      <c r="E520" s="513">
        <f>'Cost input'!D397</f>
        <v>52.493913043478258</v>
      </c>
      <c r="F520" s="513">
        <f>'Cost input'!E397</f>
        <v>78.74086956521738</v>
      </c>
      <c r="G520" s="514">
        <f ca="1">'PSA inputs'!J477</f>
        <v>59.341044325555174</v>
      </c>
    </row>
    <row r="521" spans="2:15" ht="15" customHeight="1" x14ac:dyDescent="0.3">
      <c r="B521" s="493" t="s">
        <v>6</v>
      </c>
      <c r="C521" s="513">
        <f ca="1">IF(AND('PSA inputs'!$I$867=1,'PSA inputs'!$I$903=1),G521,D521)</f>
        <v>59.341044325555174</v>
      </c>
      <c r="D521" s="513">
        <f>'Cost input'!C398</f>
        <v>65.617391304347819</v>
      </c>
      <c r="E521" s="513">
        <f>'Cost input'!D398</f>
        <v>52.493913043478258</v>
      </c>
      <c r="F521" s="513">
        <f>'Cost input'!E398</f>
        <v>78.74086956521738</v>
      </c>
      <c r="G521" s="514">
        <f ca="1">'PSA inputs'!J478</f>
        <v>59.341044325555174</v>
      </c>
    </row>
    <row r="522" spans="2:15" ht="15" customHeight="1" x14ac:dyDescent="0.3">
      <c r="B522" s="493" t="s">
        <v>7</v>
      </c>
      <c r="C522" s="513">
        <f ca="1">IF(AND('PSA inputs'!$I$867=1,'PSA inputs'!$I$903=1),G522,D522)</f>
        <v>59.341044325555174</v>
      </c>
      <c r="D522" s="513">
        <f>'Cost input'!C399</f>
        <v>65.617391304347819</v>
      </c>
      <c r="E522" s="513">
        <f>'Cost input'!D399</f>
        <v>52.493913043478258</v>
      </c>
      <c r="F522" s="513">
        <f>'Cost input'!E399</f>
        <v>78.74086956521738</v>
      </c>
      <c r="G522" s="514">
        <f ca="1">'PSA inputs'!J479</f>
        <v>59.341044325555174</v>
      </c>
    </row>
    <row r="523" spans="2:15" ht="15" customHeight="1" x14ac:dyDescent="0.3">
      <c r="B523" s="493" t="s">
        <v>1469</v>
      </c>
      <c r="C523" s="513">
        <f ca="1">IF(AND('PSA inputs'!$I$867=1,'PSA inputs'!$I$903=1),G523,D523)</f>
        <v>59.341044325555174</v>
      </c>
      <c r="D523" s="513">
        <f>'Cost input'!C400</f>
        <v>65.617391304347819</v>
      </c>
      <c r="E523" s="513">
        <f>'Cost input'!D400</f>
        <v>52.493913043478258</v>
      </c>
      <c r="F523" s="513">
        <f>'Cost input'!E400</f>
        <v>78.74086956521738</v>
      </c>
      <c r="G523" s="514">
        <f ca="1">'PSA inputs'!J480</f>
        <v>59.341044325555174</v>
      </c>
    </row>
    <row r="524" spans="2:15" x14ac:dyDescent="0.3">
      <c r="B524" s="487" t="s">
        <v>1444</v>
      </c>
      <c r="C524" s="533"/>
      <c r="D524" s="533"/>
      <c r="E524" s="533"/>
      <c r="F524" s="533"/>
      <c r="G524" s="533"/>
      <c r="H524" s="487"/>
      <c r="I524" s="487"/>
    </row>
    <row r="525" spans="2:15" x14ac:dyDescent="0.3">
      <c r="B525" s="493" t="s">
        <v>2</v>
      </c>
      <c r="C525" s="513">
        <f ca="1">IF(AND('PSA inputs'!$I$867=1,'PSA inputs'!$I$903=1),G525,D525)</f>
        <v>40.336113584575138</v>
      </c>
      <c r="D525" s="513">
        <f>'Cost input'!C402</f>
        <v>39.37043478260869</v>
      </c>
      <c r="E525" s="513">
        <f>'Cost input'!D402</f>
        <v>52.493913043478258</v>
      </c>
      <c r="F525" s="513">
        <f>'Cost input'!E402</f>
        <v>65.617391304347819</v>
      </c>
      <c r="G525" s="514">
        <f ca="1">'PSA inputs'!J482</f>
        <v>40.336113584575138</v>
      </c>
      <c r="H525" s="500"/>
      <c r="I525" s="500"/>
      <c r="J525" s="449"/>
      <c r="K525" s="449"/>
      <c r="L525" s="449"/>
      <c r="M525" s="449"/>
      <c r="N525" s="449"/>
      <c r="O525" s="742"/>
    </row>
    <row r="526" spans="2:15" x14ac:dyDescent="0.3">
      <c r="B526" s="493" t="s">
        <v>3</v>
      </c>
      <c r="C526" s="513">
        <f ca="1">IF(AND('PSA inputs'!$I$867=1,'PSA inputs'!$I$903=1),G526,D526)</f>
        <v>40.336113584575138</v>
      </c>
      <c r="D526" s="513">
        <f>'Cost input'!C403</f>
        <v>39.37043478260869</v>
      </c>
      <c r="E526" s="513">
        <f>'Cost input'!D403</f>
        <v>52.493913043478258</v>
      </c>
      <c r="F526" s="513">
        <f>'Cost input'!E403</f>
        <v>65.617391304347819</v>
      </c>
      <c r="G526" s="514">
        <f ca="1">'PSA inputs'!J483</f>
        <v>40.336113584575138</v>
      </c>
      <c r="H526" s="500"/>
      <c r="I526" s="500"/>
      <c r="J526" s="449"/>
      <c r="K526" s="449"/>
      <c r="L526" s="449"/>
      <c r="M526" s="449"/>
      <c r="N526" s="449"/>
      <c r="O526" s="742"/>
    </row>
    <row r="527" spans="2:15" x14ac:dyDescent="0.3">
      <c r="B527" s="493" t="s">
        <v>4</v>
      </c>
      <c r="C527" s="513">
        <f ca="1">IF(AND('PSA inputs'!$I$867=1,'PSA inputs'!$I$903=1),G527,D527)</f>
        <v>40.336113584575138</v>
      </c>
      <c r="D527" s="513">
        <f>'Cost input'!C404</f>
        <v>39.37043478260869</v>
      </c>
      <c r="E527" s="513">
        <f>'Cost input'!D404</f>
        <v>52.493913043478258</v>
      </c>
      <c r="F527" s="513">
        <f>'Cost input'!E404</f>
        <v>65.617391304347819</v>
      </c>
      <c r="G527" s="514">
        <f ca="1">'PSA inputs'!J484</f>
        <v>40.336113584575138</v>
      </c>
      <c r="H527" s="500"/>
      <c r="I527" s="500"/>
      <c r="J527" s="449"/>
      <c r="K527" s="449"/>
      <c r="L527" s="449"/>
      <c r="M527" s="449"/>
      <c r="N527" s="449"/>
      <c r="O527" s="742"/>
    </row>
    <row r="528" spans="2:15" x14ac:dyDescent="0.3">
      <c r="B528" s="493" t="s">
        <v>5</v>
      </c>
      <c r="C528" s="513">
        <f ca="1">IF(AND('PSA inputs'!$I$867=1,'PSA inputs'!$I$903=1),G528,D528)</f>
        <v>67.513315687232549</v>
      </c>
      <c r="D528" s="513">
        <f>'Cost input'!C405</f>
        <v>65.617391304347819</v>
      </c>
      <c r="E528" s="513">
        <f>'Cost input'!D405</f>
        <v>52.493913043478258</v>
      </c>
      <c r="F528" s="513">
        <f>'Cost input'!E405</f>
        <v>78.74086956521738</v>
      </c>
      <c r="G528" s="514">
        <f ca="1">'PSA inputs'!J485</f>
        <v>67.513315687232549</v>
      </c>
      <c r="H528" s="500"/>
      <c r="I528" s="500"/>
      <c r="J528" s="449"/>
      <c r="K528" s="449"/>
      <c r="L528" s="449"/>
      <c r="M528" s="449"/>
      <c r="N528" s="449"/>
      <c r="O528" s="742"/>
    </row>
    <row r="529" spans="2:15" x14ac:dyDescent="0.3">
      <c r="B529" s="493" t="s">
        <v>6</v>
      </c>
      <c r="C529" s="513">
        <f ca="1">IF(AND('PSA inputs'!$I$867=1,'PSA inputs'!$I$903=1),G529,D529)</f>
        <v>67.513315687232549</v>
      </c>
      <c r="D529" s="513">
        <f>'Cost input'!C406</f>
        <v>65.617391304347819</v>
      </c>
      <c r="E529" s="513">
        <f>'Cost input'!D406</f>
        <v>52.493913043478258</v>
      </c>
      <c r="F529" s="513">
        <f>'Cost input'!E406</f>
        <v>78.74086956521738</v>
      </c>
      <c r="G529" s="514">
        <f ca="1">'PSA inputs'!J486</f>
        <v>67.513315687232549</v>
      </c>
      <c r="H529" s="500"/>
      <c r="I529" s="500"/>
      <c r="J529" s="449"/>
      <c r="K529" s="449"/>
      <c r="L529" s="449"/>
      <c r="M529" s="449"/>
      <c r="N529" s="449"/>
      <c r="O529" s="742"/>
    </row>
    <row r="530" spans="2:15" x14ac:dyDescent="0.3">
      <c r="B530" s="493" t="s">
        <v>7</v>
      </c>
      <c r="C530" s="513">
        <f ca="1">IF(AND('PSA inputs'!$I$867=1,'PSA inputs'!$I$903=1),G530,D530)</f>
        <v>67.513315687232549</v>
      </c>
      <c r="D530" s="513">
        <f>'Cost input'!C407</f>
        <v>65.617391304347819</v>
      </c>
      <c r="E530" s="513">
        <f>'Cost input'!D407</f>
        <v>52.493913043478258</v>
      </c>
      <c r="F530" s="513">
        <f>'Cost input'!E407</f>
        <v>78.74086956521738</v>
      </c>
      <c r="G530" s="514">
        <f ca="1">'PSA inputs'!J487</f>
        <v>67.513315687232549</v>
      </c>
      <c r="H530" s="500"/>
      <c r="I530" s="500"/>
      <c r="J530" s="449"/>
      <c r="K530" s="449"/>
      <c r="L530" s="449"/>
      <c r="M530" s="449"/>
      <c r="N530" s="449"/>
      <c r="O530" s="742"/>
    </row>
    <row r="531" spans="2:15" x14ac:dyDescent="0.3">
      <c r="B531" s="493" t="s">
        <v>1469</v>
      </c>
      <c r="C531" s="513">
        <f ca="1">IF(AND('PSA inputs'!$I$867=1,'PSA inputs'!$I$903=1),G531,D531)</f>
        <v>67.513315687232549</v>
      </c>
      <c r="D531" s="513">
        <f>'Cost input'!C408</f>
        <v>65.617391304347819</v>
      </c>
      <c r="E531" s="513">
        <f>'Cost input'!D408</f>
        <v>52.493913043478258</v>
      </c>
      <c r="F531" s="513">
        <f>'Cost input'!E408</f>
        <v>78.74086956521738</v>
      </c>
      <c r="G531" s="514">
        <f ca="1">'PSA inputs'!J488</f>
        <v>67.513315687232549</v>
      </c>
      <c r="H531" s="500"/>
      <c r="I531" s="500"/>
      <c r="J531" s="449"/>
      <c r="K531" s="449"/>
      <c r="L531" s="449"/>
      <c r="M531" s="449"/>
      <c r="N531" s="449"/>
      <c r="O531" s="742"/>
    </row>
    <row r="532" spans="2:15" ht="15" customHeight="1" x14ac:dyDescent="0.3">
      <c r="B532" s="498" t="s">
        <v>227</v>
      </c>
      <c r="C532" s="533"/>
      <c r="D532" s="533"/>
      <c r="E532" s="533"/>
      <c r="F532" s="533"/>
      <c r="G532" s="533"/>
    </row>
    <row r="533" spans="2:15" ht="15" customHeight="1" x14ac:dyDescent="0.3">
      <c r="B533" s="490" t="s">
        <v>1437</v>
      </c>
      <c r="C533" s="513">
        <f ca="1">IF(AND('PSA inputs'!$I$867=1,'PSA inputs'!$I$903=1),G533,D533)</f>
        <v>77.69005593799217</v>
      </c>
      <c r="D533" s="513">
        <f>'Cost input'!C410</f>
        <v>65.617391304347819</v>
      </c>
      <c r="E533" s="513">
        <f>'Cost input'!D410</f>
        <v>52.493913043478258</v>
      </c>
      <c r="F533" s="513">
        <f>'Cost input'!E410</f>
        <v>78.74086956521738</v>
      </c>
      <c r="G533" s="514">
        <f ca="1">'PSA inputs'!J490</f>
        <v>77.69005593799217</v>
      </c>
    </row>
    <row r="534" spans="2:15" ht="15" customHeight="1" x14ac:dyDescent="0.3">
      <c r="B534" s="490" t="s">
        <v>1438</v>
      </c>
      <c r="C534" s="513">
        <f ca="1">IF(AND('PSA inputs'!$I$867=1,'PSA inputs'!$I$903=1),G534,D534)</f>
        <v>77.69005593799217</v>
      </c>
      <c r="D534" s="513">
        <f>'Cost input'!C411</f>
        <v>65.617391304347819</v>
      </c>
      <c r="E534" s="513">
        <f>'Cost input'!D411</f>
        <v>52.493913043478258</v>
      </c>
      <c r="F534" s="513">
        <f>'Cost input'!E411</f>
        <v>78.74086956521738</v>
      </c>
      <c r="G534" s="514">
        <f ca="1">'PSA inputs'!J491</f>
        <v>77.69005593799217</v>
      </c>
    </row>
    <row r="535" spans="2:15" ht="15" customHeight="1" x14ac:dyDescent="0.3">
      <c r="B535" s="490" t="s">
        <v>1441</v>
      </c>
      <c r="C535" s="513">
        <f ca="1">IF(AND('PSA inputs'!$I$867=1,'PSA inputs'!$I$903=1),G535,D535)</f>
        <v>77.69005593799217</v>
      </c>
      <c r="D535" s="513">
        <f>'Cost input'!C412</f>
        <v>65.617391304347819</v>
      </c>
      <c r="E535" s="513">
        <f>'Cost input'!D412</f>
        <v>52.493913043478258</v>
      </c>
      <c r="F535" s="513">
        <f>'Cost input'!E412</f>
        <v>78.74086956521738</v>
      </c>
      <c r="G535" s="514">
        <f ca="1">'PSA inputs'!J492</f>
        <v>77.69005593799217</v>
      </c>
    </row>
    <row r="536" spans="2:15" ht="15" customHeight="1" x14ac:dyDescent="0.3">
      <c r="B536" s="490" t="s">
        <v>1442</v>
      </c>
      <c r="C536" s="513">
        <f ca="1">IF(AND('PSA inputs'!$I$867=1,'PSA inputs'!$I$903=1),G536,D536)</f>
        <v>77.69005593799217</v>
      </c>
      <c r="D536" s="513">
        <f>'Cost input'!C413</f>
        <v>65.617391304347819</v>
      </c>
      <c r="E536" s="513">
        <f>'Cost input'!D413</f>
        <v>52.493913043478258</v>
      </c>
      <c r="F536" s="513">
        <f>'Cost input'!E413</f>
        <v>78.74086956521738</v>
      </c>
      <c r="G536" s="514">
        <f ca="1">'PSA inputs'!J493</f>
        <v>77.69005593799217</v>
      </c>
    </row>
    <row r="537" spans="2:15" ht="15" customHeight="1" x14ac:dyDescent="0.3">
      <c r="B537" s="498" t="s">
        <v>920</v>
      </c>
      <c r="C537" s="533"/>
      <c r="D537" s="533"/>
      <c r="E537" s="533"/>
      <c r="F537" s="533"/>
      <c r="G537" s="533"/>
    </row>
    <row r="538" spans="2:15" ht="15" customHeight="1" x14ac:dyDescent="0.3">
      <c r="B538" s="490" t="s">
        <v>920</v>
      </c>
      <c r="C538" s="513">
        <f ca="1">IF(AND('PSA inputs'!$I$867=1,'PSA inputs'!$I$903=1),G538,D538)</f>
        <v>77.69005593799217</v>
      </c>
      <c r="D538" s="513">
        <f>'Cost input'!C415</f>
        <v>65.617391304347819</v>
      </c>
      <c r="E538" s="513">
        <f>'Cost input'!D415</f>
        <v>52.493913043478258</v>
      </c>
      <c r="F538" s="513">
        <f>'Cost input'!E415</f>
        <v>78.74086956521738</v>
      </c>
      <c r="G538" s="514">
        <f ca="1">'PSA inputs'!J495</f>
        <v>77.69005593799217</v>
      </c>
    </row>
    <row r="539" spans="2:15" ht="15" customHeight="1" x14ac:dyDescent="0.3">
      <c r="B539" s="490" t="s">
        <v>980</v>
      </c>
      <c r="C539" s="513">
        <f ca="1">IF(AND('PSA inputs'!$I$867=1,'PSA inputs'!$I$903=1),G539,D539)</f>
        <v>77.69005593799217</v>
      </c>
      <c r="D539" s="513">
        <f>'Cost input'!C416</f>
        <v>65.617391304347819</v>
      </c>
      <c r="E539" s="513">
        <f>'Cost input'!D416</f>
        <v>52.493913043478258</v>
      </c>
      <c r="F539" s="513">
        <f>'Cost input'!E416</f>
        <v>78.74086956521738</v>
      </c>
      <c r="G539" s="514">
        <f ca="1">'PSA inputs'!J496</f>
        <v>77.69005593799217</v>
      </c>
    </row>
    <row r="540" spans="2:15" ht="15" customHeight="1" x14ac:dyDescent="0.3">
      <c r="B540" s="575"/>
      <c r="C540" s="575"/>
      <c r="D540" s="575"/>
      <c r="E540" s="575"/>
      <c r="F540" s="576"/>
      <c r="G540" s="576"/>
    </row>
    <row r="541" spans="2:15" ht="15" customHeight="1" x14ac:dyDescent="0.3">
      <c r="B541" s="509" t="s">
        <v>1376</v>
      </c>
      <c r="C541" s="519"/>
      <c r="D541" s="519"/>
      <c r="E541" s="519"/>
      <c r="F541" s="519"/>
      <c r="G541" s="519"/>
    </row>
    <row r="542" spans="2:15" ht="15" customHeight="1" x14ac:dyDescent="0.3">
      <c r="B542" s="484" t="s">
        <v>950</v>
      </c>
      <c r="C542" s="485" t="s">
        <v>724</v>
      </c>
      <c r="D542" s="485" t="s">
        <v>995</v>
      </c>
      <c r="E542" s="485" t="s">
        <v>985</v>
      </c>
      <c r="F542" s="485" t="s">
        <v>986</v>
      </c>
      <c r="G542" s="485" t="s">
        <v>996</v>
      </c>
    </row>
    <row r="543" spans="2:15" ht="15" customHeight="1" x14ac:dyDescent="0.3">
      <c r="B543" s="487" t="s">
        <v>1445</v>
      </c>
      <c r="D543" s="520"/>
      <c r="E543" s="520"/>
    </row>
    <row r="544" spans="2:15" ht="15" customHeight="1" x14ac:dyDescent="0.3">
      <c r="B544" s="493" t="s">
        <v>2</v>
      </c>
      <c r="C544" s="513">
        <f ca="1">IF(AND('PSA inputs'!$I$867=1,'PSA inputs'!$I$904=1),G544,D544)</f>
        <v>47.353715986389595</v>
      </c>
      <c r="D544" s="513">
        <f>'Cost input'!C425</f>
        <v>39.37043478260869</v>
      </c>
      <c r="E544" s="513">
        <f>'Cost input'!D425</f>
        <v>26.246956521739129</v>
      </c>
      <c r="F544" s="513">
        <f>'Cost input'!E425</f>
        <v>52.493913043478258</v>
      </c>
      <c r="G544" s="514">
        <f ca="1">'PSA inputs'!J502</f>
        <v>47.353715986389595</v>
      </c>
    </row>
    <row r="545" spans="2:15" ht="15" customHeight="1" x14ac:dyDescent="0.3">
      <c r="B545" s="493" t="s">
        <v>3</v>
      </c>
      <c r="C545" s="513">
        <f ca="1">IF(AND('PSA inputs'!$I$867=1,'PSA inputs'!$I$904=1),G545,D545)</f>
        <v>47.353715986389595</v>
      </c>
      <c r="D545" s="513">
        <f>'Cost input'!C426</f>
        <v>39.37043478260869</v>
      </c>
      <c r="E545" s="513">
        <f>'Cost input'!D426</f>
        <v>26.246956521739129</v>
      </c>
      <c r="F545" s="513">
        <f>'Cost input'!E426</f>
        <v>52.493913043478258</v>
      </c>
      <c r="G545" s="514">
        <f ca="1">'PSA inputs'!J503</f>
        <v>47.353715986389595</v>
      </c>
    </row>
    <row r="546" spans="2:15" ht="15" customHeight="1" x14ac:dyDescent="0.3">
      <c r="B546" s="493" t="s">
        <v>4</v>
      </c>
      <c r="C546" s="513">
        <f ca="1">IF(AND('PSA inputs'!$I$867=1,'PSA inputs'!$I$904=1),G546,D546)</f>
        <v>47.353715986389595</v>
      </c>
      <c r="D546" s="513">
        <f>'Cost input'!C427</f>
        <v>39.37043478260869</v>
      </c>
      <c r="E546" s="513">
        <f>'Cost input'!D427</f>
        <v>26.246956521739129</v>
      </c>
      <c r="F546" s="513">
        <f>'Cost input'!E427</f>
        <v>52.493913043478258</v>
      </c>
      <c r="G546" s="514">
        <f ca="1">'PSA inputs'!J504</f>
        <v>47.353715986389595</v>
      </c>
    </row>
    <row r="547" spans="2:15" ht="15" customHeight="1" x14ac:dyDescent="0.3">
      <c r="B547" s="493" t="s">
        <v>5</v>
      </c>
      <c r="C547" s="513">
        <f ca="1">IF(AND('PSA inputs'!$I$867=1,'PSA inputs'!$I$904=1),G547,D547)</f>
        <v>47.353715986389595</v>
      </c>
      <c r="D547" s="513">
        <f>'Cost input'!C428</f>
        <v>39.37043478260869</v>
      </c>
      <c r="E547" s="513">
        <f>'Cost input'!D428</f>
        <v>26.246956521739129</v>
      </c>
      <c r="F547" s="513">
        <f>'Cost input'!E428</f>
        <v>52.493913043478258</v>
      </c>
      <c r="G547" s="514">
        <f ca="1">'PSA inputs'!J505</f>
        <v>47.353715986389595</v>
      </c>
    </row>
    <row r="548" spans="2:15" ht="15" customHeight="1" x14ac:dyDescent="0.3">
      <c r="B548" s="493" t="s">
        <v>6</v>
      </c>
      <c r="C548" s="513">
        <f ca="1">IF(AND('PSA inputs'!$I$867=1,'PSA inputs'!$I$904=1),G548,D548)</f>
        <v>47.353715986389595</v>
      </c>
      <c r="D548" s="513">
        <f>'Cost input'!C429</f>
        <v>39.37043478260869</v>
      </c>
      <c r="E548" s="513">
        <f>'Cost input'!D429</f>
        <v>26.246956521739129</v>
      </c>
      <c r="F548" s="513">
        <f>'Cost input'!E429</f>
        <v>52.493913043478258</v>
      </c>
      <c r="G548" s="514">
        <f ca="1">'PSA inputs'!J506</f>
        <v>47.353715986389595</v>
      </c>
    </row>
    <row r="549" spans="2:15" ht="15" customHeight="1" x14ac:dyDescent="0.3">
      <c r="B549" s="493" t="s">
        <v>7</v>
      </c>
      <c r="C549" s="513">
        <f ca="1">IF(AND('PSA inputs'!$I$867=1,'PSA inputs'!$I$904=1),G549,D549)</f>
        <v>47.353715986389595</v>
      </c>
      <c r="D549" s="513">
        <f>'Cost input'!C430</f>
        <v>39.37043478260869</v>
      </c>
      <c r="E549" s="513">
        <f>'Cost input'!D430</f>
        <v>26.246956521739129</v>
      </c>
      <c r="F549" s="513">
        <f>'Cost input'!E430</f>
        <v>52.493913043478258</v>
      </c>
      <c r="G549" s="514">
        <f ca="1">'PSA inputs'!J507</f>
        <v>47.353715986389595</v>
      </c>
    </row>
    <row r="550" spans="2:15" ht="15" customHeight="1" x14ac:dyDescent="0.3">
      <c r="B550" s="493" t="s">
        <v>1469</v>
      </c>
      <c r="C550" s="513">
        <f ca="1">IF(AND('PSA inputs'!$I$867=1,'PSA inputs'!$I$904=1),G550,D550)</f>
        <v>47.353715986389595</v>
      </c>
      <c r="D550" s="513">
        <f>'Cost input'!C431</f>
        <v>39.37043478260869</v>
      </c>
      <c r="E550" s="513">
        <f>'Cost input'!D431</f>
        <v>26.246956521739129</v>
      </c>
      <c r="F550" s="513">
        <f>'Cost input'!E431</f>
        <v>52.493913043478258</v>
      </c>
      <c r="G550" s="514">
        <f ca="1">'PSA inputs'!J508</f>
        <v>47.353715986389595</v>
      </c>
    </row>
    <row r="551" spans="2:15" x14ac:dyDescent="0.3">
      <c r="B551" s="487" t="s">
        <v>1444</v>
      </c>
      <c r="C551" s="533"/>
      <c r="D551" s="533"/>
      <c r="E551" s="533"/>
      <c r="F551" s="533"/>
      <c r="G551" s="533"/>
      <c r="H551" s="487"/>
      <c r="I551" s="487"/>
    </row>
    <row r="552" spans="2:15" x14ac:dyDescent="0.3">
      <c r="B552" s="493" t="s">
        <v>2</v>
      </c>
      <c r="C552" s="513">
        <f ca="1">IF(AND('PSA inputs'!$I$867=1,'PSA inputs'!$I$904=1),G552,D552)</f>
        <v>39.481544070828406</v>
      </c>
      <c r="D552" s="513">
        <f>'Cost input'!C433</f>
        <v>39.37043478260869</v>
      </c>
      <c r="E552" s="513">
        <f>'Cost input'!D433</f>
        <v>26.246956521739129</v>
      </c>
      <c r="F552" s="513">
        <f>'Cost input'!E433</f>
        <v>52.493913043478258</v>
      </c>
      <c r="G552" s="514">
        <f ca="1">'PSA inputs'!J510</f>
        <v>39.481544070828406</v>
      </c>
      <c r="H552" s="500"/>
      <c r="I552" s="500"/>
      <c r="J552" s="449"/>
      <c r="K552" s="449"/>
      <c r="L552" s="449"/>
      <c r="M552" s="449"/>
      <c r="N552" s="449"/>
      <c r="O552" s="742"/>
    </row>
    <row r="553" spans="2:15" x14ac:dyDescent="0.3">
      <c r="B553" s="493" t="s">
        <v>3</v>
      </c>
      <c r="C553" s="513">
        <f ca="1">IF(AND('PSA inputs'!$I$867=1,'PSA inputs'!$I$904=1),G553,D553)</f>
        <v>39.481544070828406</v>
      </c>
      <c r="D553" s="513">
        <f>'Cost input'!C434</f>
        <v>39.37043478260869</v>
      </c>
      <c r="E553" s="513">
        <f>'Cost input'!D434</f>
        <v>26.246956521739129</v>
      </c>
      <c r="F553" s="513">
        <f>'Cost input'!E434</f>
        <v>52.493913043478258</v>
      </c>
      <c r="G553" s="514">
        <f ca="1">'PSA inputs'!J511</f>
        <v>39.481544070828406</v>
      </c>
      <c r="H553" s="500"/>
      <c r="I553" s="500"/>
      <c r="J553" s="449"/>
      <c r="K553" s="449"/>
      <c r="L553" s="449"/>
      <c r="M553" s="449"/>
      <c r="N553" s="449"/>
      <c r="O553" s="742"/>
    </row>
    <row r="554" spans="2:15" x14ac:dyDescent="0.3">
      <c r="B554" s="493" t="s">
        <v>4</v>
      </c>
      <c r="C554" s="513">
        <f ca="1">IF(AND('PSA inputs'!$I$867=1,'PSA inputs'!$I$904=1),G554,D554)</f>
        <v>39.481544070828406</v>
      </c>
      <c r="D554" s="513">
        <f>'Cost input'!C435</f>
        <v>39.37043478260869</v>
      </c>
      <c r="E554" s="513">
        <f>'Cost input'!D435</f>
        <v>26.246956521739129</v>
      </c>
      <c r="F554" s="513">
        <f>'Cost input'!E435</f>
        <v>52.493913043478258</v>
      </c>
      <c r="G554" s="514">
        <f ca="1">'PSA inputs'!J512</f>
        <v>39.481544070828406</v>
      </c>
      <c r="H554" s="500"/>
      <c r="I554" s="500"/>
      <c r="J554" s="449"/>
      <c r="K554" s="449"/>
      <c r="L554" s="449"/>
      <c r="M554" s="449"/>
      <c r="N554" s="449"/>
      <c r="O554" s="742"/>
    </row>
    <row r="555" spans="2:15" x14ac:dyDescent="0.3">
      <c r="B555" s="493" t="s">
        <v>5</v>
      </c>
      <c r="C555" s="513">
        <f ca="1">IF(AND('PSA inputs'!$I$867=1,'PSA inputs'!$I$904=1),G555,D555)</f>
        <v>39.481544070828406</v>
      </c>
      <c r="D555" s="513">
        <f>'Cost input'!C436</f>
        <v>39.37043478260869</v>
      </c>
      <c r="E555" s="513">
        <f>'Cost input'!D436</f>
        <v>26.246956521739129</v>
      </c>
      <c r="F555" s="513">
        <f>'Cost input'!E436</f>
        <v>52.493913043478258</v>
      </c>
      <c r="G555" s="514">
        <f ca="1">'PSA inputs'!J513</f>
        <v>39.481544070828406</v>
      </c>
      <c r="H555" s="500"/>
      <c r="I555" s="500"/>
      <c r="J555" s="449"/>
      <c r="K555" s="449"/>
      <c r="L555" s="449"/>
      <c r="M555" s="449"/>
      <c r="N555" s="449"/>
      <c r="O555" s="742"/>
    </row>
    <row r="556" spans="2:15" x14ac:dyDescent="0.3">
      <c r="B556" s="493" t="s">
        <v>6</v>
      </c>
      <c r="C556" s="513">
        <f ca="1">IF(AND('PSA inputs'!$I$867=1,'PSA inputs'!$I$904=1),G556,D556)</f>
        <v>39.481544070828406</v>
      </c>
      <c r="D556" s="513">
        <f>'Cost input'!C437</f>
        <v>39.37043478260869</v>
      </c>
      <c r="E556" s="513">
        <f>'Cost input'!D437</f>
        <v>26.246956521739129</v>
      </c>
      <c r="F556" s="513">
        <f>'Cost input'!E437</f>
        <v>52.493913043478258</v>
      </c>
      <c r="G556" s="514">
        <f ca="1">'PSA inputs'!J514</f>
        <v>39.481544070828406</v>
      </c>
      <c r="H556" s="500"/>
      <c r="I556" s="500"/>
      <c r="J556" s="449"/>
      <c r="K556" s="449"/>
      <c r="L556" s="449"/>
      <c r="M556" s="449"/>
      <c r="N556" s="449"/>
      <c r="O556" s="742"/>
    </row>
    <row r="557" spans="2:15" x14ac:dyDescent="0.3">
      <c r="B557" s="493" t="s">
        <v>7</v>
      </c>
      <c r="C557" s="513">
        <f ca="1">IF(AND('PSA inputs'!$I$867=1,'PSA inputs'!$I$904=1),G557,D557)</f>
        <v>39.481544070828406</v>
      </c>
      <c r="D557" s="513">
        <f>'Cost input'!C438</f>
        <v>39.37043478260869</v>
      </c>
      <c r="E557" s="513">
        <f>'Cost input'!D438</f>
        <v>26.246956521739129</v>
      </c>
      <c r="F557" s="513">
        <f>'Cost input'!E438</f>
        <v>52.493913043478258</v>
      </c>
      <c r="G557" s="514">
        <f ca="1">'PSA inputs'!J515</f>
        <v>39.481544070828406</v>
      </c>
      <c r="H557" s="500"/>
      <c r="I557" s="500"/>
      <c r="J557" s="449"/>
      <c r="K557" s="449"/>
      <c r="L557" s="449"/>
      <c r="M557" s="449"/>
      <c r="N557" s="449"/>
      <c r="O557" s="742"/>
    </row>
    <row r="558" spans="2:15" x14ac:dyDescent="0.3">
      <c r="B558" s="493" t="s">
        <v>1469</v>
      </c>
      <c r="C558" s="513">
        <f ca="1">IF(AND('PSA inputs'!$I$867=1,'PSA inputs'!$I$904=1),G558,D558)</f>
        <v>39.481544070828406</v>
      </c>
      <c r="D558" s="513">
        <f>'Cost input'!C439</f>
        <v>39.37043478260869</v>
      </c>
      <c r="E558" s="513">
        <f>'Cost input'!D439</f>
        <v>26.246956521739129</v>
      </c>
      <c r="F558" s="513">
        <f>'Cost input'!E439</f>
        <v>52.493913043478258</v>
      </c>
      <c r="G558" s="514">
        <f ca="1">'PSA inputs'!J516</f>
        <v>39.481544070828406</v>
      </c>
      <c r="H558" s="500"/>
      <c r="I558" s="500"/>
      <c r="J558" s="449"/>
      <c r="K558" s="449"/>
      <c r="L558" s="449"/>
      <c r="M558" s="449"/>
      <c r="N558" s="449"/>
      <c r="O558" s="742"/>
    </row>
    <row r="559" spans="2:15" ht="15" customHeight="1" x14ac:dyDescent="0.3">
      <c r="B559" s="498" t="s">
        <v>227</v>
      </c>
      <c r="C559" s="533"/>
      <c r="D559" s="533"/>
      <c r="E559" s="533"/>
      <c r="F559" s="533"/>
      <c r="G559" s="533"/>
    </row>
    <row r="560" spans="2:15" ht="15" customHeight="1" x14ac:dyDescent="0.3">
      <c r="B560" s="490" t="s">
        <v>1437</v>
      </c>
      <c r="C560" s="513">
        <f ca="1">IF(AND('PSA inputs'!$I$867=1,'PSA inputs'!$I$904=1),G560,D560)</f>
        <v>51.724349550776012</v>
      </c>
      <c r="D560" s="513">
        <f>'Cost input'!C441</f>
        <v>39.37043478260869</v>
      </c>
      <c r="E560" s="513">
        <f>'Cost input'!D441</f>
        <v>26.246956521739129</v>
      </c>
      <c r="F560" s="513">
        <f>'Cost input'!E441</f>
        <v>52.493913043478258</v>
      </c>
      <c r="G560" s="514">
        <f ca="1">'PSA inputs'!J518</f>
        <v>51.724349550776012</v>
      </c>
    </row>
    <row r="561" spans="2:7" ht="15" customHeight="1" x14ac:dyDescent="0.3">
      <c r="B561" s="490" t="s">
        <v>1438</v>
      </c>
      <c r="C561" s="513">
        <f ca="1">IF(AND('PSA inputs'!$I$867=1,'PSA inputs'!$I$904=1),G561,D561)</f>
        <v>51.724349550776012</v>
      </c>
      <c r="D561" s="513">
        <f>'Cost input'!C442</f>
        <v>39.37043478260869</v>
      </c>
      <c r="E561" s="513">
        <f>'Cost input'!D442</f>
        <v>26.246956521739129</v>
      </c>
      <c r="F561" s="513">
        <f>'Cost input'!E442</f>
        <v>52.493913043478258</v>
      </c>
      <c r="G561" s="514">
        <f ca="1">'PSA inputs'!J519</f>
        <v>51.724349550776012</v>
      </c>
    </row>
    <row r="562" spans="2:7" ht="15" customHeight="1" x14ac:dyDescent="0.3">
      <c r="B562" s="490" t="s">
        <v>1441</v>
      </c>
      <c r="C562" s="513">
        <f ca="1">IF(AND('PSA inputs'!$I$867=1,'PSA inputs'!$I$904=1),G562,D562)</f>
        <v>51.724349550776012</v>
      </c>
      <c r="D562" s="513">
        <f>'Cost input'!C443</f>
        <v>39.37043478260869</v>
      </c>
      <c r="E562" s="513">
        <f>'Cost input'!D443</f>
        <v>26.246956521739129</v>
      </c>
      <c r="F562" s="513">
        <f>'Cost input'!E443</f>
        <v>52.493913043478258</v>
      </c>
      <c r="G562" s="514">
        <f ca="1">'PSA inputs'!J520</f>
        <v>51.724349550776012</v>
      </c>
    </row>
    <row r="563" spans="2:7" ht="15" customHeight="1" x14ac:dyDescent="0.3">
      <c r="B563" s="490" t="s">
        <v>1442</v>
      </c>
      <c r="C563" s="513">
        <f ca="1">IF(AND('PSA inputs'!$I$867=1,'PSA inputs'!$I$904=1),G563,D563)</f>
        <v>51.724349550776012</v>
      </c>
      <c r="D563" s="513">
        <f>'Cost input'!C444</f>
        <v>39.37043478260869</v>
      </c>
      <c r="E563" s="513">
        <f>'Cost input'!D444</f>
        <v>26.246956521739129</v>
      </c>
      <c r="F563" s="513">
        <f>'Cost input'!E444</f>
        <v>52.493913043478258</v>
      </c>
      <c r="G563" s="514">
        <f ca="1">'PSA inputs'!J521</f>
        <v>51.724349550776012</v>
      </c>
    </row>
    <row r="564" spans="2:7" ht="15" customHeight="1" x14ac:dyDescent="0.3">
      <c r="B564" s="498" t="s">
        <v>920</v>
      </c>
      <c r="C564" s="533"/>
      <c r="D564" s="533"/>
      <c r="E564" s="533"/>
      <c r="F564" s="533"/>
      <c r="G564" s="533"/>
    </row>
    <row r="565" spans="2:7" ht="15" customHeight="1" x14ac:dyDescent="0.3">
      <c r="B565" s="490" t="s">
        <v>920</v>
      </c>
      <c r="C565" s="513">
        <f ca="1">IF(AND('PSA inputs'!$I$867=1,'PSA inputs'!$I$904=1),G565,D565)</f>
        <v>51.724349550776012</v>
      </c>
      <c r="D565" s="513">
        <f>'Cost input'!C446</f>
        <v>39.37043478260869</v>
      </c>
      <c r="E565" s="513">
        <f>'Cost input'!D446</f>
        <v>26.246956521739129</v>
      </c>
      <c r="F565" s="513">
        <f>'Cost input'!E446</f>
        <v>52.493913043478258</v>
      </c>
      <c r="G565" s="514">
        <f ca="1">'PSA inputs'!J523</f>
        <v>51.724349550776012</v>
      </c>
    </row>
    <row r="566" spans="2:7" ht="15" customHeight="1" x14ac:dyDescent="0.3">
      <c r="B566" s="490" t="s">
        <v>980</v>
      </c>
      <c r="C566" s="513">
        <f ca="1">IF(AND('PSA inputs'!$I$867=1,'PSA inputs'!$I$904=1),G566,D566)</f>
        <v>51.724349550776012</v>
      </c>
      <c r="D566" s="513">
        <f>'Cost input'!C447</f>
        <v>39.37043478260869</v>
      </c>
      <c r="E566" s="513">
        <f>'Cost input'!D447</f>
        <v>26.246956521739129</v>
      </c>
      <c r="F566" s="513">
        <f>'Cost input'!E447</f>
        <v>52.493913043478258</v>
      </c>
      <c r="G566" s="514">
        <f ca="1">'PSA inputs'!J524</f>
        <v>51.724349550776012</v>
      </c>
    </row>
    <row r="567" spans="2:7" ht="15" customHeight="1" x14ac:dyDescent="0.3">
      <c r="B567" s="520"/>
      <c r="C567" s="520"/>
      <c r="D567" s="520"/>
      <c r="E567" s="520"/>
    </row>
    <row r="568" spans="2:7" ht="15" customHeight="1" x14ac:dyDescent="0.3">
      <c r="B568" s="509" t="s">
        <v>1009</v>
      </c>
      <c r="C568" s="519"/>
      <c r="D568" s="519"/>
      <c r="E568" s="519"/>
      <c r="F568" s="519"/>
      <c r="G568" s="519"/>
    </row>
    <row r="569" spans="2:7" ht="15" customHeight="1" x14ac:dyDescent="0.3">
      <c r="B569" s="484" t="s">
        <v>950</v>
      </c>
      <c r="C569" s="485" t="s">
        <v>724</v>
      </c>
      <c r="D569" s="485" t="s">
        <v>995</v>
      </c>
      <c r="E569" s="485" t="s">
        <v>985</v>
      </c>
      <c r="F569" s="485" t="s">
        <v>986</v>
      </c>
      <c r="G569" s="485" t="s">
        <v>996</v>
      </c>
    </row>
    <row r="570" spans="2:7" ht="15" customHeight="1" x14ac:dyDescent="0.3">
      <c r="B570" s="487" t="s">
        <v>1445</v>
      </c>
      <c r="C570" s="486"/>
      <c r="D570" s="486"/>
      <c r="E570" s="486"/>
      <c r="F570" s="486"/>
      <c r="G570" s="486"/>
    </row>
    <row r="571" spans="2:7" ht="15" customHeight="1" x14ac:dyDescent="0.3">
      <c r="B571" s="493" t="s">
        <v>2</v>
      </c>
      <c r="C571" s="513">
        <f ca="1">IF(AND('PSA inputs'!$I$867=1,'PSA inputs'!$I$905=1),G571,D571)</f>
        <v>126.79631474073003</v>
      </c>
      <c r="D571" s="513">
        <f>'Cost input'!C456</f>
        <v>183.72869565217388</v>
      </c>
      <c r="E571" s="513">
        <f>'Cost input'!D456</f>
        <v>118.11130434782608</v>
      </c>
      <c r="F571" s="513">
        <f>'Cost input'!E456</f>
        <v>249.34608695652173</v>
      </c>
      <c r="G571" s="514">
        <f ca="1">'PSA inputs'!J530</f>
        <v>126.79631474073003</v>
      </c>
    </row>
    <row r="572" spans="2:7" ht="15" customHeight="1" x14ac:dyDescent="0.3">
      <c r="B572" s="493" t="s">
        <v>3</v>
      </c>
      <c r="C572" s="513">
        <f ca="1">IF(AND('PSA inputs'!$I$867=1,'PSA inputs'!$I$905=1),G572,D572)</f>
        <v>126.79631474073003</v>
      </c>
      <c r="D572" s="513">
        <f>'Cost input'!C457</f>
        <v>183.72869565217388</v>
      </c>
      <c r="E572" s="513">
        <f>'Cost input'!D457</f>
        <v>118.11130434782608</v>
      </c>
      <c r="F572" s="513">
        <f>'Cost input'!E457</f>
        <v>249.34608695652173</v>
      </c>
      <c r="G572" s="514">
        <f ca="1">'PSA inputs'!J531</f>
        <v>126.79631474073003</v>
      </c>
    </row>
    <row r="573" spans="2:7" ht="15" customHeight="1" x14ac:dyDescent="0.3">
      <c r="B573" s="493" t="s">
        <v>4</v>
      </c>
      <c r="C573" s="513">
        <f ca="1">IF(AND('PSA inputs'!$I$867=1,'PSA inputs'!$I$905=1),G573,D573)</f>
        <v>126.79631474073003</v>
      </c>
      <c r="D573" s="513">
        <f>'Cost input'!C458</f>
        <v>183.72869565217388</v>
      </c>
      <c r="E573" s="513">
        <f>'Cost input'!D458</f>
        <v>118.11130434782608</v>
      </c>
      <c r="F573" s="513">
        <f>'Cost input'!E458</f>
        <v>249.34608695652173</v>
      </c>
      <c r="G573" s="514">
        <f ca="1">'PSA inputs'!J532</f>
        <v>126.79631474073003</v>
      </c>
    </row>
    <row r="574" spans="2:7" ht="15" customHeight="1" x14ac:dyDescent="0.3">
      <c r="B574" s="493" t="s">
        <v>5</v>
      </c>
      <c r="C574" s="513">
        <f ca="1">IF(AND('PSA inputs'!$I$867=1,'PSA inputs'!$I$905=1),G574,D574)</f>
        <v>114.08379294434985</v>
      </c>
      <c r="D574" s="513">
        <f>'Cost input'!C459</f>
        <v>170.60521739130434</v>
      </c>
      <c r="E574" s="513">
        <f>'Cost input'!D459</f>
        <v>104.98782608695652</v>
      </c>
      <c r="F574" s="513">
        <f>'Cost input'!E459</f>
        <v>236.22260869565216</v>
      </c>
      <c r="G574" s="514">
        <f ca="1">'PSA inputs'!J533</f>
        <v>114.08379294434985</v>
      </c>
    </row>
    <row r="575" spans="2:7" ht="15" customHeight="1" x14ac:dyDescent="0.3">
      <c r="B575" s="493" t="s">
        <v>6</v>
      </c>
      <c r="C575" s="513">
        <f ca="1">IF(AND('PSA inputs'!$I$867=1,'PSA inputs'!$I$905=1),G575,D575)</f>
        <v>114.08379294434985</v>
      </c>
      <c r="D575" s="513">
        <f>'Cost input'!C460</f>
        <v>170.60521739130434</v>
      </c>
      <c r="E575" s="513">
        <f>'Cost input'!D460</f>
        <v>104.98782608695652</v>
      </c>
      <c r="F575" s="513">
        <f>'Cost input'!E460</f>
        <v>236.22260869565216</v>
      </c>
      <c r="G575" s="514">
        <f ca="1">'PSA inputs'!J534</f>
        <v>114.08379294434985</v>
      </c>
    </row>
    <row r="576" spans="2:7" ht="15" customHeight="1" x14ac:dyDescent="0.3">
      <c r="B576" s="493" t="s">
        <v>7</v>
      </c>
      <c r="C576" s="513">
        <f ca="1">IF(AND('PSA inputs'!$I$867=1,'PSA inputs'!$I$905=1),G576,D576)</f>
        <v>114.08379294434985</v>
      </c>
      <c r="D576" s="513">
        <f>'Cost input'!C461</f>
        <v>170.60521739130434</v>
      </c>
      <c r="E576" s="513">
        <f>'Cost input'!D461</f>
        <v>104.98782608695652</v>
      </c>
      <c r="F576" s="513">
        <f>'Cost input'!E461</f>
        <v>236.22260869565216</v>
      </c>
      <c r="G576" s="514">
        <f ca="1">'PSA inputs'!J535</f>
        <v>114.08379294434985</v>
      </c>
    </row>
    <row r="577" spans="2:15" ht="15" customHeight="1" x14ac:dyDescent="0.3">
      <c r="B577" s="493" t="s">
        <v>1469</v>
      </c>
      <c r="C577" s="513">
        <f ca="1">IF(AND('PSA inputs'!$I$867=1,'PSA inputs'!$I$905=1),G577,D577)</f>
        <v>114.08379294434985</v>
      </c>
      <c r="D577" s="513">
        <f>'Cost input'!C462</f>
        <v>170.60521739130434</v>
      </c>
      <c r="E577" s="513">
        <f>'Cost input'!D462</f>
        <v>104.98782608695652</v>
      </c>
      <c r="F577" s="513">
        <f>'Cost input'!E462</f>
        <v>236.22260869565216</v>
      </c>
      <c r="G577" s="514">
        <f ca="1">'PSA inputs'!J536</f>
        <v>114.08379294434985</v>
      </c>
    </row>
    <row r="578" spans="2:15" x14ac:dyDescent="0.3">
      <c r="B578" s="487" t="s">
        <v>1444</v>
      </c>
      <c r="C578" s="533"/>
      <c r="D578" s="533"/>
      <c r="E578" s="533"/>
      <c r="F578" s="533"/>
      <c r="G578" s="533"/>
      <c r="H578" s="487"/>
    </row>
    <row r="579" spans="2:15" x14ac:dyDescent="0.3">
      <c r="B579" s="493" t="s">
        <v>2</v>
      </c>
      <c r="C579" s="513">
        <f ca="1">IF(AND('PSA inputs'!$I$867=1,'PSA inputs'!$I$905=1),G579,D579)</f>
        <v>168.14211110115235</v>
      </c>
      <c r="D579" s="513">
        <f>'Cost input'!C464</f>
        <v>183.72869565217388</v>
      </c>
      <c r="E579" s="513">
        <f>'Cost input'!D464</f>
        <v>118.11130434782608</v>
      </c>
      <c r="F579" s="513">
        <f>'Cost input'!E464</f>
        <v>249.34608695652173</v>
      </c>
      <c r="G579" s="514">
        <f ca="1">'PSA inputs'!J538</f>
        <v>168.14211110115235</v>
      </c>
      <c r="H579" s="500"/>
      <c r="I579" s="449"/>
      <c r="J579" s="449"/>
      <c r="K579" s="449"/>
      <c r="L579" s="449"/>
      <c r="M579" s="449"/>
      <c r="N579" s="449"/>
      <c r="O579" s="742"/>
    </row>
    <row r="580" spans="2:15" x14ac:dyDescent="0.3">
      <c r="B580" s="493" t="s">
        <v>3</v>
      </c>
      <c r="C580" s="513">
        <f ca="1">IF(AND('PSA inputs'!$I$867=1,'PSA inputs'!$I$905=1),G580,D580)</f>
        <v>168.14211110115235</v>
      </c>
      <c r="D580" s="513">
        <f>'Cost input'!C465</f>
        <v>183.72869565217388</v>
      </c>
      <c r="E580" s="513">
        <f>'Cost input'!D465</f>
        <v>118.11130434782608</v>
      </c>
      <c r="F580" s="513">
        <f>'Cost input'!E465</f>
        <v>249.34608695652173</v>
      </c>
      <c r="G580" s="514">
        <f ca="1">'PSA inputs'!J539</f>
        <v>168.14211110115235</v>
      </c>
      <c r="H580" s="500"/>
      <c r="I580" s="449"/>
      <c r="J580" s="449"/>
      <c r="K580" s="449"/>
      <c r="L580" s="449"/>
      <c r="M580" s="449"/>
      <c r="N580" s="449"/>
      <c r="O580" s="742"/>
    </row>
    <row r="581" spans="2:15" x14ac:dyDescent="0.3">
      <c r="B581" s="493" t="s">
        <v>4</v>
      </c>
      <c r="C581" s="513">
        <f ca="1">IF(AND('PSA inputs'!$I$867=1,'PSA inputs'!$I$905=1),G581,D581)</f>
        <v>168.14211110115235</v>
      </c>
      <c r="D581" s="513">
        <f>'Cost input'!C466</f>
        <v>183.72869565217388</v>
      </c>
      <c r="E581" s="513">
        <f>'Cost input'!D466</f>
        <v>118.11130434782608</v>
      </c>
      <c r="F581" s="513">
        <f>'Cost input'!E466</f>
        <v>249.34608695652173</v>
      </c>
      <c r="G581" s="514">
        <f ca="1">'PSA inputs'!J540</f>
        <v>168.14211110115235</v>
      </c>
      <c r="H581" s="500"/>
      <c r="I581" s="449"/>
      <c r="J581" s="449"/>
      <c r="K581" s="449"/>
      <c r="L581" s="449"/>
      <c r="M581" s="449"/>
      <c r="N581" s="449"/>
      <c r="O581" s="742"/>
    </row>
    <row r="582" spans="2:15" x14ac:dyDescent="0.3">
      <c r="B582" s="493" t="s">
        <v>5</v>
      </c>
      <c r="C582" s="513">
        <f ca="1">IF(AND('PSA inputs'!$I$867=1,'PSA inputs'!$I$905=1),G582,D582)</f>
        <v>154.90463860406908</v>
      </c>
      <c r="D582" s="513">
        <f>'Cost input'!C467</f>
        <v>170.60521739130434</v>
      </c>
      <c r="E582" s="513">
        <f>'Cost input'!D467</f>
        <v>104.98782608695652</v>
      </c>
      <c r="F582" s="513">
        <f>'Cost input'!E467</f>
        <v>236.22260869565216</v>
      </c>
      <c r="G582" s="514">
        <f ca="1">'PSA inputs'!J541</f>
        <v>154.90463860406908</v>
      </c>
      <c r="H582" s="500"/>
      <c r="I582" s="449"/>
      <c r="J582" s="449"/>
      <c r="K582" s="449"/>
      <c r="L582" s="449"/>
      <c r="M582" s="449"/>
      <c r="N582" s="449"/>
      <c r="O582" s="742"/>
    </row>
    <row r="583" spans="2:15" x14ac:dyDescent="0.3">
      <c r="B583" s="493" t="s">
        <v>6</v>
      </c>
      <c r="C583" s="513">
        <f ca="1">IF(AND('PSA inputs'!$I$867=1,'PSA inputs'!$I$905=1),G583,D583)</f>
        <v>154.90463860406908</v>
      </c>
      <c r="D583" s="513">
        <f>'Cost input'!C468</f>
        <v>170.60521739130434</v>
      </c>
      <c r="E583" s="513">
        <f>'Cost input'!D468</f>
        <v>104.98782608695652</v>
      </c>
      <c r="F583" s="513">
        <f>'Cost input'!E468</f>
        <v>236.22260869565216</v>
      </c>
      <c r="G583" s="514">
        <f ca="1">'PSA inputs'!J542</f>
        <v>154.90463860406908</v>
      </c>
      <c r="H583" s="500"/>
      <c r="I583" s="449"/>
      <c r="J583" s="449"/>
      <c r="K583" s="449"/>
      <c r="L583" s="449"/>
      <c r="M583" s="449"/>
      <c r="N583" s="449"/>
      <c r="O583" s="742"/>
    </row>
    <row r="584" spans="2:15" x14ac:dyDescent="0.3">
      <c r="B584" s="493" t="s">
        <v>7</v>
      </c>
      <c r="C584" s="513">
        <f ca="1">IF(AND('PSA inputs'!$I$867=1,'PSA inputs'!$I$905=1),G584,D584)</f>
        <v>154.90463860406908</v>
      </c>
      <c r="D584" s="513">
        <f>'Cost input'!C469</f>
        <v>170.60521739130434</v>
      </c>
      <c r="E584" s="513">
        <f>'Cost input'!D469</f>
        <v>104.98782608695652</v>
      </c>
      <c r="F584" s="513">
        <f>'Cost input'!E469</f>
        <v>236.22260869565216</v>
      </c>
      <c r="G584" s="514">
        <f ca="1">'PSA inputs'!J543</f>
        <v>154.90463860406908</v>
      </c>
      <c r="H584" s="500"/>
      <c r="I584" s="449"/>
      <c r="J584" s="449"/>
      <c r="K584" s="449"/>
      <c r="L584" s="449"/>
      <c r="M584" s="449"/>
      <c r="N584" s="449"/>
      <c r="O584" s="742"/>
    </row>
    <row r="585" spans="2:15" x14ac:dyDescent="0.3">
      <c r="B585" s="493" t="s">
        <v>1469</v>
      </c>
      <c r="C585" s="513">
        <f ca="1">IF(AND('PSA inputs'!$I$867=1,'PSA inputs'!$I$905=1),G585,D585)</f>
        <v>154.90463860406908</v>
      </c>
      <c r="D585" s="513">
        <f>'Cost input'!C470</f>
        <v>170.60521739130434</v>
      </c>
      <c r="E585" s="513">
        <f>'Cost input'!D470</f>
        <v>104.98782608695652</v>
      </c>
      <c r="F585" s="513">
        <f>'Cost input'!E470</f>
        <v>236.22260869565216</v>
      </c>
      <c r="G585" s="514">
        <f ca="1">'PSA inputs'!J544</f>
        <v>154.90463860406908</v>
      </c>
      <c r="H585" s="500"/>
      <c r="I585" s="449"/>
      <c r="J585" s="449"/>
      <c r="K585" s="449"/>
      <c r="L585" s="449"/>
      <c r="M585" s="449"/>
      <c r="N585" s="449"/>
      <c r="O585" s="742"/>
    </row>
    <row r="586" spans="2:15" ht="15" customHeight="1" x14ac:dyDescent="0.3">
      <c r="B586" s="498" t="s">
        <v>227</v>
      </c>
      <c r="C586" s="533"/>
      <c r="D586" s="533"/>
      <c r="E586" s="533"/>
      <c r="F586" s="533"/>
      <c r="G586" s="533"/>
    </row>
    <row r="587" spans="2:15" ht="15" customHeight="1" x14ac:dyDescent="0.3">
      <c r="B587" s="490" t="s">
        <v>1437</v>
      </c>
      <c r="C587" s="513">
        <f ca="1">IF(AND('PSA inputs'!$I$867=1,'PSA inputs'!$I$905=1),G587,D587)</f>
        <v>245.74259672715291</v>
      </c>
      <c r="D587" s="513">
        <f>'Cost input'!C472</f>
        <v>183.72869565217388</v>
      </c>
      <c r="E587" s="513">
        <f>'Cost input'!D472</f>
        <v>118.11130434782608</v>
      </c>
      <c r="F587" s="513">
        <f>'Cost input'!E472</f>
        <v>249.34608695652173</v>
      </c>
      <c r="G587" s="514">
        <f ca="1">'PSA inputs'!J546</f>
        <v>245.74259672715291</v>
      </c>
    </row>
    <row r="588" spans="2:15" ht="15" customHeight="1" x14ac:dyDescent="0.3">
      <c r="B588" s="490" t="s">
        <v>1438</v>
      </c>
      <c r="C588" s="513">
        <f ca="1">IF(AND('PSA inputs'!$I$867=1,'PSA inputs'!$I$905=1),G588,D588)</f>
        <v>245.74259672715291</v>
      </c>
      <c r="D588" s="513">
        <f>'Cost input'!C473</f>
        <v>183.72869565217388</v>
      </c>
      <c r="E588" s="513">
        <f>'Cost input'!D473</f>
        <v>118.11130434782608</v>
      </c>
      <c r="F588" s="513">
        <f>'Cost input'!E473</f>
        <v>249.34608695652173</v>
      </c>
      <c r="G588" s="514">
        <f ca="1">'PSA inputs'!J547</f>
        <v>245.74259672715291</v>
      </c>
    </row>
    <row r="589" spans="2:15" ht="15" customHeight="1" x14ac:dyDescent="0.3">
      <c r="B589" s="490" t="s">
        <v>1441</v>
      </c>
      <c r="C589" s="513">
        <f ca="1">IF(AND('PSA inputs'!$I$867=1,'PSA inputs'!$I$905=1),G589,D589)</f>
        <v>245.74259672715291</v>
      </c>
      <c r="D589" s="513">
        <f>'Cost input'!C474</f>
        <v>183.72869565217388</v>
      </c>
      <c r="E589" s="513">
        <f>'Cost input'!D474</f>
        <v>118.11130434782608</v>
      </c>
      <c r="F589" s="513">
        <f>'Cost input'!E474</f>
        <v>249.34608695652173</v>
      </c>
      <c r="G589" s="514">
        <f ca="1">'PSA inputs'!J548</f>
        <v>245.74259672715291</v>
      </c>
    </row>
    <row r="590" spans="2:15" ht="15" customHeight="1" x14ac:dyDescent="0.3">
      <c r="B590" s="490" t="s">
        <v>1442</v>
      </c>
      <c r="C590" s="513">
        <f ca="1">IF(AND('PSA inputs'!$I$867=1,'PSA inputs'!$I$905=1),G590,D590)</f>
        <v>245.74259672715291</v>
      </c>
      <c r="D590" s="513">
        <f>'Cost input'!C475</f>
        <v>183.72869565217388</v>
      </c>
      <c r="E590" s="513">
        <f>'Cost input'!D475</f>
        <v>118.11130434782608</v>
      </c>
      <c r="F590" s="513">
        <f>'Cost input'!E475</f>
        <v>249.34608695652173</v>
      </c>
      <c r="G590" s="514">
        <f ca="1">'PSA inputs'!J549</f>
        <v>245.74259672715291</v>
      </c>
    </row>
    <row r="591" spans="2:15" ht="15" customHeight="1" x14ac:dyDescent="0.3">
      <c r="B591" s="498" t="s">
        <v>920</v>
      </c>
      <c r="C591" s="533"/>
      <c r="D591" s="533"/>
      <c r="E591" s="533"/>
      <c r="F591" s="533"/>
      <c r="G591" s="533"/>
    </row>
    <row r="592" spans="2:15" ht="15" customHeight="1" x14ac:dyDescent="0.3">
      <c r="B592" s="490" t="s">
        <v>920</v>
      </c>
      <c r="C592" s="513">
        <f ca="1">IF(AND('PSA inputs'!$I$867=1,'PSA inputs'!$I$905=1),G592,D592)</f>
        <v>232.89844234193288</v>
      </c>
      <c r="D592" s="513">
        <f>'Cost input'!C477</f>
        <v>170.60521739130434</v>
      </c>
      <c r="E592" s="513">
        <f>'Cost input'!D477</f>
        <v>104.98782608695652</v>
      </c>
      <c r="F592" s="513">
        <f>'Cost input'!E477</f>
        <v>236.22260869565216</v>
      </c>
      <c r="G592" s="514">
        <f ca="1">'PSA inputs'!J551</f>
        <v>232.89844234193288</v>
      </c>
    </row>
    <row r="593" spans="2:15" ht="15" customHeight="1" x14ac:dyDescent="0.3">
      <c r="B593" s="490" t="s">
        <v>980</v>
      </c>
      <c r="C593" s="513">
        <f ca="1">IF(AND('PSA inputs'!$I$867=1,'PSA inputs'!$I$905=1),G593,D593)</f>
        <v>232.89844234193288</v>
      </c>
      <c r="D593" s="513">
        <f>'Cost input'!C478</f>
        <v>170.60521739130434</v>
      </c>
      <c r="E593" s="513">
        <f>'Cost input'!D478</f>
        <v>104.98782608695652</v>
      </c>
      <c r="F593" s="513">
        <f>'Cost input'!E478</f>
        <v>236.22260869565216</v>
      </c>
      <c r="G593" s="514">
        <f ca="1">'PSA inputs'!J552</f>
        <v>232.89844234193288</v>
      </c>
    </row>
    <row r="594" spans="2:15" ht="15" customHeight="1" x14ac:dyDescent="0.3">
      <c r="B594" s="520"/>
      <c r="C594" s="520"/>
      <c r="D594" s="520"/>
      <c r="E594" s="520"/>
    </row>
    <row r="595" spans="2:15" ht="15" customHeight="1" x14ac:dyDescent="0.3">
      <c r="B595" s="349" t="s">
        <v>10</v>
      </c>
      <c r="C595" s="341"/>
      <c r="D595" s="341"/>
      <c r="E595" s="341"/>
      <c r="F595" s="525"/>
      <c r="G595" s="525"/>
      <c r="H595" s="526"/>
      <c r="I595" s="525"/>
      <c r="J595" s="525"/>
      <c r="K595" s="525"/>
      <c r="L595" s="525"/>
      <c r="M595" s="525"/>
      <c r="N595" s="525"/>
    </row>
    <row r="596" spans="2:15" ht="15" customHeight="1" x14ac:dyDescent="0.3">
      <c r="B596" s="520"/>
      <c r="C596" s="520"/>
      <c r="D596" s="520"/>
      <c r="E596" s="520"/>
    </row>
    <row r="597" spans="2:15" ht="15" customHeight="1" x14ac:dyDescent="0.3">
      <c r="B597" s="509" t="s">
        <v>938</v>
      </c>
      <c r="C597" s="519"/>
      <c r="D597" s="519"/>
      <c r="E597" s="519"/>
      <c r="F597" s="519"/>
      <c r="G597" s="519"/>
      <c r="I597" s="509" t="s">
        <v>938</v>
      </c>
      <c r="J597" s="519"/>
      <c r="K597" s="519"/>
      <c r="L597" s="519"/>
      <c r="M597" s="519"/>
      <c r="N597" s="519"/>
      <c r="O597" s="745"/>
    </row>
    <row r="598" spans="2:15" ht="15" customHeight="1" x14ac:dyDescent="0.3">
      <c r="B598" s="510" t="s">
        <v>552</v>
      </c>
      <c r="C598" s="511"/>
      <c r="D598" s="511"/>
      <c r="E598" s="511"/>
      <c r="F598" s="511"/>
      <c r="G598" s="511"/>
      <c r="I598" s="512" t="s">
        <v>553</v>
      </c>
      <c r="J598" s="511"/>
      <c r="K598" s="511"/>
      <c r="L598" s="511"/>
      <c r="M598" s="511"/>
      <c r="N598" s="511"/>
      <c r="O598" s="745"/>
    </row>
    <row r="599" spans="2:15" ht="15" customHeight="1" x14ac:dyDescent="0.3">
      <c r="B599" s="484" t="s">
        <v>950</v>
      </c>
      <c r="C599" s="485" t="s">
        <v>724</v>
      </c>
      <c r="D599" s="485" t="s">
        <v>995</v>
      </c>
      <c r="E599" s="485" t="s">
        <v>985</v>
      </c>
      <c r="F599" s="485" t="s">
        <v>986</v>
      </c>
      <c r="G599" s="485" t="s">
        <v>996</v>
      </c>
      <c r="I599" s="484" t="s">
        <v>950</v>
      </c>
      <c r="J599" s="485" t="s">
        <v>724</v>
      </c>
      <c r="K599" s="485" t="s">
        <v>995</v>
      </c>
      <c r="L599" s="485" t="s">
        <v>985</v>
      </c>
      <c r="M599" s="485" t="s">
        <v>986</v>
      </c>
      <c r="N599" s="485" t="s">
        <v>996</v>
      </c>
      <c r="O599" s="738"/>
    </row>
    <row r="600" spans="2:15" ht="15" customHeight="1" x14ac:dyDescent="0.3">
      <c r="B600" s="487" t="s">
        <v>1445</v>
      </c>
      <c r="D600" s="520"/>
      <c r="E600" s="520"/>
      <c r="I600" s="487" t="s">
        <v>988</v>
      </c>
    </row>
    <row r="601" spans="2:15" ht="15" customHeight="1" x14ac:dyDescent="0.3">
      <c r="B601" s="493" t="s">
        <v>2</v>
      </c>
      <c r="C601" s="491">
        <f ca="1">IF(AND('PSA inputs'!$I$867=1,OR('PSA inputs'!$I$907=1,'PSA inputs'!$I$913=1)),G601,D601)</f>
        <v>0</v>
      </c>
      <c r="D601" s="491">
        <f>'Cost input'!C488*'Cost input'!C516</f>
        <v>0</v>
      </c>
      <c r="E601" s="491">
        <f>'Cost input'!D488*'Cost input'!D516</f>
        <v>0</v>
      </c>
      <c r="F601" s="491">
        <f>'Cost input'!E488*'Cost input'!E516</f>
        <v>0</v>
      </c>
      <c r="G601" s="492">
        <f ca="1">'PSA inputs'!J561*'PSA inputs'!J701</f>
        <v>0</v>
      </c>
      <c r="H601" s="528"/>
      <c r="I601" s="529" t="s">
        <v>2</v>
      </c>
      <c r="J601" s="491">
        <f ca="1">IF(AND('PSA inputs'!$I$867=1,'PSA inputs'!$I$908=1),N601,K601)</f>
        <v>0</v>
      </c>
      <c r="K601" s="491">
        <f>'Cost input'!C488*'Cost input'!C516</f>
        <v>0</v>
      </c>
      <c r="L601" s="491">
        <f>'Cost input'!D488*'Cost input'!D516</f>
        <v>0</v>
      </c>
      <c r="M601" s="491">
        <f>'Cost input'!E488*'Cost input'!E516</f>
        <v>0</v>
      </c>
      <c r="N601" s="491">
        <f ca="1">'PSA inputs'!U561*'PSA inputs'!J701</f>
        <v>0</v>
      </c>
      <c r="O601" s="739"/>
    </row>
    <row r="602" spans="2:15" ht="15" customHeight="1" x14ac:dyDescent="0.3">
      <c r="B602" s="493" t="s">
        <v>3</v>
      </c>
      <c r="C602" s="491">
        <f ca="1">IF(AND('PSA inputs'!$I$867=1,OR('PSA inputs'!$I$907=1,'PSA inputs'!$I$913=1)),G602,D602)</f>
        <v>0</v>
      </c>
      <c r="D602" s="491">
        <f>'Cost input'!C489*'Cost input'!C517</f>
        <v>0</v>
      </c>
      <c r="E602" s="491">
        <f>'Cost input'!D489*'Cost input'!D517</f>
        <v>0</v>
      </c>
      <c r="F602" s="491">
        <f>'Cost input'!E489*'Cost input'!E517</f>
        <v>0</v>
      </c>
      <c r="G602" s="492">
        <f ca="1">'PSA inputs'!J562*'PSA inputs'!J702</f>
        <v>0</v>
      </c>
      <c r="H602" s="528"/>
      <c r="I602" s="529" t="s">
        <v>3</v>
      </c>
      <c r="J602" s="491">
        <f ca="1">IF(AND('PSA inputs'!$I$867=1,'PSA inputs'!$I$908=1),N602,K602)</f>
        <v>0</v>
      </c>
      <c r="K602" s="491">
        <f>'Cost input'!C489*'Cost input'!C517</f>
        <v>0</v>
      </c>
      <c r="L602" s="491">
        <f>'Cost input'!D489*'Cost input'!D517</f>
        <v>0</v>
      </c>
      <c r="M602" s="491">
        <f>'Cost input'!E489*'Cost input'!E517</f>
        <v>0</v>
      </c>
      <c r="N602" s="491">
        <f ca="1">'PSA inputs'!U562*'PSA inputs'!J702</f>
        <v>0</v>
      </c>
      <c r="O602" s="739"/>
    </row>
    <row r="603" spans="2:15" ht="15" customHeight="1" x14ac:dyDescent="0.3">
      <c r="B603" s="493" t="s">
        <v>4</v>
      </c>
      <c r="C603" s="491">
        <f ca="1">IF(AND('PSA inputs'!$I$867=1,OR('PSA inputs'!$I$907=1,'PSA inputs'!$I$913=1)),G603,D603)</f>
        <v>0</v>
      </c>
      <c r="D603" s="491">
        <f>'Cost input'!C490*'Cost input'!C518</f>
        <v>0</v>
      </c>
      <c r="E603" s="491">
        <f>'Cost input'!D490*'Cost input'!D518</f>
        <v>0</v>
      </c>
      <c r="F603" s="491">
        <f>'Cost input'!E490*'Cost input'!E518</f>
        <v>0</v>
      </c>
      <c r="G603" s="492">
        <f ca="1">'PSA inputs'!J563*'PSA inputs'!J703</f>
        <v>0</v>
      </c>
      <c r="H603" s="528"/>
      <c r="I603" s="529" t="s">
        <v>4</v>
      </c>
      <c r="J603" s="491">
        <f ca="1">IF(AND('PSA inputs'!$I$867=1,'PSA inputs'!$I$908=1),N603,K603)</f>
        <v>0</v>
      </c>
      <c r="K603" s="491">
        <f>'Cost input'!C490*'Cost input'!C518</f>
        <v>0</v>
      </c>
      <c r="L603" s="491">
        <f>'Cost input'!D490*'Cost input'!D518</f>
        <v>0</v>
      </c>
      <c r="M603" s="491">
        <f>'Cost input'!E490*'Cost input'!E518</f>
        <v>0</v>
      </c>
      <c r="N603" s="491">
        <f ca="1">'PSA inputs'!U563*'PSA inputs'!J703</f>
        <v>0</v>
      </c>
      <c r="O603" s="739"/>
    </row>
    <row r="604" spans="2:15" ht="15" customHeight="1" x14ac:dyDescent="0.3">
      <c r="B604" s="493" t="s">
        <v>5</v>
      </c>
      <c r="C604" s="491">
        <f ca="1">IF(AND('PSA inputs'!$I$867=1,OR('PSA inputs'!$I$907=1,'PSA inputs'!$I$913=1)),G604,D604)</f>
        <v>0</v>
      </c>
      <c r="D604" s="491">
        <f>'Cost input'!C491*'Cost input'!C519</f>
        <v>0</v>
      </c>
      <c r="E604" s="491">
        <f>'Cost input'!D491*'Cost input'!D519</f>
        <v>0</v>
      </c>
      <c r="F604" s="491">
        <f>'Cost input'!E491*'Cost input'!E519</f>
        <v>0</v>
      </c>
      <c r="G604" s="492">
        <f ca="1">'PSA inputs'!J564*'PSA inputs'!J704</f>
        <v>0</v>
      </c>
      <c r="H604" s="528"/>
      <c r="I604" s="529" t="s">
        <v>5</v>
      </c>
      <c r="J604" s="491">
        <f ca="1">IF(AND('PSA inputs'!$I$867=1,'PSA inputs'!$I$908=1),N604,K604)</f>
        <v>0</v>
      </c>
      <c r="K604" s="491">
        <f>'Cost input'!C491*'Cost input'!C519</f>
        <v>0</v>
      </c>
      <c r="L604" s="491">
        <f>'Cost input'!D491*'Cost input'!D519</f>
        <v>0</v>
      </c>
      <c r="M604" s="491">
        <f>'Cost input'!E491*'Cost input'!E519</f>
        <v>0</v>
      </c>
      <c r="N604" s="491">
        <f ca="1">'PSA inputs'!U564*'PSA inputs'!J704</f>
        <v>0</v>
      </c>
      <c r="O604" s="739"/>
    </row>
    <row r="605" spans="2:15" ht="15" customHeight="1" x14ac:dyDescent="0.3">
      <c r="B605" s="493" t="s">
        <v>6</v>
      </c>
      <c r="C605" s="491">
        <f ca="1">IF(AND('PSA inputs'!$I$867=1,OR('PSA inputs'!$I$907=1,'PSA inputs'!$I$913=1)),G605,D605)</f>
        <v>0</v>
      </c>
      <c r="D605" s="491">
        <f>'Cost input'!C492*'Cost input'!C520</f>
        <v>0</v>
      </c>
      <c r="E605" s="491">
        <f>'Cost input'!D492*'Cost input'!D520</f>
        <v>0</v>
      </c>
      <c r="F605" s="491">
        <f>'Cost input'!E492*'Cost input'!E520</f>
        <v>0</v>
      </c>
      <c r="G605" s="492">
        <f ca="1">'PSA inputs'!J565*'PSA inputs'!J705</f>
        <v>0</v>
      </c>
      <c r="H605" s="528"/>
      <c r="I605" s="529" t="s">
        <v>6</v>
      </c>
      <c r="J605" s="491">
        <f ca="1">IF(AND('PSA inputs'!$I$867=1,'PSA inputs'!$I$908=1),N605,K605)</f>
        <v>0</v>
      </c>
      <c r="K605" s="491">
        <f>'Cost input'!C492*'Cost input'!C520</f>
        <v>0</v>
      </c>
      <c r="L605" s="491">
        <f>'Cost input'!D492*'Cost input'!D520</f>
        <v>0</v>
      </c>
      <c r="M605" s="491">
        <f>'Cost input'!E492*'Cost input'!E520</f>
        <v>0</v>
      </c>
      <c r="N605" s="491">
        <f ca="1">'PSA inputs'!U565*'PSA inputs'!J705</f>
        <v>0</v>
      </c>
      <c r="O605" s="739"/>
    </row>
    <row r="606" spans="2:15" ht="15" customHeight="1" x14ac:dyDescent="0.3">
      <c r="B606" s="493" t="s">
        <v>7</v>
      </c>
      <c r="C606" s="491">
        <f ca="1">IF(AND('PSA inputs'!$I$867=1,OR('PSA inputs'!$I$907=1,'PSA inputs'!$I$913=1)),G606,D606)</f>
        <v>0</v>
      </c>
      <c r="D606" s="491">
        <f>'Cost input'!C493*'Cost input'!C521</f>
        <v>0</v>
      </c>
      <c r="E606" s="491">
        <f>'Cost input'!D493*'Cost input'!D521</f>
        <v>0</v>
      </c>
      <c r="F606" s="491">
        <f>'Cost input'!E493*'Cost input'!E521</f>
        <v>0</v>
      </c>
      <c r="G606" s="492">
        <f ca="1">'PSA inputs'!J566*'PSA inputs'!J706</f>
        <v>0</v>
      </c>
      <c r="H606" s="528"/>
      <c r="I606" s="529" t="s">
        <v>7</v>
      </c>
      <c r="J606" s="491">
        <f ca="1">IF(AND('PSA inputs'!$I$867=1,'PSA inputs'!$I$908=1),N606,K606)</f>
        <v>0</v>
      </c>
      <c r="K606" s="491">
        <f>'Cost input'!C493*'Cost input'!C521</f>
        <v>0</v>
      </c>
      <c r="L606" s="491">
        <f>'Cost input'!D493*'Cost input'!D521</f>
        <v>0</v>
      </c>
      <c r="M606" s="491">
        <f>'Cost input'!E493*'Cost input'!E521</f>
        <v>0</v>
      </c>
      <c r="N606" s="491">
        <f ca="1">'PSA inputs'!U566*'PSA inputs'!J706</f>
        <v>0</v>
      </c>
      <c r="O606" s="739"/>
    </row>
    <row r="607" spans="2:15" ht="15" customHeight="1" x14ac:dyDescent="0.3">
      <c r="B607" s="493" t="s">
        <v>1469</v>
      </c>
      <c r="C607" s="491">
        <f ca="1">IF(AND('PSA inputs'!$I$867=1,OR('PSA inputs'!$I$907=1,'PSA inputs'!$I$913=1)),G607,D607)</f>
        <v>0</v>
      </c>
      <c r="D607" s="491">
        <f>'Cost input'!C494*'Cost input'!C522</f>
        <v>0</v>
      </c>
      <c r="E607" s="491">
        <f>'Cost input'!D494*'Cost input'!D522</f>
        <v>0</v>
      </c>
      <c r="F607" s="491">
        <f>'Cost input'!E494*'Cost input'!E522</f>
        <v>0</v>
      </c>
      <c r="G607" s="492">
        <f ca="1">'PSA inputs'!J567*'PSA inputs'!J707</f>
        <v>0</v>
      </c>
      <c r="H607" s="528"/>
      <c r="I607" s="529" t="s">
        <v>1469</v>
      </c>
      <c r="J607" s="491">
        <f ca="1">IF(AND('PSA inputs'!$I$867=1,'PSA inputs'!$I$908=1),N607,K607)</f>
        <v>0</v>
      </c>
      <c r="K607" s="491">
        <f>'Cost input'!C494*'Cost input'!C522</f>
        <v>0</v>
      </c>
      <c r="L607" s="491">
        <f>'Cost input'!D494*'Cost input'!D522</f>
        <v>0</v>
      </c>
      <c r="M607" s="491">
        <f>'Cost input'!E494*'Cost input'!E522</f>
        <v>0</v>
      </c>
      <c r="N607" s="491">
        <f ca="1">'PSA inputs'!U567*'PSA inputs'!J707</f>
        <v>0</v>
      </c>
      <c r="O607" s="739"/>
    </row>
    <row r="608" spans="2:15" x14ac:dyDescent="0.3">
      <c r="B608" s="487" t="s">
        <v>1444</v>
      </c>
      <c r="C608" s="530"/>
      <c r="D608" s="530"/>
      <c r="E608" s="530"/>
      <c r="F608" s="530"/>
      <c r="G608" s="530"/>
      <c r="H608" s="531"/>
      <c r="I608" s="532" t="s">
        <v>988</v>
      </c>
      <c r="J608" s="533"/>
      <c r="K608" s="533"/>
      <c r="L608" s="533"/>
      <c r="M608" s="533"/>
      <c r="N608" s="533"/>
      <c r="O608" s="748"/>
    </row>
    <row r="609" spans="2:15" x14ac:dyDescent="0.3">
      <c r="B609" s="493" t="s">
        <v>2</v>
      </c>
      <c r="C609" s="491">
        <f ca="1">IF(AND('PSA inputs'!$I$867=1,OR('PSA inputs'!$I$907=1,'PSA inputs'!$I$913=1)),G609,D609)</f>
        <v>0</v>
      </c>
      <c r="D609" s="491">
        <f>'Cost input'!C496*'Cost input'!C524</f>
        <v>0</v>
      </c>
      <c r="E609" s="491">
        <f>'Cost input'!D496*'Cost input'!D524</f>
        <v>0</v>
      </c>
      <c r="F609" s="491">
        <f>'Cost input'!E496*'Cost input'!E524</f>
        <v>0</v>
      </c>
      <c r="G609" s="492">
        <f ca="1">'PSA inputs'!J569*'PSA inputs'!J709</f>
        <v>0</v>
      </c>
      <c r="H609" s="531"/>
      <c r="I609" s="529" t="s">
        <v>2</v>
      </c>
      <c r="J609" s="491">
        <f ca="1">IF(AND('PSA inputs'!$I$867=1,'PSA inputs'!$I$908=1),N609,K609)</f>
        <v>0</v>
      </c>
      <c r="K609" s="491">
        <f>'Cost input'!C496*'Cost input'!C524</f>
        <v>0</v>
      </c>
      <c r="L609" s="491">
        <f>'Cost input'!D496*'Cost input'!D524</f>
        <v>0</v>
      </c>
      <c r="M609" s="491">
        <f>'Cost input'!E496*'Cost input'!E524</f>
        <v>0</v>
      </c>
      <c r="N609" s="491">
        <f ca="1">'PSA inputs'!U569*'PSA inputs'!J709</f>
        <v>0</v>
      </c>
      <c r="O609" s="739"/>
    </row>
    <row r="610" spans="2:15" x14ac:dyDescent="0.3">
      <c r="B610" s="493" t="s">
        <v>3</v>
      </c>
      <c r="C610" s="491">
        <f ca="1">IF(AND('PSA inputs'!$I$867=1,OR('PSA inputs'!$I$907=1,'PSA inputs'!$I$913=1)),G610,D610)</f>
        <v>0</v>
      </c>
      <c r="D610" s="491">
        <f>'Cost input'!C497*'Cost input'!C525</f>
        <v>0</v>
      </c>
      <c r="E610" s="491">
        <f>'Cost input'!D497*'Cost input'!D525</f>
        <v>0</v>
      </c>
      <c r="F610" s="491">
        <f>'Cost input'!E497*'Cost input'!E525</f>
        <v>0</v>
      </c>
      <c r="G610" s="492">
        <f ca="1">'PSA inputs'!J570*'PSA inputs'!J710</f>
        <v>0</v>
      </c>
      <c r="H610" s="531"/>
      <c r="I610" s="529" t="s">
        <v>3</v>
      </c>
      <c r="J610" s="491">
        <f ca="1">IF(AND('PSA inputs'!$I$867=1,'PSA inputs'!$I$908=1),N610,K610)</f>
        <v>0</v>
      </c>
      <c r="K610" s="491">
        <f>'Cost input'!C497*'Cost input'!C525</f>
        <v>0</v>
      </c>
      <c r="L610" s="491">
        <f>'Cost input'!D497*'Cost input'!D525</f>
        <v>0</v>
      </c>
      <c r="M610" s="491">
        <f>'Cost input'!E497*'Cost input'!E525</f>
        <v>0</v>
      </c>
      <c r="N610" s="491">
        <f ca="1">'PSA inputs'!U570*'PSA inputs'!J710</f>
        <v>0</v>
      </c>
      <c r="O610" s="739"/>
    </row>
    <row r="611" spans="2:15" x14ac:dyDescent="0.3">
      <c r="B611" s="493" t="s">
        <v>4</v>
      </c>
      <c r="C611" s="491">
        <f ca="1">IF(AND('PSA inputs'!$I$867=1,OR('PSA inputs'!$I$907=1,'PSA inputs'!$I$913=1)),G611,D611)</f>
        <v>0</v>
      </c>
      <c r="D611" s="491">
        <f>'Cost input'!C498*'Cost input'!C526</f>
        <v>0</v>
      </c>
      <c r="E611" s="491">
        <f>'Cost input'!D498*'Cost input'!D526</f>
        <v>0</v>
      </c>
      <c r="F611" s="491">
        <f>'Cost input'!E498*'Cost input'!E526</f>
        <v>0</v>
      </c>
      <c r="G611" s="492">
        <f ca="1">'PSA inputs'!J571*'PSA inputs'!J711</f>
        <v>0</v>
      </c>
      <c r="H611" s="531"/>
      <c r="I611" s="529" t="s">
        <v>4</v>
      </c>
      <c r="J611" s="491">
        <f ca="1">IF(AND('PSA inputs'!$I$867=1,'PSA inputs'!$I$908=1),N611,K611)</f>
        <v>0</v>
      </c>
      <c r="K611" s="491">
        <f>'Cost input'!C498*'Cost input'!C526</f>
        <v>0</v>
      </c>
      <c r="L611" s="491">
        <f>'Cost input'!D498*'Cost input'!D526</f>
        <v>0</v>
      </c>
      <c r="M611" s="491">
        <f>'Cost input'!E498*'Cost input'!E526</f>
        <v>0</v>
      </c>
      <c r="N611" s="491">
        <f ca="1">'PSA inputs'!U571*'PSA inputs'!J711</f>
        <v>0</v>
      </c>
      <c r="O611" s="739"/>
    </row>
    <row r="612" spans="2:15" x14ac:dyDescent="0.3">
      <c r="B612" s="493" t="s">
        <v>5</v>
      </c>
      <c r="C612" s="491">
        <f ca="1">IF(AND('PSA inputs'!$I$867=1,OR('PSA inputs'!$I$907=1,'PSA inputs'!$I$913=1)),G612,D612)</f>
        <v>0</v>
      </c>
      <c r="D612" s="491">
        <f>'Cost input'!C499*'Cost input'!C527</f>
        <v>0</v>
      </c>
      <c r="E612" s="491">
        <f>'Cost input'!D499*'Cost input'!D527</f>
        <v>0</v>
      </c>
      <c r="F612" s="491">
        <f>'Cost input'!E499*'Cost input'!E527</f>
        <v>0</v>
      </c>
      <c r="G612" s="492">
        <f ca="1">'PSA inputs'!J572*'PSA inputs'!J712</f>
        <v>0</v>
      </c>
      <c r="H612" s="531"/>
      <c r="I612" s="529" t="s">
        <v>5</v>
      </c>
      <c r="J612" s="491">
        <f ca="1">IF(AND('PSA inputs'!$I$867=1,'PSA inputs'!$I$908=1),N612,K612)</f>
        <v>0</v>
      </c>
      <c r="K612" s="491">
        <f>'Cost input'!C499*'Cost input'!C527</f>
        <v>0</v>
      </c>
      <c r="L612" s="491">
        <f>'Cost input'!D499*'Cost input'!D527</f>
        <v>0</v>
      </c>
      <c r="M612" s="491">
        <f>'Cost input'!E499*'Cost input'!E527</f>
        <v>0</v>
      </c>
      <c r="N612" s="491">
        <f ca="1">'PSA inputs'!U572*'PSA inputs'!J712</f>
        <v>0</v>
      </c>
      <c r="O612" s="739"/>
    </row>
    <row r="613" spans="2:15" x14ac:dyDescent="0.3">
      <c r="B613" s="493" t="s">
        <v>6</v>
      </c>
      <c r="C613" s="491">
        <f ca="1">IF(AND('PSA inputs'!$I$867=1,OR('PSA inputs'!$I$907=1,'PSA inputs'!$I$913=1)),G613,D613)</f>
        <v>0</v>
      </c>
      <c r="D613" s="491">
        <f>'Cost input'!C500*'Cost input'!C528</f>
        <v>0</v>
      </c>
      <c r="E613" s="491">
        <f>'Cost input'!D500*'Cost input'!D528</f>
        <v>0</v>
      </c>
      <c r="F613" s="491">
        <f>'Cost input'!E500*'Cost input'!E528</f>
        <v>0</v>
      </c>
      <c r="G613" s="492">
        <f ca="1">'PSA inputs'!J573*'PSA inputs'!J713</f>
        <v>0</v>
      </c>
      <c r="H613" s="531"/>
      <c r="I613" s="529" t="s">
        <v>6</v>
      </c>
      <c r="J613" s="491">
        <f ca="1">IF(AND('PSA inputs'!$I$867=1,'PSA inputs'!$I$908=1),N613,K613)</f>
        <v>0</v>
      </c>
      <c r="K613" s="491">
        <f>'Cost input'!C500*'Cost input'!C528</f>
        <v>0</v>
      </c>
      <c r="L613" s="491">
        <f>'Cost input'!D500*'Cost input'!D528</f>
        <v>0</v>
      </c>
      <c r="M613" s="491">
        <f>'Cost input'!E500*'Cost input'!E528</f>
        <v>0</v>
      </c>
      <c r="N613" s="491">
        <f ca="1">'PSA inputs'!U573*'PSA inputs'!J713</f>
        <v>0</v>
      </c>
      <c r="O613" s="739"/>
    </row>
    <row r="614" spans="2:15" x14ac:dyDescent="0.3">
      <c r="B614" s="493" t="s">
        <v>7</v>
      </c>
      <c r="C614" s="491">
        <f ca="1">IF(AND('PSA inputs'!$I$867=1,OR('PSA inputs'!$I$907=1,'PSA inputs'!$I$913=1)),G614,D614)</f>
        <v>0</v>
      </c>
      <c r="D614" s="491">
        <f>'Cost input'!C501*'Cost input'!C529</f>
        <v>0</v>
      </c>
      <c r="E614" s="491">
        <f>'Cost input'!D501*'Cost input'!D529</f>
        <v>0</v>
      </c>
      <c r="F614" s="491">
        <f>'Cost input'!E501*'Cost input'!E529</f>
        <v>0</v>
      </c>
      <c r="G614" s="492">
        <f ca="1">'PSA inputs'!J574*'PSA inputs'!J714</f>
        <v>0</v>
      </c>
      <c r="H614" s="531"/>
      <c r="I614" s="529" t="s">
        <v>7</v>
      </c>
      <c r="J614" s="491">
        <f ca="1">IF(AND('PSA inputs'!$I$867=1,'PSA inputs'!$I$908=1),N614,K614)</f>
        <v>0</v>
      </c>
      <c r="K614" s="491">
        <f>'Cost input'!C501*'Cost input'!C529</f>
        <v>0</v>
      </c>
      <c r="L614" s="491">
        <f>'Cost input'!D501*'Cost input'!D529</f>
        <v>0</v>
      </c>
      <c r="M614" s="491">
        <f>'Cost input'!E501*'Cost input'!E529</f>
        <v>0</v>
      </c>
      <c r="N614" s="491">
        <f ca="1">'PSA inputs'!U574*'PSA inputs'!J714</f>
        <v>0</v>
      </c>
      <c r="O614" s="739"/>
    </row>
    <row r="615" spans="2:15" x14ac:dyDescent="0.3">
      <c r="B615" s="493" t="s">
        <v>1469</v>
      </c>
      <c r="C615" s="491">
        <f ca="1">IF(AND('PSA inputs'!$I$867=1,OR('PSA inputs'!$I$907=1,'PSA inputs'!$I$913=1)),G615,D615)</f>
        <v>0</v>
      </c>
      <c r="D615" s="491">
        <f>'Cost input'!C502*'Cost input'!C530</f>
        <v>0</v>
      </c>
      <c r="E615" s="491">
        <f>'Cost input'!D502*'Cost input'!D530</f>
        <v>0</v>
      </c>
      <c r="F615" s="491">
        <f>'Cost input'!E502*'Cost input'!E530</f>
        <v>0</v>
      </c>
      <c r="G615" s="492">
        <f ca="1">'PSA inputs'!J575*'PSA inputs'!J715</f>
        <v>0</v>
      </c>
      <c r="H615" s="531"/>
      <c r="I615" s="529" t="s">
        <v>1469</v>
      </c>
      <c r="J615" s="491">
        <f ca="1">IF(AND('PSA inputs'!$I$867=1,'PSA inputs'!$I$908=1),N615,K615)</f>
        <v>0</v>
      </c>
      <c r="K615" s="491">
        <f>'Cost input'!C502*'Cost input'!C530</f>
        <v>0</v>
      </c>
      <c r="L615" s="491">
        <f>'Cost input'!D502*'Cost input'!D530</f>
        <v>0</v>
      </c>
      <c r="M615" s="491">
        <f>'Cost input'!E502*'Cost input'!E530</f>
        <v>0</v>
      </c>
      <c r="N615" s="491">
        <f ca="1">'PSA inputs'!U575*'PSA inputs'!J715</f>
        <v>0</v>
      </c>
      <c r="O615" s="739"/>
    </row>
    <row r="616" spans="2:15" ht="15" customHeight="1" x14ac:dyDescent="0.3">
      <c r="B616" s="498" t="s">
        <v>227</v>
      </c>
      <c r="C616" s="530"/>
      <c r="D616" s="530"/>
      <c r="E616" s="530"/>
      <c r="F616" s="530"/>
      <c r="G616" s="530"/>
      <c r="H616" s="528"/>
      <c r="I616" s="534" t="s">
        <v>227</v>
      </c>
      <c r="J616" s="533"/>
      <c r="K616" s="533"/>
      <c r="L616" s="533"/>
      <c r="M616" s="533"/>
      <c r="N616" s="533"/>
      <c r="O616" s="748"/>
    </row>
    <row r="617" spans="2:15" ht="15" customHeight="1" x14ac:dyDescent="0.3">
      <c r="B617" s="490" t="s">
        <v>1437</v>
      </c>
      <c r="C617" s="491">
        <f ca="1">IF(AND('PSA inputs'!$I$867=1,OR('PSA inputs'!$I$907=1,'PSA inputs'!$I$913=1)),G617,D617)</f>
        <v>0</v>
      </c>
      <c r="D617" s="491">
        <f>'Cost input'!C504*'Cost input'!C532</f>
        <v>0</v>
      </c>
      <c r="E617" s="491">
        <f>'Cost input'!D504*'Cost input'!D532</f>
        <v>0</v>
      </c>
      <c r="F617" s="491">
        <f>'Cost input'!E504*'Cost input'!E532</f>
        <v>0</v>
      </c>
      <c r="G617" s="492">
        <f ca="1">'PSA inputs'!J577*'PSA inputs'!J717</f>
        <v>0</v>
      </c>
      <c r="H617" s="528"/>
      <c r="I617" s="535" t="s">
        <v>1437</v>
      </c>
      <c r="J617" s="491">
        <f ca="1">IF(AND('PSA inputs'!$I$867=1,'PSA inputs'!$I$908=1),N617,K617)</f>
        <v>0</v>
      </c>
      <c r="K617" s="491">
        <f>'Cost input'!C504*'Cost input'!C532</f>
        <v>0</v>
      </c>
      <c r="L617" s="491">
        <f>'Cost input'!D504*'Cost input'!D532</f>
        <v>0</v>
      </c>
      <c r="M617" s="491">
        <f>'Cost input'!E504*'Cost input'!E532</f>
        <v>0</v>
      </c>
      <c r="N617" s="491">
        <f ca="1">'PSA inputs'!U577*'PSA inputs'!J717</f>
        <v>0</v>
      </c>
      <c r="O617" s="739"/>
    </row>
    <row r="618" spans="2:15" ht="15" customHeight="1" x14ac:dyDescent="0.3">
      <c r="B618" s="490" t="s">
        <v>1438</v>
      </c>
      <c r="C618" s="491">
        <f ca="1">IF(AND('PSA inputs'!$I$867=1,OR('PSA inputs'!$I$907=1,'PSA inputs'!$I$913=1)),G618,D618)</f>
        <v>0</v>
      </c>
      <c r="D618" s="491">
        <f>'Cost input'!C505*'Cost input'!C533</f>
        <v>0</v>
      </c>
      <c r="E618" s="491">
        <f>'Cost input'!D505*'Cost input'!D533</f>
        <v>0</v>
      </c>
      <c r="F618" s="491">
        <f>'Cost input'!E505*'Cost input'!E533</f>
        <v>0</v>
      </c>
      <c r="G618" s="492">
        <f ca="1">'PSA inputs'!J578*'PSA inputs'!J718</f>
        <v>0</v>
      </c>
      <c r="H618" s="528"/>
      <c r="I618" s="535" t="s">
        <v>1438</v>
      </c>
      <c r="J618" s="491">
        <f ca="1">IF(AND('PSA inputs'!$I$867=1,'PSA inputs'!$I$908=1),N618,K618)</f>
        <v>0</v>
      </c>
      <c r="K618" s="491">
        <f>'Cost input'!C505*'Cost input'!C533</f>
        <v>0</v>
      </c>
      <c r="L618" s="491">
        <f>'Cost input'!D505*'Cost input'!D533</f>
        <v>0</v>
      </c>
      <c r="M618" s="491">
        <f>'Cost input'!E505*'Cost input'!E533</f>
        <v>0</v>
      </c>
      <c r="N618" s="491">
        <f ca="1">'PSA inputs'!U578*'PSA inputs'!J718</f>
        <v>0</v>
      </c>
      <c r="O618" s="739"/>
    </row>
    <row r="619" spans="2:15" ht="15" customHeight="1" x14ac:dyDescent="0.3">
      <c r="B619" s="490" t="s">
        <v>1441</v>
      </c>
      <c r="C619" s="491">
        <f ca="1">IF(AND('PSA inputs'!$I$867=1,OR('PSA inputs'!$I$907=1,'PSA inputs'!$I$913=1)),G619,D619)</f>
        <v>0</v>
      </c>
      <c r="D619" s="491">
        <f>'Cost input'!C506*'Cost input'!C534</f>
        <v>0</v>
      </c>
      <c r="E619" s="491">
        <f>'Cost input'!D506*'Cost input'!D534</f>
        <v>0</v>
      </c>
      <c r="F619" s="491">
        <f>'Cost input'!E506*'Cost input'!E534</f>
        <v>0</v>
      </c>
      <c r="G619" s="492">
        <f ca="1">'PSA inputs'!J579*'PSA inputs'!J719</f>
        <v>0</v>
      </c>
      <c r="H619" s="528"/>
      <c r="I619" s="535" t="s">
        <v>1441</v>
      </c>
      <c r="J619" s="491">
        <f ca="1">IF(AND('PSA inputs'!$I$867=1,'PSA inputs'!$I$908=1),N619,K619)</f>
        <v>0</v>
      </c>
      <c r="K619" s="491">
        <f>'Cost input'!C506*'Cost input'!C534</f>
        <v>0</v>
      </c>
      <c r="L619" s="491">
        <f>'Cost input'!D506*'Cost input'!D534</f>
        <v>0</v>
      </c>
      <c r="M619" s="491">
        <f>'Cost input'!E506*'Cost input'!E534</f>
        <v>0</v>
      </c>
      <c r="N619" s="491">
        <f ca="1">'PSA inputs'!U579*'PSA inputs'!J719</f>
        <v>0</v>
      </c>
      <c r="O619" s="739"/>
    </row>
    <row r="620" spans="2:15" ht="15" customHeight="1" x14ac:dyDescent="0.3">
      <c r="B620" s="490" t="s">
        <v>1442</v>
      </c>
      <c r="C620" s="491">
        <f ca="1">IF(AND('PSA inputs'!$I$867=1,OR('PSA inputs'!$I$907=1,'PSA inputs'!$I$913=1)),G620,D620)</f>
        <v>0</v>
      </c>
      <c r="D620" s="491">
        <f>'Cost input'!C507*'Cost input'!C535</f>
        <v>0</v>
      </c>
      <c r="E620" s="491">
        <f>'Cost input'!D507*'Cost input'!D535</f>
        <v>0</v>
      </c>
      <c r="F620" s="491">
        <f>'Cost input'!E507*'Cost input'!E535</f>
        <v>0</v>
      </c>
      <c r="G620" s="492">
        <f ca="1">'PSA inputs'!J580*'PSA inputs'!J720</f>
        <v>0</v>
      </c>
      <c r="H620" s="528"/>
      <c r="I620" s="535" t="s">
        <v>1442</v>
      </c>
      <c r="J620" s="491">
        <f ca="1">IF(AND('PSA inputs'!$I$867=1,'PSA inputs'!$I$908=1),N620,K620)</f>
        <v>0</v>
      </c>
      <c r="K620" s="491">
        <f>'Cost input'!C507*'Cost input'!C535</f>
        <v>0</v>
      </c>
      <c r="L620" s="491">
        <f>'Cost input'!D507*'Cost input'!D535</f>
        <v>0</v>
      </c>
      <c r="M620" s="491">
        <f>'Cost input'!E507*'Cost input'!E535</f>
        <v>0</v>
      </c>
      <c r="N620" s="491">
        <f ca="1">'PSA inputs'!U580*'PSA inputs'!J720</f>
        <v>0</v>
      </c>
      <c r="O620" s="739"/>
    </row>
    <row r="621" spans="2:15" ht="15" customHeight="1" x14ac:dyDescent="0.3">
      <c r="B621" s="498" t="s">
        <v>920</v>
      </c>
      <c r="C621" s="530"/>
      <c r="D621" s="530"/>
      <c r="E621" s="530"/>
      <c r="F621" s="530"/>
      <c r="G621" s="530"/>
      <c r="H621" s="528"/>
      <c r="I621" s="534" t="s">
        <v>920</v>
      </c>
      <c r="J621" s="533"/>
      <c r="K621" s="533"/>
      <c r="L621" s="533"/>
      <c r="M621" s="533"/>
      <c r="N621" s="533"/>
      <c r="O621" s="748"/>
    </row>
    <row r="622" spans="2:15" ht="15" customHeight="1" x14ac:dyDescent="0.3">
      <c r="B622" s="490" t="s">
        <v>920</v>
      </c>
      <c r="C622" s="491">
        <f ca="1">IF(AND('PSA inputs'!$I$867=1,OR('PSA inputs'!$I$907=1,'PSA inputs'!$I$913=1)),G622,D622)</f>
        <v>0</v>
      </c>
      <c r="D622" s="491">
        <f>'Cost input'!C509*'Cost input'!C537</f>
        <v>0</v>
      </c>
      <c r="E622" s="491">
        <f>'Cost input'!D509*'Cost input'!D537</f>
        <v>0</v>
      </c>
      <c r="F622" s="491">
        <f>'Cost input'!E509*'Cost input'!E537</f>
        <v>0</v>
      </c>
      <c r="G622" s="492">
        <f ca="1">'PSA inputs'!J582*'PSA inputs'!J722</f>
        <v>0</v>
      </c>
      <c r="H622" s="528"/>
      <c r="I622" s="535" t="s">
        <v>920</v>
      </c>
      <c r="J622" s="491">
        <f ca="1">IF(AND('PSA inputs'!$I$867=1,'PSA inputs'!$I$908=1),N622,K622)</f>
        <v>0</v>
      </c>
      <c r="K622" s="491">
        <f>'Cost input'!C509*'Cost input'!C537</f>
        <v>0</v>
      </c>
      <c r="L622" s="491">
        <f>'Cost input'!D509*'Cost input'!D537</f>
        <v>0</v>
      </c>
      <c r="M622" s="491">
        <f>'Cost input'!E509*'Cost input'!E537</f>
        <v>0</v>
      </c>
      <c r="N622" s="491">
        <f ca="1">'PSA inputs'!U582*'PSA inputs'!J722</f>
        <v>0</v>
      </c>
      <c r="O622" s="739"/>
    </row>
    <row r="623" spans="2:15" ht="15" customHeight="1" x14ac:dyDescent="0.3">
      <c r="B623" s="490" t="s">
        <v>980</v>
      </c>
      <c r="C623" s="491">
        <f ca="1">IF(AND('PSA inputs'!$I$867=1,OR('PSA inputs'!$I$907=1,'PSA inputs'!$I$913=1)),G623,D623)</f>
        <v>0</v>
      </c>
      <c r="D623" s="491">
        <f>'Cost input'!C510*'Cost input'!C538</f>
        <v>0</v>
      </c>
      <c r="E623" s="491">
        <f>'Cost input'!D510*'Cost input'!D538</f>
        <v>0</v>
      </c>
      <c r="F623" s="491">
        <f>'Cost input'!E510*'Cost input'!E538</f>
        <v>0</v>
      </c>
      <c r="G623" s="492">
        <f ca="1">'PSA inputs'!J583*'PSA inputs'!J723</f>
        <v>0</v>
      </c>
      <c r="H623" s="528"/>
      <c r="I623" s="535" t="s">
        <v>980</v>
      </c>
      <c r="J623" s="491">
        <f ca="1">IF(AND('PSA inputs'!$I$867=1,'PSA inputs'!$I$908=1),N623,K623)</f>
        <v>0</v>
      </c>
      <c r="K623" s="491">
        <f>'Cost input'!C510*'Cost input'!C538</f>
        <v>0</v>
      </c>
      <c r="L623" s="491">
        <f>'Cost input'!D510*'Cost input'!D538</f>
        <v>0</v>
      </c>
      <c r="M623" s="491">
        <f>'Cost input'!E510*'Cost input'!E538</f>
        <v>0</v>
      </c>
      <c r="N623" s="491">
        <f ca="1">'PSA inputs'!U583*'PSA inputs'!J723</f>
        <v>0</v>
      </c>
      <c r="O623" s="739"/>
    </row>
    <row r="624" spans="2:15" ht="15" customHeight="1" x14ac:dyDescent="0.3">
      <c r="B624" s="520"/>
      <c r="C624" s="536"/>
      <c r="D624" s="536"/>
      <c r="E624" s="536"/>
      <c r="F624" s="528"/>
      <c r="G624" s="528"/>
      <c r="H624" s="528"/>
      <c r="I624" s="528"/>
      <c r="J624" s="528"/>
      <c r="K624" s="528"/>
      <c r="L624" s="528"/>
      <c r="M624" s="528"/>
      <c r="N624" s="528"/>
      <c r="O624" s="744"/>
    </row>
    <row r="625" spans="2:15" ht="15" customHeight="1" x14ac:dyDescent="0.3">
      <c r="B625" s="509" t="s">
        <v>1407</v>
      </c>
      <c r="C625" s="537"/>
      <c r="D625" s="537"/>
      <c r="E625" s="537"/>
      <c r="F625" s="537"/>
      <c r="G625" s="537"/>
      <c r="H625" s="528"/>
      <c r="I625" s="528"/>
      <c r="J625" s="528"/>
      <c r="K625" s="528"/>
      <c r="L625" s="528"/>
      <c r="M625" s="528"/>
      <c r="N625" s="528"/>
      <c r="O625" s="744"/>
    </row>
    <row r="626" spans="2:15" ht="15" customHeight="1" x14ac:dyDescent="0.3">
      <c r="B626" s="484" t="s">
        <v>950</v>
      </c>
      <c r="C626" s="538" t="s">
        <v>724</v>
      </c>
      <c r="D626" s="538" t="s">
        <v>995</v>
      </c>
      <c r="E626" s="538" t="s">
        <v>985</v>
      </c>
      <c r="F626" s="538" t="s">
        <v>986</v>
      </c>
      <c r="G626" s="538" t="s">
        <v>996</v>
      </c>
      <c r="H626" s="528"/>
      <c r="I626" s="528"/>
      <c r="J626" s="528"/>
      <c r="K626" s="528"/>
      <c r="L626" s="528"/>
      <c r="M626" s="528"/>
      <c r="N626" s="528"/>
      <c r="O626" s="744"/>
    </row>
    <row r="627" spans="2:15" ht="15" customHeight="1" x14ac:dyDescent="0.3">
      <c r="B627" s="487" t="s">
        <v>1445</v>
      </c>
      <c r="C627" s="528"/>
      <c r="D627" s="536"/>
      <c r="E627" s="536"/>
      <c r="F627" s="528"/>
      <c r="G627" s="528"/>
      <c r="H627" s="528"/>
      <c r="I627" s="528"/>
      <c r="J627" s="528"/>
      <c r="K627" s="528"/>
      <c r="L627" s="528"/>
      <c r="M627" s="528"/>
      <c r="N627" s="528"/>
      <c r="O627" s="744"/>
    </row>
    <row r="628" spans="2:15" ht="15" customHeight="1" x14ac:dyDescent="0.3">
      <c r="B628" s="493" t="s">
        <v>2</v>
      </c>
      <c r="C628" s="491">
        <f ca="1">IF(AND('PSA inputs'!$I$867=1,OR('PSA inputs'!$I$909=1,'PSA inputs'!$I$913=1)),G628,D628)</f>
        <v>144.5320605871604</v>
      </c>
      <c r="D628" s="491">
        <f>'Cost input'!C547*'Cost input'!C669</f>
        <v>144.33201391304348</v>
      </c>
      <c r="E628" s="491">
        <f>'Cost input'!D547*'Cost input'!D669</f>
        <v>49.961081739130442</v>
      </c>
      <c r="F628" s="491">
        <f>'Cost input'!E547*'Cost input'!E669</f>
        <v>233.15171478260874</v>
      </c>
      <c r="G628" s="492">
        <f ca="1">'PSA inputs'!J589*'PSA inputs'!J701</f>
        <v>144.5320605871604</v>
      </c>
      <c r="H628" s="528"/>
      <c r="I628" s="528"/>
      <c r="J628" s="528"/>
      <c r="K628" s="528"/>
      <c r="L628" s="528"/>
      <c r="M628" s="528"/>
      <c r="N628" s="528"/>
      <c r="O628" s="744"/>
    </row>
    <row r="629" spans="2:15" ht="15" customHeight="1" x14ac:dyDescent="0.3">
      <c r="B629" s="493" t="s">
        <v>3</v>
      </c>
      <c r="C629" s="491">
        <f ca="1">IF(AND('PSA inputs'!$I$867=1,OR('PSA inputs'!$I$909=1,'PSA inputs'!$I$913=1)),G629,D629)</f>
        <v>144.5320605871604</v>
      </c>
      <c r="D629" s="491">
        <f>'Cost input'!C548*'Cost input'!C670</f>
        <v>144.33201391304348</v>
      </c>
      <c r="E629" s="491">
        <f>'Cost input'!D548*'Cost input'!D670</f>
        <v>49.961081739130442</v>
      </c>
      <c r="F629" s="491">
        <f>'Cost input'!E548*'Cost input'!E670</f>
        <v>233.15171478260874</v>
      </c>
      <c r="G629" s="492">
        <f ca="1">'PSA inputs'!J590*'PSA inputs'!J702</f>
        <v>144.5320605871604</v>
      </c>
      <c r="H629" s="528"/>
      <c r="I629" s="528"/>
      <c r="J629" s="528"/>
      <c r="K629" s="528"/>
      <c r="L629" s="528"/>
      <c r="M629" s="528"/>
      <c r="N629" s="528"/>
      <c r="O629" s="744"/>
    </row>
    <row r="630" spans="2:15" ht="15" customHeight="1" x14ac:dyDescent="0.3">
      <c r="B630" s="493" t="s">
        <v>4</v>
      </c>
      <c r="C630" s="491">
        <f ca="1">IF(AND('PSA inputs'!$I$867=1,OR('PSA inputs'!$I$909=1,'PSA inputs'!$I$913=1)),G630,D630)</f>
        <v>144.5320605871604</v>
      </c>
      <c r="D630" s="491">
        <f>'Cost input'!C549*'Cost input'!C671</f>
        <v>144.33201391304348</v>
      </c>
      <c r="E630" s="491">
        <f>'Cost input'!D549*'Cost input'!D671</f>
        <v>49.961081739130442</v>
      </c>
      <c r="F630" s="491">
        <f>'Cost input'!E549*'Cost input'!E671</f>
        <v>233.15171478260874</v>
      </c>
      <c r="G630" s="492">
        <f ca="1">'PSA inputs'!J591*'PSA inputs'!J703</f>
        <v>144.5320605871604</v>
      </c>
      <c r="H630" s="528"/>
      <c r="I630" s="528"/>
      <c r="J630" s="528"/>
      <c r="K630" s="528"/>
      <c r="L630" s="528"/>
      <c r="M630" s="528"/>
      <c r="N630" s="528"/>
      <c r="O630" s="744"/>
    </row>
    <row r="631" spans="2:15" ht="15" customHeight="1" x14ac:dyDescent="0.3">
      <c r="B631" s="493" t="s">
        <v>5</v>
      </c>
      <c r="C631" s="491">
        <f ca="1">IF(AND('PSA inputs'!$I$867=1,OR('PSA inputs'!$I$909=1,'PSA inputs'!$I$913=1)),G631,D631)</f>
        <v>119.53102233587697</v>
      </c>
      <c r="D631" s="491">
        <f>'Cost input'!C550*'Cost input'!C672</f>
        <v>116.64147478260868</v>
      </c>
      <c r="E631" s="491">
        <f>'Cost input'!D550*'Cost input'!D672</f>
        <v>32.805414782608693</v>
      </c>
      <c r="F631" s="491">
        <f>'Cost input'!E550*'Cost input'!E672</f>
        <v>233.28294956521736</v>
      </c>
      <c r="G631" s="492">
        <f ca="1">'PSA inputs'!J592*'PSA inputs'!J704</f>
        <v>119.53102233587697</v>
      </c>
      <c r="H631" s="528"/>
      <c r="I631" s="528"/>
      <c r="J631" s="528"/>
      <c r="K631" s="528"/>
      <c r="L631" s="528"/>
      <c r="M631" s="528"/>
      <c r="N631" s="528"/>
      <c r="O631" s="744"/>
    </row>
    <row r="632" spans="2:15" ht="15" customHeight="1" x14ac:dyDescent="0.3">
      <c r="B632" s="493" t="s">
        <v>6</v>
      </c>
      <c r="C632" s="491">
        <f ca="1">IF(AND('PSA inputs'!$I$867=1,OR('PSA inputs'!$I$909=1,'PSA inputs'!$I$913=1)),G632,D632)</f>
        <v>119.53102233587697</v>
      </c>
      <c r="D632" s="491">
        <f>'Cost input'!C551*'Cost input'!C673</f>
        <v>116.64147478260868</v>
      </c>
      <c r="E632" s="491">
        <f>'Cost input'!D551*'Cost input'!D673</f>
        <v>32.805414782608693</v>
      </c>
      <c r="F632" s="491">
        <f>'Cost input'!E551*'Cost input'!E673</f>
        <v>233.28294956521736</v>
      </c>
      <c r="G632" s="492">
        <f ca="1">'PSA inputs'!J593*'PSA inputs'!J705</f>
        <v>119.53102233587697</v>
      </c>
      <c r="H632" s="528"/>
      <c r="I632" s="528"/>
      <c r="J632" s="528"/>
      <c r="K632" s="528"/>
      <c r="L632" s="528"/>
      <c r="M632" s="528"/>
      <c r="N632" s="528"/>
      <c r="O632" s="744"/>
    </row>
    <row r="633" spans="2:15" ht="15" customHeight="1" x14ac:dyDescent="0.3">
      <c r="B633" s="493" t="s">
        <v>7</v>
      </c>
      <c r="C633" s="491">
        <f ca="1">IF(AND('PSA inputs'!$I$867=1,OR('PSA inputs'!$I$909=1,'PSA inputs'!$I$913=1)),G633,D633)</f>
        <v>119.53102233587697</v>
      </c>
      <c r="D633" s="491">
        <f>'Cost input'!C552*'Cost input'!C674</f>
        <v>116.64147478260868</v>
      </c>
      <c r="E633" s="491">
        <f>'Cost input'!D552*'Cost input'!D674</f>
        <v>32.805414782608693</v>
      </c>
      <c r="F633" s="491">
        <f>'Cost input'!E552*'Cost input'!E674</f>
        <v>233.28294956521736</v>
      </c>
      <c r="G633" s="492">
        <f ca="1">'PSA inputs'!J594*'PSA inputs'!J706</f>
        <v>119.53102233587697</v>
      </c>
      <c r="H633" s="528"/>
      <c r="I633" s="528"/>
      <c r="J633" s="528"/>
      <c r="K633" s="528"/>
      <c r="L633" s="528"/>
      <c r="M633" s="528"/>
      <c r="N633" s="528"/>
      <c r="O633" s="744"/>
    </row>
    <row r="634" spans="2:15" ht="15" customHeight="1" x14ac:dyDescent="0.3">
      <c r="B634" s="493" t="s">
        <v>1469</v>
      </c>
      <c r="C634" s="491">
        <f ca="1">IF(AND('PSA inputs'!$I$867=1,OR('PSA inputs'!$I$909=1,'PSA inputs'!$I$913=1)),G634,D634)</f>
        <v>41.840065331970784</v>
      </c>
      <c r="D634" s="491">
        <f>'Cost input'!C553*'Cost input'!C675</f>
        <v>41.99513043478261</v>
      </c>
      <c r="E634" s="491">
        <f>'Cost input'!D553*'Cost input'!D675</f>
        <v>15.74817391304348</v>
      </c>
      <c r="F634" s="491">
        <f>'Cost input'!E553*'Cost input'!E675</f>
        <v>188.97808695652174</v>
      </c>
      <c r="G634" s="492">
        <f ca="1">'PSA inputs'!J595*'PSA inputs'!J707</f>
        <v>41.840065331970784</v>
      </c>
      <c r="H634" s="528"/>
      <c r="I634" s="528"/>
      <c r="J634" s="528"/>
      <c r="K634" s="528"/>
      <c r="L634" s="528"/>
      <c r="M634" s="528"/>
      <c r="N634" s="528"/>
      <c r="O634" s="744"/>
    </row>
    <row r="635" spans="2:15" x14ac:dyDescent="0.3">
      <c r="B635" s="487" t="s">
        <v>1444</v>
      </c>
      <c r="C635" s="530"/>
      <c r="D635" s="530"/>
      <c r="E635" s="530"/>
      <c r="F635" s="530"/>
      <c r="G635" s="530"/>
      <c r="H635" s="532"/>
      <c r="I635" s="532"/>
      <c r="J635" s="528"/>
      <c r="K635" s="528"/>
      <c r="L635" s="528"/>
      <c r="M635" s="528"/>
      <c r="N635" s="528"/>
      <c r="O635" s="744"/>
    </row>
    <row r="636" spans="2:15" x14ac:dyDescent="0.3">
      <c r="B636" s="493" t="s">
        <v>2</v>
      </c>
      <c r="C636" s="491">
        <f ca="1">IF(AND('PSA inputs'!$I$867=1,OR('PSA inputs'!$I$909=1,'PSA inputs'!$I$913=1)),G636,D636)</f>
        <v>78.813877716336549</v>
      </c>
      <c r="D636" s="491">
        <f>'Cost input'!C555*'Cost input'!C677</f>
        <v>144.33201391304348</v>
      </c>
      <c r="E636" s="491">
        <f>'Cost input'!D555*'Cost input'!D677</f>
        <v>49.961081739130442</v>
      </c>
      <c r="F636" s="491">
        <f>'Cost input'!E555*'Cost input'!E677</f>
        <v>233.15171478260874</v>
      </c>
      <c r="G636" s="492">
        <f ca="1">'PSA inputs'!J597*'PSA inputs'!J709</f>
        <v>78.813877716336549</v>
      </c>
      <c r="H636" s="521"/>
      <c r="I636" s="521"/>
      <c r="J636" s="502"/>
      <c r="K636" s="502"/>
      <c r="L636" s="502"/>
      <c r="M636" s="502"/>
      <c r="N636" s="502"/>
      <c r="O636" s="739"/>
    </row>
    <row r="637" spans="2:15" x14ac:dyDescent="0.3">
      <c r="B637" s="493" t="s">
        <v>3</v>
      </c>
      <c r="C637" s="491">
        <f ca="1">IF(AND('PSA inputs'!$I$867=1,OR('PSA inputs'!$I$909=1,'PSA inputs'!$I$913=1)),G637,D637)</f>
        <v>78.813877716336549</v>
      </c>
      <c r="D637" s="491">
        <f>'Cost input'!C556*'Cost input'!C678</f>
        <v>144.33201391304348</v>
      </c>
      <c r="E637" s="491">
        <f>'Cost input'!D556*'Cost input'!D678</f>
        <v>49.961081739130442</v>
      </c>
      <c r="F637" s="491">
        <f>'Cost input'!E556*'Cost input'!E678</f>
        <v>233.15171478260874</v>
      </c>
      <c r="G637" s="492">
        <f ca="1">'PSA inputs'!J598*'PSA inputs'!J710</f>
        <v>78.813877716336549</v>
      </c>
      <c r="H637" s="521"/>
      <c r="I637" s="521"/>
      <c r="J637" s="502"/>
      <c r="K637" s="502"/>
      <c r="L637" s="502"/>
      <c r="M637" s="502"/>
      <c r="N637" s="502"/>
      <c r="O637" s="739"/>
    </row>
    <row r="638" spans="2:15" x14ac:dyDescent="0.3">
      <c r="B638" s="493" t="s">
        <v>4</v>
      </c>
      <c r="C638" s="491">
        <f ca="1">IF(AND('PSA inputs'!$I$867=1,OR('PSA inputs'!$I$909=1,'PSA inputs'!$I$913=1)),G638,D638)</f>
        <v>78.813877716336549</v>
      </c>
      <c r="D638" s="491">
        <f>'Cost input'!C557*'Cost input'!C679</f>
        <v>144.33201391304348</v>
      </c>
      <c r="E638" s="491">
        <f>'Cost input'!D557*'Cost input'!D679</f>
        <v>49.961081739130442</v>
      </c>
      <c r="F638" s="491">
        <f>'Cost input'!E557*'Cost input'!E679</f>
        <v>233.15171478260874</v>
      </c>
      <c r="G638" s="492">
        <f ca="1">'PSA inputs'!J599*'PSA inputs'!J711</f>
        <v>78.813877716336549</v>
      </c>
      <c r="H638" s="521"/>
      <c r="I638" s="521"/>
      <c r="J638" s="502"/>
      <c r="K638" s="502"/>
      <c r="L638" s="502"/>
      <c r="M638" s="502"/>
      <c r="N638" s="502"/>
      <c r="O638" s="739"/>
    </row>
    <row r="639" spans="2:15" x14ac:dyDescent="0.3">
      <c r="B639" s="493" t="s">
        <v>5</v>
      </c>
      <c r="C639" s="491">
        <f ca="1">IF(AND('PSA inputs'!$I$867=1,OR('PSA inputs'!$I$909=1,'PSA inputs'!$I$913=1)),G639,D639)</f>
        <v>56.577865004325176</v>
      </c>
      <c r="D639" s="491">
        <f>'Cost input'!C558*'Cost input'!C680</f>
        <v>131.22165913043477</v>
      </c>
      <c r="E639" s="491">
        <f>'Cost input'!D558*'Cost input'!D680</f>
        <v>43.740553043478258</v>
      </c>
      <c r="F639" s="491">
        <f>'Cost input'!E558*'Cost input'!E680</f>
        <v>262.44331826086955</v>
      </c>
      <c r="G639" s="492">
        <f ca="1">'PSA inputs'!J600*'PSA inputs'!J712</f>
        <v>56.577865004325176</v>
      </c>
      <c r="H639" s="521"/>
      <c r="I639" s="521"/>
      <c r="J639" s="502"/>
      <c r="K639" s="502"/>
      <c r="L639" s="502"/>
      <c r="M639" s="502"/>
      <c r="N639" s="502"/>
      <c r="O639" s="739"/>
    </row>
    <row r="640" spans="2:15" x14ac:dyDescent="0.3">
      <c r="B640" s="493" t="s">
        <v>6</v>
      </c>
      <c r="C640" s="491">
        <f ca="1">IF(AND('PSA inputs'!$I$867=1,OR('PSA inputs'!$I$909=1,'PSA inputs'!$I$913=1)),G640,D640)</f>
        <v>56.577865004325176</v>
      </c>
      <c r="D640" s="491">
        <f>'Cost input'!C559*'Cost input'!C681</f>
        <v>131.22165913043477</v>
      </c>
      <c r="E640" s="491">
        <f>'Cost input'!D559*'Cost input'!D681</f>
        <v>43.740553043478258</v>
      </c>
      <c r="F640" s="491">
        <f>'Cost input'!E559*'Cost input'!E681</f>
        <v>262.44331826086955</v>
      </c>
      <c r="G640" s="492">
        <f ca="1">'PSA inputs'!J601*'PSA inputs'!J713</f>
        <v>56.577865004325176</v>
      </c>
      <c r="H640" s="521"/>
      <c r="I640" s="521"/>
      <c r="J640" s="502"/>
      <c r="K640" s="502"/>
      <c r="L640" s="502"/>
      <c r="M640" s="502"/>
      <c r="N640" s="502"/>
      <c r="O640" s="739"/>
    </row>
    <row r="641" spans="2:15" x14ac:dyDescent="0.3">
      <c r="B641" s="493" t="s">
        <v>7</v>
      </c>
      <c r="C641" s="491">
        <f ca="1">IF(AND('PSA inputs'!$I$867=1,OR('PSA inputs'!$I$909=1,'PSA inputs'!$I$913=1)),G641,D641)</f>
        <v>56.577865004325176</v>
      </c>
      <c r="D641" s="491">
        <f>'Cost input'!C560*'Cost input'!C682</f>
        <v>131.22165913043477</v>
      </c>
      <c r="E641" s="491">
        <f>'Cost input'!D560*'Cost input'!D682</f>
        <v>43.740553043478258</v>
      </c>
      <c r="F641" s="491">
        <f>'Cost input'!E560*'Cost input'!E682</f>
        <v>262.44331826086955</v>
      </c>
      <c r="G641" s="492">
        <f ca="1">'PSA inputs'!J602*'PSA inputs'!J714</f>
        <v>56.577865004325176</v>
      </c>
      <c r="H641" s="521"/>
      <c r="I641" s="521"/>
      <c r="J641" s="502"/>
      <c r="K641" s="502"/>
      <c r="L641" s="502"/>
      <c r="M641" s="502"/>
      <c r="N641" s="502"/>
      <c r="O641" s="739"/>
    </row>
    <row r="642" spans="2:15" x14ac:dyDescent="0.3">
      <c r="B642" s="493" t="s">
        <v>1469</v>
      </c>
      <c r="C642" s="491">
        <f ca="1">IF(AND('PSA inputs'!$I$867=1,OR('PSA inputs'!$I$909=1,'PSA inputs'!$I$913=1)),G642,D642)</f>
        <v>1.9525207500870256</v>
      </c>
      <c r="D642" s="491">
        <f>'Cost input'!C561*'Cost input'!C683</f>
        <v>41.99513043478261</v>
      </c>
      <c r="E642" s="491">
        <f>'Cost input'!D561*'Cost input'!D683</f>
        <v>15.74817391304348</v>
      </c>
      <c r="F642" s="491">
        <f>'Cost input'!E561*'Cost input'!E683</f>
        <v>188.97808695652174</v>
      </c>
      <c r="G642" s="492">
        <f ca="1">'PSA inputs'!J603*'PSA inputs'!J715</f>
        <v>1.9525207500870256</v>
      </c>
      <c r="H642" s="521"/>
      <c r="I642" s="521"/>
      <c r="J642" s="502"/>
      <c r="K642" s="502"/>
      <c r="L642" s="502"/>
      <c r="M642" s="502"/>
      <c r="N642" s="502"/>
      <c r="O642" s="739"/>
    </row>
    <row r="643" spans="2:15" ht="15" customHeight="1" x14ac:dyDescent="0.3">
      <c r="B643" s="498" t="s">
        <v>227</v>
      </c>
      <c r="C643" s="530"/>
      <c r="D643" s="530"/>
      <c r="E643" s="530"/>
      <c r="F643" s="530"/>
      <c r="G643" s="530"/>
      <c r="H643" s="528"/>
      <c r="I643" s="528"/>
      <c r="J643" s="528"/>
      <c r="K643" s="528"/>
      <c r="L643" s="528"/>
      <c r="M643" s="528"/>
      <c r="N643" s="528"/>
      <c r="O643" s="744"/>
    </row>
    <row r="644" spans="2:15" ht="15" customHeight="1" x14ac:dyDescent="0.3">
      <c r="B644" s="490" t="s">
        <v>1437</v>
      </c>
      <c r="C644" s="491">
        <f ca="1">IF(AND('PSA inputs'!$I$867=1,OR('PSA inputs'!$I$909=1,'PSA inputs'!$I$913=1)),G644,D644)</f>
        <v>157.66717533347514</v>
      </c>
      <c r="D644" s="491">
        <f>'Cost input'!C563*'Cost input'!C685</f>
        <v>83.465321739130431</v>
      </c>
      <c r="E644" s="491">
        <f>'Cost input'!D563*'Cost input'!D685</f>
        <v>37.559394782608692</v>
      </c>
      <c r="F644" s="491">
        <f>'Cost input'!E563*'Cost input'!E685</f>
        <v>166.93064347826086</v>
      </c>
      <c r="G644" s="492">
        <f ca="1">'PSA inputs'!J605*'PSA inputs'!J717</f>
        <v>157.66717533347514</v>
      </c>
      <c r="H644" s="528"/>
      <c r="I644" s="528"/>
      <c r="J644" s="528"/>
      <c r="K644" s="528"/>
      <c r="L644" s="528"/>
      <c r="M644" s="528"/>
      <c r="N644" s="528"/>
      <c r="O644" s="744"/>
    </row>
    <row r="645" spans="2:15" ht="15" customHeight="1" x14ac:dyDescent="0.3">
      <c r="B645" s="490" t="s">
        <v>1438</v>
      </c>
      <c r="C645" s="491">
        <f ca="1">IF(AND('PSA inputs'!$I$867=1,OR('PSA inputs'!$I$909=1,'PSA inputs'!$I$913=1)),G645,D645)</f>
        <v>157.66717533347514</v>
      </c>
      <c r="D645" s="491">
        <f>'Cost input'!C564*'Cost input'!C686</f>
        <v>83.465321739130431</v>
      </c>
      <c r="E645" s="491">
        <f>'Cost input'!D564*'Cost input'!D686</f>
        <v>37.559394782608692</v>
      </c>
      <c r="F645" s="491">
        <f>'Cost input'!E564*'Cost input'!E686</f>
        <v>166.93064347826086</v>
      </c>
      <c r="G645" s="492">
        <f ca="1">'PSA inputs'!J606*'PSA inputs'!J718</f>
        <v>157.66717533347514</v>
      </c>
      <c r="H645" s="528"/>
      <c r="I645" s="528"/>
      <c r="J645" s="528"/>
      <c r="K645" s="528"/>
      <c r="L645" s="528"/>
      <c r="M645" s="528"/>
      <c r="N645" s="528"/>
      <c r="O645" s="744"/>
    </row>
    <row r="646" spans="2:15" ht="15" customHeight="1" x14ac:dyDescent="0.3">
      <c r="B646" s="490" t="s">
        <v>1441</v>
      </c>
      <c r="C646" s="491">
        <f ca="1">IF(AND('PSA inputs'!$I$867=1,OR('PSA inputs'!$I$909=1,'PSA inputs'!$I$913=1)),G646,D646)</f>
        <v>261.31017186542306</v>
      </c>
      <c r="D646" s="491">
        <f>'Cost input'!C565*'Cost input'!C687</f>
        <v>146.20867130434783</v>
      </c>
      <c r="E646" s="491">
        <f>'Cost input'!D565*'Cost input'!D687</f>
        <v>59.045809565217382</v>
      </c>
      <c r="F646" s="491">
        <f>'Cost input'!E565*'Cost input'!E687</f>
        <v>258.67687999999998</v>
      </c>
      <c r="G646" s="492">
        <f ca="1">'PSA inputs'!J607*'PSA inputs'!J719</f>
        <v>261.31017186542306</v>
      </c>
      <c r="H646" s="528"/>
      <c r="I646" s="528"/>
      <c r="J646" s="528"/>
      <c r="K646" s="528"/>
      <c r="L646" s="528"/>
      <c r="M646" s="528"/>
      <c r="N646" s="528"/>
      <c r="O646" s="744"/>
    </row>
    <row r="647" spans="2:15" ht="15" customHeight="1" x14ac:dyDescent="0.3">
      <c r="B647" s="490" t="s">
        <v>1442</v>
      </c>
      <c r="C647" s="491">
        <f ca="1">IF(AND('PSA inputs'!$I$867=1,OR('PSA inputs'!$I$909=1,'PSA inputs'!$I$913=1)),G647,D647)</f>
        <v>257.95613231989262</v>
      </c>
      <c r="D647" s="491">
        <f>'Cost input'!C566*'Cost input'!C688</f>
        <v>144.33201391304348</v>
      </c>
      <c r="E647" s="491">
        <f>'Cost input'!D566*'Cost input'!D688</f>
        <v>58.287928695652177</v>
      </c>
      <c r="F647" s="491">
        <f>'Cost input'!E566*'Cost input'!E688</f>
        <v>255.35664</v>
      </c>
      <c r="G647" s="492">
        <f ca="1">'PSA inputs'!J608*'PSA inputs'!J720</f>
        <v>257.95613231989262</v>
      </c>
      <c r="H647" s="528"/>
      <c r="I647" s="528"/>
      <c r="J647" s="528"/>
      <c r="K647" s="528"/>
      <c r="L647" s="528"/>
      <c r="M647" s="528"/>
      <c r="N647" s="528"/>
      <c r="O647" s="744"/>
    </row>
    <row r="648" spans="2:15" ht="15" customHeight="1" x14ac:dyDescent="0.3">
      <c r="B648" s="498" t="s">
        <v>920</v>
      </c>
      <c r="C648" s="530"/>
      <c r="D648" s="530"/>
      <c r="E648" s="530"/>
      <c r="F648" s="530"/>
      <c r="G648" s="530"/>
      <c r="H648" s="528"/>
      <c r="I648" s="528"/>
      <c r="J648" s="528"/>
      <c r="K648" s="528"/>
      <c r="L648" s="528"/>
      <c r="M648" s="528"/>
      <c r="N648" s="528"/>
      <c r="O648" s="744"/>
    </row>
    <row r="649" spans="2:15" ht="15" customHeight="1" x14ac:dyDescent="0.3">
      <c r="B649" s="490" t="s">
        <v>920</v>
      </c>
      <c r="C649" s="491">
        <f ca="1">IF(AND('PSA inputs'!$I$867=1,OR('PSA inputs'!$I$909=1,'PSA inputs'!$I$913=1)),G649,D649)</f>
        <v>180.05004599652179</v>
      </c>
      <c r="D649" s="491">
        <f>'Cost input'!C568*'Cost input'!C690</f>
        <v>88.819700869565224</v>
      </c>
      <c r="E649" s="491">
        <f>'Cost input'!D568*'Cost input'!D690</f>
        <v>24.980540869565221</v>
      </c>
      <c r="F649" s="491">
        <f>'Cost input'!E568*'Cost input'!E690</f>
        <v>177.63940173913045</v>
      </c>
      <c r="G649" s="492">
        <f ca="1">'PSA inputs'!J610*'PSA inputs'!J722</f>
        <v>180.05004599652179</v>
      </c>
      <c r="H649" s="528"/>
      <c r="I649" s="528"/>
      <c r="J649" s="528"/>
      <c r="K649" s="528"/>
      <c r="L649" s="528"/>
      <c r="M649" s="528"/>
      <c r="N649" s="528"/>
      <c r="O649" s="744"/>
    </row>
    <row r="650" spans="2:15" ht="15" customHeight="1" x14ac:dyDescent="0.3">
      <c r="B650" s="490" t="s">
        <v>980</v>
      </c>
      <c r="C650" s="491">
        <f ca="1">IF(AND('PSA inputs'!$I$867=1,OR('PSA inputs'!$I$909=1,'PSA inputs'!$I$913=1)),G650,D650)</f>
        <v>180.05004599652179</v>
      </c>
      <c r="D650" s="491">
        <f>'Cost input'!C569*'Cost input'!C691</f>
        <v>88.819700869565224</v>
      </c>
      <c r="E650" s="491">
        <f>'Cost input'!D569*'Cost input'!D691</f>
        <v>24.980540869565221</v>
      </c>
      <c r="F650" s="491">
        <f>'Cost input'!E569*'Cost input'!E691</f>
        <v>177.63940173913045</v>
      </c>
      <c r="G650" s="492">
        <f ca="1">'PSA inputs'!J611*'PSA inputs'!J723</f>
        <v>180.05004599652179</v>
      </c>
      <c r="H650" s="528"/>
      <c r="I650" s="528"/>
      <c r="J650" s="528"/>
      <c r="K650" s="528"/>
      <c r="L650" s="528"/>
      <c r="M650" s="528"/>
      <c r="N650" s="528"/>
      <c r="O650" s="744"/>
    </row>
    <row r="651" spans="2:15" ht="15" customHeight="1" x14ac:dyDescent="0.3">
      <c r="B651" s="500"/>
      <c r="C651" s="501"/>
      <c r="D651" s="501"/>
      <c r="E651" s="501"/>
      <c r="F651" s="501"/>
      <c r="G651" s="501"/>
      <c r="H651" s="528"/>
      <c r="I651" s="528"/>
      <c r="J651" s="528"/>
      <c r="K651" s="528"/>
      <c r="L651" s="528"/>
      <c r="M651" s="528"/>
      <c r="N651" s="528"/>
      <c r="O651" s="744"/>
    </row>
    <row r="652" spans="2:15" ht="15" customHeight="1" x14ac:dyDescent="0.3">
      <c r="B652" s="509" t="s">
        <v>1406</v>
      </c>
      <c r="C652" s="537"/>
      <c r="D652" s="537"/>
      <c r="E652" s="537"/>
      <c r="F652" s="537"/>
      <c r="G652" s="537"/>
      <c r="H652" s="528"/>
      <c r="I652" s="528"/>
      <c r="J652" s="528"/>
      <c r="K652" s="528"/>
      <c r="L652" s="528"/>
      <c r="M652" s="528"/>
      <c r="N652" s="528"/>
      <c r="O652" s="744"/>
    </row>
    <row r="653" spans="2:15" ht="15" customHeight="1" x14ac:dyDescent="0.3">
      <c r="B653" s="484" t="s">
        <v>950</v>
      </c>
      <c r="C653" s="538" t="s">
        <v>724</v>
      </c>
      <c r="D653" s="538" t="s">
        <v>995</v>
      </c>
      <c r="E653" s="538" t="s">
        <v>985</v>
      </c>
      <c r="F653" s="538" t="s">
        <v>986</v>
      </c>
      <c r="G653" s="538" t="s">
        <v>996</v>
      </c>
      <c r="H653" s="528"/>
      <c r="I653" s="528"/>
      <c r="J653" s="528"/>
      <c r="K653" s="528"/>
      <c r="L653" s="528"/>
      <c r="M653" s="528"/>
      <c r="N653" s="528"/>
      <c r="O653" s="744"/>
    </row>
    <row r="654" spans="2:15" ht="15" customHeight="1" x14ac:dyDescent="0.3">
      <c r="B654" s="487" t="s">
        <v>1445</v>
      </c>
      <c r="C654" s="528"/>
      <c r="D654" s="536"/>
      <c r="E654" s="536"/>
      <c r="F654" s="528"/>
      <c r="G654" s="528"/>
      <c r="H654" s="528"/>
      <c r="I654" s="528"/>
      <c r="J654" s="528"/>
      <c r="K654" s="528"/>
      <c r="L654" s="528"/>
      <c r="M654" s="528"/>
      <c r="N654" s="528"/>
      <c r="O654" s="744"/>
    </row>
    <row r="655" spans="2:15" ht="15" customHeight="1" x14ac:dyDescent="0.3">
      <c r="B655" s="493" t="s">
        <v>2</v>
      </c>
      <c r="C655" s="491">
        <f ca="1">IF(AND('PSA inputs'!$I$867=1,OR('PSA inputs'!$I$910=1,'PSA inputs'!$I$913=1)),G655,D655)</f>
        <v>180.34171120003927</v>
      </c>
      <c r="D655" s="491">
        <f>'Cost input'!C578*'Cost input'!C669</f>
        <v>155.43447652173913</v>
      </c>
      <c r="E655" s="491">
        <f>'Cost input'!D578*'Cost input'!D669</f>
        <v>66.614775652173918</v>
      </c>
      <c r="F655" s="491">
        <f>'Cost input'!E578*'Cost input'!E669</f>
        <v>299.76649043478267</v>
      </c>
      <c r="G655" s="492">
        <f ca="1">'PSA inputs'!J617*'PSA inputs'!J701</f>
        <v>180.34171120003927</v>
      </c>
      <c r="H655" s="528"/>
      <c r="I655" s="528"/>
      <c r="J655" s="528"/>
      <c r="K655" s="528"/>
      <c r="L655" s="528"/>
      <c r="M655" s="528"/>
      <c r="N655" s="528"/>
      <c r="O655" s="744"/>
    </row>
    <row r="656" spans="2:15" ht="15" customHeight="1" x14ac:dyDescent="0.3">
      <c r="B656" s="493" t="s">
        <v>3</v>
      </c>
      <c r="C656" s="491">
        <f ca="1">IF(AND('PSA inputs'!$I$867=1,OR('PSA inputs'!$I$910=1,'PSA inputs'!$I$913=1)),G656,D656)</f>
        <v>180.34171120003927</v>
      </c>
      <c r="D656" s="491">
        <f>'Cost input'!C579*'Cost input'!C670</f>
        <v>155.43447652173913</v>
      </c>
      <c r="E656" s="491">
        <f>'Cost input'!D579*'Cost input'!D670</f>
        <v>66.614775652173918</v>
      </c>
      <c r="F656" s="491">
        <f>'Cost input'!E579*'Cost input'!E670</f>
        <v>299.76649043478267</v>
      </c>
      <c r="G656" s="492">
        <f ca="1">'PSA inputs'!J618*'PSA inputs'!J702</f>
        <v>180.34171120003927</v>
      </c>
      <c r="H656" s="528"/>
      <c r="I656" s="528"/>
      <c r="J656" s="528"/>
      <c r="K656" s="528"/>
      <c r="L656" s="528"/>
      <c r="M656" s="528"/>
      <c r="N656" s="528"/>
      <c r="O656" s="744"/>
    </row>
    <row r="657" spans="2:15" ht="15" customHeight="1" x14ac:dyDescent="0.3">
      <c r="B657" s="493" t="s">
        <v>4</v>
      </c>
      <c r="C657" s="491">
        <f ca="1">IF(AND('PSA inputs'!$I$867=1,OR('PSA inputs'!$I$910=1,'PSA inputs'!$I$913=1)),G657,D657)</f>
        <v>180.34171120003927</v>
      </c>
      <c r="D657" s="491">
        <f>'Cost input'!C580*'Cost input'!C671</f>
        <v>155.43447652173913</v>
      </c>
      <c r="E657" s="491">
        <f>'Cost input'!D580*'Cost input'!D671</f>
        <v>66.614775652173918</v>
      </c>
      <c r="F657" s="491">
        <f>'Cost input'!E580*'Cost input'!E671</f>
        <v>299.76649043478267</v>
      </c>
      <c r="G657" s="492">
        <f ca="1">'PSA inputs'!J619*'PSA inputs'!J703</f>
        <v>180.34171120003927</v>
      </c>
      <c r="H657" s="528"/>
      <c r="I657" s="528"/>
      <c r="J657" s="528"/>
      <c r="K657" s="528"/>
      <c r="L657" s="528"/>
      <c r="M657" s="528"/>
      <c r="N657" s="528"/>
      <c r="O657" s="744"/>
    </row>
    <row r="658" spans="2:15" ht="15" customHeight="1" x14ac:dyDescent="0.3">
      <c r="B658" s="493" t="s">
        <v>5</v>
      </c>
      <c r="C658" s="491">
        <f ca="1">IF(AND('PSA inputs'!$I$867=1,OR('PSA inputs'!$I$910=1,'PSA inputs'!$I$913=1)),G658,D658)</f>
        <v>156.60517869085953</v>
      </c>
      <c r="D658" s="491">
        <f>'Cost input'!C581*'Cost input'!C672</f>
        <v>131.22165913043477</v>
      </c>
      <c r="E658" s="491">
        <f>'Cost input'!D581*'Cost input'!D672</f>
        <v>54.675691304347822</v>
      </c>
      <c r="F658" s="491">
        <f>'Cost input'!E581*'Cost input'!E672</f>
        <v>277.02350260869559</v>
      </c>
      <c r="G658" s="492">
        <f ca="1">'PSA inputs'!J620*'PSA inputs'!J704</f>
        <v>156.60517869085953</v>
      </c>
      <c r="H658" s="528"/>
      <c r="I658" s="528"/>
      <c r="J658" s="528"/>
      <c r="K658" s="528"/>
      <c r="L658" s="528"/>
      <c r="M658" s="528"/>
      <c r="N658" s="528"/>
      <c r="O658" s="744"/>
    </row>
    <row r="659" spans="2:15" ht="15" customHeight="1" x14ac:dyDescent="0.3">
      <c r="B659" s="493" t="s">
        <v>6</v>
      </c>
      <c r="C659" s="491">
        <f ca="1">IF(AND('PSA inputs'!$I$867=1,OR('PSA inputs'!$I$910=1,'PSA inputs'!$I$913=1)),G659,D659)</f>
        <v>156.60517869085953</v>
      </c>
      <c r="D659" s="491">
        <f>'Cost input'!C582*'Cost input'!C673</f>
        <v>131.22165913043477</v>
      </c>
      <c r="E659" s="491">
        <f>'Cost input'!D582*'Cost input'!D673</f>
        <v>54.675691304347822</v>
      </c>
      <c r="F659" s="491">
        <f>'Cost input'!E582*'Cost input'!E673</f>
        <v>277.02350260869559</v>
      </c>
      <c r="G659" s="492">
        <f ca="1">'PSA inputs'!J621*'PSA inputs'!J705</f>
        <v>156.60517869085953</v>
      </c>
      <c r="H659" s="528"/>
      <c r="I659" s="528"/>
      <c r="J659" s="528"/>
      <c r="K659" s="528"/>
      <c r="L659" s="528"/>
      <c r="M659" s="528"/>
      <c r="N659" s="528"/>
      <c r="O659" s="744"/>
    </row>
    <row r="660" spans="2:15" ht="15" customHeight="1" x14ac:dyDescent="0.3">
      <c r="B660" s="493" t="s">
        <v>7</v>
      </c>
      <c r="C660" s="491">
        <f ca="1">IF(AND('PSA inputs'!$I$867=1,OR('PSA inputs'!$I$910=1,'PSA inputs'!$I$913=1)),G660,D660)</f>
        <v>156.60517869085953</v>
      </c>
      <c r="D660" s="491">
        <f>'Cost input'!C583*'Cost input'!C674</f>
        <v>131.22165913043477</v>
      </c>
      <c r="E660" s="491">
        <f>'Cost input'!D583*'Cost input'!D674</f>
        <v>54.675691304347822</v>
      </c>
      <c r="F660" s="491">
        <f>'Cost input'!E583*'Cost input'!E674</f>
        <v>277.02350260869559</v>
      </c>
      <c r="G660" s="492">
        <f ca="1">'PSA inputs'!J622*'PSA inputs'!J706</f>
        <v>156.60517869085953</v>
      </c>
      <c r="H660" s="528"/>
      <c r="I660" s="528"/>
      <c r="J660" s="528"/>
      <c r="K660" s="528"/>
      <c r="L660" s="528"/>
      <c r="M660" s="528"/>
      <c r="N660" s="528"/>
      <c r="O660" s="744"/>
    </row>
    <row r="661" spans="2:15" ht="15" customHeight="1" x14ac:dyDescent="0.3">
      <c r="B661" s="493" t="s">
        <v>1469</v>
      </c>
      <c r="C661" s="491">
        <f ca="1">IF(AND('PSA inputs'!$I$867=1,OR('PSA inputs'!$I$910=1,'PSA inputs'!$I$913=1)),G661,D661)</f>
        <v>59.483762297125757</v>
      </c>
      <c r="D661" s="491">
        <f>'Cost input'!C584*'Cost input'!C675</f>
        <v>52.493913043478258</v>
      </c>
      <c r="E661" s="491">
        <f>'Cost input'!D584*'Cost input'!D675</f>
        <v>15.74817391304348</v>
      </c>
      <c r="F661" s="491">
        <f>'Cost input'!E584*'Cost input'!E675</f>
        <v>83.990260869565219</v>
      </c>
      <c r="G661" s="492">
        <f ca="1">'PSA inputs'!J623*'PSA inputs'!J707</f>
        <v>59.483762297125757</v>
      </c>
      <c r="H661" s="528"/>
      <c r="I661" s="528"/>
      <c r="J661" s="528"/>
      <c r="K661" s="528"/>
      <c r="L661" s="528"/>
      <c r="M661" s="528"/>
      <c r="N661" s="528"/>
      <c r="O661" s="744"/>
    </row>
    <row r="662" spans="2:15" x14ac:dyDescent="0.3">
      <c r="B662" s="487" t="s">
        <v>1444</v>
      </c>
      <c r="C662" s="530"/>
      <c r="D662" s="530"/>
      <c r="E662" s="530"/>
      <c r="F662" s="530"/>
      <c r="G662" s="530"/>
      <c r="H662" s="532"/>
      <c r="I662" s="532"/>
      <c r="J662" s="528"/>
      <c r="K662" s="528"/>
      <c r="L662" s="528"/>
      <c r="M662" s="528"/>
      <c r="N662" s="528"/>
      <c r="O662" s="744"/>
    </row>
    <row r="663" spans="2:15" x14ac:dyDescent="0.3">
      <c r="B663" s="493" t="s">
        <v>2</v>
      </c>
      <c r="C663" s="491">
        <f ca="1">IF(AND('PSA inputs'!$I$867=1,OR('PSA inputs'!$I$910=1,'PSA inputs'!$I$913=1)),G663,D663)</f>
        <v>141.67934005945162</v>
      </c>
      <c r="D663" s="491">
        <f>'Cost input'!C586*'Cost input'!C677</f>
        <v>155.43447652173913</v>
      </c>
      <c r="E663" s="491">
        <f>'Cost input'!D586*'Cost input'!D677</f>
        <v>66.614775652173918</v>
      </c>
      <c r="F663" s="491">
        <f>'Cost input'!E586*'Cost input'!E677</f>
        <v>299.76649043478267</v>
      </c>
      <c r="G663" s="492">
        <f ca="1">'PSA inputs'!J625*'PSA inputs'!J709</f>
        <v>141.67934005945162</v>
      </c>
      <c r="H663" s="521"/>
      <c r="I663" s="521"/>
      <c r="J663" s="502"/>
      <c r="K663" s="502"/>
      <c r="L663" s="502"/>
      <c r="M663" s="502"/>
      <c r="N663" s="502"/>
      <c r="O663" s="739"/>
    </row>
    <row r="664" spans="2:15" x14ac:dyDescent="0.3">
      <c r="B664" s="493" t="s">
        <v>3</v>
      </c>
      <c r="C664" s="491">
        <f ca="1">IF(AND('PSA inputs'!$I$867=1,OR('PSA inputs'!$I$910=1,'PSA inputs'!$I$913=1)),G664,D664)</f>
        <v>141.67934005945162</v>
      </c>
      <c r="D664" s="491">
        <f>'Cost input'!C587*'Cost input'!C678</f>
        <v>155.43447652173913</v>
      </c>
      <c r="E664" s="491">
        <f>'Cost input'!D587*'Cost input'!D678</f>
        <v>66.614775652173918</v>
      </c>
      <c r="F664" s="491">
        <f>'Cost input'!E587*'Cost input'!E678</f>
        <v>299.76649043478267</v>
      </c>
      <c r="G664" s="492">
        <f ca="1">'PSA inputs'!J626*'PSA inputs'!J710</f>
        <v>141.67934005945162</v>
      </c>
      <c r="H664" s="521"/>
      <c r="I664" s="521"/>
      <c r="J664" s="502"/>
      <c r="K664" s="502"/>
      <c r="L664" s="502"/>
      <c r="M664" s="502"/>
      <c r="N664" s="502"/>
      <c r="O664" s="739"/>
    </row>
    <row r="665" spans="2:15" x14ac:dyDescent="0.3">
      <c r="B665" s="493" t="s">
        <v>4</v>
      </c>
      <c r="C665" s="491">
        <f ca="1">IF(AND('PSA inputs'!$I$867=1,OR('PSA inputs'!$I$910=1,'PSA inputs'!$I$913=1)),G665,D665)</f>
        <v>141.67934005945162</v>
      </c>
      <c r="D665" s="491">
        <f>'Cost input'!C588*'Cost input'!C679</f>
        <v>155.43447652173913</v>
      </c>
      <c r="E665" s="491">
        <f>'Cost input'!D588*'Cost input'!D679</f>
        <v>66.614775652173918</v>
      </c>
      <c r="F665" s="491">
        <f>'Cost input'!E588*'Cost input'!E679</f>
        <v>299.76649043478267</v>
      </c>
      <c r="G665" s="492">
        <f ca="1">'PSA inputs'!J627*'PSA inputs'!J711</f>
        <v>141.67934005945162</v>
      </c>
      <c r="H665" s="521"/>
      <c r="I665" s="521"/>
      <c r="J665" s="502"/>
      <c r="K665" s="502"/>
      <c r="L665" s="502"/>
      <c r="M665" s="502"/>
      <c r="N665" s="502"/>
      <c r="O665" s="739"/>
    </row>
    <row r="666" spans="2:15" x14ac:dyDescent="0.3">
      <c r="B666" s="493" t="s">
        <v>5</v>
      </c>
      <c r="C666" s="491">
        <f ca="1">IF(AND('PSA inputs'!$I$867=1,OR('PSA inputs'!$I$910=1,'PSA inputs'!$I$913=1)),G666,D666)</f>
        <v>118.06657804501923</v>
      </c>
      <c r="D666" s="491">
        <f>'Cost input'!C589*'Cost input'!C680</f>
        <v>131.22165913043477</v>
      </c>
      <c r="E666" s="491">
        <f>'Cost input'!D589*'Cost input'!D680</f>
        <v>54.675691304347822</v>
      </c>
      <c r="F666" s="491">
        <f>'Cost input'!E589*'Cost input'!E680</f>
        <v>277.02350260869559</v>
      </c>
      <c r="G666" s="492">
        <f ca="1">'PSA inputs'!J628*'PSA inputs'!J712</f>
        <v>118.06657804501923</v>
      </c>
      <c r="H666" s="521"/>
      <c r="I666" s="521"/>
      <c r="J666" s="502"/>
      <c r="K666" s="502"/>
      <c r="L666" s="502"/>
      <c r="M666" s="502"/>
      <c r="N666" s="502"/>
      <c r="O666" s="739"/>
    </row>
    <row r="667" spans="2:15" x14ac:dyDescent="0.3">
      <c r="B667" s="493" t="s">
        <v>6</v>
      </c>
      <c r="C667" s="491">
        <f ca="1">IF(AND('PSA inputs'!$I$867=1,OR('PSA inputs'!$I$910=1,'PSA inputs'!$I$913=1)),G667,D667)</f>
        <v>118.06657804501923</v>
      </c>
      <c r="D667" s="491">
        <f>'Cost input'!C590*'Cost input'!C681</f>
        <v>131.22165913043477</v>
      </c>
      <c r="E667" s="491">
        <f>'Cost input'!D590*'Cost input'!D681</f>
        <v>54.675691304347822</v>
      </c>
      <c r="F667" s="491">
        <f>'Cost input'!E590*'Cost input'!E681</f>
        <v>277.02350260869559</v>
      </c>
      <c r="G667" s="492">
        <f ca="1">'PSA inputs'!J629*'PSA inputs'!J713</f>
        <v>118.06657804501923</v>
      </c>
      <c r="H667" s="521"/>
      <c r="I667" s="521"/>
      <c r="J667" s="502"/>
      <c r="K667" s="502"/>
      <c r="L667" s="502"/>
      <c r="M667" s="502"/>
      <c r="N667" s="502"/>
      <c r="O667" s="739"/>
    </row>
    <row r="668" spans="2:15" x14ac:dyDescent="0.3">
      <c r="B668" s="493" t="s">
        <v>7</v>
      </c>
      <c r="C668" s="491">
        <f ca="1">IF(AND('PSA inputs'!$I$867=1,OR('PSA inputs'!$I$910=1,'PSA inputs'!$I$913=1)),G668,D668)</f>
        <v>118.06657804501923</v>
      </c>
      <c r="D668" s="491">
        <f>'Cost input'!C591*'Cost input'!C682</f>
        <v>131.22165913043477</v>
      </c>
      <c r="E668" s="491">
        <f>'Cost input'!D591*'Cost input'!D682</f>
        <v>54.675691304347822</v>
      </c>
      <c r="F668" s="491">
        <f>'Cost input'!E591*'Cost input'!E682</f>
        <v>277.02350260869559</v>
      </c>
      <c r="G668" s="492">
        <f ca="1">'PSA inputs'!J630*'PSA inputs'!J714</f>
        <v>118.06657804501923</v>
      </c>
      <c r="H668" s="521"/>
      <c r="I668" s="521"/>
      <c r="J668" s="502"/>
      <c r="K668" s="502"/>
      <c r="L668" s="502"/>
      <c r="M668" s="502"/>
      <c r="N668" s="502"/>
      <c r="O668" s="739"/>
    </row>
    <row r="669" spans="2:15" x14ac:dyDescent="0.3">
      <c r="B669" s="493" t="s">
        <v>1469</v>
      </c>
      <c r="C669" s="491">
        <f ca="1">IF(AND('PSA inputs'!$I$867=1,OR('PSA inputs'!$I$910=1,'PSA inputs'!$I$913=1)),G669,D669)</f>
        <v>48.279810039202985</v>
      </c>
      <c r="D669" s="491">
        <f>'Cost input'!C592*'Cost input'!C683</f>
        <v>52.493913043478258</v>
      </c>
      <c r="E669" s="491">
        <f>'Cost input'!D592*'Cost input'!D683</f>
        <v>15.74817391304348</v>
      </c>
      <c r="F669" s="491">
        <f>'Cost input'!E592*'Cost input'!E683</f>
        <v>83.990260869565219</v>
      </c>
      <c r="G669" s="492">
        <f ca="1">'PSA inputs'!J631*'PSA inputs'!J715</f>
        <v>48.279810039202985</v>
      </c>
      <c r="H669" s="521"/>
      <c r="I669" s="521"/>
      <c r="J669" s="502"/>
      <c r="K669" s="502"/>
      <c r="L669" s="502"/>
      <c r="M669" s="502"/>
      <c r="N669" s="502"/>
      <c r="O669" s="739"/>
    </row>
    <row r="670" spans="2:15" ht="15" customHeight="1" x14ac:dyDescent="0.3">
      <c r="B670" s="498" t="s">
        <v>227</v>
      </c>
      <c r="C670" s="530"/>
      <c r="D670" s="530"/>
      <c r="E670" s="530"/>
      <c r="F670" s="530"/>
      <c r="G670" s="530"/>
      <c r="H670" s="528"/>
      <c r="I670" s="528"/>
      <c r="J670" s="528"/>
      <c r="K670" s="528"/>
      <c r="L670" s="528"/>
      <c r="M670" s="528"/>
      <c r="N670" s="528"/>
      <c r="O670" s="744"/>
    </row>
    <row r="671" spans="2:15" ht="15" customHeight="1" x14ac:dyDescent="0.3">
      <c r="B671" s="490" t="s">
        <v>1437</v>
      </c>
      <c r="C671" s="491">
        <f ca="1">IF(AND('PSA inputs'!$I$867=1,OR('PSA inputs'!$I$910=1,'PSA inputs'!$I$913=1)),G671,D671)</f>
        <v>170.28585889204808</v>
      </c>
      <c r="D671" s="491">
        <f>'Cost input'!C594*'Cost input'!C685</f>
        <v>100.15838608695651</v>
      </c>
      <c r="E671" s="491">
        <f>'Cost input'!D594*'Cost input'!D685</f>
        <v>50.079193043478256</v>
      </c>
      <c r="F671" s="491">
        <f>'Cost input'!E594*'Cost input'!E685</f>
        <v>175.27717565217392</v>
      </c>
      <c r="G671" s="492">
        <f ca="1">'PSA inputs'!J633*'PSA inputs'!J717</f>
        <v>170.28585889204808</v>
      </c>
      <c r="H671" s="528"/>
      <c r="I671" s="528"/>
      <c r="J671" s="528"/>
      <c r="K671" s="528"/>
      <c r="L671" s="528"/>
      <c r="M671" s="528"/>
      <c r="N671" s="528"/>
      <c r="O671" s="744"/>
    </row>
    <row r="672" spans="2:15" ht="15" customHeight="1" x14ac:dyDescent="0.3">
      <c r="B672" s="490" t="s">
        <v>1438</v>
      </c>
      <c r="C672" s="491">
        <f ca="1">IF(AND('PSA inputs'!$I$867=1,OR('PSA inputs'!$I$910=1,'PSA inputs'!$I$913=1)),G672,D672)</f>
        <v>170.28585889204808</v>
      </c>
      <c r="D672" s="491">
        <f>'Cost input'!C595*'Cost input'!C686</f>
        <v>100.15838608695651</v>
      </c>
      <c r="E672" s="491">
        <f>'Cost input'!D595*'Cost input'!D686</f>
        <v>50.079193043478256</v>
      </c>
      <c r="F672" s="491">
        <f>'Cost input'!E595*'Cost input'!E686</f>
        <v>175.27717565217392</v>
      </c>
      <c r="G672" s="492">
        <f ca="1">'PSA inputs'!J634*'PSA inputs'!J718</f>
        <v>170.28585889204808</v>
      </c>
      <c r="H672" s="528"/>
      <c r="I672" s="528"/>
      <c r="J672" s="528"/>
      <c r="K672" s="528"/>
      <c r="L672" s="528"/>
      <c r="M672" s="528"/>
      <c r="N672" s="528"/>
      <c r="O672" s="744"/>
    </row>
    <row r="673" spans="2:15" ht="15" customHeight="1" x14ac:dyDescent="0.3">
      <c r="B673" s="490" t="s">
        <v>1441</v>
      </c>
      <c r="C673" s="491">
        <f ca="1">IF(AND('PSA inputs'!$I$867=1,OR('PSA inputs'!$I$910=1,'PSA inputs'!$I$913=1)),G673,D673)</f>
        <v>318.68105957733064</v>
      </c>
      <c r="D673" s="491">
        <f>'Cost input'!C596*'Cost input'!C687</f>
        <v>168.70231304347826</v>
      </c>
      <c r="E673" s="491">
        <f>'Cost input'!D596*'Cost input'!D687</f>
        <v>67.480925217391302</v>
      </c>
      <c r="F673" s="491">
        <f>'Cost input'!E596*'Cost input'!E687</f>
        <v>326.15780521739129</v>
      </c>
      <c r="G673" s="492">
        <f ca="1">'PSA inputs'!J635*'PSA inputs'!J719</f>
        <v>318.68105957733064</v>
      </c>
      <c r="H673" s="528"/>
      <c r="I673" s="528"/>
      <c r="J673" s="528"/>
      <c r="K673" s="528"/>
      <c r="L673" s="528"/>
      <c r="M673" s="528"/>
      <c r="N673" s="528"/>
      <c r="O673" s="744"/>
    </row>
    <row r="674" spans="2:15" ht="15" customHeight="1" x14ac:dyDescent="0.3">
      <c r="B674" s="490" t="s">
        <v>1442</v>
      </c>
      <c r="C674" s="491">
        <f ca="1">IF(AND('PSA inputs'!$I$867=1,OR('PSA inputs'!$I$910=1,'PSA inputs'!$I$913=1)),G674,D674)</f>
        <v>314.59063757575473</v>
      </c>
      <c r="D674" s="491">
        <f>'Cost input'!C597*'Cost input'!C688</f>
        <v>166.5369391304348</v>
      </c>
      <c r="E674" s="491">
        <f>'Cost input'!D597*'Cost input'!D688</f>
        <v>66.614775652173918</v>
      </c>
      <c r="F674" s="491">
        <f>'Cost input'!E597*'Cost input'!E688</f>
        <v>321.9714156521739</v>
      </c>
      <c r="G674" s="492">
        <f ca="1">'PSA inputs'!J636*'PSA inputs'!J720</f>
        <v>314.59063757575473</v>
      </c>
      <c r="H674" s="528"/>
      <c r="I674" s="528"/>
      <c r="J674" s="528"/>
      <c r="K674" s="528"/>
      <c r="L674" s="528"/>
      <c r="M674" s="528"/>
      <c r="N674" s="528"/>
      <c r="O674" s="744"/>
    </row>
    <row r="675" spans="2:15" ht="15" customHeight="1" x14ac:dyDescent="0.3">
      <c r="B675" s="498" t="s">
        <v>920</v>
      </c>
      <c r="C675" s="530"/>
      <c r="D675" s="530"/>
      <c r="E675" s="530"/>
      <c r="F675" s="530"/>
      <c r="G675" s="530"/>
      <c r="H675" s="528"/>
      <c r="I675" s="528"/>
      <c r="J675" s="528"/>
      <c r="K675" s="528"/>
      <c r="L675" s="528"/>
      <c r="M675" s="528"/>
      <c r="N675" s="528"/>
      <c r="O675" s="744"/>
    </row>
    <row r="676" spans="2:15" ht="15" customHeight="1" x14ac:dyDescent="0.3">
      <c r="B676" s="490" t="s">
        <v>920</v>
      </c>
      <c r="C676" s="491">
        <f ca="1">IF(AND('PSA inputs'!$I$867=1,OR('PSA inputs'!$I$910=1,'PSA inputs'!$I$913=1)),G676,D676)</f>
        <v>609.20074456171778</v>
      </c>
      <c r="D676" s="491">
        <f>'Cost input'!C599*'Cost input'!C690</f>
        <v>444.09850434782612</v>
      </c>
      <c r="E676" s="491">
        <f>'Cost input'!D599*'Cost input'!D690</f>
        <v>249.8054086956522</v>
      </c>
      <c r="F676" s="491">
        <f>'Cost input'!E599*'Cost input'!E690</f>
        <v>555.12313043478264</v>
      </c>
      <c r="G676" s="492">
        <f ca="1">'PSA inputs'!J638*'PSA inputs'!J722</f>
        <v>609.20074456171778</v>
      </c>
      <c r="H676" s="528"/>
      <c r="I676" s="528"/>
      <c r="J676" s="528"/>
      <c r="K676" s="528"/>
      <c r="L676" s="528"/>
      <c r="M676" s="528"/>
      <c r="N676" s="528"/>
      <c r="O676" s="744"/>
    </row>
    <row r="677" spans="2:15" ht="15" customHeight="1" x14ac:dyDescent="0.3">
      <c r="B677" s="490" t="s">
        <v>980</v>
      </c>
      <c r="C677" s="491">
        <f ca="1">IF(AND('PSA inputs'!$I$867=1,OR('PSA inputs'!$I$910=1,'PSA inputs'!$I$913=1)),G677,D677)</f>
        <v>0</v>
      </c>
      <c r="D677" s="491">
        <f>'Cost input'!C600*'Cost input'!C691</f>
        <v>0</v>
      </c>
      <c r="E677" s="491">
        <f>'Cost input'!D600*'Cost input'!D691</f>
        <v>0</v>
      </c>
      <c r="F677" s="491">
        <f>'Cost input'!E600*'Cost input'!E691</f>
        <v>0</v>
      </c>
      <c r="G677" s="492">
        <f ca="1">'PSA inputs'!J639*'PSA inputs'!J723</f>
        <v>0</v>
      </c>
      <c r="H677" s="528"/>
      <c r="I677" s="528"/>
      <c r="J677" s="528"/>
      <c r="K677" s="528"/>
      <c r="L677" s="528"/>
      <c r="M677" s="528"/>
      <c r="N677" s="528"/>
      <c r="O677" s="744"/>
    </row>
    <row r="678" spans="2:15" ht="15" customHeight="1" x14ac:dyDescent="0.3">
      <c r="B678" s="520"/>
      <c r="C678" s="536"/>
      <c r="D678" s="536"/>
      <c r="E678" s="536"/>
      <c r="F678" s="528"/>
      <c r="G678" s="528"/>
      <c r="H678" s="528"/>
      <c r="I678" s="528"/>
      <c r="J678" s="528"/>
      <c r="K678" s="528"/>
      <c r="L678" s="528"/>
      <c r="M678" s="528"/>
      <c r="N678" s="528"/>
      <c r="O678" s="744"/>
    </row>
    <row r="679" spans="2:15" ht="15" customHeight="1" x14ac:dyDescent="0.3">
      <c r="B679" s="509" t="s">
        <v>1005</v>
      </c>
      <c r="C679" s="537"/>
      <c r="D679" s="537"/>
      <c r="E679" s="537"/>
      <c r="F679" s="537"/>
      <c r="G679" s="537"/>
      <c r="H679" s="528"/>
      <c r="I679" s="528"/>
      <c r="J679" s="528"/>
      <c r="K679" s="528"/>
      <c r="L679" s="528"/>
      <c r="M679" s="528"/>
      <c r="N679" s="528"/>
      <c r="O679" s="744"/>
    </row>
    <row r="680" spans="2:15" ht="15" customHeight="1" x14ac:dyDescent="0.3">
      <c r="B680" s="484" t="s">
        <v>950</v>
      </c>
      <c r="C680" s="538" t="s">
        <v>724</v>
      </c>
      <c r="D680" s="538" t="s">
        <v>995</v>
      </c>
      <c r="E680" s="538" t="s">
        <v>985</v>
      </c>
      <c r="F680" s="538" t="s">
        <v>986</v>
      </c>
      <c r="G680" s="538" t="s">
        <v>996</v>
      </c>
      <c r="H680" s="528"/>
      <c r="I680" s="528"/>
      <c r="J680" s="528"/>
      <c r="K680" s="528"/>
      <c r="L680" s="528"/>
      <c r="M680" s="528"/>
      <c r="N680" s="528"/>
      <c r="O680" s="744"/>
    </row>
    <row r="681" spans="2:15" ht="15" customHeight="1" x14ac:dyDescent="0.3">
      <c r="B681" s="487" t="s">
        <v>1445</v>
      </c>
      <c r="C681" s="528"/>
      <c r="D681" s="536"/>
      <c r="E681" s="536"/>
      <c r="F681" s="528"/>
      <c r="G681" s="528"/>
      <c r="H681" s="528"/>
      <c r="I681" s="528"/>
      <c r="J681" s="528"/>
      <c r="K681" s="528"/>
      <c r="L681" s="528"/>
      <c r="M681" s="528"/>
      <c r="N681" s="528"/>
      <c r="O681" s="744"/>
    </row>
    <row r="682" spans="2:15" ht="15" customHeight="1" x14ac:dyDescent="0.3">
      <c r="B682" s="493" t="s">
        <v>2</v>
      </c>
      <c r="C682" s="491">
        <f ca="1">IF(AND('PSA inputs'!$I$867=1,OR('PSA inputs'!$I$911=1,'PSA inputs'!$I$913=1)),G682,D682)</f>
        <v>110.9005790578879</v>
      </c>
      <c r="D682" s="491">
        <f>'Cost input'!C609*'Cost input'!C669</f>
        <v>177.63940173913045</v>
      </c>
      <c r="E682" s="491">
        <f>'Cost input'!D609*'Cost input'!D669</f>
        <v>66.614775652173918</v>
      </c>
      <c r="F682" s="491">
        <f>'Cost input'!E609*'Cost input'!E669</f>
        <v>310.86895304347826</v>
      </c>
      <c r="G682" s="492">
        <f ca="1">'PSA inputs'!J645*'PSA inputs'!J701</f>
        <v>110.9005790578879</v>
      </c>
      <c r="H682" s="528"/>
      <c r="I682" s="528"/>
      <c r="J682" s="528"/>
      <c r="K682" s="528"/>
      <c r="L682" s="528"/>
      <c r="M682" s="528"/>
      <c r="N682" s="528"/>
      <c r="O682" s="744"/>
    </row>
    <row r="683" spans="2:15" ht="15" customHeight="1" x14ac:dyDescent="0.3">
      <c r="B683" s="493" t="s">
        <v>3</v>
      </c>
      <c r="C683" s="491">
        <f ca="1">IF(AND('PSA inputs'!$I$867=1,OR('PSA inputs'!$I$911=1,'PSA inputs'!$I$913=1)),G683,D683)</f>
        <v>110.9005790578879</v>
      </c>
      <c r="D683" s="491">
        <f>'Cost input'!C610*'Cost input'!C670</f>
        <v>177.63940173913045</v>
      </c>
      <c r="E683" s="491">
        <f>'Cost input'!D610*'Cost input'!D670</f>
        <v>66.614775652173918</v>
      </c>
      <c r="F683" s="491">
        <f>'Cost input'!E610*'Cost input'!E670</f>
        <v>310.86895304347826</v>
      </c>
      <c r="G683" s="492">
        <f ca="1">'PSA inputs'!J646*'PSA inputs'!J702</f>
        <v>110.9005790578879</v>
      </c>
      <c r="H683" s="528"/>
      <c r="I683" s="528"/>
      <c r="J683" s="528"/>
      <c r="K683" s="528"/>
      <c r="L683" s="528"/>
      <c r="M683" s="528"/>
      <c r="N683" s="528"/>
      <c r="O683" s="744"/>
    </row>
    <row r="684" spans="2:15" ht="15" customHeight="1" x14ac:dyDescent="0.3">
      <c r="B684" s="493" t="s">
        <v>4</v>
      </c>
      <c r="C684" s="491">
        <f ca="1">IF(AND('PSA inputs'!$I$867=1,OR('PSA inputs'!$I$911=1,'PSA inputs'!$I$913=1)),G684,D684)</f>
        <v>110.9005790578879</v>
      </c>
      <c r="D684" s="491">
        <f>'Cost input'!C611*'Cost input'!C671</f>
        <v>177.63940173913045</v>
      </c>
      <c r="E684" s="491">
        <f>'Cost input'!D611*'Cost input'!D671</f>
        <v>66.614775652173918</v>
      </c>
      <c r="F684" s="491">
        <f>'Cost input'!E611*'Cost input'!E671</f>
        <v>310.86895304347826</v>
      </c>
      <c r="G684" s="492">
        <f ca="1">'PSA inputs'!J647*'PSA inputs'!J703</f>
        <v>110.9005790578879</v>
      </c>
      <c r="H684" s="528"/>
      <c r="I684" s="528"/>
      <c r="J684" s="528"/>
      <c r="K684" s="528"/>
      <c r="L684" s="528"/>
      <c r="M684" s="528"/>
      <c r="N684" s="528"/>
      <c r="O684" s="744"/>
    </row>
    <row r="685" spans="2:15" ht="15" customHeight="1" x14ac:dyDescent="0.3">
      <c r="B685" s="493" t="s">
        <v>5</v>
      </c>
      <c r="C685" s="491">
        <f ca="1">IF(AND('PSA inputs'!$I$867=1,OR('PSA inputs'!$I$911=1,'PSA inputs'!$I$913=1)),G685,D685)</f>
        <v>456.44347736236085</v>
      </c>
      <c r="D685" s="491">
        <f>'Cost input'!C612*'Cost input'!C672</f>
        <v>714.42903304347817</v>
      </c>
      <c r="E685" s="491">
        <f>'Cost input'!D612*'Cost input'!D672</f>
        <v>262.44331826086955</v>
      </c>
      <c r="F685" s="491">
        <f>'Cost input'!E612*'Cost input'!E672</f>
        <v>1195.5751165217389</v>
      </c>
      <c r="G685" s="492">
        <f ca="1">'PSA inputs'!J648*'PSA inputs'!J704</f>
        <v>456.44347736236085</v>
      </c>
      <c r="H685" s="528"/>
      <c r="I685" s="528"/>
      <c r="J685" s="528"/>
      <c r="K685" s="528"/>
      <c r="L685" s="528"/>
      <c r="M685" s="528"/>
      <c r="N685" s="528"/>
      <c r="O685" s="744"/>
    </row>
    <row r="686" spans="2:15" x14ac:dyDescent="0.3">
      <c r="B686" s="493" t="s">
        <v>6</v>
      </c>
      <c r="C686" s="491">
        <f ca="1">IF(AND('PSA inputs'!$I$867=1,OR('PSA inputs'!$I$911=1,'PSA inputs'!$I$913=1)),G686,D686)</f>
        <v>456.44347736236085</v>
      </c>
      <c r="D686" s="491">
        <f>'Cost input'!C613*'Cost input'!C673</f>
        <v>714.42903304347817</v>
      </c>
      <c r="E686" s="491">
        <f>'Cost input'!D613*'Cost input'!D673</f>
        <v>262.44331826086955</v>
      </c>
      <c r="F686" s="491">
        <f>'Cost input'!E613*'Cost input'!E673</f>
        <v>1195.5751165217389</v>
      </c>
      <c r="G686" s="492">
        <f ca="1">'PSA inputs'!J649*'PSA inputs'!J705</f>
        <v>456.44347736236085</v>
      </c>
      <c r="H686" s="528"/>
      <c r="I686" s="528"/>
      <c r="J686" s="528"/>
      <c r="K686" s="528"/>
      <c r="L686" s="528"/>
      <c r="M686" s="528"/>
      <c r="N686" s="528"/>
      <c r="O686" s="744"/>
    </row>
    <row r="687" spans="2:15" ht="15" customHeight="1" x14ac:dyDescent="0.3">
      <c r="B687" s="493" t="s">
        <v>7</v>
      </c>
      <c r="C687" s="491">
        <f ca="1">IF(AND('PSA inputs'!$I$867=1,OR('PSA inputs'!$I$911=1,'PSA inputs'!$I$913=1)),G687,D687)</f>
        <v>456.44347736236085</v>
      </c>
      <c r="D687" s="491">
        <f>'Cost input'!C614*'Cost input'!C674</f>
        <v>714.42903304347817</v>
      </c>
      <c r="E687" s="491">
        <f>'Cost input'!D614*'Cost input'!D674</f>
        <v>262.44331826086955</v>
      </c>
      <c r="F687" s="491">
        <f>'Cost input'!E614*'Cost input'!E674</f>
        <v>1195.5751165217389</v>
      </c>
      <c r="G687" s="492">
        <f ca="1">'PSA inputs'!J650*'PSA inputs'!J706</f>
        <v>456.44347736236085</v>
      </c>
      <c r="H687" s="528"/>
      <c r="I687" s="528"/>
      <c r="J687" s="528"/>
      <c r="K687" s="528"/>
      <c r="L687" s="528"/>
      <c r="M687" s="528"/>
      <c r="N687" s="528"/>
      <c r="O687" s="744"/>
    </row>
    <row r="688" spans="2:15" x14ac:dyDescent="0.3">
      <c r="B688" s="493" t="s">
        <v>1469</v>
      </c>
      <c r="C688" s="491">
        <f ca="1">IF(AND('PSA inputs'!$I$867=1,OR('PSA inputs'!$I$911=1,'PSA inputs'!$I$913=1)),G688,D688)</f>
        <v>52.311644197882224</v>
      </c>
      <c r="D688" s="491">
        <f>'Cost input'!C615*'Cost input'!C675</f>
        <v>73.491478260869556</v>
      </c>
      <c r="E688" s="491">
        <f>'Cost input'!D615*'Cost input'!D675</f>
        <v>23.622260869565217</v>
      </c>
      <c r="F688" s="491">
        <f>'Cost input'!E615*'Cost input'!E675</f>
        <v>94.489043478260868</v>
      </c>
      <c r="G688" s="492">
        <f ca="1">'PSA inputs'!J651*'PSA inputs'!J707</f>
        <v>52.311644197882224</v>
      </c>
      <c r="H688" s="528"/>
      <c r="I688" s="528"/>
      <c r="J688" s="528"/>
      <c r="K688" s="528"/>
      <c r="L688" s="528"/>
      <c r="M688" s="528"/>
      <c r="N688" s="528"/>
      <c r="O688" s="744"/>
    </row>
    <row r="689" spans="2:15" x14ac:dyDescent="0.3">
      <c r="B689" s="487" t="s">
        <v>1444</v>
      </c>
      <c r="C689" s="533"/>
      <c r="D689" s="533"/>
      <c r="E689" s="533"/>
      <c r="F689" s="533"/>
      <c r="G689" s="533"/>
      <c r="H689" s="532"/>
      <c r="I689" s="528"/>
      <c r="J689" s="528"/>
      <c r="K689" s="528"/>
      <c r="L689" s="528"/>
      <c r="M689" s="528"/>
      <c r="N689" s="528"/>
      <c r="O689" s="744"/>
    </row>
    <row r="690" spans="2:15" x14ac:dyDescent="0.3">
      <c r="B690" s="493" t="s">
        <v>2</v>
      </c>
      <c r="C690" s="491">
        <f ca="1">IF(AND('PSA inputs'!$I$867=1,OR('PSA inputs'!$I$911=1,'PSA inputs'!$I$913=1)),G690,D690)</f>
        <v>152.63879284679504</v>
      </c>
      <c r="D690" s="491">
        <f>'Cost input'!C617*'Cost input'!C677</f>
        <v>177.63940173913045</v>
      </c>
      <c r="E690" s="491">
        <f>'Cost input'!D617*'Cost input'!D677</f>
        <v>66.614775652173918</v>
      </c>
      <c r="F690" s="491">
        <f>'Cost input'!E617*'Cost input'!E677</f>
        <v>310.86895304347826</v>
      </c>
      <c r="G690" s="492">
        <f ca="1">'PSA inputs'!J653*'PSA inputs'!J709</f>
        <v>152.63879284679504</v>
      </c>
      <c r="H690" s="521"/>
      <c r="I690" s="502"/>
      <c r="J690" s="502"/>
      <c r="K690" s="502"/>
      <c r="L690" s="502"/>
      <c r="M690" s="502"/>
      <c r="N690" s="502"/>
      <c r="O690" s="739"/>
    </row>
    <row r="691" spans="2:15" x14ac:dyDescent="0.3">
      <c r="B691" s="493" t="s">
        <v>3</v>
      </c>
      <c r="C691" s="491">
        <f ca="1">IF(AND('PSA inputs'!$I$867=1,OR('PSA inputs'!$I$911=1,'PSA inputs'!$I$913=1)),G691,D691)</f>
        <v>152.63879284679504</v>
      </c>
      <c r="D691" s="491">
        <f>'Cost input'!C618*'Cost input'!C678</f>
        <v>177.63940173913045</v>
      </c>
      <c r="E691" s="491">
        <f>'Cost input'!D618*'Cost input'!D678</f>
        <v>66.614775652173918</v>
      </c>
      <c r="F691" s="491">
        <f>'Cost input'!E618*'Cost input'!E678</f>
        <v>310.86895304347826</v>
      </c>
      <c r="G691" s="492">
        <f ca="1">'PSA inputs'!J654*'PSA inputs'!J710</f>
        <v>152.63879284679504</v>
      </c>
      <c r="H691" s="521"/>
      <c r="I691" s="502"/>
      <c r="J691" s="502"/>
      <c r="K691" s="502"/>
      <c r="L691" s="502"/>
      <c r="M691" s="502"/>
      <c r="N691" s="502"/>
      <c r="O691" s="739"/>
    </row>
    <row r="692" spans="2:15" x14ac:dyDescent="0.3">
      <c r="B692" s="493" t="s">
        <v>4</v>
      </c>
      <c r="C692" s="491">
        <f ca="1">IF(AND('PSA inputs'!$I$867=1,OR('PSA inputs'!$I$911=1,'PSA inputs'!$I$913=1)),G692,D692)</f>
        <v>152.63879284679504</v>
      </c>
      <c r="D692" s="491">
        <f>'Cost input'!C619*'Cost input'!C679</f>
        <v>177.63940173913045</v>
      </c>
      <c r="E692" s="491">
        <f>'Cost input'!D619*'Cost input'!D679</f>
        <v>66.614775652173918</v>
      </c>
      <c r="F692" s="491">
        <f>'Cost input'!E619*'Cost input'!E679</f>
        <v>310.86895304347826</v>
      </c>
      <c r="G692" s="492">
        <f ca="1">'PSA inputs'!J655*'PSA inputs'!J711</f>
        <v>152.63879284679504</v>
      </c>
      <c r="H692" s="521"/>
      <c r="I692" s="502"/>
      <c r="J692" s="502"/>
      <c r="K692" s="502"/>
      <c r="L692" s="502"/>
      <c r="M692" s="502"/>
      <c r="N692" s="502"/>
      <c r="O692" s="739"/>
    </row>
    <row r="693" spans="2:15" x14ac:dyDescent="0.3">
      <c r="B693" s="493" t="s">
        <v>5</v>
      </c>
      <c r="C693" s="491">
        <f ca="1">IF(AND('PSA inputs'!$I$867=1,OR('PSA inputs'!$I$911=1,'PSA inputs'!$I$913=1)),G693,D693)</f>
        <v>618.31056695647351</v>
      </c>
      <c r="D693" s="491">
        <f>'Cost input'!C620*'Cost input'!C680</f>
        <v>714.42903304347817</v>
      </c>
      <c r="E693" s="491">
        <f>'Cost input'!D620*'Cost input'!D680</f>
        <v>262.44331826086955</v>
      </c>
      <c r="F693" s="491">
        <f>'Cost input'!E620*'Cost input'!E680</f>
        <v>1195.5751165217389</v>
      </c>
      <c r="G693" s="492">
        <f ca="1">'PSA inputs'!J656*'PSA inputs'!J712</f>
        <v>618.31056695647351</v>
      </c>
      <c r="H693" s="521"/>
      <c r="I693" s="502"/>
      <c r="J693" s="502"/>
      <c r="K693" s="502"/>
      <c r="L693" s="502"/>
      <c r="M693" s="502"/>
      <c r="N693" s="502"/>
      <c r="O693" s="739"/>
    </row>
    <row r="694" spans="2:15" x14ac:dyDescent="0.3">
      <c r="B694" s="493" t="s">
        <v>6</v>
      </c>
      <c r="C694" s="491">
        <f ca="1">IF(AND('PSA inputs'!$I$867=1,OR('PSA inputs'!$I$911=1,'PSA inputs'!$I$913=1)),G694,D694)</f>
        <v>618.31056695647351</v>
      </c>
      <c r="D694" s="491">
        <f>'Cost input'!C621*'Cost input'!C681</f>
        <v>714.42903304347817</v>
      </c>
      <c r="E694" s="491">
        <f>'Cost input'!D621*'Cost input'!D681</f>
        <v>262.44331826086955</v>
      </c>
      <c r="F694" s="491">
        <f>'Cost input'!E621*'Cost input'!E681</f>
        <v>1195.5751165217389</v>
      </c>
      <c r="G694" s="492">
        <f ca="1">'PSA inputs'!J657*'PSA inputs'!J713</f>
        <v>618.31056695647351</v>
      </c>
      <c r="H694" s="521"/>
      <c r="I694" s="502"/>
      <c r="J694" s="502"/>
      <c r="K694" s="502"/>
      <c r="L694" s="502"/>
      <c r="M694" s="502"/>
      <c r="N694" s="502"/>
      <c r="O694" s="739"/>
    </row>
    <row r="695" spans="2:15" x14ac:dyDescent="0.3">
      <c r="B695" s="493" t="s">
        <v>7</v>
      </c>
      <c r="C695" s="491">
        <f ca="1">IF(AND('PSA inputs'!$I$867=1,OR('PSA inputs'!$I$911=1,'PSA inputs'!$I$913=1)),G695,D695)</f>
        <v>618.31056695647351</v>
      </c>
      <c r="D695" s="491">
        <f>'Cost input'!C622*'Cost input'!C682</f>
        <v>714.42903304347817</v>
      </c>
      <c r="E695" s="491">
        <f>'Cost input'!D622*'Cost input'!D682</f>
        <v>262.44331826086955</v>
      </c>
      <c r="F695" s="491">
        <f>'Cost input'!E622*'Cost input'!E682</f>
        <v>1195.5751165217389</v>
      </c>
      <c r="G695" s="492">
        <f ca="1">'PSA inputs'!J658*'PSA inputs'!J714</f>
        <v>618.31056695647351</v>
      </c>
      <c r="H695" s="521"/>
      <c r="I695" s="502"/>
      <c r="J695" s="502"/>
      <c r="K695" s="502"/>
      <c r="L695" s="502"/>
      <c r="M695" s="502"/>
      <c r="N695" s="502"/>
      <c r="O695" s="739"/>
    </row>
    <row r="696" spans="2:15" x14ac:dyDescent="0.3">
      <c r="B696" s="493" t="s">
        <v>1469</v>
      </c>
      <c r="C696" s="491">
        <f ca="1">IF(AND('PSA inputs'!$I$867=1,OR('PSA inputs'!$I$911=1,'PSA inputs'!$I$913=1)),G696,D696)</f>
        <v>65.685545750234397</v>
      </c>
      <c r="D696" s="491">
        <f>'Cost input'!C623*'Cost input'!C683</f>
        <v>73.491478260869556</v>
      </c>
      <c r="E696" s="491">
        <f>'Cost input'!D623*'Cost input'!D683</f>
        <v>23.622260869565217</v>
      </c>
      <c r="F696" s="491">
        <f>'Cost input'!E623*'Cost input'!E683</f>
        <v>94.489043478260868</v>
      </c>
      <c r="G696" s="492">
        <f ca="1">'PSA inputs'!J659*'PSA inputs'!J715</f>
        <v>65.685545750234397</v>
      </c>
      <c r="H696" s="521"/>
      <c r="I696" s="502"/>
      <c r="J696" s="502"/>
      <c r="K696" s="502"/>
      <c r="L696" s="502"/>
      <c r="M696" s="502"/>
      <c r="N696" s="502"/>
      <c r="O696" s="739"/>
    </row>
    <row r="697" spans="2:15" x14ac:dyDescent="0.3">
      <c r="B697" s="498" t="s">
        <v>227</v>
      </c>
      <c r="C697" s="533"/>
      <c r="D697" s="533"/>
      <c r="E697" s="533"/>
      <c r="F697" s="533"/>
      <c r="G697" s="533"/>
      <c r="H697" s="528"/>
      <c r="I697" s="528"/>
      <c r="J697" s="528"/>
      <c r="K697" s="528"/>
      <c r="L697" s="528"/>
      <c r="M697" s="528"/>
      <c r="N697" s="528"/>
      <c r="O697" s="744"/>
    </row>
    <row r="698" spans="2:15" x14ac:dyDescent="0.3">
      <c r="B698" s="490" t="s">
        <v>1437</v>
      </c>
      <c r="C698" s="491">
        <f ca="1">IF(AND('PSA inputs'!$I$867=1,OR('PSA inputs'!$I$911=1,'PSA inputs'!$I$913=1)),G698,D698)</f>
        <v>738.22726225137558</v>
      </c>
      <c r="D698" s="491">
        <f>'Cost input'!C625*'Cost input'!C685</f>
        <v>417.32660869565217</v>
      </c>
      <c r="E698" s="491">
        <f>'Cost input'!D625*'Cost input'!D685</f>
        <v>150.23757913043477</v>
      </c>
      <c r="F698" s="491">
        <f>'Cost input'!E625*'Cost input'!E685</f>
        <v>701.10870260869569</v>
      </c>
      <c r="G698" s="492">
        <f ca="1">'PSA inputs'!J661*'PSA inputs'!J717</f>
        <v>738.22726225137558</v>
      </c>
      <c r="H698" s="528"/>
      <c r="I698" s="528"/>
      <c r="J698" s="528"/>
      <c r="K698" s="528"/>
      <c r="L698" s="528"/>
      <c r="M698" s="528"/>
      <c r="N698" s="528"/>
      <c r="O698" s="744"/>
    </row>
    <row r="699" spans="2:15" x14ac:dyDescent="0.3">
      <c r="B699" s="490" t="s">
        <v>1438</v>
      </c>
      <c r="C699" s="491">
        <f ca="1">IF(AND('PSA inputs'!$I$867=1,OR('PSA inputs'!$I$911=1,'PSA inputs'!$I$913=1)),G699,D699)</f>
        <v>738.22726225137558</v>
      </c>
      <c r="D699" s="491">
        <f>'Cost input'!C626*'Cost input'!C686</f>
        <v>417.32660869565217</v>
      </c>
      <c r="E699" s="491">
        <f>'Cost input'!D626*'Cost input'!D686</f>
        <v>150.23757913043477</v>
      </c>
      <c r="F699" s="491">
        <f>'Cost input'!E626*'Cost input'!E686</f>
        <v>701.10870260869569</v>
      </c>
      <c r="G699" s="492">
        <f ca="1">'PSA inputs'!J662*'PSA inputs'!J718</f>
        <v>738.22726225137558</v>
      </c>
      <c r="H699" s="528"/>
      <c r="I699" s="528"/>
      <c r="J699" s="528"/>
      <c r="K699" s="528"/>
      <c r="L699" s="528"/>
      <c r="M699" s="528"/>
      <c r="N699" s="528"/>
      <c r="O699" s="744"/>
    </row>
    <row r="700" spans="2:15" x14ac:dyDescent="0.3">
      <c r="B700" s="490" t="s">
        <v>1441</v>
      </c>
      <c r="C700" s="491">
        <f ca="1">IF(AND('PSA inputs'!$I$867=1,OR('PSA inputs'!$I$911=1,'PSA inputs'!$I$913=1)),G700,D700)</f>
        <v>391.24313821877581</v>
      </c>
      <c r="D700" s="491">
        <f>'Cost input'!C627*'Cost input'!C687</f>
        <v>224.93641739130433</v>
      </c>
      <c r="E700" s="491">
        <f>'Cost input'!D627*'Cost input'!D687</f>
        <v>84.351156521739128</v>
      </c>
      <c r="F700" s="491">
        <f>'Cost input'!E627*'Cost input'!E687</f>
        <v>371.14508869565213</v>
      </c>
      <c r="G700" s="492">
        <f ca="1">'PSA inputs'!J663*'PSA inputs'!J719</f>
        <v>391.24313821877581</v>
      </c>
      <c r="H700" s="528"/>
      <c r="I700" s="528"/>
      <c r="J700" s="528"/>
      <c r="K700" s="528"/>
      <c r="L700" s="528"/>
      <c r="M700" s="528"/>
      <c r="N700" s="528"/>
      <c r="O700" s="744"/>
    </row>
    <row r="701" spans="2:15" x14ac:dyDescent="0.3">
      <c r="B701" s="490" t="s">
        <v>1442</v>
      </c>
      <c r="C701" s="491">
        <f ca="1">IF(AND('PSA inputs'!$I$867=1,OR('PSA inputs'!$I$911=1,'PSA inputs'!$I$913=1)),G701,D701)</f>
        <v>386.22134764653964</v>
      </c>
      <c r="D701" s="491">
        <f>'Cost input'!C628*'Cost input'!C688</f>
        <v>222.04925217391306</v>
      </c>
      <c r="E701" s="491">
        <f>'Cost input'!D628*'Cost input'!D688</f>
        <v>83.268469565217401</v>
      </c>
      <c r="F701" s="491">
        <f>'Cost input'!E628*'Cost input'!E688</f>
        <v>366.38126608695654</v>
      </c>
      <c r="G701" s="492">
        <f ca="1">'PSA inputs'!J664*'PSA inputs'!J720</f>
        <v>386.22134764653964</v>
      </c>
      <c r="H701" s="528"/>
      <c r="I701" s="528"/>
      <c r="J701" s="528"/>
      <c r="K701" s="528"/>
      <c r="L701" s="528"/>
      <c r="M701" s="528"/>
      <c r="N701" s="528"/>
      <c r="O701" s="744"/>
    </row>
    <row r="702" spans="2:15" x14ac:dyDescent="0.3">
      <c r="B702" s="498" t="s">
        <v>920</v>
      </c>
      <c r="C702" s="533"/>
      <c r="D702" s="533"/>
      <c r="E702" s="533"/>
      <c r="F702" s="533"/>
      <c r="G702" s="533"/>
      <c r="H702" s="528"/>
      <c r="I702" s="528"/>
      <c r="J702" s="528"/>
      <c r="K702" s="528"/>
      <c r="L702" s="528"/>
      <c r="M702" s="528"/>
      <c r="N702" s="528"/>
      <c r="O702" s="744"/>
    </row>
    <row r="703" spans="2:15" x14ac:dyDescent="0.3">
      <c r="B703" s="490" t="s">
        <v>920</v>
      </c>
      <c r="C703" s="491">
        <f ca="1">IF(AND('PSA inputs'!$I$867=1,OR('PSA inputs'!$I$911=1,'PSA inputs'!$I$913=1)),G703,D703)</f>
        <v>883.34107961449081</v>
      </c>
      <c r="D703" s="491">
        <f>'Cost input'!C630*'Cost input'!C690</f>
        <v>643.94283130434781</v>
      </c>
      <c r="E703" s="491">
        <f>'Cost input'!D630*'Cost input'!D690</f>
        <v>362.21784260869566</v>
      </c>
      <c r="F703" s="491">
        <f>'Cost input'!E630*'Cost input'!E690</f>
        <v>804.92853913043484</v>
      </c>
      <c r="G703" s="492">
        <f ca="1">'PSA inputs'!J666*'PSA inputs'!J722</f>
        <v>883.34107961449081</v>
      </c>
      <c r="H703" s="528"/>
      <c r="I703" s="528"/>
      <c r="J703" s="528"/>
      <c r="K703" s="528"/>
      <c r="L703" s="528"/>
      <c r="M703" s="528"/>
      <c r="N703" s="528"/>
      <c r="O703" s="744"/>
    </row>
    <row r="704" spans="2:15" x14ac:dyDescent="0.3">
      <c r="B704" s="490" t="s">
        <v>980</v>
      </c>
      <c r="C704" s="491">
        <f ca="1">IF(AND('PSA inputs'!$I$867=1,OR('PSA inputs'!$I$911=1,'PSA inputs'!$I$913=1)),G704,D704)</f>
        <v>0</v>
      </c>
      <c r="D704" s="491">
        <f>'Cost input'!C631*'Cost input'!C691</f>
        <v>0</v>
      </c>
      <c r="E704" s="491">
        <f>'Cost input'!D631*'Cost input'!D691</f>
        <v>0</v>
      </c>
      <c r="F704" s="491">
        <f>'Cost input'!E631*'Cost input'!E691</f>
        <v>0</v>
      </c>
      <c r="G704" s="492">
        <f ca="1">'PSA inputs'!J667*'PSA inputs'!J723</f>
        <v>0</v>
      </c>
      <c r="H704" s="528"/>
      <c r="I704" s="528"/>
      <c r="J704" s="528"/>
      <c r="K704" s="528"/>
      <c r="L704" s="528"/>
      <c r="M704" s="528"/>
      <c r="N704" s="528"/>
      <c r="O704" s="744"/>
    </row>
    <row r="705" spans="2:15" x14ac:dyDescent="0.3">
      <c r="B705" s="500"/>
      <c r="C705" s="539"/>
      <c r="D705" s="539"/>
      <c r="E705" s="540"/>
      <c r="F705" s="539"/>
      <c r="G705" s="539"/>
      <c r="H705" s="528"/>
      <c r="I705" s="528"/>
      <c r="J705" s="528"/>
      <c r="K705" s="528"/>
      <c r="L705" s="528"/>
      <c r="M705" s="528"/>
      <c r="N705" s="528"/>
      <c r="O705" s="744"/>
    </row>
    <row r="706" spans="2:15" x14ac:dyDescent="0.3">
      <c r="B706" s="509" t="s">
        <v>1013</v>
      </c>
      <c r="C706" s="537"/>
      <c r="D706" s="537"/>
      <c r="E706" s="537"/>
      <c r="F706" s="537"/>
      <c r="G706" s="537"/>
      <c r="H706" s="528"/>
      <c r="I706" s="528"/>
      <c r="J706" s="528"/>
      <c r="K706" s="528"/>
      <c r="L706" s="528"/>
      <c r="M706" s="528"/>
      <c r="N706" s="528"/>
      <c r="O706" s="744"/>
    </row>
    <row r="707" spans="2:15" x14ac:dyDescent="0.3">
      <c r="B707" s="484" t="s">
        <v>950</v>
      </c>
      <c r="C707" s="538" t="s">
        <v>724</v>
      </c>
      <c r="D707" s="538" t="s">
        <v>995</v>
      </c>
      <c r="E707" s="538" t="s">
        <v>985</v>
      </c>
      <c r="F707" s="538" t="s">
        <v>986</v>
      </c>
      <c r="G707" s="538" t="s">
        <v>996</v>
      </c>
      <c r="H707" s="791"/>
      <c r="I707" s="791"/>
      <c r="J707" s="791"/>
      <c r="K707" s="528"/>
      <c r="L707" s="528"/>
      <c r="M707" s="528"/>
      <c r="N707" s="528"/>
      <c r="O707" s="744"/>
    </row>
    <row r="708" spans="2:15" x14ac:dyDescent="0.3">
      <c r="B708" s="487" t="s">
        <v>1445</v>
      </c>
      <c r="C708" s="539"/>
      <c r="D708" s="539"/>
      <c r="E708" s="540"/>
      <c r="F708" s="539"/>
      <c r="G708" s="539"/>
      <c r="H708" s="541"/>
      <c r="I708" s="541"/>
      <c r="J708" s="541"/>
      <c r="K708" s="528"/>
      <c r="L708" s="528"/>
      <c r="M708" s="528"/>
      <c r="N708" s="528"/>
      <c r="O708" s="744"/>
    </row>
    <row r="709" spans="2:15" x14ac:dyDescent="0.3">
      <c r="B709" s="493" t="s">
        <v>2</v>
      </c>
      <c r="C709" s="491">
        <f ca="1">IF(AND('PSA inputs'!$I$867=1,OR('PSA inputs'!$I$912=1,'PSA inputs'!$I$913=1)),G709,D709)</f>
        <v>495067.26733485155</v>
      </c>
      <c r="D709" s="491">
        <f>'Cost input'!C639*'Cost input'!C669</f>
        <v>553541.13826982363</v>
      </c>
      <c r="E709" s="491">
        <f>'Cost input'!D639*'Cost input'!D669</f>
        <v>311366.89027677575</v>
      </c>
      <c r="F709" s="491">
        <f>'Cost input'!E639*'Cost input'!E669</f>
        <v>553541.13826982363</v>
      </c>
      <c r="G709" s="492">
        <f ca="1">'PSA inputs'!J673*'PSA inputs'!J701</f>
        <v>495067.26733485155</v>
      </c>
      <c r="H709" s="528"/>
      <c r="I709" s="528"/>
      <c r="J709" s="528"/>
      <c r="K709" s="528"/>
      <c r="L709" s="528"/>
      <c r="M709" s="528"/>
      <c r="N709" s="528"/>
      <c r="O709" s="744"/>
    </row>
    <row r="710" spans="2:15" x14ac:dyDescent="0.3">
      <c r="B710" s="493" t="s">
        <v>3</v>
      </c>
      <c r="C710" s="491">
        <f ca="1">IF(AND('PSA inputs'!$I$867=1,OR('PSA inputs'!$I$912=1,'PSA inputs'!$I$913=1)),G710,D710)</f>
        <v>499549.32615710062</v>
      </c>
      <c r="D710" s="491">
        <f>'Cost input'!C640*'Cost input'!C670</f>
        <v>558552.586422347</v>
      </c>
      <c r="E710" s="491">
        <f>'Cost input'!D640*'Cost input'!D670</f>
        <v>314185.82986257016</v>
      </c>
      <c r="F710" s="491">
        <f>'Cost input'!E640*'Cost input'!E670</f>
        <v>558552.586422347</v>
      </c>
      <c r="G710" s="492">
        <f ca="1">'PSA inputs'!J674*'PSA inputs'!J702</f>
        <v>499549.32615710062</v>
      </c>
      <c r="H710" s="528"/>
      <c r="I710" s="528"/>
      <c r="J710" s="528"/>
      <c r="K710" s="528"/>
      <c r="L710" s="528"/>
      <c r="M710" s="528"/>
      <c r="N710" s="528"/>
      <c r="O710" s="744"/>
    </row>
    <row r="711" spans="2:15" x14ac:dyDescent="0.3">
      <c r="B711" s="493" t="s">
        <v>4</v>
      </c>
      <c r="C711" s="491">
        <f ca="1">IF(AND('PSA inputs'!$I$867=1,OR('PSA inputs'!$I$912=1,'PSA inputs'!$I$913=1)),G711,D711)</f>
        <v>498209.94233481673</v>
      </c>
      <c r="D711" s="491">
        <f>'Cost input'!C641*'Cost input'!C671</f>
        <v>557055.00398358353</v>
      </c>
      <c r="E711" s="491">
        <f>'Cost input'!D641*'Cost input'!D671</f>
        <v>313343.43974076578</v>
      </c>
      <c r="F711" s="491">
        <f>'Cost input'!E641*'Cost input'!E671</f>
        <v>557055.00398358353</v>
      </c>
      <c r="G711" s="492">
        <f ca="1">'PSA inputs'!J675*'PSA inputs'!J703</f>
        <v>498209.94233481673</v>
      </c>
      <c r="H711" s="528"/>
      <c r="I711" s="528"/>
      <c r="J711" s="528"/>
      <c r="K711" s="528"/>
      <c r="L711" s="528"/>
      <c r="M711" s="528"/>
      <c r="N711" s="528"/>
      <c r="O711" s="744"/>
    </row>
    <row r="712" spans="2:15" x14ac:dyDescent="0.3">
      <c r="B712" s="493" t="s">
        <v>5</v>
      </c>
      <c r="C712" s="491">
        <f ca="1">IF(AND('PSA inputs'!$I$867=1,OR('PSA inputs'!$I$912=1,'PSA inputs'!$I$913=1)),G712,D712)</f>
        <v>639425.79853975296</v>
      </c>
      <c r="D712" s="491">
        <f>'Cost input'!C642*'Cost input'!C672</f>
        <v>714950.28598484083</v>
      </c>
      <c r="E712" s="491">
        <f>'Cost input'!D642*'Cost input'!D672</f>
        <v>402159.53586647304</v>
      </c>
      <c r="F712" s="491">
        <f>'Cost input'!E642*'Cost input'!E672</f>
        <v>714950.28598484083</v>
      </c>
      <c r="G712" s="492">
        <f ca="1">'PSA inputs'!J676*'PSA inputs'!J704</f>
        <v>639425.79853975296</v>
      </c>
      <c r="H712" s="528"/>
      <c r="I712" s="528"/>
      <c r="J712" s="528"/>
      <c r="K712" s="528"/>
      <c r="L712" s="528"/>
      <c r="M712" s="528"/>
      <c r="N712" s="528"/>
      <c r="O712" s="744"/>
    </row>
    <row r="713" spans="2:15" x14ac:dyDescent="0.3">
      <c r="B713" s="493" t="s">
        <v>6</v>
      </c>
      <c r="C713" s="491">
        <f ca="1">IF(AND('PSA inputs'!$I$867=1,OR('PSA inputs'!$I$912=1,'PSA inputs'!$I$913=1)),G713,D713)</f>
        <v>507675.12037824962</v>
      </c>
      <c r="D713" s="491">
        <f>'Cost input'!C643*'Cost input'!C673</f>
        <v>567638.14242514153</v>
      </c>
      <c r="E713" s="491">
        <f>'Cost input'!D643*'Cost input'!D673</f>
        <v>319296.4551141421</v>
      </c>
      <c r="F713" s="491">
        <f>'Cost input'!E643*'Cost input'!E673</f>
        <v>567638.14242514153</v>
      </c>
      <c r="G713" s="492">
        <f ca="1">'PSA inputs'!J677*'PSA inputs'!J705</f>
        <v>507675.12037824962</v>
      </c>
      <c r="H713" s="528"/>
      <c r="I713" s="528"/>
      <c r="J713" s="528"/>
      <c r="K713" s="528"/>
      <c r="L713" s="528"/>
      <c r="M713" s="528"/>
      <c r="N713" s="528"/>
      <c r="O713" s="744"/>
    </row>
    <row r="714" spans="2:15" x14ac:dyDescent="0.3">
      <c r="B714" s="493" t="s">
        <v>7</v>
      </c>
      <c r="C714" s="491">
        <f ca="1">IF(AND('PSA inputs'!$I$867=1,OR('PSA inputs'!$I$912=1,'PSA inputs'!$I$913=1)),G714,D714)</f>
        <v>232492.96314129949</v>
      </c>
      <c r="D714" s="491">
        <f>'Cost input'!C644*'Cost input'!C674</f>
        <v>259953.40017079594</v>
      </c>
      <c r="E714" s="491">
        <f>'Cost input'!D644*'Cost input'!D674</f>
        <v>146223.78759607274</v>
      </c>
      <c r="F714" s="491">
        <f>'Cost input'!E644*'Cost input'!E674</f>
        <v>259953.40017079594</v>
      </c>
      <c r="G714" s="492">
        <f ca="1">'PSA inputs'!J678*'PSA inputs'!J706</f>
        <v>232492.96314129949</v>
      </c>
      <c r="H714" s="528"/>
      <c r="I714" s="528"/>
      <c r="J714" s="528"/>
      <c r="K714" s="528"/>
      <c r="L714" s="528"/>
      <c r="M714" s="528"/>
      <c r="N714" s="528"/>
      <c r="O714" s="744"/>
    </row>
    <row r="715" spans="2:15" x14ac:dyDescent="0.3">
      <c r="B715" s="493" t="s">
        <v>1469</v>
      </c>
      <c r="C715" s="491">
        <f ca="1">IF(AND('PSA inputs'!$I$867=1,OR('PSA inputs'!$I$912=1,'PSA inputs'!$I$913=1)),G715,D715)</f>
        <v>0</v>
      </c>
      <c r="D715" s="491">
        <f>'Cost input'!C645*'Cost input'!C675</f>
        <v>0</v>
      </c>
      <c r="E715" s="491">
        <f>'Cost input'!D645*'Cost input'!D675</f>
        <v>0</v>
      </c>
      <c r="F715" s="491">
        <f>'Cost input'!E645*'Cost input'!E675</f>
        <v>0</v>
      </c>
      <c r="G715" s="492">
        <f ca="1">'PSA inputs'!J679*'PSA inputs'!J707</f>
        <v>0</v>
      </c>
      <c r="H715" s="532"/>
      <c r="I715" s="528"/>
      <c r="J715" s="528"/>
      <c r="K715" s="528"/>
      <c r="L715" s="528"/>
      <c r="M715" s="528"/>
      <c r="N715" s="528"/>
      <c r="O715" s="744"/>
    </row>
    <row r="716" spans="2:15" x14ac:dyDescent="0.3">
      <c r="B716" s="487" t="s">
        <v>1444</v>
      </c>
      <c r="C716" s="533"/>
      <c r="D716" s="533"/>
      <c r="E716" s="533"/>
      <c r="F716" s="533"/>
      <c r="G716" s="533"/>
      <c r="H716" s="521"/>
      <c r="I716" s="502"/>
      <c r="J716" s="502"/>
      <c r="K716" s="502"/>
      <c r="L716" s="502"/>
      <c r="M716" s="502"/>
      <c r="N716" s="528"/>
      <c r="O716" s="744"/>
    </row>
    <row r="717" spans="2:15" x14ac:dyDescent="0.3">
      <c r="B717" s="493" t="s">
        <v>2</v>
      </c>
      <c r="C717" s="491">
        <f ca="1">IF(AND('PSA inputs'!$I$867=1,OR('PSA inputs'!$I$912=1,'PSA inputs'!$I$913=1)),G717,D717)</f>
        <v>428260.04378018598</v>
      </c>
      <c r="D717" s="491">
        <f>'Cost input'!C647*'Cost input'!C677</f>
        <v>442832.9106158588</v>
      </c>
      <c r="E717" s="491">
        <f>'Cost input'!D647*'Cost input'!D677</f>
        <v>249093.51222142059</v>
      </c>
      <c r="F717" s="491">
        <f>'Cost input'!E647*'Cost input'!E677</f>
        <v>442832.9106158588</v>
      </c>
      <c r="G717" s="492">
        <f ca="1">'PSA inputs'!J681*'PSA inputs'!J709</f>
        <v>428260.04378018598</v>
      </c>
      <c r="H717" s="521"/>
      <c r="I717" s="502"/>
      <c r="J717" s="502"/>
      <c r="K717" s="502"/>
      <c r="L717" s="502"/>
      <c r="M717" s="502"/>
      <c r="N717" s="502"/>
      <c r="O717" s="739"/>
    </row>
    <row r="718" spans="2:15" x14ac:dyDescent="0.3">
      <c r="B718" s="493" t="s">
        <v>3</v>
      </c>
      <c r="C718" s="491">
        <f ca="1">IF(AND('PSA inputs'!$I$867=1,OR('PSA inputs'!$I$912=1,'PSA inputs'!$I$913=1)),G718,D718)</f>
        <v>432137.26781435637</v>
      </c>
      <c r="D718" s="491">
        <f>'Cost input'!C648*'Cost input'!C678</f>
        <v>446842.06913787761</v>
      </c>
      <c r="E718" s="491">
        <f>'Cost input'!D648*'Cost input'!D678</f>
        <v>251348.66389005617</v>
      </c>
      <c r="F718" s="491">
        <f>'Cost input'!E648*'Cost input'!E678</f>
        <v>446842.06913787761</v>
      </c>
      <c r="G718" s="492">
        <f ca="1">'PSA inputs'!J682*'PSA inputs'!J710</f>
        <v>432137.26781435637</v>
      </c>
      <c r="H718" s="521"/>
      <c r="I718" s="502"/>
      <c r="J718" s="502"/>
      <c r="K718" s="502"/>
      <c r="L718" s="502"/>
      <c r="M718" s="502"/>
      <c r="N718" s="502"/>
      <c r="O718" s="739"/>
    </row>
    <row r="719" spans="2:15" x14ac:dyDescent="0.3">
      <c r="B719" s="493" t="s">
        <v>4</v>
      </c>
      <c r="C719" s="491">
        <f ca="1">IF(AND('PSA inputs'!$I$867=1,OR('PSA inputs'!$I$912=1,'PSA inputs'!$I$913=1)),G719,D719)</f>
        <v>430978.62814613979</v>
      </c>
      <c r="D719" s="491">
        <f>'Cost input'!C649*'Cost input'!C679</f>
        <v>445644.00318686693</v>
      </c>
      <c r="E719" s="491">
        <f>'Cost input'!D649*'Cost input'!D679</f>
        <v>250674.75179261263</v>
      </c>
      <c r="F719" s="491">
        <f>'Cost input'!E649*'Cost input'!E679</f>
        <v>445644.00318686693</v>
      </c>
      <c r="G719" s="492">
        <f ca="1">'PSA inputs'!J683*'PSA inputs'!J711</f>
        <v>430978.62814613979</v>
      </c>
      <c r="H719" s="532"/>
      <c r="I719" s="528"/>
      <c r="J719" s="528"/>
      <c r="K719" s="528"/>
      <c r="L719" s="528"/>
      <c r="M719" s="528"/>
      <c r="N719" s="502"/>
      <c r="O719" s="739"/>
    </row>
    <row r="720" spans="2:15" x14ac:dyDescent="0.3">
      <c r="B720" s="493" t="s">
        <v>5</v>
      </c>
      <c r="C720" s="491">
        <f ca="1">IF(AND('PSA inputs'!$I$867=1,OR('PSA inputs'!$I$912=1,'PSA inputs'!$I$913=1)),G720,D720)</f>
        <v>553138.00476248388</v>
      </c>
      <c r="D720" s="491">
        <f>'Cost input'!C650*'Cost input'!C680</f>
        <v>571960.22878787259</v>
      </c>
      <c r="E720" s="491">
        <f>'Cost input'!D650*'Cost input'!D680</f>
        <v>321727.62869317841</v>
      </c>
      <c r="F720" s="491">
        <f>'Cost input'!E650*'Cost input'!E680</f>
        <v>571960.22878787259</v>
      </c>
      <c r="G720" s="492">
        <f ca="1">'PSA inputs'!J684*'PSA inputs'!J712</f>
        <v>553138.00476248388</v>
      </c>
      <c r="H720" s="521"/>
      <c r="I720" s="502"/>
      <c r="J720" s="502"/>
      <c r="K720" s="502"/>
      <c r="L720" s="502"/>
      <c r="M720" s="502"/>
      <c r="N720" s="502"/>
      <c r="O720" s="739"/>
    </row>
    <row r="721" spans="2:15" x14ac:dyDescent="0.3">
      <c r="B721" s="493" t="s">
        <v>6</v>
      </c>
      <c r="C721" s="491">
        <f ca="1">IF(AND('PSA inputs'!$I$867=1,OR('PSA inputs'!$I$912=1,'PSA inputs'!$I$913=1)),G721,D721)</f>
        <v>439166.52064222377</v>
      </c>
      <c r="D721" s="491">
        <f>'Cost input'!C651*'Cost input'!C681</f>
        <v>454110.51394011313</v>
      </c>
      <c r="E721" s="491">
        <f>'Cost input'!D651*'Cost input'!D681</f>
        <v>255437.16409131361</v>
      </c>
      <c r="F721" s="491">
        <f>'Cost input'!E651*'Cost input'!E681</f>
        <v>454110.51394011313</v>
      </c>
      <c r="G721" s="492">
        <f ca="1">'PSA inputs'!J685*'PSA inputs'!J713</f>
        <v>439166.52064222377</v>
      </c>
      <c r="H721" s="521"/>
      <c r="I721" s="502"/>
      <c r="J721" s="502"/>
      <c r="K721" s="502"/>
      <c r="L721" s="502"/>
      <c r="M721" s="502"/>
      <c r="N721" s="502"/>
      <c r="O721" s="739"/>
    </row>
    <row r="722" spans="2:15" x14ac:dyDescent="0.3">
      <c r="B722" s="493" t="s">
        <v>7</v>
      </c>
      <c r="C722" s="491">
        <f ca="1">IF(AND('PSA inputs'!$I$867=1,OR('PSA inputs'!$I$912=1,'PSA inputs'!$I$913=1)),G722,D722)</f>
        <v>251398.78240559646</v>
      </c>
      <c r="D722" s="491">
        <f>'Cost input'!C652*'Cost input'!C682</f>
        <v>259953.40017079594</v>
      </c>
      <c r="E722" s="491">
        <f>'Cost input'!D652*'Cost input'!D682</f>
        <v>146223.78759607274</v>
      </c>
      <c r="F722" s="491">
        <f>'Cost input'!E652*'Cost input'!E682</f>
        <v>259953.40017079594</v>
      </c>
      <c r="G722" s="492">
        <f ca="1">'PSA inputs'!J686*'PSA inputs'!J714</f>
        <v>251398.78240559646</v>
      </c>
      <c r="H722" s="521"/>
      <c r="I722" s="502"/>
      <c r="J722" s="502"/>
      <c r="K722" s="502"/>
      <c r="L722" s="502"/>
      <c r="M722" s="502"/>
      <c r="N722" s="502"/>
      <c r="O722" s="739"/>
    </row>
    <row r="723" spans="2:15" x14ac:dyDescent="0.3">
      <c r="B723" s="493" t="s">
        <v>1469</v>
      </c>
      <c r="C723" s="491">
        <f ca="1">IF(AND('PSA inputs'!$I$867=1,OR('PSA inputs'!$I$912=1,'PSA inputs'!$I$913=1)),G723,D723)</f>
        <v>0</v>
      </c>
      <c r="D723" s="491">
        <f>'Cost input'!C653*'Cost input'!C683</f>
        <v>0</v>
      </c>
      <c r="E723" s="491">
        <f>'Cost input'!D653*'Cost input'!D683</f>
        <v>0</v>
      </c>
      <c r="F723" s="491">
        <f>'Cost input'!E653*'Cost input'!E683</f>
        <v>0</v>
      </c>
      <c r="G723" s="492">
        <f ca="1">'PSA inputs'!J687*'PSA inputs'!J715</f>
        <v>0</v>
      </c>
      <c r="H723" s="521"/>
      <c r="I723" s="502"/>
      <c r="J723" s="502"/>
      <c r="K723" s="502"/>
      <c r="L723" s="502"/>
      <c r="M723" s="502"/>
      <c r="N723" s="502"/>
      <c r="O723" s="739"/>
    </row>
    <row r="724" spans="2:15" x14ac:dyDescent="0.3">
      <c r="B724" s="498" t="s">
        <v>227</v>
      </c>
      <c r="C724" s="533"/>
      <c r="D724" s="533"/>
      <c r="E724" s="533"/>
      <c r="F724" s="533"/>
      <c r="G724" s="533"/>
      <c r="H724" s="521"/>
      <c r="I724" s="502"/>
      <c r="J724" s="502"/>
      <c r="K724" s="502"/>
      <c r="L724" s="502"/>
      <c r="M724" s="502"/>
      <c r="N724" s="528"/>
      <c r="O724" s="744"/>
    </row>
    <row r="725" spans="2:15" x14ac:dyDescent="0.3">
      <c r="B725" s="490" t="s">
        <v>1437</v>
      </c>
      <c r="C725" s="491">
        <f ca="1">IF(AND('PSA inputs'!$I$867=1,OR('PSA inputs'!$I$912=1,'PSA inputs'!$I$913=1)),G725,D725)</f>
        <v>322278.5430795892</v>
      </c>
      <c r="D725" s="491">
        <f>'Cost input'!C655*'Cost input'!C685</f>
        <v>259958.85406472723</v>
      </c>
      <c r="E725" s="491">
        <f>'Cost input'!D655*'Cost input'!D685</f>
        <v>146226.85541140905</v>
      </c>
      <c r="F725" s="491">
        <f>'Cost input'!E655*'Cost input'!E685</f>
        <v>259958.85406472723</v>
      </c>
      <c r="G725" s="492">
        <f ca="1">'PSA inputs'!J689*'PSA inputs'!J717</f>
        <v>322278.5430795892</v>
      </c>
      <c r="H725" s="521"/>
      <c r="I725" s="502"/>
      <c r="J725" s="502"/>
      <c r="K725" s="502"/>
      <c r="L725" s="502"/>
      <c r="M725" s="502"/>
      <c r="N725" s="528"/>
      <c r="O725" s="744"/>
    </row>
    <row r="726" spans="2:15" x14ac:dyDescent="0.3">
      <c r="B726" s="490" t="s">
        <v>1438</v>
      </c>
      <c r="C726" s="491">
        <f ca="1">IF(AND('PSA inputs'!$I$867=1,OR('PSA inputs'!$I$912=1,'PSA inputs'!$I$913=1)),G726,D726)</f>
        <v>184486.81654324758</v>
      </c>
      <c r="D726" s="491">
        <f>'Cost input'!C656*'Cost input'!C686</f>
        <v>148812.20747851147</v>
      </c>
      <c r="E726" s="491">
        <f>'Cost input'!D656*'Cost input'!D686</f>
        <v>83706.866706662695</v>
      </c>
      <c r="F726" s="491">
        <f>'Cost input'!E656*'Cost input'!E686</f>
        <v>148812.20747851147</v>
      </c>
      <c r="G726" s="492">
        <f ca="1">'PSA inputs'!J690*'PSA inputs'!J718</f>
        <v>184486.81654324758</v>
      </c>
      <c r="H726" s="521"/>
      <c r="I726" s="502"/>
      <c r="J726" s="502"/>
      <c r="K726" s="502"/>
      <c r="L726" s="502"/>
      <c r="M726" s="502"/>
      <c r="N726" s="528"/>
      <c r="O726" s="744"/>
    </row>
    <row r="727" spans="2:15" x14ac:dyDescent="0.3">
      <c r="B727" s="490" t="s">
        <v>1441</v>
      </c>
      <c r="C727" s="491">
        <f ca="1">IF(AND('PSA inputs'!$I$867=1,OR('PSA inputs'!$I$912=1,'PSA inputs'!$I$913=1)),G727,D727)</f>
        <v>699763.30605553067</v>
      </c>
      <c r="D727" s="491">
        <f>'Cost input'!C657*'Cost input'!C687</f>
        <v>564448.58357764396</v>
      </c>
      <c r="E727" s="491">
        <f>'Cost input'!D657*'Cost input'!D687</f>
        <v>317502.32826242474</v>
      </c>
      <c r="F727" s="491">
        <f>'Cost input'!E657*'Cost input'!E687</f>
        <v>564448.58357764396</v>
      </c>
      <c r="G727" s="492">
        <f ca="1">'PSA inputs'!J691*'PSA inputs'!J719</f>
        <v>699763.30605553067</v>
      </c>
      <c r="H727" s="528"/>
      <c r="I727" s="528"/>
      <c r="J727" s="528"/>
      <c r="K727" s="528"/>
      <c r="L727" s="528"/>
      <c r="M727" s="528"/>
      <c r="N727" s="528"/>
      <c r="O727" s="744"/>
    </row>
    <row r="728" spans="2:15" x14ac:dyDescent="0.3">
      <c r="B728" s="490" t="s">
        <v>1442</v>
      </c>
      <c r="C728" s="491">
        <f ca="1">IF(AND('PSA inputs'!$I$867=1,OR('PSA inputs'!$I$912=1,'PSA inputs'!$I$913=1)),G728,D728)</f>
        <v>686241.02925072005</v>
      </c>
      <c r="D728" s="491">
        <f>'Cost input'!C658*'Cost input'!C688</f>
        <v>553541.13826982363</v>
      </c>
      <c r="E728" s="491">
        <f>'Cost input'!D658*'Cost input'!D688</f>
        <v>311366.89027677575</v>
      </c>
      <c r="F728" s="491">
        <f>'Cost input'!E658*'Cost input'!E688</f>
        <v>553541.13826982363</v>
      </c>
      <c r="G728" s="492">
        <f ca="1">'PSA inputs'!J692*'PSA inputs'!J720</f>
        <v>686241.02925072005</v>
      </c>
      <c r="H728" s="528"/>
      <c r="I728" s="528"/>
      <c r="J728" s="528"/>
      <c r="K728" s="528"/>
      <c r="L728" s="528"/>
      <c r="M728" s="528"/>
      <c r="N728" s="528"/>
      <c r="O728" s="744"/>
    </row>
    <row r="729" spans="2:15" x14ac:dyDescent="0.3">
      <c r="B729" s="498" t="s">
        <v>920</v>
      </c>
      <c r="C729" s="533"/>
      <c r="D729" s="533"/>
      <c r="E729" s="533"/>
      <c r="F729" s="533"/>
      <c r="G729" s="533"/>
      <c r="H729" s="528"/>
      <c r="I729" s="528"/>
      <c r="J729" s="528"/>
      <c r="K729" s="528"/>
      <c r="L729" s="528"/>
      <c r="M729" s="528"/>
      <c r="N729" s="528"/>
      <c r="O729" s="744"/>
    </row>
    <row r="730" spans="2:15" x14ac:dyDescent="0.3">
      <c r="B730" s="490" t="s">
        <v>920</v>
      </c>
      <c r="C730" s="491">
        <f ca="1">IF(AND('PSA inputs'!$I$867=1,OR('PSA inputs'!$I$912=1,'PSA inputs'!$I$913=1)),G730,D730)</f>
        <v>535864.08696016611</v>
      </c>
      <c r="D730" s="491">
        <f>'Cost input'!C660*'Cost input'!C690</f>
        <v>432242.90593309613</v>
      </c>
      <c r="E730" s="491">
        <f>'Cost input'!D660*'Cost input'!D690</f>
        <v>243136.63458736657</v>
      </c>
      <c r="F730" s="491">
        <f>'Cost input'!E660*'Cost input'!E690</f>
        <v>432242.90593309613</v>
      </c>
      <c r="G730" s="492">
        <f ca="1">'PSA inputs'!J694*'PSA inputs'!J722</f>
        <v>535864.08696016611</v>
      </c>
      <c r="H730" s="528"/>
      <c r="I730" s="528"/>
      <c r="J730" s="528"/>
      <c r="K730" s="528"/>
      <c r="L730" s="528"/>
      <c r="M730" s="528"/>
      <c r="N730" s="528"/>
      <c r="O730" s="744"/>
    </row>
    <row r="731" spans="2:15" x14ac:dyDescent="0.3">
      <c r="B731" s="490" t="s">
        <v>980</v>
      </c>
      <c r="C731" s="491">
        <f ca="1">IF(AND('PSA inputs'!$I$867=1,OR('PSA inputs'!$I$912=1,'PSA inputs'!$I$913=1)),G731,D731)</f>
        <v>245402.27483582936</v>
      </c>
      <c r="D731" s="491">
        <f>'Cost input'!C661*'Cost input'!C691</f>
        <v>197948.3137214162</v>
      </c>
      <c r="E731" s="491">
        <f>'Cost input'!D661*'Cost input'!D691</f>
        <v>111345.92646829663</v>
      </c>
      <c r="F731" s="491">
        <f>'Cost input'!E661*'Cost input'!E691</f>
        <v>197948.3137214162</v>
      </c>
      <c r="G731" s="542">
        <f ca="1">'PSA inputs'!J695*'PSA inputs'!J723</f>
        <v>245402.27483582936</v>
      </c>
      <c r="H731" s="528"/>
      <c r="I731" s="528"/>
      <c r="J731" s="528"/>
      <c r="K731" s="528"/>
      <c r="L731" s="528"/>
      <c r="M731" s="528"/>
      <c r="N731" s="528"/>
      <c r="O731" s="744"/>
    </row>
    <row r="733" spans="2:15" x14ac:dyDescent="0.3">
      <c r="B733" s="792" t="s">
        <v>559</v>
      </c>
      <c r="C733" s="792"/>
      <c r="D733" s="792"/>
      <c r="E733" s="524"/>
    </row>
    <row r="735" spans="2:15" x14ac:dyDescent="0.3">
      <c r="B735" s="543" t="s">
        <v>1586</v>
      </c>
      <c r="C735" s="544"/>
      <c r="D735" s="483"/>
      <c r="E735" s="544"/>
      <c r="F735" s="483"/>
      <c r="G735" s="483"/>
    </row>
    <row r="736" spans="2:15" x14ac:dyDescent="0.3">
      <c r="B736" s="484" t="s">
        <v>950</v>
      </c>
      <c r="C736" s="485" t="s">
        <v>724</v>
      </c>
      <c r="D736" s="485" t="s">
        <v>995</v>
      </c>
      <c r="E736" s="485" t="s">
        <v>985</v>
      </c>
      <c r="F736" s="485" t="s">
        <v>986</v>
      </c>
      <c r="G736" s="485" t="s">
        <v>996</v>
      </c>
    </row>
    <row r="737" spans="2:15" x14ac:dyDescent="0.3">
      <c r="B737" s="487" t="s">
        <v>1445</v>
      </c>
    </row>
    <row r="738" spans="2:15" x14ac:dyDescent="0.3">
      <c r="B738" s="493" t="s">
        <v>2</v>
      </c>
      <c r="C738" s="522">
        <f ca="1">IF(AND('PSA inputs'!$I$867=1,'PSA inputs'!$I$915=1),G738,D738)</f>
        <v>8.5567959123319676E-3</v>
      </c>
      <c r="D738" s="522">
        <f>'QoL input'!C14</f>
        <v>8.9999999999999993E-3</v>
      </c>
      <c r="E738" s="522">
        <f>'QoL input'!D14</f>
        <v>7.0000000000000001E-3</v>
      </c>
      <c r="F738" s="522">
        <f>'QoL input'!E14</f>
        <v>1.0999999999999999E-2</v>
      </c>
      <c r="G738" s="545">
        <f ca="1">'PSA inputs'!J731</f>
        <v>8.5567959123319676E-3</v>
      </c>
    </row>
    <row r="739" spans="2:15" x14ac:dyDescent="0.3">
      <c r="B739" s="493" t="s">
        <v>3</v>
      </c>
      <c r="C739" s="522">
        <f ca="1">IF(AND('PSA inputs'!$I$867=1,'PSA inputs'!$I$915=1),G739,D739)</f>
        <v>8.5567959123319676E-3</v>
      </c>
      <c r="D739" s="522">
        <f>'QoL input'!C15</f>
        <v>8.9999999999999993E-3</v>
      </c>
      <c r="E739" s="522">
        <f>'QoL input'!D15</f>
        <v>7.0000000000000001E-3</v>
      </c>
      <c r="F739" s="522">
        <f>'QoL input'!E15</f>
        <v>1.0999999999999999E-2</v>
      </c>
      <c r="G739" s="545">
        <f ca="1">'PSA inputs'!J732</f>
        <v>8.5567959123319676E-3</v>
      </c>
    </row>
    <row r="740" spans="2:15" x14ac:dyDescent="0.3">
      <c r="B740" s="493" t="s">
        <v>4</v>
      </c>
      <c r="C740" s="522">
        <f ca="1">IF(AND('PSA inputs'!$I$867=1,'PSA inputs'!$I$915=1),G740,D740)</f>
        <v>8.5567959123319676E-3</v>
      </c>
      <c r="D740" s="522">
        <f>'QoL input'!C16</f>
        <v>8.9999999999999993E-3</v>
      </c>
      <c r="E740" s="522">
        <f>'QoL input'!D16</f>
        <v>7.0000000000000001E-3</v>
      </c>
      <c r="F740" s="522">
        <f>'QoL input'!E16</f>
        <v>1.0999999999999999E-2</v>
      </c>
      <c r="G740" s="545">
        <f ca="1">'PSA inputs'!J733</f>
        <v>8.5567959123319676E-3</v>
      </c>
    </row>
    <row r="741" spans="2:15" x14ac:dyDescent="0.3">
      <c r="B741" s="493" t="s">
        <v>5</v>
      </c>
      <c r="C741" s="522">
        <f ca="1">IF(AND('PSA inputs'!$I$867=1,'PSA inputs'!$I$915=1),G741,D741)</f>
        <v>8.5567959123319676E-3</v>
      </c>
      <c r="D741" s="522">
        <f>'QoL input'!C17</f>
        <v>8.9999999999999993E-3</v>
      </c>
      <c r="E741" s="522">
        <f>'QoL input'!D17</f>
        <v>7.0000000000000001E-3</v>
      </c>
      <c r="F741" s="522">
        <f>'QoL input'!E17</f>
        <v>1.0999999999999999E-2</v>
      </c>
      <c r="G741" s="545">
        <f ca="1">'PSA inputs'!J734</f>
        <v>8.5567959123319676E-3</v>
      </c>
    </row>
    <row r="742" spans="2:15" x14ac:dyDescent="0.3">
      <c r="B742" s="493" t="s">
        <v>6</v>
      </c>
      <c r="C742" s="522">
        <f ca="1">IF(AND('PSA inputs'!$I$867=1,'PSA inputs'!$I$915=1),G742,D742)</f>
        <v>8.5567959123319676E-3</v>
      </c>
      <c r="D742" s="522">
        <f>'QoL input'!C18</f>
        <v>8.9999999999999993E-3</v>
      </c>
      <c r="E742" s="522">
        <f>'QoL input'!D18</f>
        <v>7.0000000000000001E-3</v>
      </c>
      <c r="F742" s="522">
        <f>'QoL input'!E18</f>
        <v>1.0999999999999999E-2</v>
      </c>
      <c r="G742" s="545">
        <f ca="1">'PSA inputs'!J735</f>
        <v>8.5567959123319676E-3</v>
      </c>
    </row>
    <row r="743" spans="2:15" x14ac:dyDescent="0.3">
      <c r="B743" s="493" t="s">
        <v>7</v>
      </c>
      <c r="C743" s="522">
        <f ca="1">IF(AND('PSA inputs'!$I$867=1,'PSA inputs'!$I$915=1),G743,D743)</f>
        <v>8.5567959123319676E-3</v>
      </c>
      <c r="D743" s="522">
        <f>'QoL input'!C19</f>
        <v>8.9999999999999993E-3</v>
      </c>
      <c r="E743" s="522">
        <f>'QoL input'!D19</f>
        <v>7.0000000000000001E-3</v>
      </c>
      <c r="F743" s="522">
        <f>'QoL input'!E19</f>
        <v>1.0999999999999999E-2</v>
      </c>
      <c r="G743" s="545">
        <f ca="1">'PSA inputs'!J736</f>
        <v>8.5567959123319676E-3</v>
      </c>
    </row>
    <row r="744" spans="2:15" x14ac:dyDescent="0.3">
      <c r="B744" s="493" t="s">
        <v>1469</v>
      </c>
      <c r="C744" s="522">
        <f ca="1">IF(AND('PSA inputs'!$I$867=1,'PSA inputs'!$I$915=1),G744,D744)</f>
        <v>8.5567959123319676E-3</v>
      </c>
      <c r="D744" s="522">
        <f>'QoL input'!C20</f>
        <v>8.9999999999999993E-3</v>
      </c>
      <c r="E744" s="522">
        <f>'QoL input'!D20</f>
        <v>7.0000000000000001E-3</v>
      </c>
      <c r="F744" s="522">
        <f>'QoL input'!E20</f>
        <v>1.0999999999999999E-2</v>
      </c>
      <c r="G744" s="545">
        <f ca="1">'PSA inputs'!J737</f>
        <v>8.5567959123319676E-3</v>
      </c>
    </row>
    <row r="745" spans="2:15" x14ac:dyDescent="0.3">
      <c r="B745" s="487" t="s">
        <v>1444</v>
      </c>
      <c r="C745" s="496"/>
      <c r="D745" s="496"/>
      <c r="E745" s="496"/>
      <c r="F745" s="496"/>
      <c r="G745" s="496"/>
      <c r="H745" s="487"/>
    </row>
    <row r="746" spans="2:15" x14ac:dyDescent="0.3">
      <c r="B746" s="493" t="s">
        <v>2</v>
      </c>
      <c r="C746" s="522">
        <f ca="1">IF(AND('PSA inputs'!$I$867=1,'PSA inputs'!$I$915=1),G746,D746)</f>
        <v>8.6038294738183738E-3</v>
      </c>
      <c r="D746" s="522">
        <f>'QoL input'!C22</f>
        <v>8.9999999999999993E-3</v>
      </c>
      <c r="E746" s="522">
        <f>'QoL input'!D22</f>
        <v>7.0000000000000001E-3</v>
      </c>
      <c r="F746" s="522">
        <f>'QoL input'!E22</f>
        <v>1.0999999999999999E-2</v>
      </c>
      <c r="G746" s="545">
        <f ca="1">'PSA inputs'!J739</f>
        <v>8.6038294738183738E-3</v>
      </c>
      <c r="H746" s="500"/>
      <c r="I746" s="449"/>
      <c r="J746" s="449"/>
      <c r="K746" s="449"/>
      <c r="L746" s="449"/>
      <c r="M746" s="449"/>
      <c r="N746" s="449"/>
      <c r="O746" s="742"/>
    </row>
    <row r="747" spans="2:15" x14ac:dyDescent="0.3">
      <c r="B747" s="493" t="s">
        <v>3</v>
      </c>
      <c r="C747" s="522">
        <f ca="1">IF(AND('PSA inputs'!$I$867=1,'PSA inputs'!$I$915=1),G747,D747)</f>
        <v>8.6038294738183738E-3</v>
      </c>
      <c r="D747" s="522">
        <f>'QoL input'!C23</f>
        <v>8.9999999999999993E-3</v>
      </c>
      <c r="E747" s="522">
        <f>'QoL input'!D23</f>
        <v>7.0000000000000001E-3</v>
      </c>
      <c r="F747" s="522">
        <f>'QoL input'!E23</f>
        <v>1.0999999999999999E-2</v>
      </c>
      <c r="G747" s="545">
        <f ca="1">'PSA inputs'!J740</f>
        <v>8.6038294738183738E-3</v>
      </c>
      <c r="H747" s="500"/>
      <c r="I747" s="449"/>
      <c r="J747" s="449"/>
      <c r="K747" s="449"/>
      <c r="L747" s="449"/>
      <c r="M747" s="449"/>
      <c r="N747" s="449"/>
      <c r="O747" s="742"/>
    </row>
    <row r="748" spans="2:15" x14ac:dyDescent="0.3">
      <c r="B748" s="493" t="s">
        <v>4</v>
      </c>
      <c r="C748" s="522">
        <f ca="1">IF(AND('PSA inputs'!$I$867=1,'PSA inputs'!$I$915=1),G748,D748)</f>
        <v>8.6038294738183738E-3</v>
      </c>
      <c r="D748" s="522">
        <f>'QoL input'!C24</f>
        <v>8.9999999999999993E-3</v>
      </c>
      <c r="E748" s="522">
        <f>'QoL input'!D24</f>
        <v>7.0000000000000001E-3</v>
      </c>
      <c r="F748" s="522">
        <f>'QoL input'!E24</f>
        <v>1.0999999999999999E-2</v>
      </c>
      <c r="G748" s="545">
        <f ca="1">'PSA inputs'!J741</f>
        <v>8.6038294738183738E-3</v>
      </c>
      <c r="H748" s="500"/>
      <c r="I748" s="449"/>
      <c r="J748" s="449"/>
      <c r="K748" s="449"/>
      <c r="L748" s="449"/>
      <c r="M748" s="449"/>
      <c r="N748" s="449"/>
      <c r="O748" s="742"/>
    </row>
    <row r="749" spans="2:15" x14ac:dyDescent="0.3">
      <c r="B749" s="493" t="s">
        <v>5</v>
      </c>
      <c r="C749" s="522">
        <f ca="1">IF(AND('PSA inputs'!$I$867=1,'PSA inputs'!$I$915=1),G749,D749)</f>
        <v>8.6038294738183738E-3</v>
      </c>
      <c r="D749" s="522">
        <f>'QoL input'!C25</f>
        <v>8.9999999999999993E-3</v>
      </c>
      <c r="E749" s="522">
        <f>'QoL input'!D25</f>
        <v>7.0000000000000001E-3</v>
      </c>
      <c r="F749" s="522">
        <f>'QoL input'!E25</f>
        <v>1.0999999999999999E-2</v>
      </c>
      <c r="G749" s="545">
        <f ca="1">'PSA inputs'!J742</f>
        <v>8.6038294738183738E-3</v>
      </c>
      <c r="H749" s="500"/>
      <c r="I749" s="449"/>
      <c r="J749" s="449"/>
      <c r="K749" s="449"/>
      <c r="L749" s="449"/>
      <c r="M749" s="449"/>
      <c r="N749" s="449"/>
      <c r="O749" s="742"/>
    </row>
    <row r="750" spans="2:15" x14ac:dyDescent="0.3">
      <c r="B750" s="493" t="s">
        <v>6</v>
      </c>
      <c r="C750" s="522">
        <f ca="1">IF(AND('PSA inputs'!$I$867=1,'PSA inputs'!$I$915=1),G750,D750)</f>
        <v>8.6038294738183738E-3</v>
      </c>
      <c r="D750" s="522">
        <f>'QoL input'!C26</f>
        <v>8.9999999999999993E-3</v>
      </c>
      <c r="E750" s="522">
        <f>'QoL input'!D26</f>
        <v>7.0000000000000001E-3</v>
      </c>
      <c r="F750" s="522">
        <f>'QoL input'!E26</f>
        <v>1.0999999999999999E-2</v>
      </c>
      <c r="G750" s="545">
        <f ca="1">'PSA inputs'!J743</f>
        <v>8.6038294738183738E-3</v>
      </c>
      <c r="H750" s="500"/>
      <c r="I750" s="449"/>
      <c r="J750" s="449"/>
      <c r="K750" s="449"/>
      <c r="L750" s="449"/>
      <c r="M750" s="449"/>
      <c r="N750" s="449"/>
      <c r="O750" s="742"/>
    </row>
    <row r="751" spans="2:15" x14ac:dyDescent="0.3">
      <c r="B751" s="493" t="s">
        <v>7</v>
      </c>
      <c r="C751" s="522">
        <f ca="1">IF(AND('PSA inputs'!$I$867=1,'PSA inputs'!$I$915=1),G751,D751)</f>
        <v>8.6038294738183738E-3</v>
      </c>
      <c r="D751" s="522">
        <f>'QoL input'!C27</f>
        <v>8.9999999999999993E-3</v>
      </c>
      <c r="E751" s="522">
        <f>'QoL input'!D27</f>
        <v>7.0000000000000001E-3</v>
      </c>
      <c r="F751" s="522">
        <f>'QoL input'!E27</f>
        <v>1.0999999999999999E-2</v>
      </c>
      <c r="G751" s="545">
        <f ca="1">'PSA inputs'!J744</f>
        <v>8.6038294738183738E-3</v>
      </c>
      <c r="H751" s="500"/>
      <c r="I751" s="449"/>
      <c r="J751" s="449"/>
      <c r="K751" s="449"/>
      <c r="L751" s="449"/>
      <c r="M751" s="449"/>
      <c r="N751" s="449"/>
      <c r="O751" s="742"/>
    </row>
    <row r="752" spans="2:15" x14ac:dyDescent="0.3">
      <c r="B752" s="493" t="s">
        <v>1469</v>
      </c>
      <c r="C752" s="522">
        <f ca="1">IF(AND('PSA inputs'!$I$867=1,'PSA inputs'!$I$915=1),G752,D752)</f>
        <v>8.6038294738183738E-3</v>
      </c>
      <c r="D752" s="522">
        <f>'QoL input'!C28</f>
        <v>8.9999999999999993E-3</v>
      </c>
      <c r="E752" s="522">
        <f>'QoL input'!D28</f>
        <v>7.0000000000000001E-3</v>
      </c>
      <c r="F752" s="522">
        <f>'QoL input'!E28</f>
        <v>1.0999999999999999E-2</v>
      </c>
      <c r="G752" s="545">
        <f ca="1">'PSA inputs'!J745</f>
        <v>8.6038294738183738E-3</v>
      </c>
      <c r="H752" s="500"/>
      <c r="I752" s="449"/>
      <c r="J752" s="449"/>
      <c r="K752" s="449"/>
      <c r="L752" s="449"/>
      <c r="M752" s="449"/>
      <c r="N752" s="449"/>
      <c r="O752" s="742"/>
    </row>
    <row r="753" spans="2:10" x14ac:dyDescent="0.3">
      <c r="B753" s="498" t="s">
        <v>227</v>
      </c>
      <c r="C753" s="496"/>
      <c r="D753" s="496"/>
      <c r="E753" s="496"/>
      <c r="F753" s="496"/>
      <c r="G753" s="496"/>
    </row>
    <row r="754" spans="2:10" x14ac:dyDescent="0.3">
      <c r="B754" s="490" t="s">
        <v>1437</v>
      </c>
      <c r="C754" s="522">
        <f ca="1">IF(AND('PSA inputs'!$I$867=1,'PSA inputs'!$I$915=1),G754,D754)</f>
        <v>1.0846488989634917E-2</v>
      </c>
      <c r="D754" s="522">
        <f>'QoL input'!C30</f>
        <v>8.9999999999999993E-3</v>
      </c>
      <c r="E754" s="522">
        <f>'QoL input'!D30</f>
        <v>7.0000000000000001E-3</v>
      </c>
      <c r="F754" s="522">
        <f>'QoL input'!E30</f>
        <v>1.0999999999999999E-2</v>
      </c>
      <c r="G754" s="545">
        <f ca="1">'PSA inputs'!J747</f>
        <v>1.0846488989634917E-2</v>
      </c>
    </row>
    <row r="755" spans="2:10" x14ac:dyDescent="0.3">
      <c r="B755" s="490" t="s">
        <v>1438</v>
      </c>
      <c r="C755" s="522">
        <f ca="1">IF(AND('PSA inputs'!$I$867=1,'PSA inputs'!$I$915=1),G755,D755)</f>
        <v>1.0846488989634917E-2</v>
      </c>
      <c r="D755" s="522">
        <f>'QoL input'!C31</f>
        <v>8.9999999999999993E-3</v>
      </c>
      <c r="E755" s="522">
        <f>'QoL input'!D31</f>
        <v>7.0000000000000001E-3</v>
      </c>
      <c r="F755" s="522">
        <f>'QoL input'!E31</f>
        <v>1.0999999999999999E-2</v>
      </c>
      <c r="G755" s="545">
        <f ca="1">'PSA inputs'!J748</f>
        <v>1.0846488989634917E-2</v>
      </c>
    </row>
    <row r="756" spans="2:10" x14ac:dyDescent="0.3">
      <c r="B756" s="490" t="s">
        <v>1441</v>
      </c>
      <c r="C756" s="522">
        <f ca="1">IF(AND('PSA inputs'!$I$867=1,'PSA inputs'!$I$915=1),G756,D756)</f>
        <v>1.0846488989634917E-2</v>
      </c>
      <c r="D756" s="522">
        <f>'QoL input'!C32</f>
        <v>8.9999999999999993E-3</v>
      </c>
      <c r="E756" s="522">
        <f>'QoL input'!D32</f>
        <v>7.0000000000000001E-3</v>
      </c>
      <c r="F756" s="522">
        <f>'QoL input'!E32</f>
        <v>1.0999999999999999E-2</v>
      </c>
      <c r="G756" s="545">
        <f ca="1">'PSA inputs'!J749</f>
        <v>1.0846488989634917E-2</v>
      </c>
      <c r="I756" s="546"/>
      <c r="J756" s="546"/>
    </row>
    <row r="757" spans="2:10" x14ac:dyDescent="0.3">
      <c r="B757" s="490" t="s">
        <v>1442</v>
      </c>
      <c r="C757" s="522">
        <f ca="1">IF(AND('PSA inputs'!$I$867=1,'PSA inputs'!$I$915=1),G757,D757)</f>
        <v>1.0846488989634917E-2</v>
      </c>
      <c r="D757" s="522">
        <f>'QoL input'!C33</f>
        <v>8.9999999999999993E-3</v>
      </c>
      <c r="E757" s="522">
        <f>'QoL input'!D33</f>
        <v>7.0000000000000001E-3</v>
      </c>
      <c r="F757" s="522">
        <f>'QoL input'!E33</f>
        <v>1.0999999999999999E-2</v>
      </c>
      <c r="G757" s="545">
        <f ca="1">'PSA inputs'!J750</f>
        <v>1.0846488989634917E-2</v>
      </c>
      <c r="I757" s="546"/>
      <c r="J757" s="546"/>
    </row>
    <row r="758" spans="2:10" x14ac:dyDescent="0.3">
      <c r="B758" s="498" t="s">
        <v>920</v>
      </c>
      <c r="C758" s="496"/>
      <c r="D758" s="496"/>
      <c r="E758" s="496"/>
      <c r="F758" s="496"/>
      <c r="G758" s="496"/>
      <c r="I758" s="546"/>
      <c r="J758" s="546"/>
    </row>
    <row r="759" spans="2:10" x14ac:dyDescent="0.3">
      <c r="B759" s="490" t="s">
        <v>920</v>
      </c>
      <c r="C759" s="522">
        <f ca="1">IF(AND('PSA inputs'!$I$867=1,'PSA inputs'!$I$915=1),G759,D759)</f>
        <v>1.0846488989634917E-2</v>
      </c>
      <c r="D759" s="522">
        <f>'QoL input'!C35</f>
        <v>8.9999999999999993E-3</v>
      </c>
      <c r="E759" s="522">
        <f>'QoL input'!D35</f>
        <v>7.0000000000000001E-3</v>
      </c>
      <c r="F759" s="522">
        <f>'QoL input'!E35</f>
        <v>1.0999999999999999E-2</v>
      </c>
      <c r="G759" s="545">
        <f ca="1">'PSA inputs'!J752</f>
        <v>1.0846488989634917E-2</v>
      </c>
      <c r="I759" s="546"/>
      <c r="J759" s="546"/>
    </row>
    <row r="760" spans="2:10" x14ac:dyDescent="0.3">
      <c r="B760" s="490" t="s">
        <v>980</v>
      </c>
      <c r="C760" s="522">
        <f ca="1">IF(AND('PSA inputs'!$I$867=1,'PSA inputs'!$I$915=1),G760,D760)</f>
        <v>1.0846488989634917E-2</v>
      </c>
      <c r="D760" s="522">
        <f>'QoL input'!C36</f>
        <v>8.9999999999999993E-3</v>
      </c>
      <c r="E760" s="522">
        <f>'QoL input'!D36</f>
        <v>7.0000000000000001E-3</v>
      </c>
      <c r="F760" s="522">
        <f>'QoL input'!E36</f>
        <v>1.0999999999999999E-2</v>
      </c>
      <c r="G760" s="545">
        <f ca="1">'PSA inputs'!J753</f>
        <v>1.0846488989634917E-2</v>
      </c>
      <c r="I760" s="546"/>
      <c r="J760" s="546"/>
    </row>
    <row r="762" spans="2:10" x14ac:dyDescent="0.3">
      <c r="B762" s="543" t="s">
        <v>1587</v>
      </c>
      <c r="C762" s="483"/>
      <c r="D762" s="483"/>
      <c r="E762" s="483"/>
      <c r="F762" s="483"/>
      <c r="G762" s="483"/>
    </row>
    <row r="763" spans="2:10" x14ac:dyDescent="0.3">
      <c r="B763" s="484" t="s">
        <v>950</v>
      </c>
      <c r="C763" s="485" t="s">
        <v>724</v>
      </c>
      <c r="D763" s="485" t="s">
        <v>995</v>
      </c>
      <c r="E763" s="485" t="s">
        <v>985</v>
      </c>
      <c r="F763" s="485" t="s">
        <v>986</v>
      </c>
      <c r="G763" s="485" t="s">
        <v>996</v>
      </c>
    </row>
    <row r="764" spans="2:10" x14ac:dyDescent="0.3">
      <c r="B764" s="487" t="s">
        <v>1445</v>
      </c>
    </row>
    <row r="765" spans="2:10" x14ac:dyDescent="0.3">
      <c r="B765" s="493" t="s">
        <v>2</v>
      </c>
      <c r="C765" s="522">
        <f ca="1">IF(AND('PSA inputs'!$I$867=1,'PSA inputs'!$I$916=1),G765,D765)</f>
        <v>3.4913808309777195E-2</v>
      </c>
      <c r="D765" s="522">
        <f>'QoL input'!C45</f>
        <v>3.1E-2</v>
      </c>
      <c r="E765" s="522">
        <f>'QoL input'!D45</f>
        <v>2.5000000000000001E-2</v>
      </c>
      <c r="F765" s="522">
        <f>'QoL input'!E45</f>
        <v>3.6999999999999998E-2</v>
      </c>
      <c r="G765" s="545">
        <f ca="1">'PSA inputs'!J759</f>
        <v>3.4913808309777195E-2</v>
      </c>
      <c r="I765" s="489" t="s">
        <v>909</v>
      </c>
    </row>
    <row r="766" spans="2:10" x14ac:dyDescent="0.3">
      <c r="B766" s="493" t="s">
        <v>3</v>
      </c>
      <c r="C766" s="522">
        <f ca="1">IF(AND('PSA inputs'!$I$867=1,'PSA inputs'!$I$916=1),G766,D766)</f>
        <v>3.4913808309777195E-2</v>
      </c>
      <c r="D766" s="522">
        <f>'QoL input'!C46</f>
        <v>3.1E-2</v>
      </c>
      <c r="E766" s="522">
        <f>'QoL input'!D46</f>
        <v>2.5000000000000001E-2</v>
      </c>
      <c r="F766" s="522">
        <f>'QoL input'!E46</f>
        <v>3.6999999999999998E-2</v>
      </c>
      <c r="G766" s="545">
        <f ca="1">'PSA inputs'!J760</f>
        <v>3.4913808309777195E-2</v>
      </c>
      <c r="I766" s="495" t="s">
        <v>908</v>
      </c>
    </row>
    <row r="767" spans="2:10" x14ac:dyDescent="0.3">
      <c r="B767" s="493" t="s">
        <v>4</v>
      </c>
      <c r="C767" s="522">
        <f ca="1">IF(AND('PSA inputs'!$I$867=1,'PSA inputs'!$I$916=1),G767,D767)</f>
        <v>3.4913808309777195E-2</v>
      </c>
      <c r="D767" s="522">
        <f>'QoL input'!C47</f>
        <v>3.1E-2</v>
      </c>
      <c r="E767" s="522">
        <f>'QoL input'!D47</f>
        <v>2.5000000000000001E-2</v>
      </c>
      <c r="F767" s="522">
        <f>'QoL input'!E47</f>
        <v>3.6999999999999998E-2</v>
      </c>
      <c r="G767" s="545">
        <f ca="1">'PSA inputs'!J761</f>
        <v>3.4913808309777195E-2</v>
      </c>
    </row>
    <row r="768" spans="2:10" x14ac:dyDescent="0.3">
      <c r="B768" s="493" t="s">
        <v>5</v>
      </c>
      <c r="C768" s="522">
        <f ca="1">IF(AND('PSA inputs'!$I$867=1,'PSA inputs'!$I$916=1),G768,D768)</f>
        <v>3.4913808309777195E-2</v>
      </c>
      <c r="D768" s="522">
        <f>'QoL input'!C48</f>
        <v>3.1E-2</v>
      </c>
      <c r="E768" s="522">
        <f>'QoL input'!D48</f>
        <v>2.5000000000000001E-2</v>
      </c>
      <c r="F768" s="522">
        <f>'QoL input'!E48</f>
        <v>3.6999999999999998E-2</v>
      </c>
      <c r="G768" s="545">
        <f ca="1">'PSA inputs'!J762</f>
        <v>3.4913808309777195E-2</v>
      </c>
    </row>
    <row r="769" spans="2:15" x14ac:dyDescent="0.3">
      <c r="B769" s="493" t="s">
        <v>6</v>
      </c>
      <c r="C769" s="522">
        <f ca="1">IF(AND('PSA inputs'!$I$867=1,'PSA inputs'!$I$916=1),G769,D769)</f>
        <v>3.4913808309777195E-2</v>
      </c>
      <c r="D769" s="522">
        <f>'QoL input'!C49</f>
        <v>3.1E-2</v>
      </c>
      <c r="E769" s="522">
        <f>'QoL input'!D49</f>
        <v>2.5000000000000001E-2</v>
      </c>
      <c r="F769" s="522">
        <f>'QoL input'!E49</f>
        <v>3.6999999999999998E-2</v>
      </c>
      <c r="G769" s="545">
        <f ca="1">'PSA inputs'!J763</f>
        <v>3.4913808309777195E-2</v>
      </c>
    </row>
    <row r="770" spans="2:15" x14ac:dyDescent="0.3">
      <c r="B770" s="493" t="s">
        <v>7</v>
      </c>
      <c r="C770" s="522">
        <f ca="1">IF(AND('PSA inputs'!$I$867=1,'PSA inputs'!$I$916=1),G770,D770)</f>
        <v>3.4913808309777195E-2</v>
      </c>
      <c r="D770" s="522">
        <f>'QoL input'!C50</f>
        <v>3.1E-2</v>
      </c>
      <c r="E770" s="522">
        <f>'QoL input'!D50</f>
        <v>2.5000000000000001E-2</v>
      </c>
      <c r="F770" s="522">
        <f>'QoL input'!E50</f>
        <v>3.6999999999999998E-2</v>
      </c>
      <c r="G770" s="545">
        <f ca="1">'PSA inputs'!J764</f>
        <v>3.4913808309777195E-2</v>
      </c>
    </row>
    <row r="771" spans="2:15" x14ac:dyDescent="0.3">
      <c r="B771" s="493" t="s">
        <v>1469</v>
      </c>
      <c r="C771" s="522">
        <f ca="1">IF(AND('PSA inputs'!$I$867=1,'PSA inputs'!$I$916=1),G771,D771)</f>
        <v>3.4913808309777195E-2</v>
      </c>
      <c r="D771" s="522">
        <f>'QoL input'!C51</f>
        <v>3.1E-2</v>
      </c>
      <c r="E771" s="522">
        <f>'QoL input'!D51</f>
        <v>2.5000000000000001E-2</v>
      </c>
      <c r="F771" s="522">
        <f>'QoL input'!E51</f>
        <v>3.6999999999999998E-2</v>
      </c>
      <c r="G771" s="545">
        <f ca="1">'PSA inputs'!J765</f>
        <v>3.4913808309777195E-2</v>
      </c>
    </row>
    <row r="772" spans="2:15" x14ac:dyDescent="0.3">
      <c r="B772" s="487" t="s">
        <v>1444</v>
      </c>
      <c r="C772" s="496"/>
      <c r="D772" s="496"/>
      <c r="E772" s="496"/>
      <c r="F772" s="496"/>
      <c r="G772" s="496"/>
      <c r="H772" s="517"/>
      <c r="I772" s="487"/>
    </row>
    <row r="773" spans="2:15" x14ac:dyDescent="0.3">
      <c r="B773" s="493" t="s">
        <v>2</v>
      </c>
      <c r="C773" s="522">
        <f ca="1">IF(AND('PSA inputs'!$I$867=1,'PSA inputs'!$I$916=1),G773,D773)</f>
        <v>3.1700004093948242E-2</v>
      </c>
      <c r="D773" s="522">
        <f>'QoL input'!C53</f>
        <v>3.1E-2</v>
      </c>
      <c r="E773" s="522">
        <f>'QoL input'!D53</f>
        <v>2.5000000000000001E-2</v>
      </c>
      <c r="F773" s="522">
        <f>'QoL input'!E53</f>
        <v>3.6999999999999998E-2</v>
      </c>
      <c r="G773" s="514">
        <f ca="1">'PSA inputs'!J767</f>
        <v>3.1700004093948242E-2</v>
      </c>
      <c r="H773" s="517"/>
      <c r="I773" s="500"/>
      <c r="J773" s="449"/>
      <c r="K773" s="449"/>
      <c r="L773" s="449"/>
      <c r="M773" s="449"/>
      <c r="N773" s="449"/>
      <c r="O773" s="742"/>
    </row>
    <row r="774" spans="2:15" x14ac:dyDescent="0.3">
      <c r="B774" s="493" t="s">
        <v>3</v>
      </c>
      <c r="C774" s="522">
        <f ca="1">IF(AND('PSA inputs'!$I$867=1,'PSA inputs'!$I$916=1),G774,D774)</f>
        <v>3.1700004093948242E-2</v>
      </c>
      <c r="D774" s="522">
        <f>'QoL input'!C54</f>
        <v>3.1E-2</v>
      </c>
      <c r="E774" s="522">
        <f>'QoL input'!D54</f>
        <v>2.5000000000000001E-2</v>
      </c>
      <c r="F774" s="522">
        <f>'QoL input'!E54</f>
        <v>3.6999999999999998E-2</v>
      </c>
      <c r="G774" s="514">
        <f ca="1">'PSA inputs'!J768</f>
        <v>3.1700004093948242E-2</v>
      </c>
      <c r="H774" s="517"/>
      <c r="I774" s="500"/>
      <c r="J774" s="449"/>
      <c r="K774" s="449"/>
      <c r="L774" s="449"/>
      <c r="M774" s="449"/>
      <c r="N774" s="449"/>
      <c r="O774" s="742"/>
    </row>
    <row r="775" spans="2:15" x14ac:dyDescent="0.3">
      <c r="B775" s="493" t="s">
        <v>4</v>
      </c>
      <c r="C775" s="522">
        <f ca="1">IF(AND('PSA inputs'!$I$867=1,'PSA inputs'!$I$916=1),G775,D775)</f>
        <v>3.1700004093948242E-2</v>
      </c>
      <c r="D775" s="522">
        <f>'QoL input'!C55</f>
        <v>3.1E-2</v>
      </c>
      <c r="E775" s="522">
        <f>'QoL input'!D55</f>
        <v>2.5000000000000001E-2</v>
      </c>
      <c r="F775" s="522">
        <f>'QoL input'!E55</f>
        <v>3.6999999999999998E-2</v>
      </c>
      <c r="G775" s="514">
        <f ca="1">'PSA inputs'!J769</f>
        <v>3.1700004093948242E-2</v>
      </c>
      <c r="H775" s="517"/>
      <c r="I775" s="500"/>
      <c r="J775" s="449"/>
      <c r="K775" s="449"/>
      <c r="L775" s="449"/>
      <c r="M775" s="449"/>
      <c r="N775" s="449"/>
      <c r="O775" s="742"/>
    </row>
    <row r="776" spans="2:15" x14ac:dyDescent="0.3">
      <c r="B776" s="493" t="s">
        <v>5</v>
      </c>
      <c r="C776" s="522">
        <f ca="1">IF(AND('PSA inputs'!$I$867=1,'PSA inputs'!$I$916=1),G776,D776)</f>
        <v>3.1700004093948242E-2</v>
      </c>
      <c r="D776" s="522">
        <f>'QoL input'!C56</f>
        <v>3.1E-2</v>
      </c>
      <c r="E776" s="522">
        <f>'QoL input'!D56</f>
        <v>2.5000000000000001E-2</v>
      </c>
      <c r="F776" s="522">
        <f>'QoL input'!E56</f>
        <v>3.6999999999999998E-2</v>
      </c>
      <c r="G776" s="514">
        <f ca="1">'PSA inputs'!J770</f>
        <v>3.1700004093948242E-2</v>
      </c>
      <c r="H776" s="517"/>
      <c r="I776" s="500"/>
      <c r="J776" s="449"/>
      <c r="K776" s="449"/>
      <c r="L776" s="449"/>
      <c r="M776" s="449"/>
      <c r="N776" s="449"/>
      <c r="O776" s="742"/>
    </row>
    <row r="777" spans="2:15" x14ac:dyDescent="0.3">
      <c r="B777" s="493" t="s">
        <v>6</v>
      </c>
      <c r="C777" s="522">
        <f ca="1">IF(AND('PSA inputs'!$I$867=1,'PSA inputs'!$I$916=1),G777,D777)</f>
        <v>3.1700004093948242E-2</v>
      </c>
      <c r="D777" s="522">
        <f>'QoL input'!C57</f>
        <v>3.1E-2</v>
      </c>
      <c r="E777" s="522">
        <f>'QoL input'!D57</f>
        <v>2.5000000000000001E-2</v>
      </c>
      <c r="F777" s="522">
        <f>'QoL input'!E57</f>
        <v>3.6999999999999998E-2</v>
      </c>
      <c r="G777" s="514">
        <f ca="1">'PSA inputs'!J771</f>
        <v>3.1700004093948242E-2</v>
      </c>
      <c r="H777" s="517"/>
      <c r="I777" s="500"/>
      <c r="J777" s="449"/>
      <c r="K777" s="449"/>
      <c r="L777" s="449"/>
      <c r="M777" s="449"/>
      <c r="N777" s="449"/>
      <c r="O777" s="742"/>
    </row>
    <row r="778" spans="2:15" x14ac:dyDescent="0.3">
      <c r="B778" s="493" t="s">
        <v>7</v>
      </c>
      <c r="C778" s="522">
        <f ca="1">IF(AND('PSA inputs'!$I$867=1,'PSA inputs'!$I$916=1),G778,D778)</f>
        <v>3.1700004093948242E-2</v>
      </c>
      <c r="D778" s="522">
        <f>'QoL input'!C58</f>
        <v>3.1E-2</v>
      </c>
      <c r="E778" s="522">
        <f>'QoL input'!D58</f>
        <v>2.5000000000000001E-2</v>
      </c>
      <c r="F778" s="522">
        <f>'QoL input'!E58</f>
        <v>3.6999999999999998E-2</v>
      </c>
      <c r="G778" s="514">
        <f ca="1">'PSA inputs'!J772</f>
        <v>3.1700004093948242E-2</v>
      </c>
      <c r="H778" s="517"/>
      <c r="I778" s="500"/>
      <c r="J778" s="449"/>
      <c r="K778" s="449"/>
      <c r="L778" s="449"/>
      <c r="M778" s="449"/>
      <c r="N778" s="449"/>
      <c r="O778" s="742"/>
    </row>
    <row r="779" spans="2:15" x14ac:dyDescent="0.3">
      <c r="B779" s="493" t="s">
        <v>1469</v>
      </c>
      <c r="C779" s="522">
        <f ca="1">IF(AND('PSA inputs'!$I$867=1,'PSA inputs'!$I$916=1),G779,D779)</f>
        <v>3.1700004093948242E-2</v>
      </c>
      <c r="D779" s="522">
        <f>'QoL input'!C59</f>
        <v>3.1E-2</v>
      </c>
      <c r="E779" s="522">
        <f>'QoL input'!D59</f>
        <v>2.5000000000000001E-2</v>
      </c>
      <c r="F779" s="522">
        <f>'QoL input'!E59</f>
        <v>3.6999999999999998E-2</v>
      </c>
      <c r="G779" s="514">
        <f ca="1">'PSA inputs'!J773</f>
        <v>3.1700004093948242E-2</v>
      </c>
      <c r="H779" s="517"/>
      <c r="I779" s="500"/>
      <c r="J779" s="449"/>
      <c r="K779" s="449"/>
      <c r="L779" s="449"/>
      <c r="M779" s="449"/>
      <c r="N779" s="449"/>
      <c r="O779" s="742"/>
    </row>
    <row r="780" spans="2:15" x14ac:dyDescent="0.3">
      <c r="B780" s="498" t="s">
        <v>227</v>
      </c>
      <c r="C780" s="496"/>
      <c r="D780" s="496"/>
      <c r="E780" s="496"/>
      <c r="F780" s="496"/>
      <c r="G780" s="496"/>
    </row>
    <row r="781" spans="2:15" x14ac:dyDescent="0.3">
      <c r="B781" s="490" t="s">
        <v>1437</v>
      </c>
      <c r="C781" s="522">
        <f ca="1">IF(AND('PSA inputs'!$I$867=1,'PSA inputs'!$I$916=1),G781,D781)</f>
        <v>3.6507154695097133E-2</v>
      </c>
      <c r="D781" s="522">
        <f>'QoL input'!C61</f>
        <v>3.1E-2</v>
      </c>
      <c r="E781" s="522">
        <f>'QoL input'!D61</f>
        <v>2.5000000000000001E-2</v>
      </c>
      <c r="F781" s="522">
        <f>'QoL input'!E61</f>
        <v>3.6999999999999998E-2</v>
      </c>
      <c r="G781" s="545">
        <f ca="1">'PSA inputs'!J775</f>
        <v>3.6507154695097133E-2</v>
      </c>
    </row>
    <row r="782" spans="2:15" x14ac:dyDescent="0.3">
      <c r="B782" s="490" t="s">
        <v>1438</v>
      </c>
      <c r="C782" s="522">
        <f ca="1">IF(AND('PSA inputs'!$I$867=1,'PSA inputs'!$I$916=1),G782,D782)</f>
        <v>3.6507154695097133E-2</v>
      </c>
      <c r="D782" s="522">
        <f>'QoL input'!C62</f>
        <v>3.1E-2</v>
      </c>
      <c r="E782" s="522">
        <f>'QoL input'!D62</f>
        <v>2.5000000000000001E-2</v>
      </c>
      <c r="F782" s="522">
        <f>'QoL input'!E62</f>
        <v>3.6999999999999998E-2</v>
      </c>
      <c r="G782" s="545">
        <f ca="1">'PSA inputs'!J776</f>
        <v>3.6507154695097133E-2</v>
      </c>
    </row>
    <row r="783" spans="2:15" x14ac:dyDescent="0.3">
      <c r="B783" s="490" t="s">
        <v>1441</v>
      </c>
      <c r="C783" s="522">
        <f ca="1">IF(AND('PSA inputs'!$I$867=1,'PSA inputs'!$I$916=1),G783,D783)</f>
        <v>3.6507154695097133E-2</v>
      </c>
      <c r="D783" s="522">
        <f>'QoL input'!C63</f>
        <v>3.1E-2</v>
      </c>
      <c r="E783" s="522">
        <f>'QoL input'!D63</f>
        <v>2.5000000000000001E-2</v>
      </c>
      <c r="F783" s="522">
        <f>'QoL input'!E63</f>
        <v>3.6999999999999998E-2</v>
      </c>
      <c r="G783" s="545">
        <f ca="1">'PSA inputs'!J777</f>
        <v>3.6507154695097133E-2</v>
      </c>
    </row>
    <row r="784" spans="2:15" x14ac:dyDescent="0.3">
      <c r="B784" s="490" t="s">
        <v>1442</v>
      </c>
      <c r="C784" s="522">
        <f ca="1">IF(AND('PSA inputs'!$I$867=1,'PSA inputs'!$I$916=1),G784,D784)</f>
        <v>3.6507154695097133E-2</v>
      </c>
      <c r="D784" s="522">
        <f>'QoL input'!C64</f>
        <v>3.1E-2</v>
      </c>
      <c r="E784" s="522">
        <f>'QoL input'!D64</f>
        <v>2.5000000000000001E-2</v>
      </c>
      <c r="F784" s="522">
        <f>'QoL input'!E64</f>
        <v>3.6999999999999998E-2</v>
      </c>
      <c r="G784" s="545">
        <f ca="1">'PSA inputs'!J778</f>
        <v>3.6507154695097133E-2</v>
      </c>
    </row>
    <row r="785" spans="2:15" x14ac:dyDescent="0.3">
      <c r="B785" s="498" t="s">
        <v>920</v>
      </c>
      <c r="C785" s="496"/>
      <c r="D785" s="496"/>
      <c r="E785" s="496"/>
      <c r="F785" s="496"/>
      <c r="G785" s="496"/>
    </row>
    <row r="786" spans="2:15" x14ac:dyDescent="0.3">
      <c r="B786" s="490" t="s">
        <v>920</v>
      </c>
      <c r="C786" s="522">
        <f ca="1">IF(AND('PSA inputs'!$I$867=1,'PSA inputs'!$I$916=1),G786,D786)</f>
        <v>3.6507154695097133E-2</v>
      </c>
      <c r="D786" s="522">
        <f>'QoL input'!C66</f>
        <v>3.1E-2</v>
      </c>
      <c r="E786" s="522">
        <f>'QoL input'!D66</f>
        <v>2.5000000000000001E-2</v>
      </c>
      <c r="F786" s="522">
        <f>'QoL input'!E66</f>
        <v>3.6999999999999998E-2</v>
      </c>
      <c r="G786" s="545">
        <f ca="1">'PSA inputs'!J780</f>
        <v>3.6507154695097133E-2</v>
      </c>
    </row>
    <row r="787" spans="2:15" x14ac:dyDescent="0.3">
      <c r="B787" s="490" t="s">
        <v>980</v>
      </c>
      <c r="C787" s="522">
        <f ca="1">IF(AND('PSA inputs'!$I$867=1,'PSA inputs'!$I$916=1),G787,D787)</f>
        <v>3.6507154695097133E-2</v>
      </c>
      <c r="D787" s="522">
        <f>'QoL input'!C67</f>
        <v>3.1E-2</v>
      </c>
      <c r="E787" s="522">
        <f>'QoL input'!D67</f>
        <v>2.5000000000000001E-2</v>
      </c>
      <c r="F787" s="522">
        <f>'QoL input'!E67</f>
        <v>3.6999999999999998E-2</v>
      </c>
      <c r="G787" s="545">
        <f ca="1">'PSA inputs'!J781</f>
        <v>3.6507154695097133E-2</v>
      </c>
    </row>
    <row r="788" spans="2:15" x14ac:dyDescent="0.3">
      <c r="B788" s="490"/>
      <c r="C788" s="589"/>
      <c r="D788" s="589"/>
      <c r="E788" s="589"/>
      <c r="F788" s="589"/>
      <c r="G788" s="589"/>
    </row>
    <row r="789" spans="2:15" x14ac:dyDescent="0.3">
      <c r="B789" s="543" t="s">
        <v>1522</v>
      </c>
      <c r="C789" s="483"/>
      <c r="D789" s="483"/>
      <c r="E789" s="483"/>
      <c r="F789" s="483"/>
      <c r="G789" s="483"/>
      <c r="I789" s="543" t="s">
        <v>1523</v>
      </c>
      <c r="J789" s="519"/>
      <c r="K789" s="519"/>
      <c r="L789" s="519"/>
      <c r="M789" s="519"/>
      <c r="N789" s="519"/>
      <c r="O789" s="745"/>
    </row>
    <row r="790" spans="2:15" x14ac:dyDescent="0.3">
      <c r="B790" s="484" t="s">
        <v>950</v>
      </c>
      <c r="C790" s="485" t="s">
        <v>724</v>
      </c>
      <c r="D790" s="485" t="s">
        <v>995</v>
      </c>
      <c r="E790" s="485" t="s">
        <v>985</v>
      </c>
      <c r="F790" s="485" t="s">
        <v>986</v>
      </c>
      <c r="G790" s="485" t="s">
        <v>996</v>
      </c>
      <c r="I790" s="484" t="s">
        <v>950</v>
      </c>
      <c r="J790" s="485" t="s">
        <v>724</v>
      </c>
      <c r="K790" s="485" t="s">
        <v>995</v>
      </c>
      <c r="L790" s="485" t="s">
        <v>985</v>
      </c>
      <c r="M790" s="485" t="s">
        <v>986</v>
      </c>
      <c r="N790" s="485" t="s">
        <v>996</v>
      </c>
      <c r="O790" s="738"/>
    </row>
    <row r="791" spans="2:15" x14ac:dyDescent="0.3">
      <c r="B791" s="487" t="s">
        <v>1445</v>
      </c>
      <c r="I791" s="487" t="s">
        <v>988</v>
      </c>
    </row>
    <row r="792" spans="2:15" x14ac:dyDescent="0.3">
      <c r="B792" s="493" t="s">
        <v>2</v>
      </c>
      <c r="C792" s="522">
        <f>IF(AND('PSA inputs'!$I$867=1,'PSA inputs'!$I$918=1),G792,D792)</f>
        <v>0</v>
      </c>
      <c r="D792" s="522">
        <f>'QoL input'!C137</f>
        <v>0</v>
      </c>
      <c r="E792" s="522">
        <f>'QoL input'!D137</f>
        <v>0</v>
      </c>
      <c r="F792" s="522">
        <f>'QoL input'!E137</f>
        <v>0</v>
      </c>
      <c r="G792" s="545">
        <f>'PSA inputs'!J787</f>
        <v>0</v>
      </c>
      <c r="I792" s="529" t="s">
        <v>2</v>
      </c>
      <c r="J792" s="522">
        <f>IF(AND('PSA inputs'!$I$867=1,'PSA inputs'!$I$919=1),N792,K792)</f>
        <v>0</v>
      </c>
      <c r="K792" s="522">
        <f>'QoL input'!C193</f>
        <v>0</v>
      </c>
      <c r="L792" s="522">
        <f>'QoL input'!D193</f>
        <v>0</v>
      </c>
      <c r="M792" s="522">
        <f>'QoL input'!E193</f>
        <v>0</v>
      </c>
      <c r="N792" s="522">
        <f>'PSA inputs'!U787</f>
        <v>0</v>
      </c>
      <c r="O792" s="751"/>
    </row>
    <row r="793" spans="2:15" x14ac:dyDescent="0.3">
      <c r="B793" s="493" t="s">
        <v>3</v>
      </c>
      <c r="C793" s="522">
        <f>IF(AND('PSA inputs'!$I$867=1,'PSA inputs'!$I$918=1),G793,D793)</f>
        <v>0</v>
      </c>
      <c r="D793" s="522">
        <f>'QoL input'!C138</f>
        <v>0</v>
      </c>
      <c r="E793" s="522">
        <f>'QoL input'!D138</f>
        <v>0</v>
      </c>
      <c r="F793" s="522">
        <f>'QoL input'!E138</f>
        <v>0</v>
      </c>
      <c r="G793" s="545">
        <f>'PSA inputs'!J788</f>
        <v>0</v>
      </c>
      <c r="I793" s="529" t="s">
        <v>3</v>
      </c>
      <c r="J793" s="522">
        <f>IF(AND('PSA inputs'!$I$867=1,'PSA inputs'!$I$919=1),N793,K793)</f>
        <v>0</v>
      </c>
      <c r="K793" s="522">
        <f>'QoL input'!C194</f>
        <v>0</v>
      </c>
      <c r="L793" s="522">
        <f>'QoL input'!D194</f>
        <v>0</v>
      </c>
      <c r="M793" s="522">
        <f>'QoL input'!E194</f>
        <v>0</v>
      </c>
      <c r="N793" s="522">
        <f>'PSA inputs'!U788</f>
        <v>0</v>
      </c>
      <c r="O793" s="751"/>
    </row>
    <row r="794" spans="2:15" x14ac:dyDescent="0.3">
      <c r="B794" s="493" t="s">
        <v>4</v>
      </c>
      <c r="C794" s="522">
        <f>IF(AND('PSA inputs'!$I$867=1,'PSA inputs'!$I$918=1),G794,D794)</f>
        <v>0</v>
      </c>
      <c r="D794" s="522">
        <f>'QoL input'!C139</f>
        <v>0</v>
      </c>
      <c r="E794" s="522">
        <f>'QoL input'!D139</f>
        <v>0</v>
      </c>
      <c r="F794" s="522">
        <f>'QoL input'!E139</f>
        <v>0</v>
      </c>
      <c r="G794" s="545">
        <f>'PSA inputs'!J789</f>
        <v>0</v>
      </c>
      <c r="I794" s="529" t="s">
        <v>4</v>
      </c>
      <c r="J794" s="522">
        <f>IF(AND('PSA inputs'!$I$867=1,'PSA inputs'!$I$919=1),N794,K794)</f>
        <v>0</v>
      </c>
      <c r="K794" s="522">
        <f>'QoL input'!C195</f>
        <v>0</v>
      </c>
      <c r="L794" s="522">
        <f>'QoL input'!D195</f>
        <v>0</v>
      </c>
      <c r="M794" s="522">
        <f>'QoL input'!E195</f>
        <v>0</v>
      </c>
      <c r="N794" s="522">
        <f>'PSA inputs'!U789</f>
        <v>0</v>
      </c>
      <c r="O794" s="751"/>
    </row>
    <row r="795" spans="2:15" x14ac:dyDescent="0.3">
      <c r="B795" s="493" t="s">
        <v>5</v>
      </c>
      <c r="C795" s="522">
        <f>IF(AND('PSA inputs'!$I$867=1,'PSA inputs'!$I$918=1),G795,D795)</f>
        <v>0</v>
      </c>
      <c r="D795" s="522">
        <f>'QoL input'!C140</f>
        <v>0</v>
      </c>
      <c r="E795" s="522">
        <f>'QoL input'!D140</f>
        <v>0</v>
      </c>
      <c r="F795" s="522">
        <f>'QoL input'!E140</f>
        <v>0</v>
      </c>
      <c r="G795" s="545">
        <f>'PSA inputs'!J790</f>
        <v>0</v>
      </c>
      <c r="I795" s="529" t="s">
        <v>5</v>
      </c>
      <c r="J795" s="522">
        <f>IF(AND('PSA inputs'!$I$867=1,'PSA inputs'!$I$919=1),N795,K795)</f>
        <v>0</v>
      </c>
      <c r="K795" s="522">
        <f>'QoL input'!C196</f>
        <v>0</v>
      </c>
      <c r="L795" s="522">
        <f>'QoL input'!D196</f>
        <v>0</v>
      </c>
      <c r="M795" s="522">
        <f>'QoL input'!E196</f>
        <v>0</v>
      </c>
      <c r="N795" s="522">
        <f>'PSA inputs'!U790</f>
        <v>0</v>
      </c>
      <c r="O795" s="751"/>
    </row>
    <row r="796" spans="2:15" x14ac:dyDescent="0.3">
      <c r="B796" s="493" t="s">
        <v>6</v>
      </c>
      <c r="C796" s="522">
        <f>IF(AND('PSA inputs'!$I$867=1,'PSA inputs'!$I$918=1),G796,D796)</f>
        <v>0</v>
      </c>
      <c r="D796" s="522">
        <f>'QoL input'!C141</f>
        <v>0</v>
      </c>
      <c r="E796" s="522">
        <f>'QoL input'!D141</f>
        <v>0</v>
      </c>
      <c r="F796" s="522">
        <f>'QoL input'!E141</f>
        <v>0</v>
      </c>
      <c r="G796" s="545">
        <f>'PSA inputs'!J791</f>
        <v>0</v>
      </c>
      <c r="I796" s="529" t="s">
        <v>6</v>
      </c>
      <c r="J796" s="522">
        <f>IF(AND('PSA inputs'!$I$867=1,'PSA inputs'!$I$919=1),N796,K796)</f>
        <v>0</v>
      </c>
      <c r="K796" s="522">
        <f>'QoL input'!C197</f>
        <v>0</v>
      </c>
      <c r="L796" s="522">
        <f>'QoL input'!D197</f>
        <v>0</v>
      </c>
      <c r="M796" s="522">
        <f>'QoL input'!E197</f>
        <v>0</v>
      </c>
      <c r="N796" s="522">
        <f>'PSA inputs'!U791</f>
        <v>0</v>
      </c>
      <c r="O796" s="751"/>
    </row>
    <row r="797" spans="2:15" x14ac:dyDescent="0.3">
      <c r="B797" s="493" t="s">
        <v>7</v>
      </c>
      <c r="C797" s="522">
        <f>IF(AND('PSA inputs'!$I$867=1,'PSA inputs'!$I$918=1),G797,D797)</f>
        <v>0</v>
      </c>
      <c r="D797" s="522">
        <f>'QoL input'!C142</f>
        <v>0</v>
      </c>
      <c r="E797" s="522">
        <f>'QoL input'!D142</f>
        <v>0</v>
      </c>
      <c r="F797" s="522">
        <f>'QoL input'!E142</f>
        <v>0</v>
      </c>
      <c r="G797" s="545">
        <f>'PSA inputs'!J792</f>
        <v>0</v>
      </c>
      <c r="I797" s="529" t="s">
        <v>7</v>
      </c>
      <c r="J797" s="522">
        <f>IF(AND('PSA inputs'!$I$867=1,'PSA inputs'!$I$919=1),N797,K797)</f>
        <v>0</v>
      </c>
      <c r="K797" s="522">
        <f>'QoL input'!C198</f>
        <v>0</v>
      </c>
      <c r="L797" s="522">
        <f>'QoL input'!D198</f>
        <v>0</v>
      </c>
      <c r="M797" s="522">
        <f>'QoL input'!E198</f>
        <v>0</v>
      </c>
      <c r="N797" s="522">
        <f>'PSA inputs'!U792</f>
        <v>0</v>
      </c>
      <c r="O797" s="751"/>
    </row>
    <row r="798" spans="2:15" x14ac:dyDescent="0.3">
      <c r="B798" s="493" t="s">
        <v>1469</v>
      </c>
      <c r="C798" s="522">
        <f>IF(AND('PSA inputs'!$I$867=1,'PSA inputs'!$I$918=1),G798,D798)</f>
        <v>0</v>
      </c>
      <c r="D798" s="522">
        <f>'QoL input'!C143</f>
        <v>0</v>
      </c>
      <c r="E798" s="522">
        <f>'QoL input'!D143</f>
        <v>0</v>
      </c>
      <c r="F798" s="522">
        <f>'QoL input'!E143</f>
        <v>0</v>
      </c>
      <c r="G798" s="545">
        <f>'PSA inputs'!J793</f>
        <v>0</v>
      </c>
      <c r="I798" s="529" t="s">
        <v>1469</v>
      </c>
      <c r="J798" s="522">
        <f>IF(AND('PSA inputs'!$I$867=1,'PSA inputs'!$I$919=1),N798,K798)</f>
        <v>0</v>
      </c>
      <c r="K798" s="522">
        <f>'QoL input'!C199</f>
        <v>0</v>
      </c>
      <c r="L798" s="522">
        <f>'QoL input'!D199</f>
        <v>0</v>
      </c>
      <c r="M798" s="522">
        <f>'QoL input'!E199</f>
        <v>0</v>
      </c>
      <c r="N798" s="522">
        <f>'PSA inputs'!U793</f>
        <v>0</v>
      </c>
      <c r="O798" s="751"/>
    </row>
    <row r="799" spans="2:15" x14ac:dyDescent="0.3">
      <c r="B799" s="487" t="s">
        <v>1444</v>
      </c>
      <c r="C799" s="496"/>
      <c r="D799" s="496"/>
      <c r="E799" s="496"/>
      <c r="F799" s="496"/>
      <c r="G799" s="496"/>
      <c r="H799" s="517"/>
      <c r="I799" s="532" t="s">
        <v>988</v>
      </c>
      <c r="J799" s="598"/>
      <c r="K799" s="598"/>
      <c r="L799" s="598"/>
      <c r="M799" s="598"/>
      <c r="N799" s="598"/>
      <c r="O799" s="752"/>
    </row>
    <row r="800" spans="2:15" x14ac:dyDescent="0.3">
      <c r="B800" s="493" t="s">
        <v>2</v>
      </c>
      <c r="C800" s="522">
        <f>IF(AND('PSA inputs'!$I$867=1,'PSA inputs'!$I$918=1),G800,D800)</f>
        <v>0</v>
      </c>
      <c r="D800" s="522">
        <f>'QoL input'!C145</f>
        <v>0</v>
      </c>
      <c r="E800" s="522">
        <f>'QoL input'!D145</f>
        <v>0</v>
      </c>
      <c r="F800" s="522">
        <f>'QoL input'!E145</f>
        <v>0</v>
      </c>
      <c r="G800" s="514">
        <f>'PSA inputs'!J795</f>
        <v>0</v>
      </c>
      <c r="H800" s="517"/>
      <c r="I800" s="529" t="s">
        <v>2</v>
      </c>
      <c r="J800" s="522">
        <f>IF(AND('PSA inputs'!$I$867=1,'PSA inputs'!$I$919=1),N800,K800)</f>
        <v>0</v>
      </c>
      <c r="K800" s="522">
        <f>'QoL input'!C201</f>
        <v>0</v>
      </c>
      <c r="L800" s="522">
        <f>'QoL input'!D201</f>
        <v>0</v>
      </c>
      <c r="M800" s="522">
        <f>'QoL input'!E201</f>
        <v>0</v>
      </c>
      <c r="N800" s="522">
        <f>'PSA inputs'!U795</f>
        <v>0</v>
      </c>
      <c r="O800" s="751"/>
    </row>
    <row r="801" spans="2:15" x14ac:dyDescent="0.3">
      <c r="B801" s="493" t="s">
        <v>3</v>
      </c>
      <c r="C801" s="522">
        <f>IF(AND('PSA inputs'!$I$867=1,'PSA inputs'!$I$918=1),G801,D801)</f>
        <v>0</v>
      </c>
      <c r="D801" s="522">
        <f>'QoL input'!C146</f>
        <v>0</v>
      </c>
      <c r="E801" s="522">
        <f>'QoL input'!D146</f>
        <v>0</v>
      </c>
      <c r="F801" s="522">
        <f>'QoL input'!E146</f>
        <v>0</v>
      </c>
      <c r="G801" s="514">
        <f>'PSA inputs'!J796</f>
        <v>0</v>
      </c>
      <c r="H801" s="517"/>
      <c r="I801" s="529" t="s">
        <v>3</v>
      </c>
      <c r="J801" s="522">
        <f>IF(AND('PSA inputs'!$I$867=1,'PSA inputs'!$I$919=1),N801,K801)</f>
        <v>0</v>
      </c>
      <c r="K801" s="522">
        <f>'QoL input'!C202</f>
        <v>0</v>
      </c>
      <c r="L801" s="522">
        <f>'QoL input'!D202</f>
        <v>0</v>
      </c>
      <c r="M801" s="522">
        <f>'QoL input'!E202</f>
        <v>0</v>
      </c>
      <c r="N801" s="522">
        <f>'PSA inputs'!U796</f>
        <v>0</v>
      </c>
      <c r="O801" s="751"/>
    </row>
    <row r="802" spans="2:15" x14ac:dyDescent="0.3">
      <c r="B802" s="493" t="s">
        <v>4</v>
      </c>
      <c r="C802" s="522">
        <f>IF(AND('PSA inputs'!$I$867=1,'PSA inputs'!$I$918=1),G802,D802)</f>
        <v>0</v>
      </c>
      <c r="D802" s="522">
        <f>'QoL input'!C147</f>
        <v>0</v>
      </c>
      <c r="E802" s="522">
        <f>'QoL input'!D147</f>
        <v>0</v>
      </c>
      <c r="F802" s="522">
        <f>'QoL input'!E147</f>
        <v>0</v>
      </c>
      <c r="G802" s="514">
        <f>'PSA inputs'!J797</f>
        <v>0</v>
      </c>
      <c r="H802" s="517"/>
      <c r="I802" s="529" t="s">
        <v>4</v>
      </c>
      <c r="J802" s="522">
        <f>IF(AND('PSA inputs'!$I$867=1,'PSA inputs'!$I$919=1),N802,K802)</f>
        <v>0</v>
      </c>
      <c r="K802" s="522">
        <f>'QoL input'!C203</f>
        <v>0</v>
      </c>
      <c r="L802" s="522">
        <f>'QoL input'!D203</f>
        <v>0</v>
      </c>
      <c r="M802" s="522">
        <f>'QoL input'!E203</f>
        <v>0</v>
      </c>
      <c r="N802" s="522">
        <f>'PSA inputs'!U797</f>
        <v>0</v>
      </c>
      <c r="O802" s="751"/>
    </row>
    <row r="803" spans="2:15" x14ac:dyDescent="0.3">
      <c r="B803" s="493" t="s">
        <v>5</v>
      </c>
      <c r="C803" s="522">
        <f>IF(AND('PSA inputs'!$I$867=1,'PSA inputs'!$I$918=1),G803,D803)</f>
        <v>0</v>
      </c>
      <c r="D803" s="522">
        <f>'QoL input'!C148</f>
        <v>0</v>
      </c>
      <c r="E803" s="522">
        <f>'QoL input'!D148</f>
        <v>0</v>
      </c>
      <c r="F803" s="522">
        <f>'QoL input'!E148</f>
        <v>0</v>
      </c>
      <c r="G803" s="514">
        <f>'PSA inputs'!J798</f>
        <v>0</v>
      </c>
      <c r="H803" s="517"/>
      <c r="I803" s="529" t="s">
        <v>5</v>
      </c>
      <c r="J803" s="522">
        <f>IF(AND('PSA inputs'!$I$867=1,'PSA inputs'!$I$919=1),N803,K803)</f>
        <v>0</v>
      </c>
      <c r="K803" s="522">
        <f>'QoL input'!C204</f>
        <v>0</v>
      </c>
      <c r="L803" s="522">
        <f>'QoL input'!D204</f>
        <v>0</v>
      </c>
      <c r="M803" s="522">
        <f>'QoL input'!E204</f>
        <v>0</v>
      </c>
      <c r="N803" s="522">
        <f>'PSA inputs'!U798</f>
        <v>0</v>
      </c>
      <c r="O803" s="751"/>
    </row>
    <row r="804" spans="2:15" x14ac:dyDescent="0.3">
      <c r="B804" s="493" t="s">
        <v>6</v>
      </c>
      <c r="C804" s="522">
        <f>IF(AND('PSA inputs'!$I$867=1,'PSA inputs'!$I$918=1),G804,D804)</f>
        <v>0</v>
      </c>
      <c r="D804" s="522">
        <f>'QoL input'!C149</f>
        <v>0</v>
      </c>
      <c r="E804" s="522">
        <f>'QoL input'!D149</f>
        <v>0</v>
      </c>
      <c r="F804" s="522">
        <f>'QoL input'!E149</f>
        <v>0</v>
      </c>
      <c r="G804" s="514">
        <f>'PSA inputs'!J799</f>
        <v>0</v>
      </c>
      <c r="H804" s="517"/>
      <c r="I804" s="529" t="s">
        <v>6</v>
      </c>
      <c r="J804" s="522">
        <f>IF(AND('PSA inputs'!$I$867=1,'PSA inputs'!$I$919=1),N804,K804)</f>
        <v>0</v>
      </c>
      <c r="K804" s="522">
        <f>'QoL input'!C205</f>
        <v>0</v>
      </c>
      <c r="L804" s="522">
        <f>'QoL input'!D205</f>
        <v>0</v>
      </c>
      <c r="M804" s="522">
        <f>'QoL input'!E205</f>
        <v>0</v>
      </c>
      <c r="N804" s="522">
        <f>'PSA inputs'!U799</f>
        <v>0</v>
      </c>
      <c r="O804" s="751"/>
    </row>
    <row r="805" spans="2:15" x14ac:dyDescent="0.3">
      <c r="B805" s="493" t="s">
        <v>7</v>
      </c>
      <c r="C805" s="522">
        <f>IF(AND('PSA inputs'!$I$867=1,'PSA inputs'!$I$918=1),G805,D805)</f>
        <v>0</v>
      </c>
      <c r="D805" s="522">
        <f>'QoL input'!C150</f>
        <v>0</v>
      </c>
      <c r="E805" s="522">
        <f>'QoL input'!D150</f>
        <v>0</v>
      </c>
      <c r="F805" s="522">
        <f>'QoL input'!E150</f>
        <v>0</v>
      </c>
      <c r="G805" s="514">
        <f>'PSA inputs'!J800</f>
        <v>0</v>
      </c>
      <c r="H805" s="517"/>
      <c r="I805" s="529" t="s">
        <v>7</v>
      </c>
      <c r="J805" s="522">
        <f>IF(AND('PSA inputs'!$I$867=1,'PSA inputs'!$I$919=1),N805,K805)</f>
        <v>0</v>
      </c>
      <c r="K805" s="522">
        <f>'QoL input'!C206</f>
        <v>0</v>
      </c>
      <c r="L805" s="522">
        <f>'QoL input'!D206</f>
        <v>0</v>
      </c>
      <c r="M805" s="522">
        <f>'QoL input'!E206</f>
        <v>0</v>
      </c>
      <c r="N805" s="522">
        <f>'PSA inputs'!U800</f>
        <v>0</v>
      </c>
      <c r="O805" s="751"/>
    </row>
    <row r="806" spans="2:15" x14ac:dyDescent="0.3">
      <c r="B806" s="493" t="s">
        <v>1469</v>
      </c>
      <c r="C806" s="522">
        <f>IF(AND('PSA inputs'!$I$867=1,'PSA inputs'!$I$918=1),G806,D806)</f>
        <v>0</v>
      </c>
      <c r="D806" s="522">
        <f>'QoL input'!C151</f>
        <v>0</v>
      </c>
      <c r="E806" s="522">
        <f>'QoL input'!D151</f>
        <v>0</v>
      </c>
      <c r="F806" s="522">
        <f>'QoL input'!E151</f>
        <v>0</v>
      </c>
      <c r="G806" s="514">
        <f>'PSA inputs'!J801</f>
        <v>0</v>
      </c>
      <c r="H806" s="517"/>
      <c r="I806" s="529" t="s">
        <v>1469</v>
      </c>
      <c r="J806" s="522">
        <f>IF(AND('PSA inputs'!$I$867=1,'PSA inputs'!$I$919=1),N806,K806)</f>
        <v>0</v>
      </c>
      <c r="K806" s="522">
        <f>'QoL input'!C207</f>
        <v>0</v>
      </c>
      <c r="L806" s="522">
        <f>'QoL input'!D207</f>
        <v>0</v>
      </c>
      <c r="M806" s="522">
        <f>'QoL input'!E207</f>
        <v>0</v>
      </c>
      <c r="N806" s="522">
        <f>'PSA inputs'!U801</f>
        <v>0</v>
      </c>
      <c r="O806" s="751"/>
    </row>
    <row r="807" spans="2:15" x14ac:dyDescent="0.3">
      <c r="B807" s="498" t="s">
        <v>227</v>
      </c>
      <c r="C807" s="496"/>
      <c r="D807" s="496"/>
      <c r="E807" s="496"/>
      <c r="F807" s="496"/>
      <c r="G807" s="496"/>
      <c r="I807" s="534" t="s">
        <v>227</v>
      </c>
      <c r="J807" s="598"/>
      <c r="K807" s="598"/>
      <c r="L807" s="598"/>
      <c r="M807" s="598"/>
      <c r="N807" s="598"/>
      <c r="O807" s="752"/>
    </row>
    <row r="808" spans="2:15" x14ac:dyDescent="0.3">
      <c r="B808" s="490" t="s">
        <v>1437</v>
      </c>
      <c r="C808" s="522">
        <f>IF(AND('PSA inputs'!$I$867=1,'PSA inputs'!$I$918=1),G808,D808)</f>
        <v>0</v>
      </c>
      <c r="D808" s="522">
        <f>'QoL input'!C153</f>
        <v>0</v>
      </c>
      <c r="E808" s="522">
        <f>'QoL input'!D153</f>
        <v>0</v>
      </c>
      <c r="F808" s="522">
        <f>'QoL input'!E153</f>
        <v>0</v>
      </c>
      <c r="G808" s="545">
        <f>'PSA inputs'!J803</f>
        <v>0</v>
      </c>
      <c r="I808" s="535" t="s">
        <v>1437</v>
      </c>
      <c r="J808" s="522">
        <f>IF(AND('PSA inputs'!$I$867=1,'PSA inputs'!$I$919=1),N808,K808)</f>
        <v>0</v>
      </c>
      <c r="K808" s="522">
        <f>'QoL input'!C209</f>
        <v>0</v>
      </c>
      <c r="L808" s="522">
        <f>'QoL input'!D209</f>
        <v>0</v>
      </c>
      <c r="M808" s="522">
        <f>'QoL input'!E209</f>
        <v>0</v>
      </c>
      <c r="N808" s="522">
        <f>'PSA inputs'!U803</f>
        <v>0</v>
      </c>
      <c r="O808" s="751"/>
    </row>
    <row r="809" spans="2:15" x14ac:dyDescent="0.3">
      <c r="B809" s="490" t="s">
        <v>1438</v>
      </c>
      <c r="C809" s="522">
        <f>IF(AND('PSA inputs'!$I$867=1,'PSA inputs'!$I$918=1),G809,D809)</f>
        <v>0</v>
      </c>
      <c r="D809" s="522">
        <f>'QoL input'!C154</f>
        <v>0</v>
      </c>
      <c r="E809" s="522">
        <f>'QoL input'!D154</f>
        <v>0</v>
      </c>
      <c r="F809" s="522">
        <f>'QoL input'!E154</f>
        <v>0</v>
      </c>
      <c r="G809" s="545">
        <f>'PSA inputs'!J804</f>
        <v>0</v>
      </c>
      <c r="I809" s="535" t="s">
        <v>1438</v>
      </c>
      <c r="J809" s="522">
        <f>IF(AND('PSA inputs'!$I$867=1,'PSA inputs'!$I$919=1),N809,K809)</f>
        <v>0</v>
      </c>
      <c r="K809" s="522">
        <f>'QoL input'!C210</f>
        <v>0</v>
      </c>
      <c r="L809" s="522">
        <f>'QoL input'!D210</f>
        <v>0</v>
      </c>
      <c r="M809" s="522">
        <f>'QoL input'!E210</f>
        <v>0</v>
      </c>
      <c r="N809" s="522">
        <f>'PSA inputs'!U804</f>
        <v>0</v>
      </c>
      <c r="O809" s="751"/>
    </row>
    <row r="810" spans="2:15" x14ac:dyDescent="0.3">
      <c r="B810" s="490" t="s">
        <v>1441</v>
      </c>
      <c r="C810" s="522">
        <f>IF(AND('PSA inputs'!$I$867=1,'PSA inputs'!$I$918=1),G810,D810)</f>
        <v>0</v>
      </c>
      <c r="D810" s="522">
        <f>'QoL input'!C155</f>
        <v>0</v>
      </c>
      <c r="E810" s="522">
        <f>'QoL input'!D155</f>
        <v>0</v>
      </c>
      <c r="F810" s="522">
        <f>'QoL input'!E155</f>
        <v>0</v>
      </c>
      <c r="G810" s="545">
        <f>'PSA inputs'!J805</f>
        <v>0</v>
      </c>
      <c r="I810" s="535" t="s">
        <v>1441</v>
      </c>
      <c r="J810" s="522">
        <f>IF(AND('PSA inputs'!$I$867=1,'PSA inputs'!$I$919=1),N810,K810)</f>
        <v>0</v>
      </c>
      <c r="K810" s="522">
        <f>'QoL input'!C211</f>
        <v>0</v>
      </c>
      <c r="L810" s="522">
        <f>'QoL input'!D211</f>
        <v>0</v>
      </c>
      <c r="M810" s="522">
        <f>'QoL input'!E211</f>
        <v>0</v>
      </c>
      <c r="N810" s="522">
        <f>'PSA inputs'!U805</f>
        <v>0</v>
      </c>
      <c r="O810" s="751"/>
    </row>
    <row r="811" spans="2:15" x14ac:dyDescent="0.3">
      <c r="B811" s="490" t="s">
        <v>1442</v>
      </c>
      <c r="C811" s="522">
        <f>IF(AND('PSA inputs'!$I$867=1,'PSA inputs'!$I$918=1),G811,D811)</f>
        <v>0</v>
      </c>
      <c r="D811" s="522">
        <f>'QoL input'!C156</f>
        <v>0</v>
      </c>
      <c r="E811" s="522">
        <f>'QoL input'!D156</f>
        <v>0</v>
      </c>
      <c r="F811" s="522">
        <f>'QoL input'!E156</f>
        <v>0</v>
      </c>
      <c r="G811" s="545">
        <f>'PSA inputs'!J806</f>
        <v>0</v>
      </c>
      <c r="I811" s="535" t="s">
        <v>1442</v>
      </c>
      <c r="J811" s="522">
        <f>IF(AND('PSA inputs'!$I$867=1,'PSA inputs'!$I$919=1),N811,K811)</f>
        <v>0</v>
      </c>
      <c r="K811" s="522">
        <f>'QoL input'!C212</f>
        <v>0</v>
      </c>
      <c r="L811" s="522">
        <f>'QoL input'!D212</f>
        <v>0</v>
      </c>
      <c r="M811" s="522">
        <f>'QoL input'!E212</f>
        <v>0</v>
      </c>
      <c r="N811" s="522">
        <f>'PSA inputs'!U806</f>
        <v>0</v>
      </c>
      <c r="O811" s="751"/>
    </row>
    <row r="812" spans="2:15" x14ac:dyDescent="0.3">
      <c r="B812" s="498" t="s">
        <v>920</v>
      </c>
      <c r="C812" s="496"/>
      <c r="D812" s="496"/>
      <c r="E812" s="496"/>
      <c r="F812" s="496"/>
      <c r="G812" s="496"/>
      <c r="I812" s="534" t="s">
        <v>920</v>
      </c>
      <c r="J812" s="598"/>
      <c r="K812" s="598"/>
      <c r="L812" s="598"/>
      <c r="M812" s="598"/>
      <c r="N812" s="598"/>
      <c r="O812" s="752"/>
    </row>
    <row r="813" spans="2:15" x14ac:dyDescent="0.3">
      <c r="B813" s="490" t="s">
        <v>920</v>
      </c>
      <c r="C813" s="522">
        <f>IF(AND('PSA inputs'!$I$867=1,'PSA inputs'!$I$918=1),G813,D813)</f>
        <v>0</v>
      </c>
      <c r="D813" s="522">
        <f>'QoL input'!C158</f>
        <v>0</v>
      </c>
      <c r="E813" s="522">
        <f>'QoL input'!D158</f>
        <v>0</v>
      </c>
      <c r="F813" s="522">
        <f>'QoL input'!E158</f>
        <v>0</v>
      </c>
      <c r="G813" s="545">
        <f>'PSA inputs'!J808</f>
        <v>0</v>
      </c>
      <c r="I813" s="535" t="s">
        <v>920</v>
      </c>
      <c r="J813" s="522">
        <f>IF(AND('PSA inputs'!$I$867=1,'PSA inputs'!$I$919=1),N813,K813)</f>
        <v>0</v>
      </c>
      <c r="K813" s="522">
        <f>'QoL input'!C214</f>
        <v>0</v>
      </c>
      <c r="L813" s="522">
        <f>'QoL input'!D214</f>
        <v>0</v>
      </c>
      <c r="M813" s="522">
        <f>'QoL input'!E214</f>
        <v>0</v>
      </c>
      <c r="N813" s="522">
        <f>'PSA inputs'!U808</f>
        <v>0</v>
      </c>
      <c r="O813" s="751"/>
    </row>
    <row r="814" spans="2:15" x14ac:dyDescent="0.3">
      <c r="B814" s="490" t="s">
        <v>980</v>
      </c>
      <c r="C814" s="522">
        <f>IF(AND('PSA inputs'!$I$867=1,'PSA inputs'!$I$918=1),G814,D814)</f>
        <v>0</v>
      </c>
      <c r="D814" s="522">
        <f>'QoL input'!C159</f>
        <v>0</v>
      </c>
      <c r="E814" s="522">
        <f>'QoL input'!D159</f>
        <v>0</v>
      </c>
      <c r="F814" s="522">
        <f>'QoL input'!E159</f>
        <v>0</v>
      </c>
      <c r="G814" s="545">
        <f>'PSA inputs'!J809</f>
        <v>0</v>
      </c>
      <c r="I814" s="535" t="s">
        <v>980</v>
      </c>
      <c r="J814" s="522">
        <f>IF(AND('PSA inputs'!$I$867=1,'PSA inputs'!$I$919=1),N814,K814)</f>
        <v>0</v>
      </c>
      <c r="K814" s="522">
        <f>'QoL input'!C215</f>
        <v>0</v>
      </c>
      <c r="L814" s="522">
        <f>'QoL input'!D215</f>
        <v>0</v>
      </c>
      <c r="M814" s="522">
        <f>'QoL input'!E215</f>
        <v>0</v>
      </c>
      <c r="N814" s="522">
        <f>'PSA inputs'!U809</f>
        <v>0</v>
      </c>
      <c r="O814" s="751"/>
    </row>
    <row r="815" spans="2:15" x14ac:dyDescent="0.3">
      <c r="B815" s="547"/>
    </row>
    <row r="816" spans="2:15" x14ac:dyDescent="0.3">
      <c r="B816" s="543" t="s">
        <v>1525</v>
      </c>
      <c r="C816" s="483"/>
      <c r="D816" s="483"/>
      <c r="E816" s="483"/>
      <c r="F816" s="483"/>
      <c r="G816" s="483"/>
      <c r="I816" s="543" t="s">
        <v>1524</v>
      </c>
      <c r="J816" s="519"/>
      <c r="K816" s="519"/>
      <c r="L816" s="519"/>
      <c r="M816" s="519"/>
      <c r="N816" s="519"/>
      <c r="O816" s="745"/>
    </row>
    <row r="817" spans="2:15" x14ac:dyDescent="0.3">
      <c r="B817" s="484" t="s">
        <v>950</v>
      </c>
      <c r="C817" s="485" t="s">
        <v>724</v>
      </c>
      <c r="D817" s="485" t="s">
        <v>995</v>
      </c>
      <c r="E817" s="485" t="s">
        <v>985</v>
      </c>
      <c r="F817" s="485" t="s">
        <v>986</v>
      </c>
      <c r="G817" s="485" t="s">
        <v>996</v>
      </c>
      <c r="I817" s="484" t="s">
        <v>950</v>
      </c>
      <c r="J817" s="485" t="s">
        <v>724</v>
      </c>
      <c r="K817" s="485" t="s">
        <v>995</v>
      </c>
      <c r="L817" s="485" t="s">
        <v>985</v>
      </c>
      <c r="M817" s="485" t="s">
        <v>986</v>
      </c>
      <c r="N817" s="485" t="s">
        <v>996</v>
      </c>
      <c r="O817" s="738"/>
    </row>
    <row r="818" spans="2:15" x14ac:dyDescent="0.3">
      <c r="B818" s="487" t="s">
        <v>1445</v>
      </c>
      <c r="I818" s="487" t="s">
        <v>988</v>
      </c>
    </row>
    <row r="819" spans="2:15" x14ac:dyDescent="0.3">
      <c r="B819" s="493" t="s">
        <v>2</v>
      </c>
      <c r="C819" s="522">
        <f>IF(AND('PSA inputs'!$I$867=1,'PSA inputs'!$I$919=1),G819,D819)</f>
        <v>0</v>
      </c>
      <c r="D819" s="522">
        <f>'QoL input'!C165</f>
        <v>0</v>
      </c>
      <c r="E819" s="522">
        <f>'QoL input'!D165</f>
        <v>0</v>
      </c>
      <c r="F819" s="522">
        <f>'QoL input'!E165</f>
        <v>0</v>
      </c>
      <c r="G819" s="545">
        <f>'PSA inputs'!J814</f>
        <v>0</v>
      </c>
      <c r="I819" s="529" t="s">
        <v>2</v>
      </c>
      <c r="J819" s="522">
        <f>IF(AND('PSA inputs'!$I$867=1,'PSA inputs'!$I$920=1),N819,K819)</f>
        <v>0</v>
      </c>
      <c r="K819" s="522">
        <f>'QoL input'!C221</f>
        <v>0</v>
      </c>
      <c r="L819" s="522">
        <f>'QoL input'!D221</f>
        <v>0</v>
      </c>
      <c r="M819" s="522">
        <f>'QoL input'!E221</f>
        <v>0</v>
      </c>
      <c r="N819" s="522">
        <f>'PSA inputs'!U814</f>
        <v>0</v>
      </c>
      <c r="O819" s="751"/>
    </row>
    <row r="820" spans="2:15" x14ac:dyDescent="0.3">
      <c r="B820" s="493" t="s">
        <v>3</v>
      </c>
      <c r="C820" s="522">
        <f>IF(AND('PSA inputs'!$I$867=1,'PSA inputs'!$I$919=1),G820,D820)</f>
        <v>0</v>
      </c>
      <c r="D820" s="522">
        <f>'QoL input'!C166</f>
        <v>0</v>
      </c>
      <c r="E820" s="522">
        <f>'QoL input'!D166</f>
        <v>0</v>
      </c>
      <c r="F820" s="522">
        <f>'QoL input'!E166</f>
        <v>0</v>
      </c>
      <c r="G820" s="545">
        <f>'PSA inputs'!J815</f>
        <v>0</v>
      </c>
      <c r="I820" s="529" t="s">
        <v>3</v>
      </c>
      <c r="J820" s="522">
        <f>IF(AND('PSA inputs'!$I$867=1,'PSA inputs'!$I$920=1),N820,K820)</f>
        <v>0</v>
      </c>
      <c r="K820" s="522">
        <f>'QoL input'!C222</f>
        <v>0</v>
      </c>
      <c r="L820" s="522">
        <f>'QoL input'!D222</f>
        <v>0</v>
      </c>
      <c r="M820" s="522">
        <f>'QoL input'!E222</f>
        <v>0</v>
      </c>
      <c r="N820" s="522">
        <f>'PSA inputs'!U815</f>
        <v>0</v>
      </c>
      <c r="O820" s="751"/>
    </row>
    <row r="821" spans="2:15" x14ac:dyDescent="0.3">
      <c r="B821" s="493" t="s">
        <v>4</v>
      </c>
      <c r="C821" s="522">
        <f>IF(AND('PSA inputs'!$I$867=1,'PSA inputs'!$I$919=1),G821,D821)</f>
        <v>0</v>
      </c>
      <c r="D821" s="522">
        <f>'QoL input'!C167</f>
        <v>0</v>
      </c>
      <c r="E821" s="522">
        <f>'QoL input'!D167</f>
        <v>0</v>
      </c>
      <c r="F821" s="522">
        <f>'QoL input'!E167</f>
        <v>0</v>
      </c>
      <c r="G821" s="545">
        <f>'PSA inputs'!J816</f>
        <v>0</v>
      </c>
      <c r="I821" s="529" t="s">
        <v>4</v>
      </c>
      <c r="J821" s="522">
        <f>IF(AND('PSA inputs'!$I$867=1,'PSA inputs'!$I$920=1),N821,K821)</f>
        <v>0</v>
      </c>
      <c r="K821" s="522">
        <f>'QoL input'!C223</f>
        <v>0</v>
      </c>
      <c r="L821" s="522">
        <f>'QoL input'!D223</f>
        <v>0</v>
      </c>
      <c r="M821" s="522">
        <f>'QoL input'!E223</f>
        <v>0</v>
      </c>
      <c r="N821" s="522">
        <f>'PSA inputs'!U816</f>
        <v>0</v>
      </c>
      <c r="O821" s="751"/>
    </row>
    <row r="822" spans="2:15" x14ac:dyDescent="0.3">
      <c r="B822" s="493" t="s">
        <v>5</v>
      </c>
      <c r="C822" s="522">
        <f>IF(AND('PSA inputs'!$I$867=1,'PSA inputs'!$I$919=1),G822,D822)</f>
        <v>0</v>
      </c>
      <c r="D822" s="522">
        <f>'QoL input'!C168</f>
        <v>0</v>
      </c>
      <c r="E822" s="522">
        <f>'QoL input'!D168</f>
        <v>0</v>
      </c>
      <c r="F822" s="522">
        <f>'QoL input'!E168</f>
        <v>0</v>
      </c>
      <c r="G822" s="545">
        <f>'PSA inputs'!J817</f>
        <v>0</v>
      </c>
      <c r="I822" s="529" t="s">
        <v>5</v>
      </c>
      <c r="J822" s="522">
        <f>IF(AND('PSA inputs'!$I$867=1,'PSA inputs'!$I$920=1),N822,K822)</f>
        <v>0</v>
      </c>
      <c r="K822" s="522">
        <f>'QoL input'!C224</f>
        <v>0</v>
      </c>
      <c r="L822" s="522">
        <f>'QoL input'!D224</f>
        <v>0</v>
      </c>
      <c r="M822" s="522">
        <f>'QoL input'!E224</f>
        <v>0</v>
      </c>
      <c r="N822" s="522">
        <f>'PSA inputs'!U817</f>
        <v>0</v>
      </c>
      <c r="O822" s="751"/>
    </row>
    <row r="823" spans="2:15" x14ac:dyDescent="0.3">
      <c r="B823" s="493" t="s">
        <v>6</v>
      </c>
      <c r="C823" s="522">
        <f>IF(AND('PSA inputs'!$I$867=1,'PSA inputs'!$I$919=1),G823,D823)</f>
        <v>0</v>
      </c>
      <c r="D823" s="522">
        <f>'QoL input'!C169</f>
        <v>0</v>
      </c>
      <c r="E823" s="522">
        <f>'QoL input'!D169</f>
        <v>0</v>
      </c>
      <c r="F823" s="522">
        <f>'QoL input'!E169</f>
        <v>0</v>
      </c>
      <c r="G823" s="545">
        <f>'PSA inputs'!J818</f>
        <v>0</v>
      </c>
      <c r="I823" s="529" t="s">
        <v>6</v>
      </c>
      <c r="J823" s="522">
        <f>IF(AND('PSA inputs'!$I$867=1,'PSA inputs'!$I$920=1),N823,K823)</f>
        <v>0</v>
      </c>
      <c r="K823" s="522">
        <f>'QoL input'!C225</f>
        <v>0</v>
      </c>
      <c r="L823" s="522">
        <f>'QoL input'!D225</f>
        <v>0</v>
      </c>
      <c r="M823" s="522">
        <f>'QoL input'!E225</f>
        <v>0</v>
      </c>
      <c r="N823" s="522">
        <f>'PSA inputs'!U818</f>
        <v>0</v>
      </c>
      <c r="O823" s="751"/>
    </row>
    <row r="824" spans="2:15" x14ac:dyDescent="0.3">
      <c r="B824" s="493" t="s">
        <v>7</v>
      </c>
      <c r="C824" s="522">
        <f>IF(AND('PSA inputs'!$I$867=1,'PSA inputs'!$I$919=1),G824,D824)</f>
        <v>0</v>
      </c>
      <c r="D824" s="522">
        <f>'QoL input'!C170</f>
        <v>0</v>
      </c>
      <c r="E824" s="522">
        <f>'QoL input'!D170</f>
        <v>0</v>
      </c>
      <c r="F824" s="522">
        <f>'QoL input'!E170</f>
        <v>0</v>
      </c>
      <c r="G824" s="545">
        <f>'PSA inputs'!J819</f>
        <v>0</v>
      </c>
      <c r="I824" s="529" t="s">
        <v>7</v>
      </c>
      <c r="J824" s="522">
        <f>IF(AND('PSA inputs'!$I$867=1,'PSA inputs'!$I$920=1),N824,K824)</f>
        <v>0</v>
      </c>
      <c r="K824" s="522">
        <f>'QoL input'!C226</f>
        <v>0</v>
      </c>
      <c r="L824" s="522">
        <f>'QoL input'!D226</f>
        <v>0</v>
      </c>
      <c r="M824" s="522">
        <f>'QoL input'!E226</f>
        <v>0</v>
      </c>
      <c r="N824" s="522">
        <f>'PSA inputs'!U819</f>
        <v>0</v>
      </c>
      <c r="O824" s="751"/>
    </row>
    <row r="825" spans="2:15" x14ac:dyDescent="0.3">
      <c r="B825" s="493" t="s">
        <v>1469</v>
      </c>
      <c r="C825" s="522">
        <f>IF(AND('PSA inputs'!$I$867=1,'PSA inputs'!$I$919=1),G825,D825)</f>
        <v>0</v>
      </c>
      <c r="D825" s="522">
        <f>'QoL input'!C171</f>
        <v>0</v>
      </c>
      <c r="E825" s="522">
        <f>'QoL input'!D171</f>
        <v>0</v>
      </c>
      <c r="F825" s="522">
        <f>'QoL input'!E171</f>
        <v>0</v>
      </c>
      <c r="G825" s="545">
        <f>'PSA inputs'!J820</f>
        <v>0</v>
      </c>
      <c r="I825" s="529" t="s">
        <v>1469</v>
      </c>
      <c r="J825" s="522">
        <f>IF(AND('PSA inputs'!$I$867=1,'PSA inputs'!$I$920=1),N825,K825)</f>
        <v>0</v>
      </c>
      <c r="K825" s="522">
        <f>'QoL input'!C227</f>
        <v>0</v>
      </c>
      <c r="L825" s="522">
        <f>'QoL input'!D227</f>
        <v>0</v>
      </c>
      <c r="M825" s="522">
        <f>'QoL input'!E227</f>
        <v>0</v>
      </c>
      <c r="N825" s="522">
        <f>'PSA inputs'!U820</f>
        <v>0</v>
      </c>
      <c r="O825" s="751"/>
    </row>
    <row r="826" spans="2:15" x14ac:dyDescent="0.3">
      <c r="B826" s="487" t="s">
        <v>1444</v>
      </c>
      <c r="C826" s="496"/>
      <c r="D826" s="496"/>
      <c r="E826" s="496"/>
      <c r="F826" s="496"/>
      <c r="G826" s="496"/>
      <c r="H826" s="517"/>
      <c r="I826" s="532" t="s">
        <v>988</v>
      </c>
      <c r="J826" s="598"/>
      <c r="K826" s="598"/>
      <c r="L826" s="598"/>
      <c r="M826" s="598"/>
      <c r="N826" s="598"/>
      <c r="O826" s="752"/>
    </row>
    <row r="827" spans="2:15" x14ac:dyDescent="0.3">
      <c r="B827" s="493" t="s">
        <v>2</v>
      </c>
      <c r="C827" s="522">
        <f>IF(AND('PSA inputs'!$I$867=1,'PSA inputs'!$I$919=1),G827,D827)</f>
        <v>0</v>
      </c>
      <c r="D827" s="522">
        <f>'QoL input'!C173</f>
        <v>0</v>
      </c>
      <c r="E827" s="522">
        <f>'QoL input'!D173</f>
        <v>0</v>
      </c>
      <c r="F827" s="522">
        <f>'QoL input'!E173</f>
        <v>0</v>
      </c>
      <c r="G827" s="514">
        <f>'PSA inputs'!J822</f>
        <v>0</v>
      </c>
      <c r="H827" s="517"/>
      <c r="I827" s="529" t="s">
        <v>2</v>
      </c>
      <c r="J827" s="522">
        <f>IF(AND('PSA inputs'!$I$867=1,'PSA inputs'!$I$920=1),N827,K827)</f>
        <v>0</v>
      </c>
      <c r="K827" s="522">
        <f>'QoL input'!C229</f>
        <v>0</v>
      </c>
      <c r="L827" s="522">
        <f>'QoL input'!D229</f>
        <v>0</v>
      </c>
      <c r="M827" s="522">
        <f>'QoL input'!E229</f>
        <v>0</v>
      </c>
      <c r="N827" s="522">
        <f>'PSA inputs'!U822</f>
        <v>0</v>
      </c>
      <c r="O827" s="751"/>
    </row>
    <row r="828" spans="2:15" x14ac:dyDescent="0.3">
      <c r="B828" s="493" t="s">
        <v>3</v>
      </c>
      <c r="C828" s="522">
        <f>IF(AND('PSA inputs'!$I$867=1,'PSA inputs'!$I$919=1),G828,D828)</f>
        <v>0</v>
      </c>
      <c r="D828" s="522">
        <f>'QoL input'!C174</f>
        <v>0</v>
      </c>
      <c r="E828" s="522">
        <f>'QoL input'!D174</f>
        <v>0</v>
      </c>
      <c r="F828" s="522">
        <f>'QoL input'!E174</f>
        <v>0</v>
      </c>
      <c r="G828" s="514">
        <f>'PSA inputs'!J823</f>
        <v>0</v>
      </c>
      <c r="H828" s="517"/>
      <c r="I828" s="529" t="s">
        <v>3</v>
      </c>
      <c r="J828" s="522">
        <f>IF(AND('PSA inputs'!$I$867=1,'PSA inputs'!$I$920=1),N828,K828)</f>
        <v>0</v>
      </c>
      <c r="K828" s="522">
        <f>'QoL input'!C230</f>
        <v>0</v>
      </c>
      <c r="L828" s="522">
        <f>'QoL input'!D230</f>
        <v>0</v>
      </c>
      <c r="M828" s="522">
        <f>'QoL input'!E230</f>
        <v>0</v>
      </c>
      <c r="N828" s="522">
        <f>'PSA inputs'!U823</f>
        <v>0</v>
      </c>
      <c r="O828" s="751"/>
    </row>
    <row r="829" spans="2:15" x14ac:dyDescent="0.3">
      <c r="B829" s="493" t="s">
        <v>4</v>
      </c>
      <c r="C829" s="522">
        <f>IF(AND('PSA inputs'!$I$867=1,'PSA inputs'!$I$919=1),G829,D829)</f>
        <v>0</v>
      </c>
      <c r="D829" s="522">
        <f>'QoL input'!C175</f>
        <v>0</v>
      </c>
      <c r="E829" s="522">
        <f>'QoL input'!D175</f>
        <v>0</v>
      </c>
      <c r="F829" s="522">
        <f>'QoL input'!E175</f>
        <v>0</v>
      </c>
      <c r="G829" s="514">
        <f>'PSA inputs'!J824</f>
        <v>0</v>
      </c>
      <c r="H829" s="517"/>
      <c r="I829" s="529" t="s">
        <v>4</v>
      </c>
      <c r="J829" s="522">
        <f>IF(AND('PSA inputs'!$I$867=1,'PSA inputs'!$I$920=1),N829,K829)</f>
        <v>0</v>
      </c>
      <c r="K829" s="522">
        <f>'QoL input'!C231</f>
        <v>0</v>
      </c>
      <c r="L829" s="522">
        <f>'QoL input'!D231</f>
        <v>0</v>
      </c>
      <c r="M829" s="522">
        <f>'QoL input'!E231</f>
        <v>0</v>
      </c>
      <c r="N829" s="522">
        <f>'PSA inputs'!U824</f>
        <v>0</v>
      </c>
      <c r="O829" s="751"/>
    </row>
    <row r="830" spans="2:15" x14ac:dyDescent="0.3">
      <c r="B830" s="493" t="s">
        <v>5</v>
      </c>
      <c r="C830" s="522">
        <f>IF(AND('PSA inputs'!$I$867=1,'PSA inputs'!$I$919=1),G830,D830)</f>
        <v>0</v>
      </c>
      <c r="D830" s="522">
        <f>'QoL input'!C176</f>
        <v>0</v>
      </c>
      <c r="E830" s="522">
        <f>'QoL input'!D176</f>
        <v>0</v>
      </c>
      <c r="F830" s="522">
        <f>'QoL input'!E176</f>
        <v>0</v>
      </c>
      <c r="G830" s="514">
        <f>'PSA inputs'!J825</f>
        <v>0</v>
      </c>
      <c r="H830" s="517"/>
      <c r="I830" s="529" t="s">
        <v>5</v>
      </c>
      <c r="J830" s="522">
        <f>IF(AND('PSA inputs'!$I$867=1,'PSA inputs'!$I$920=1),N830,K830)</f>
        <v>0</v>
      </c>
      <c r="K830" s="522">
        <f>'QoL input'!C232</f>
        <v>0</v>
      </c>
      <c r="L830" s="522">
        <f>'QoL input'!D232</f>
        <v>0</v>
      </c>
      <c r="M830" s="522">
        <f>'QoL input'!E232</f>
        <v>0</v>
      </c>
      <c r="N830" s="522">
        <f>'PSA inputs'!U825</f>
        <v>0</v>
      </c>
      <c r="O830" s="751"/>
    </row>
    <row r="831" spans="2:15" x14ac:dyDescent="0.3">
      <c r="B831" s="493" t="s">
        <v>6</v>
      </c>
      <c r="C831" s="522">
        <f>IF(AND('PSA inputs'!$I$867=1,'PSA inputs'!$I$919=1),G831,D831)</f>
        <v>0</v>
      </c>
      <c r="D831" s="522">
        <f>'QoL input'!C177</f>
        <v>0</v>
      </c>
      <c r="E831" s="522">
        <f>'QoL input'!D177</f>
        <v>0</v>
      </c>
      <c r="F831" s="522">
        <f>'QoL input'!E177</f>
        <v>0</v>
      </c>
      <c r="G831" s="514">
        <f>'PSA inputs'!J826</f>
        <v>0</v>
      </c>
      <c r="H831" s="517"/>
      <c r="I831" s="529" t="s">
        <v>6</v>
      </c>
      <c r="J831" s="522">
        <f>IF(AND('PSA inputs'!$I$867=1,'PSA inputs'!$I$920=1),N831,K831)</f>
        <v>0</v>
      </c>
      <c r="K831" s="522">
        <f>'QoL input'!C233</f>
        <v>0</v>
      </c>
      <c r="L831" s="522">
        <f>'QoL input'!D233</f>
        <v>0</v>
      </c>
      <c r="M831" s="522">
        <f>'QoL input'!E233</f>
        <v>0</v>
      </c>
      <c r="N831" s="522">
        <f>'PSA inputs'!U826</f>
        <v>0</v>
      </c>
      <c r="O831" s="751"/>
    </row>
    <row r="832" spans="2:15" x14ac:dyDescent="0.3">
      <c r="B832" s="493" t="s">
        <v>7</v>
      </c>
      <c r="C832" s="522">
        <f>IF(AND('PSA inputs'!$I$867=1,'PSA inputs'!$I$919=1),G832,D832)</f>
        <v>0</v>
      </c>
      <c r="D832" s="522">
        <f>'QoL input'!C178</f>
        <v>0</v>
      </c>
      <c r="E832" s="522">
        <f>'QoL input'!D178</f>
        <v>0</v>
      </c>
      <c r="F832" s="522">
        <f>'QoL input'!E178</f>
        <v>0</v>
      </c>
      <c r="G832" s="514">
        <f>'PSA inputs'!J827</f>
        <v>0</v>
      </c>
      <c r="H832" s="517"/>
      <c r="I832" s="529" t="s">
        <v>7</v>
      </c>
      <c r="J832" s="522">
        <f>IF(AND('PSA inputs'!$I$867=1,'PSA inputs'!$I$920=1),N832,K832)</f>
        <v>0</v>
      </c>
      <c r="K832" s="522">
        <f>'QoL input'!C234</f>
        <v>0</v>
      </c>
      <c r="L832" s="522">
        <f>'QoL input'!D234</f>
        <v>0</v>
      </c>
      <c r="M832" s="522">
        <f>'QoL input'!E234</f>
        <v>0</v>
      </c>
      <c r="N832" s="522">
        <f>'PSA inputs'!U827</f>
        <v>0</v>
      </c>
      <c r="O832" s="751"/>
    </row>
    <row r="833" spans="2:15" x14ac:dyDescent="0.3">
      <c r="B833" s="493" t="s">
        <v>1469</v>
      </c>
      <c r="C833" s="522">
        <f>IF(AND('PSA inputs'!$I$867=1,'PSA inputs'!$I$919=1),G833,D833)</f>
        <v>0</v>
      </c>
      <c r="D833" s="522">
        <f>'QoL input'!C179</f>
        <v>0</v>
      </c>
      <c r="E833" s="522">
        <f>'QoL input'!D179</f>
        <v>0</v>
      </c>
      <c r="F833" s="522">
        <f>'QoL input'!E179</f>
        <v>0</v>
      </c>
      <c r="G833" s="514">
        <f>'PSA inputs'!J828</f>
        <v>0</v>
      </c>
      <c r="H833" s="517"/>
      <c r="I833" s="529" t="s">
        <v>1469</v>
      </c>
      <c r="J833" s="522">
        <f>IF(AND('PSA inputs'!$I$867=1,'PSA inputs'!$I$920=1),N833,K833)</f>
        <v>0</v>
      </c>
      <c r="K833" s="522">
        <f>'QoL input'!C235</f>
        <v>0</v>
      </c>
      <c r="L833" s="522">
        <f>'QoL input'!D235</f>
        <v>0</v>
      </c>
      <c r="M833" s="522">
        <f>'QoL input'!E235</f>
        <v>0</v>
      </c>
      <c r="N833" s="522">
        <f>'PSA inputs'!U828</f>
        <v>0</v>
      </c>
      <c r="O833" s="751"/>
    </row>
    <row r="834" spans="2:15" x14ac:dyDescent="0.3">
      <c r="B834" s="498" t="s">
        <v>227</v>
      </c>
      <c r="C834" s="496"/>
      <c r="D834" s="496"/>
      <c r="E834" s="496"/>
      <c r="F834" s="496"/>
      <c r="G834" s="496"/>
      <c r="I834" s="534" t="s">
        <v>227</v>
      </c>
      <c r="J834" s="598"/>
      <c r="K834" s="598"/>
      <c r="L834" s="598"/>
      <c r="M834" s="598"/>
      <c r="N834" s="598"/>
      <c r="O834" s="752"/>
    </row>
    <row r="835" spans="2:15" x14ac:dyDescent="0.3">
      <c r="B835" s="490" t="s">
        <v>1437</v>
      </c>
      <c r="C835" s="522">
        <f>IF(AND('PSA inputs'!$I$867=1,'PSA inputs'!$I$919=1),G835,D835)</f>
        <v>0</v>
      </c>
      <c r="D835" s="522">
        <f>'QoL input'!C181</f>
        <v>0</v>
      </c>
      <c r="E835" s="522">
        <f>'QoL input'!D181</f>
        <v>0</v>
      </c>
      <c r="F835" s="522">
        <f>'QoL input'!E181</f>
        <v>0</v>
      </c>
      <c r="G835" s="545">
        <f>'PSA inputs'!J830</f>
        <v>0</v>
      </c>
      <c r="I835" s="535" t="s">
        <v>1437</v>
      </c>
      <c r="J835" s="522">
        <f>IF(AND('PSA inputs'!$I$867=1,'PSA inputs'!$I$920=1),N835,K835)</f>
        <v>0</v>
      </c>
      <c r="K835" s="522">
        <f>'QoL input'!C237</f>
        <v>0</v>
      </c>
      <c r="L835" s="522">
        <f>'QoL input'!D237</f>
        <v>0</v>
      </c>
      <c r="M835" s="522">
        <f>'QoL input'!E237</f>
        <v>0</v>
      </c>
      <c r="N835" s="522">
        <f>'PSA inputs'!U830</f>
        <v>0</v>
      </c>
      <c r="O835" s="751"/>
    </row>
    <row r="836" spans="2:15" x14ac:dyDescent="0.3">
      <c r="B836" s="490" t="s">
        <v>1438</v>
      </c>
      <c r="C836" s="522">
        <f>IF(AND('PSA inputs'!$I$867=1,'PSA inputs'!$I$919=1),G836,D836)</f>
        <v>0</v>
      </c>
      <c r="D836" s="522">
        <f>'QoL input'!C182</f>
        <v>0</v>
      </c>
      <c r="E836" s="522">
        <f>'QoL input'!D182</f>
        <v>0</v>
      </c>
      <c r="F836" s="522">
        <f>'QoL input'!E182</f>
        <v>0</v>
      </c>
      <c r="G836" s="545">
        <f>'PSA inputs'!J831</f>
        <v>0</v>
      </c>
      <c r="I836" s="535" t="s">
        <v>1438</v>
      </c>
      <c r="J836" s="522">
        <f>IF(AND('PSA inputs'!$I$867=1,'PSA inputs'!$I$920=1),N836,K836)</f>
        <v>0</v>
      </c>
      <c r="K836" s="522">
        <f>'QoL input'!C238</f>
        <v>0</v>
      </c>
      <c r="L836" s="522">
        <f>'QoL input'!D238</f>
        <v>0</v>
      </c>
      <c r="M836" s="522">
        <f>'QoL input'!E238</f>
        <v>0</v>
      </c>
      <c r="N836" s="522">
        <f>'PSA inputs'!U831</f>
        <v>0</v>
      </c>
      <c r="O836" s="751"/>
    </row>
    <row r="837" spans="2:15" x14ac:dyDescent="0.3">
      <c r="B837" s="490" t="s">
        <v>1441</v>
      </c>
      <c r="C837" s="522">
        <f>IF(AND('PSA inputs'!$I$867=1,'PSA inputs'!$I$919=1),G837,D837)</f>
        <v>0</v>
      </c>
      <c r="D837" s="522">
        <f>'QoL input'!C183</f>
        <v>0</v>
      </c>
      <c r="E837" s="522">
        <f>'QoL input'!D183</f>
        <v>0</v>
      </c>
      <c r="F837" s="522">
        <f>'QoL input'!E183</f>
        <v>0</v>
      </c>
      <c r="G837" s="545">
        <f>'PSA inputs'!J832</f>
        <v>0</v>
      </c>
      <c r="I837" s="535" t="s">
        <v>1441</v>
      </c>
      <c r="J837" s="522">
        <f>IF(AND('PSA inputs'!$I$867=1,'PSA inputs'!$I$920=1),N837,K837)</f>
        <v>0</v>
      </c>
      <c r="K837" s="522">
        <f>'QoL input'!C239</f>
        <v>0</v>
      </c>
      <c r="L837" s="522">
        <f>'QoL input'!D239</f>
        <v>0</v>
      </c>
      <c r="M837" s="522">
        <f>'QoL input'!E239</f>
        <v>0</v>
      </c>
      <c r="N837" s="522">
        <f>'PSA inputs'!U832</f>
        <v>0</v>
      </c>
      <c r="O837" s="751"/>
    </row>
    <row r="838" spans="2:15" x14ac:dyDescent="0.3">
      <c r="B838" s="490" t="s">
        <v>1442</v>
      </c>
      <c r="C838" s="522">
        <f>IF(AND('PSA inputs'!$I$867=1,'PSA inputs'!$I$919=1),G838,D838)</f>
        <v>0</v>
      </c>
      <c r="D838" s="522">
        <f>'QoL input'!C184</f>
        <v>0</v>
      </c>
      <c r="E838" s="522">
        <f>'QoL input'!D184</f>
        <v>0</v>
      </c>
      <c r="F838" s="522">
        <f>'QoL input'!E184</f>
        <v>0</v>
      </c>
      <c r="G838" s="545">
        <f>'PSA inputs'!J833</f>
        <v>0</v>
      </c>
      <c r="I838" s="535" t="s">
        <v>1442</v>
      </c>
      <c r="J838" s="522">
        <f>IF(AND('PSA inputs'!$I$867=1,'PSA inputs'!$I$920=1),N838,K838)</f>
        <v>0</v>
      </c>
      <c r="K838" s="522">
        <f>'QoL input'!C240</f>
        <v>0</v>
      </c>
      <c r="L838" s="522">
        <f>'QoL input'!D240</f>
        <v>0</v>
      </c>
      <c r="M838" s="522">
        <f>'QoL input'!E240</f>
        <v>0</v>
      </c>
      <c r="N838" s="522">
        <f>'PSA inputs'!U833</f>
        <v>0</v>
      </c>
      <c r="O838" s="751"/>
    </row>
    <row r="839" spans="2:15" x14ac:dyDescent="0.3">
      <c r="B839" s="498" t="s">
        <v>920</v>
      </c>
      <c r="C839" s="496"/>
      <c r="D839" s="496"/>
      <c r="E839" s="496"/>
      <c r="F839" s="496"/>
      <c r="G839" s="496"/>
      <c r="I839" s="534" t="s">
        <v>920</v>
      </c>
      <c r="J839" s="598"/>
      <c r="K839" s="598"/>
      <c r="L839" s="598"/>
      <c r="M839" s="598"/>
      <c r="N839" s="598"/>
      <c r="O839" s="752"/>
    </row>
    <row r="840" spans="2:15" x14ac:dyDescent="0.3">
      <c r="B840" s="490" t="s">
        <v>920</v>
      </c>
      <c r="C840" s="522">
        <f>IF(AND('PSA inputs'!$I$867=1,'PSA inputs'!$I$919=1),G840,D840)</f>
        <v>0</v>
      </c>
      <c r="D840" s="522">
        <f>'QoL input'!C186</f>
        <v>0</v>
      </c>
      <c r="E840" s="522">
        <f>'QoL input'!D186</f>
        <v>0</v>
      </c>
      <c r="F840" s="522">
        <f>'QoL input'!E186</f>
        <v>0</v>
      </c>
      <c r="G840" s="545">
        <f>'PSA inputs'!J835</f>
        <v>0</v>
      </c>
      <c r="I840" s="535" t="s">
        <v>920</v>
      </c>
      <c r="J840" s="522">
        <f>IF(AND('PSA inputs'!$I$867=1,'PSA inputs'!$I$920=1),N840,K840)</f>
        <v>0</v>
      </c>
      <c r="K840" s="522">
        <f>'QoL input'!C242</f>
        <v>0</v>
      </c>
      <c r="L840" s="522">
        <f>'QoL input'!D242</f>
        <v>0</v>
      </c>
      <c r="M840" s="522">
        <f>'QoL input'!E242</f>
        <v>0</v>
      </c>
      <c r="N840" s="522">
        <f>'PSA inputs'!U835</f>
        <v>0</v>
      </c>
      <c r="O840" s="751"/>
    </row>
    <row r="841" spans="2:15" x14ac:dyDescent="0.3">
      <c r="B841" s="490" t="s">
        <v>980</v>
      </c>
      <c r="C841" s="522">
        <f>IF(AND('PSA inputs'!$I$867=1,'PSA inputs'!$I$919=1),G841,D841)</f>
        <v>0</v>
      </c>
      <c r="D841" s="522">
        <f>'QoL input'!C187</f>
        <v>0</v>
      </c>
      <c r="E841" s="522">
        <f>'QoL input'!D187</f>
        <v>0</v>
      </c>
      <c r="F841" s="522">
        <f>'QoL input'!E187</f>
        <v>0</v>
      </c>
      <c r="G841" s="545">
        <f>'PSA inputs'!J836</f>
        <v>0</v>
      </c>
      <c r="I841" s="535" t="s">
        <v>980</v>
      </c>
      <c r="J841" s="522">
        <f>IF(AND('PSA inputs'!$I$867=1,'PSA inputs'!$I$920=1),N841,K841)</f>
        <v>0</v>
      </c>
      <c r="K841" s="522">
        <f>'QoL input'!C243</f>
        <v>0</v>
      </c>
      <c r="L841" s="522">
        <f>'QoL input'!D243</f>
        <v>0</v>
      </c>
      <c r="M841" s="522">
        <f>'QoL input'!E243</f>
        <v>0</v>
      </c>
      <c r="N841" s="522">
        <f>'PSA inputs'!U836</f>
        <v>0</v>
      </c>
      <c r="O841" s="751"/>
    </row>
    <row r="842" spans="2:15" x14ac:dyDescent="0.3">
      <c r="B842" s="547"/>
    </row>
    <row r="843" spans="2:15" x14ac:dyDescent="0.3">
      <c r="B843" s="548" t="s">
        <v>973</v>
      </c>
      <c r="C843" s="523"/>
      <c r="D843" s="523"/>
      <c r="E843" s="523"/>
      <c r="F843" s="523"/>
      <c r="G843" s="549"/>
    </row>
    <row r="844" spans="2:15" ht="46.8" x14ac:dyDescent="0.3">
      <c r="B844" s="484" t="s">
        <v>1</v>
      </c>
      <c r="C844" s="550" t="s">
        <v>248</v>
      </c>
      <c r="D844" s="550" t="s">
        <v>544</v>
      </c>
      <c r="E844" s="550" t="s">
        <v>246</v>
      </c>
      <c r="F844" s="550" t="s">
        <v>545</v>
      </c>
      <c r="G844" s="550" t="s">
        <v>546</v>
      </c>
    </row>
    <row r="845" spans="2:15" x14ac:dyDescent="0.3">
      <c r="B845" s="487" t="s">
        <v>1445</v>
      </c>
      <c r="I845" s="489" t="s">
        <v>680</v>
      </c>
    </row>
    <row r="846" spans="2:15" x14ac:dyDescent="0.3">
      <c r="B846" s="493" t="s">
        <v>2</v>
      </c>
      <c r="C846" s="513">
        <f>'Life table (HE)'!F118</f>
        <v>0.75</v>
      </c>
      <c r="D846" s="513">
        <f>'Life table (HE)'!G118</f>
        <v>63.242588803029129</v>
      </c>
      <c r="E846" s="513">
        <f>'Life table (HE)'!H118</f>
        <v>19.175965306051872</v>
      </c>
      <c r="F846" s="513">
        <f>'Life table (HE)'!I118</f>
        <v>44.260797126739924</v>
      </c>
      <c r="G846" s="514">
        <f>'Life table (HE)'!J118</f>
        <v>14.943566765073864</v>
      </c>
      <c r="I846" s="495" t="s">
        <v>681</v>
      </c>
    </row>
    <row r="847" spans="2:15" x14ac:dyDescent="0.3">
      <c r="B847" s="493" t="s">
        <v>3</v>
      </c>
      <c r="C847" s="513">
        <f>'Life table (HE)'!F119</f>
        <v>1.5</v>
      </c>
      <c r="D847" s="513">
        <f>'Life table (HE)'!G119</f>
        <v>62.924657046299728</v>
      </c>
      <c r="E847" s="513">
        <f>'Life table (HE)'!H119</f>
        <v>19.349573642021696</v>
      </c>
      <c r="F847" s="513">
        <f>'Life table (HE)'!I119</f>
        <v>43.852403461945975</v>
      </c>
      <c r="G847" s="514">
        <f>'Life table (HE)'!J119</f>
        <v>14.988303607074638</v>
      </c>
    </row>
    <row r="848" spans="2:15" x14ac:dyDescent="0.3">
      <c r="B848" s="493" t="s">
        <v>4</v>
      </c>
      <c r="C848" s="513">
        <f>'Life table (HE)'!F120</f>
        <v>3</v>
      </c>
      <c r="D848" s="513">
        <f>'Life table (HE)'!G120</f>
        <v>61.656636902696874</v>
      </c>
      <c r="E848" s="513">
        <f>'Life table (HE)'!H120</f>
        <v>19.297693868499458</v>
      </c>
      <c r="F848" s="513">
        <f>'Life table (HE)'!I120</f>
        <v>42.742762947974903</v>
      </c>
      <c r="G848" s="514">
        <f>'Life table (HE)'!J120</f>
        <v>14.832675725498362</v>
      </c>
    </row>
    <row r="849" spans="2:15" x14ac:dyDescent="0.3">
      <c r="B849" s="493" t="s">
        <v>5</v>
      </c>
      <c r="C849" s="513">
        <f>'Life table (HE)'!F121</f>
        <v>9.5</v>
      </c>
      <c r="D849" s="513">
        <f>'Life table (HE)'!G121</f>
        <v>55.670967444057503</v>
      </c>
      <c r="E849" s="513">
        <f>'Life table (HE)'!H121</f>
        <v>18.859904145583634</v>
      </c>
      <c r="F849" s="513">
        <f>'Life table (HE)'!I121</f>
        <v>37.724750020024487</v>
      </c>
      <c r="G849" s="514">
        <f>'Life table (HE)'!J121</f>
        <v>14.033613467272861</v>
      </c>
    </row>
    <row r="850" spans="2:15" x14ac:dyDescent="0.3">
      <c r="B850" s="493" t="s">
        <v>6</v>
      </c>
      <c r="C850" s="513">
        <f>'Life table (HE)'!F122</f>
        <v>38.036343947054299</v>
      </c>
      <c r="D850" s="513">
        <f>'Life table (HE)'!G122</f>
        <v>30.332301348908373</v>
      </c>
      <c r="E850" s="513">
        <f>'Life table (HE)'!H122</f>
        <v>14.973909606551734</v>
      </c>
      <c r="F850" s="513">
        <f>'Life table (HE)'!I122</f>
        <v>18.283688511859314</v>
      </c>
      <c r="G850" s="514">
        <f>'Life table (HE)'!J122</f>
        <v>9.448589975775521</v>
      </c>
    </row>
    <row r="851" spans="2:15" x14ac:dyDescent="0.3">
      <c r="B851" s="493" t="s">
        <v>7</v>
      </c>
      <c r="C851" s="513">
        <f>'Life table (HE)'!F123</f>
        <v>58.142605429150485</v>
      </c>
      <c r="D851" s="513">
        <f>'Life table (HE)'!G123</f>
        <v>16.663657932552432</v>
      </c>
      <c r="E851" s="513">
        <f>'Life table (HE)'!H123</f>
        <v>10.737128352021761</v>
      </c>
      <c r="F851" s="513">
        <f>'Life table (HE)'!I123</f>
        <v>9.2012352414126983</v>
      </c>
      <c r="G851" s="514">
        <f>'Life table (HE)'!J123</f>
        <v>6.0480472719114662</v>
      </c>
    </row>
    <row r="852" spans="2:15" x14ac:dyDescent="0.3">
      <c r="B852" s="493" t="s">
        <v>1469</v>
      </c>
      <c r="C852" s="513">
        <f>'Life table (HE)'!F124</f>
        <v>77.803092976258668</v>
      </c>
      <c r="D852" s="513">
        <f>'Life table (HE)'!G124</f>
        <v>7.6709164280651745</v>
      </c>
      <c r="E852" s="513">
        <f>'Life table (HE)'!H124</f>
        <v>6.1187281366196951</v>
      </c>
      <c r="F852" s="513">
        <f>'Life table (HE)'!I124</f>
        <v>4.0109687819067172</v>
      </c>
      <c r="G852" s="514">
        <f>'Life table (HE)'!J124</f>
        <v>3.1993605680757051</v>
      </c>
    </row>
    <row r="853" spans="2:15" x14ac:dyDescent="0.3">
      <c r="B853" s="487" t="s">
        <v>1444</v>
      </c>
      <c r="C853" s="496"/>
      <c r="D853" s="496"/>
      <c r="E853" s="496"/>
      <c r="F853" s="496"/>
      <c r="G853" s="496"/>
      <c r="H853" s="517"/>
      <c r="I853" s="487"/>
    </row>
    <row r="854" spans="2:15" x14ac:dyDescent="0.3">
      <c r="B854" s="493" t="s">
        <v>2</v>
      </c>
      <c r="C854" s="513">
        <f>'Life table (HE)'!F118</f>
        <v>0.75</v>
      </c>
      <c r="D854" s="513">
        <f>D846*0.8</f>
        <v>50.594071042423309</v>
      </c>
      <c r="E854" s="513">
        <f>E846*0.8</f>
        <v>15.340772244841498</v>
      </c>
      <c r="F854" s="513">
        <f t="shared" ref="F854:G854" si="74">F846*0.8</f>
        <v>35.408637701391939</v>
      </c>
      <c r="G854" s="513">
        <f t="shared" si="74"/>
        <v>11.954853412059093</v>
      </c>
      <c r="H854" s="517"/>
      <c r="I854" s="500"/>
      <c r="J854" s="449"/>
      <c r="K854" s="449"/>
      <c r="L854" s="449"/>
      <c r="M854" s="449"/>
      <c r="N854" s="449"/>
      <c r="O854" s="742"/>
    </row>
    <row r="855" spans="2:15" x14ac:dyDescent="0.3">
      <c r="B855" s="493" t="s">
        <v>3</v>
      </c>
      <c r="C855" s="513">
        <f>'Life table (HE)'!F119</f>
        <v>1.5</v>
      </c>
      <c r="D855" s="513">
        <f t="shared" ref="D855:G860" si="75">D847*0.8</f>
        <v>50.339725637039784</v>
      </c>
      <c r="E855" s="513">
        <f t="shared" si="75"/>
        <v>15.479658913617357</v>
      </c>
      <c r="F855" s="513">
        <f t="shared" si="75"/>
        <v>35.081922769556783</v>
      </c>
      <c r="G855" s="513">
        <f t="shared" si="75"/>
        <v>11.99064288565971</v>
      </c>
      <c r="H855" s="517"/>
      <c r="I855" s="500"/>
      <c r="J855" s="449"/>
      <c r="K855" s="449"/>
      <c r="L855" s="449"/>
      <c r="M855" s="449"/>
      <c r="N855" s="449"/>
      <c r="O855" s="742"/>
    </row>
    <row r="856" spans="2:15" x14ac:dyDescent="0.3">
      <c r="B856" s="493" t="s">
        <v>4</v>
      </c>
      <c r="C856" s="513">
        <f>'Life table (HE)'!F120</f>
        <v>3</v>
      </c>
      <c r="D856" s="513">
        <f t="shared" si="75"/>
        <v>49.325309522157504</v>
      </c>
      <c r="E856" s="513">
        <f t="shared" si="75"/>
        <v>15.438155094799567</v>
      </c>
      <c r="F856" s="513">
        <f t="shared" si="75"/>
        <v>34.194210358379927</v>
      </c>
      <c r="G856" s="513">
        <f t="shared" si="75"/>
        <v>11.866140580398691</v>
      </c>
      <c r="H856" s="517"/>
      <c r="I856" s="500"/>
      <c r="J856" s="449"/>
      <c r="K856" s="449"/>
      <c r="L856" s="449"/>
      <c r="M856" s="449"/>
      <c r="N856" s="449"/>
      <c r="O856" s="742"/>
    </row>
    <row r="857" spans="2:15" x14ac:dyDescent="0.3">
      <c r="B857" s="493" t="s">
        <v>5</v>
      </c>
      <c r="C857" s="513">
        <f>'Life table (HE)'!F121</f>
        <v>9.5</v>
      </c>
      <c r="D857" s="513">
        <f t="shared" si="75"/>
        <v>44.536773955246005</v>
      </c>
      <c r="E857" s="513">
        <f t="shared" si="75"/>
        <v>15.087923316466908</v>
      </c>
      <c r="F857" s="513">
        <f t="shared" si="75"/>
        <v>30.179800016019591</v>
      </c>
      <c r="G857" s="513">
        <f t="shared" si="75"/>
        <v>11.22689077381829</v>
      </c>
      <c r="H857" s="517"/>
      <c r="I857" s="500"/>
      <c r="J857" s="449"/>
      <c r="K857" s="449"/>
      <c r="L857" s="449"/>
      <c r="M857" s="449"/>
      <c r="N857" s="449"/>
      <c r="O857" s="742"/>
    </row>
    <row r="858" spans="2:15" x14ac:dyDescent="0.3">
      <c r="B858" s="493" t="s">
        <v>6</v>
      </c>
      <c r="C858" s="513">
        <f>'Life table (HE)'!F122</f>
        <v>38.036343947054299</v>
      </c>
      <c r="D858" s="513">
        <f t="shared" si="75"/>
        <v>24.265841079126702</v>
      </c>
      <c r="E858" s="513">
        <f t="shared" si="75"/>
        <v>11.979127685241387</v>
      </c>
      <c r="F858" s="513">
        <f t="shared" si="75"/>
        <v>14.626950809487452</v>
      </c>
      <c r="G858" s="513">
        <f t="shared" si="75"/>
        <v>7.5588719806204168</v>
      </c>
      <c r="H858" s="517"/>
      <c r="I858" s="500"/>
      <c r="J858" s="449"/>
      <c r="K858" s="449"/>
      <c r="L858" s="449"/>
      <c r="M858" s="449"/>
      <c r="N858" s="449"/>
      <c r="O858" s="742"/>
    </row>
    <row r="859" spans="2:15" x14ac:dyDescent="0.3">
      <c r="B859" s="493" t="s">
        <v>7</v>
      </c>
      <c r="C859" s="513">
        <f>'Life table (HE)'!F123</f>
        <v>58.142605429150485</v>
      </c>
      <c r="D859" s="513">
        <f t="shared" si="75"/>
        <v>13.330926346041947</v>
      </c>
      <c r="E859" s="513">
        <f t="shared" si="75"/>
        <v>8.5897026816174087</v>
      </c>
      <c r="F859" s="513">
        <f t="shared" si="75"/>
        <v>7.3609881931301588</v>
      </c>
      <c r="G859" s="513">
        <f t="shared" si="75"/>
        <v>4.8384378175291731</v>
      </c>
      <c r="H859" s="517"/>
      <c r="I859" s="500"/>
      <c r="J859" s="449"/>
      <c r="K859" s="449"/>
      <c r="L859" s="449"/>
      <c r="M859" s="449"/>
      <c r="N859" s="449"/>
      <c r="O859" s="742"/>
    </row>
    <row r="860" spans="2:15" x14ac:dyDescent="0.3">
      <c r="B860" s="493" t="s">
        <v>1469</v>
      </c>
      <c r="C860" s="513">
        <f>'Life table (HE)'!F124</f>
        <v>77.803092976258668</v>
      </c>
      <c r="D860" s="513">
        <f t="shared" si="75"/>
        <v>6.1367331424521403</v>
      </c>
      <c r="E860" s="513">
        <f t="shared" si="75"/>
        <v>4.8949825092957564</v>
      </c>
      <c r="F860" s="513">
        <f t="shared" si="75"/>
        <v>3.208775025525374</v>
      </c>
      <c r="G860" s="514">
        <f>'PSA inputs'!J977</f>
        <v>0</v>
      </c>
      <c r="H860" s="517"/>
      <c r="I860" s="500"/>
      <c r="J860" s="449"/>
      <c r="K860" s="449"/>
      <c r="L860" s="449"/>
      <c r="M860" s="449"/>
      <c r="N860" s="449"/>
      <c r="O860" s="742"/>
    </row>
    <row r="861" spans="2:15" x14ac:dyDescent="0.3">
      <c r="B861" s="498" t="s">
        <v>227</v>
      </c>
      <c r="C861" s="496"/>
      <c r="D861" s="496"/>
      <c r="E861" s="496"/>
      <c r="F861" s="496"/>
      <c r="G861" s="496"/>
    </row>
    <row r="862" spans="2:15" x14ac:dyDescent="0.3">
      <c r="B862" s="490" t="s">
        <v>1437</v>
      </c>
      <c r="C862" s="513">
        <f>C858</f>
        <v>38.036343947054299</v>
      </c>
      <c r="D862" s="513">
        <f>D858</f>
        <v>24.265841079126702</v>
      </c>
      <c r="E862" s="513">
        <f>E858</f>
        <v>11.979127685241387</v>
      </c>
      <c r="F862" s="513">
        <f t="shared" ref="F862:G862" si="76">F858</f>
        <v>14.626950809487452</v>
      </c>
      <c r="G862" s="513">
        <f t="shared" si="76"/>
        <v>7.5588719806204168</v>
      </c>
    </row>
    <row r="863" spans="2:15" x14ac:dyDescent="0.3">
      <c r="B863" s="490" t="s">
        <v>1438</v>
      </c>
      <c r="C863" s="513">
        <f>C859</f>
        <v>58.142605429150485</v>
      </c>
      <c r="D863" s="513">
        <f>D858</f>
        <v>24.265841079126702</v>
      </c>
      <c r="E863" s="513">
        <f t="shared" ref="E863:G863" si="77">E858</f>
        <v>11.979127685241387</v>
      </c>
      <c r="F863" s="513">
        <f t="shared" si="77"/>
        <v>14.626950809487452</v>
      </c>
      <c r="G863" s="513">
        <f t="shared" si="77"/>
        <v>7.5588719806204168</v>
      </c>
    </row>
    <row r="864" spans="2:15" x14ac:dyDescent="0.3">
      <c r="B864" s="490" t="s">
        <v>1441</v>
      </c>
      <c r="C864" s="513">
        <f>'Life table (HE)'!F117</f>
        <v>0.25</v>
      </c>
      <c r="D864" s="513">
        <f>'Life table (HE)'!G117</f>
        <v>63.311947111431628</v>
      </c>
      <c r="E864" s="513">
        <f>'Life table (HE)'!H117</f>
        <v>19.302842250809064</v>
      </c>
      <c r="F864" s="513">
        <f>'Life table (HE)'!I117</f>
        <v>44.23471065784166</v>
      </c>
      <c r="G864" s="513">
        <f>'Life table (HE)'!J117</f>
        <v>15.006803032905966</v>
      </c>
    </row>
    <row r="865" spans="2:7" x14ac:dyDescent="0.3">
      <c r="B865" s="490" t="s">
        <v>1442</v>
      </c>
      <c r="C865" s="513">
        <f>'Life table (HE)'!F118</f>
        <v>0.75</v>
      </c>
      <c r="D865" s="513">
        <f>'Life table (HE)'!G118</f>
        <v>63.242588803029129</v>
      </c>
      <c r="E865" s="513">
        <f>'Life table (HE)'!H118</f>
        <v>19.175965306051872</v>
      </c>
      <c r="F865" s="513">
        <f>'Life table (HE)'!I118</f>
        <v>44.260797126739924</v>
      </c>
      <c r="G865" s="513">
        <f>'Life table (HE)'!J118</f>
        <v>14.943566765073864</v>
      </c>
    </row>
    <row r="866" spans="2:7" x14ac:dyDescent="0.3">
      <c r="B866" s="498" t="s">
        <v>920</v>
      </c>
      <c r="C866" s="496"/>
      <c r="D866" s="496"/>
      <c r="E866" s="496"/>
      <c r="F866" s="496"/>
      <c r="G866" s="496"/>
    </row>
    <row r="867" spans="2:7" x14ac:dyDescent="0.3">
      <c r="B867" s="490" t="s">
        <v>920</v>
      </c>
      <c r="C867" s="513">
        <f>C850</f>
        <v>38.036343947054299</v>
      </c>
      <c r="D867" s="513">
        <f t="shared" ref="D867:G868" si="78">D850</f>
        <v>30.332301348908373</v>
      </c>
      <c r="E867" s="513">
        <f t="shared" si="78"/>
        <v>14.973909606551734</v>
      </c>
      <c r="F867" s="513">
        <f t="shared" si="78"/>
        <v>18.283688511859314</v>
      </c>
      <c r="G867" s="513">
        <f t="shared" si="78"/>
        <v>9.448589975775521</v>
      </c>
    </row>
    <row r="868" spans="2:7" x14ac:dyDescent="0.3">
      <c r="B868" s="490" t="s">
        <v>980</v>
      </c>
      <c r="C868" s="513">
        <f>C851</f>
        <v>58.142605429150485</v>
      </c>
      <c r="D868" s="513">
        <f t="shared" si="78"/>
        <v>16.663657932552432</v>
      </c>
      <c r="E868" s="513">
        <f t="shared" si="78"/>
        <v>10.737128352021761</v>
      </c>
      <c r="F868" s="513">
        <f t="shared" si="78"/>
        <v>9.2012352414126983</v>
      </c>
      <c r="G868" s="513">
        <f t="shared" si="78"/>
        <v>6.0480472719114662</v>
      </c>
    </row>
    <row r="869" spans="2:7" x14ac:dyDescent="0.3">
      <c r="B869" s="551"/>
      <c r="D869" s="449"/>
    </row>
    <row r="870" spans="2:7" x14ac:dyDescent="0.3">
      <c r="B870" s="551"/>
      <c r="D870" s="449"/>
    </row>
    <row r="871" spans="2:7" x14ac:dyDescent="0.3">
      <c r="B871" s="551"/>
      <c r="D871" s="449"/>
    </row>
    <row r="872" spans="2:7" x14ac:dyDescent="0.3">
      <c r="B872" s="551"/>
      <c r="D872" s="449"/>
    </row>
    <row r="873" spans="2:7" x14ac:dyDescent="0.3">
      <c r="B873" s="551"/>
      <c r="D873" s="449"/>
    </row>
    <row r="874" spans="2:7" x14ac:dyDescent="0.3">
      <c r="B874" s="551"/>
      <c r="D874" s="449"/>
    </row>
    <row r="875" spans="2:7" x14ac:dyDescent="0.3">
      <c r="B875" s="551"/>
      <c r="D875" s="449"/>
    </row>
    <row r="876" spans="2:7" x14ac:dyDescent="0.3">
      <c r="B876" s="551"/>
      <c r="D876" s="449"/>
    </row>
    <row r="877" spans="2:7" x14ac:dyDescent="0.3">
      <c r="B877" s="552"/>
      <c r="D877" s="547"/>
    </row>
  </sheetData>
  <mergeCells count="9">
    <mergeCell ref="AC191:AD191"/>
    <mergeCell ref="Q436:S436"/>
    <mergeCell ref="H707:J707"/>
    <mergeCell ref="B733:D733"/>
    <mergeCell ref="B172:G172"/>
    <mergeCell ref="Q191:R191"/>
    <mergeCell ref="T191:U191"/>
    <mergeCell ref="W191:X191"/>
    <mergeCell ref="Z191:AA191"/>
  </mergeCells>
  <hyperlinks>
    <hyperlink ref="I846" location="'Life table'!A1" display="'Life table'!A1" xr:uid="{00000000-0004-0000-0A00-000000000000}"/>
    <hyperlink ref="Q433" location="'Cost input'!A1" display="'Cost input'!A1" xr:uid="{00000000-0004-0000-0A00-000001000000}"/>
    <hyperlink ref="Q460" location="'Cost input'!A1" display="'Cost input'!A1" xr:uid="{00000000-0004-0000-0A00-000002000000}"/>
    <hyperlink ref="I766" location="'QoL input'!A1" display="'QoL input'!A1" xr:uid="{00000000-0004-0000-0A00-000003000000}"/>
    <hyperlink ref="P61" location="'QoL lists'!A1" display="'QoL lists'!A1" xr:uid="{00000000-0004-0000-0A00-000004000000}"/>
    <hyperlink ref="P86" location="'QoL lists'!A1" display="'QoL lists'!A1" xr:uid="{00000000-0004-0000-0A00-000005000000}"/>
    <hyperlink ref="P8" location="'QoL lists'!A1" display="'QoL lists'!A1" xr:uid="{00000000-0004-0000-0A00-000006000000}"/>
    <hyperlink ref="P35" location="'QoL lists'!A1" display="'QoL lists'!A1" xr:uid="{00000000-0004-0000-0A00-000007000000}"/>
    <hyperlink ref="P16" location="'QoL lists'!A1" display="'QoL lists'!A1" xr:uid="{00000000-0004-0000-0A00-000008000000}"/>
    <hyperlink ref="P43" location="'QoL lists'!A1" display="'QoL lists'!A1" xr:uid="{00000000-0004-0000-0A00-000009000000}"/>
    <hyperlink ref="P69" location="'QoL lists'!A1" display="'QoL lists'!A1" xr:uid="{00000000-0004-0000-0A00-00000A000000}"/>
    <hyperlink ref="P113" location="'QoL lists'!A1" display="'QoL lists'!A1" xr:uid="{00000000-0004-0000-0A00-00000B000000}"/>
    <hyperlink ref="P140" location="'QoL lists'!A1" display="'QoL lists'!A1" xr:uid="{00000000-0004-0000-0A00-00000C000000}"/>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5">
    <tabColor rgb="FFFF0000"/>
  </sheetPr>
  <dimension ref="A1:S890"/>
  <sheetViews>
    <sheetView topLeftCell="A149" zoomScale="70" zoomScaleNormal="70" workbookViewId="0">
      <selection activeCell="H176" sqref="H176"/>
    </sheetView>
  </sheetViews>
  <sheetFormatPr defaultColWidth="9.109375" defaultRowHeight="15.6" zeroHeight="1" x14ac:dyDescent="0.3"/>
  <cols>
    <col min="1" max="1" width="9.109375" style="296"/>
    <col min="2" max="2" width="25" style="296" customWidth="1"/>
    <col min="3" max="3" width="13.44140625" style="296" customWidth="1"/>
    <col min="4" max="4" width="14.6640625" style="296" customWidth="1"/>
    <col min="5" max="5" width="13.5546875" style="296" customWidth="1"/>
    <col min="6" max="6" width="14.33203125" style="296" customWidth="1"/>
    <col min="7" max="7" width="16.6640625" style="296" customWidth="1"/>
    <col min="8" max="8" width="15" style="296" bestFit="1" customWidth="1"/>
    <col min="9" max="9" width="35.33203125" style="434" customWidth="1"/>
    <col min="10" max="10" width="19.88671875" style="296" customWidth="1"/>
    <col min="11" max="12" width="12.109375" style="296" bestFit="1" customWidth="1"/>
    <col min="13" max="13" width="10.88671875" style="296" bestFit="1" customWidth="1"/>
    <col min="14" max="14" width="17.88671875" style="296" bestFit="1" customWidth="1"/>
    <col min="15" max="15" width="13.88671875" style="296" customWidth="1"/>
    <col min="16" max="16384" width="9.109375" style="296"/>
  </cols>
  <sheetData>
    <row r="1" spans="2:15" x14ac:dyDescent="0.3"/>
    <row r="2" spans="2:15" ht="21" x14ac:dyDescent="0.3">
      <c r="B2" s="333" t="s">
        <v>558</v>
      </c>
      <c r="C2" s="333"/>
      <c r="D2" s="295"/>
      <c r="E2" s="295"/>
      <c r="H2" s="435" t="s">
        <v>1467</v>
      </c>
      <c r="I2" s="296"/>
    </row>
    <row r="3" spans="2:15" x14ac:dyDescent="0.3">
      <c r="H3" s="434"/>
      <c r="I3" s="296"/>
    </row>
    <row r="4" spans="2:15" x14ac:dyDescent="0.3">
      <c r="B4" s="153" t="s">
        <v>992</v>
      </c>
      <c r="C4" s="295"/>
      <c r="D4" s="295"/>
      <c r="E4" s="295"/>
      <c r="F4" s="295"/>
      <c r="G4" s="295"/>
      <c r="H4" s="434" t="s">
        <v>1468</v>
      </c>
      <c r="I4" s="153" t="s">
        <v>992</v>
      </c>
      <c r="J4" s="295"/>
      <c r="K4" s="295"/>
      <c r="L4" s="295"/>
      <c r="M4" s="295"/>
    </row>
    <row r="5" spans="2:15" x14ac:dyDescent="0.3">
      <c r="B5" s="17" t="s">
        <v>950</v>
      </c>
      <c r="C5" s="152" t="s">
        <v>724</v>
      </c>
      <c r="D5" s="152" t="s">
        <v>995</v>
      </c>
      <c r="E5" s="152" t="s">
        <v>985</v>
      </c>
      <c r="F5" s="152" t="s">
        <v>986</v>
      </c>
      <c r="G5" s="152"/>
      <c r="H5" s="434">
        <f>'SA Results'!$I$2</f>
        <v>1</v>
      </c>
      <c r="I5" s="17" t="s">
        <v>950</v>
      </c>
      <c r="J5" s="152" t="s">
        <v>724</v>
      </c>
      <c r="K5" s="152" t="s">
        <v>995</v>
      </c>
      <c r="L5" s="152" t="s">
        <v>985</v>
      </c>
      <c r="M5" s="152" t="s">
        <v>986</v>
      </c>
      <c r="N5" s="155"/>
    </row>
    <row r="6" spans="2:15" x14ac:dyDescent="0.3">
      <c r="B6" s="315" t="s">
        <v>1445</v>
      </c>
      <c r="C6" s="312"/>
      <c r="D6" s="312"/>
      <c r="E6" s="312"/>
      <c r="F6" s="312"/>
      <c r="G6" s="312"/>
      <c r="H6" s="434"/>
      <c r="I6" s="315" t="s">
        <v>988</v>
      </c>
      <c r="J6" s="312"/>
      <c r="K6" s="312"/>
      <c r="L6" s="312"/>
      <c r="M6" s="312"/>
      <c r="O6" s="334"/>
    </row>
    <row r="7" spans="2:15" x14ac:dyDescent="0.3">
      <c r="B7" s="206" t="s">
        <v>1082</v>
      </c>
      <c r="C7" s="325">
        <f t="shared" ref="C7:C13" si="0">IF($H$5=3,F7,IF($H$5=2,E7,D7))</f>
        <v>18978</v>
      </c>
      <c r="D7" s="325">
        <f>'Input summary'!D7</f>
        <v>18978</v>
      </c>
      <c r="E7" s="325">
        <f>'Input summary'!E7</f>
        <v>13664</v>
      </c>
      <c r="F7" s="325">
        <f>'Input summary'!F7</f>
        <v>24292</v>
      </c>
      <c r="G7" s="406"/>
      <c r="H7" s="434"/>
      <c r="I7" s="313" t="s">
        <v>2</v>
      </c>
      <c r="J7" s="325">
        <f t="shared" ref="J7:M13" si="1">C7</f>
        <v>18978</v>
      </c>
      <c r="K7" s="325">
        <f t="shared" si="1"/>
        <v>18978</v>
      </c>
      <c r="L7" s="325">
        <f t="shared" si="1"/>
        <v>13664</v>
      </c>
      <c r="M7" s="325">
        <f t="shared" si="1"/>
        <v>24292</v>
      </c>
      <c r="N7" s="383"/>
      <c r="O7" s="334" t="s">
        <v>682</v>
      </c>
    </row>
    <row r="8" spans="2:15" x14ac:dyDescent="0.3">
      <c r="B8" s="206" t="s">
        <v>1083</v>
      </c>
      <c r="C8" s="325">
        <f t="shared" si="0"/>
        <v>18978</v>
      </c>
      <c r="D8" s="325">
        <f>'Input summary'!D8</f>
        <v>18978</v>
      </c>
      <c r="E8" s="325">
        <f>'Input summary'!E8</f>
        <v>13664</v>
      </c>
      <c r="F8" s="325">
        <f>'Input summary'!F8</f>
        <v>24292</v>
      </c>
      <c r="G8" s="406"/>
      <c r="H8" s="434"/>
      <c r="I8" s="313" t="s">
        <v>3</v>
      </c>
      <c r="J8" s="325">
        <f t="shared" si="1"/>
        <v>18978</v>
      </c>
      <c r="K8" s="325">
        <f t="shared" si="1"/>
        <v>18978</v>
      </c>
      <c r="L8" s="325">
        <f t="shared" si="1"/>
        <v>13664</v>
      </c>
      <c r="M8" s="325">
        <f t="shared" si="1"/>
        <v>24292</v>
      </c>
      <c r="N8" s="383"/>
      <c r="O8" s="335" t="s">
        <v>679</v>
      </c>
    </row>
    <row r="9" spans="2:15" x14ac:dyDescent="0.3">
      <c r="B9" s="206" t="s">
        <v>1084</v>
      </c>
      <c r="C9" s="325">
        <f t="shared" si="0"/>
        <v>18978</v>
      </c>
      <c r="D9" s="325">
        <f>'Input summary'!D9</f>
        <v>18978</v>
      </c>
      <c r="E9" s="325">
        <f>'Input summary'!E9</f>
        <v>13664</v>
      </c>
      <c r="F9" s="325">
        <f>'Input summary'!F9</f>
        <v>24292</v>
      </c>
      <c r="G9" s="406"/>
      <c r="H9" s="434"/>
      <c r="I9" s="313" t="s">
        <v>4</v>
      </c>
      <c r="J9" s="325">
        <f t="shared" si="1"/>
        <v>18978</v>
      </c>
      <c r="K9" s="325">
        <f t="shared" si="1"/>
        <v>18978</v>
      </c>
      <c r="L9" s="325">
        <f t="shared" si="1"/>
        <v>13664</v>
      </c>
      <c r="M9" s="325">
        <f t="shared" si="1"/>
        <v>24292</v>
      </c>
      <c r="N9" s="383"/>
    </row>
    <row r="10" spans="2:15" x14ac:dyDescent="0.3">
      <c r="B10" s="206" t="s">
        <v>1085</v>
      </c>
      <c r="C10" s="325">
        <f t="shared" si="0"/>
        <v>15226</v>
      </c>
      <c r="D10" s="325">
        <f>'Input summary'!D10</f>
        <v>15226</v>
      </c>
      <c r="E10" s="325">
        <f>'Input summary'!E10</f>
        <v>11267</v>
      </c>
      <c r="F10" s="325">
        <f>'Input summary'!F10</f>
        <v>19185</v>
      </c>
      <c r="G10" s="406"/>
      <c r="H10" s="434"/>
      <c r="I10" s="313" t="s">
        <v>5</v>
      </c>
      <c r="J10" s="325">
        <f t="shared" si="1"/>
        <v>15226</v>
      </c>
      <c r="K10" s="325">
        <f t="shared" si="1"/>
        <v>15226</v>
      </c>
      <c r="L10" s="325">
        <f t="shared" si="1"/>
        <v>11267</v>
      </c>
      <c r="M10" s="325">
        <f t="shared" si="1"/>
        <v>19185</v>
      </c>
      <c r="N10" s="383"/>
    </row>
    <row r="11" spans="2:15" x14ac:dyDescent="0.3">
      <c r="B11" s="206" t="s">
        <v>1086</v>
      </c>
      <c r="C11" s="325">
        <f t="shared" si="0"/>
        <v>15226</v>
      </c>
      <c r="D11" s="325">
        <f>'Input summary'!D11</f>
        <v>15226</v>
      </c>
      <c r="E11" s="325">
        <f>'Input summary'!E11</f>
        <v>11267</v>
      </c>
      <c r="F11" s="325">
        <f>'Input summary'!F11</f>
        <v>19185</v>
      </c>
      <c r="G11" s="406"/>
      <c r="H11" s="434"/>
      <c r="I11" s="313" t="s">
        <v>6</v>
      </c>
      <c r="J11" s="325">
        <f t="shared" si="1"/>
        <v>15226</v>
      </c>
      <c r="K11" s="325">
        <f t="shared" si="1"/>
        <v>15226</v>
      </c>
      <c r="L11" s="325">
        <f t="shared" si="1"/>
        <v>11267</v>
      </c>
      <c r="M11" s="325">
        <f t="shared" si="1"/>
        <v>19185</v>
      </c>
      <c r="N11" s="383"/>
    </row>
    <row r="12" spans="2:15" x14ac:dyDescent="0.3">
      <c r="B12" s="206" t="s">
        <v>1087</v>
      </c>
      <c r="C12" s="325">
        <f t="shared" si="0"/>
        <v>15226</v>
      </c>
      <c r="D12" s="325">
        <f>'Input summary'!D12</f>
        <v>15226</v>
      </c>
      <c r="E12" s="325">
        <f>'Input summary'!E12</f>
        <v>11267</v>
      </c>
      <c r="F12" s="325">
        <f>'Input summary'!F12</f>
        <v>19185</v>
      </c>
      <c r="G12" s="406"/>
      <c r="H12" s="434"/>
      <c r="I12" s="313" t="s">
        <v>7</v>
      </c>
      <c r="J12" s="325">
        <f t="shared" si="1"/>
        <v>15226</v>
      </c>
      <c r="K12" s="325">
        <f t="shared" si="1"/>
        <v>15226</v>
      </c>
      <c r="L12" s="325">
        <f t="shared" si="1"/>
        <v>11267</v>
      </c>
      <c r="M12" s="325">
        <f t="shared" si="1"/>
        <v>19185</v>
      </c>
      <c r="N12" s="383"/>
    </row>
    <row r="13" spans="2:15" x14ac:dyDescent="0.3">
      <c r="B13" s="206" t="s">
        <v>1443</v>
      </c>
      <c r="C13" s="325">
        <f t="shared" si="0"/>
        <v>2488</v>
      </c>
      <c r="D13" s="325">
        <f>'Input summary'!D13</f>
        <v>2488</v>
      </c>
      <c r="E13" s="325">
        <f>'Input summary'!E13</f>
        <v>1018</v>
      </c>
      <c r="F13" s="325">
        <f>'Input summary'!F13</f>
        <v>4042</v>
      </c>
      <c r="G13" s="406"/>
      <c r="H13" s="434"/>
      <c r="I13" s="313" t="s">
        <v>11</v>
      </c>
      <c r="J13" s="325">
        <f t="shared" si="1"/>
        <v>2488</v>
      </c>
      <c r="K13" s="325">
        <f t="shared" si="1"/>
        <v>2488</v>
      </c>
      <c r="L13" s="325">
        <f t="shared" si="1"/>
        <v>1018</v>
      </c>
      <c r="M13" s="325">
        <f t="shared" si="1"/>
        <v>4042</v>
      </c>
      <c r="N13" s="383"/>
    </row>
    <row r="14" spans="2:15" x14ac:dyDescent="0.3">
      <c r="B14" s="315" t="s">
        <v>1444</v>
      </c>
      <c r="C14" s="346"/>
      <c r="D14" s="346"/>
      <c r="E14" s="346"/>
      <c r="F14" s="346"/>
      <c r="G14" s="346"/>
      <c r="H14" s="434"/>
      <c r="I14" s="315" t="s">
        <v>988</v>
      </c>
      <c r="J14" s="346"/>
      <c r="K14" s="346"/>
      <c r="L14" s="346"/>
      <c r="M14" s="346"/>
      <c r="O14" s="334"/>
    </row>
    <row r="15" spans="2:15" x14ac:dyDescent="0.3">
      <c r="B15" s="206" t="s">
        <v>1082</v>
      </c>
      <c r="C15" s="325">
        <f t="shared" ref="C15:C21" si="2">IF($H$5=3,F15,IF($H$5=2,E15,D15))</f>
        <v>18978</v>
      </c>
      <c r="D15" s="325">
        <f>'Input summary'!D15</f>
        <v>18978</v>
      </c>
      <c r="E15" s="325">
        <f>'Input summary'!E15</f>
        <v>13664</v>
      </c>
      <c r="F15" s="325">
        <f>'Input summary'!F15</f>
        <v>24292</v>
      </c>
      <c r="G15" s="406"/>
      <c r="H15" s="434"/>
      <c r="I15" s="313" t="s">
        <v>2</v>
      </c>
      <c r="J15" s="325">
        <f t="shared" ref="J15:M21" si="3">C15</f>
        <v>18978</v>
      </c>
      <c r="K15" s="325">
        <f t="shared" si="3"/>
        <v>18978</v>
      </c>
      <c r="L15" s="325">
        <f t="shared" si="3"/>
        <v>13664</v>
      </c>
      <c r="M15" s="325">
        <f t="shared" si="3"/>
        <v>24292</v>
      </c>
      <c r="N15" s="383"/>
      <c r="O15" s="334" t="s">
        <v>682</v>
      </c>
    </row>
    <row r="16" spans="2:15" x14ac:dyDescent="0.3">
      <c r="B16" s="206" t="s">
        <v>1083</v>
      </c>
      <c r="C16" s="325">
        <f t="shared" si="2"/>
        <v>18978</v>
      </c>
      <c r="D16" s="325">
        <f>'Input summary'!D16</f>
        <v>18978</v>
      </c>
      <c r="E16" s="325">
        <f>'Input summary'!E16</f>
        <v>13664</v>
      </c>
      <c r="F16" s="325">
        <f>'Input summary'!F16</f>
        <v>24292</v>
      </c>
      <c r="G16" s="406"/>
      <c r="H16" s="434"/>
      <c r="I16" s="313" t="s">
        <v>3</v>
      </c>
      <c r="J16" s="325">
        <f t="shared" si="3"/>
        <v>18978</v>
      </c>
      <c r="K16" s="325">
        <f t="shared" si="3"/>
        <v>18978</v>
      </c>
      <c r="L16" s="325">
        <f t="shared" si="3"/>
        <v>13664</v>
      </c>
      <c r="M16" s="325">
        <f t="shared" si="3"/>
        <v>24292</v>
      </c>
      <c r="N16" s="383"/>
      <c r="O16" s="335" t="s">
        <v>679</v>
      </c>
    </row>
    <row r="17" spans="2:14" x14ac:dyDescent="0.3">
      <c r="B17" s="206" t="s">
        <v>1084</v>
      </c>
      <c r="C17" s="325">
        <f t="shared" si="2"/>
        <v>18978</v>
      </c>
      <c r="D17" s="325">
        <f>'Input summary'!D17</f>
        <v>18978</v>
      </c>
      <c r="E17" s="325">
        <f>'Input summary'!E17</f>
        <v>13664</v>
      </c>
      <c r="F17" s="325">
        <f>'Input summary'!F17</f>
        <v>24292</v>
      </c>
      <c r="G17" s="406"/>
      <c r="H17" s="434"/>
      <c r="I17" s="313" t="s">
        <v>4</v>
      </c>
      <c r="J17" s="325">
        <f t="shared" si="3"/>
        <v>18978</v>
      </c>
      <c r="K17" s="325">
        <f t="shared" si="3"/>
        <v>18978</v>
      </c>
      <c r="L17" s="325">
        <f t="shared" si="3"/>
        <v>13664</v>
      </c>
      <c r="M17" s="325">
        <f t="shared" si="3"/>
        <v>24292</v>
      </c>
      <c r="N17" s="383"/>
    </row>
    <row r="18" spans="2:14" x14ac:dyDescent="0.3">
      <c r="B18" s="206" t="s">
        <v>1085</v>
      </c>
      <c r="C18" s="325">
        <f t="shared" si="2"/>
        <v>15470</v>
      </c>
      <c r="D18" s="325">
        <f>'Input summary'!D18</f>
        <v>15470</v>
      </c>
      <c r="E18" s="325">
        <f>'Input summary'!E18</f>
        <v>11602</v>
      </c>
      <c r="F18" s="325">
        <f>'Input summary'!F18</f>
        <v>19337</v>
      </c>
      <c r="G18" s="406"/>
      <c r="H18" s="434"/>
      <c r="I18" s="313" t="s">
        <v>5</v>
      </c>
      <c r="J18" s="325">
        <f t="shared" si="3"/>
        <v>15470</v>
      </c>
      <c r="K18" s="325">
        <f t="shared" si="3"/>
        <v>15470</v>
      </c>
      <c r="L18" s="325">
        <f t="shared" si="3"/>
        <v>11602</v>
      </c>
      <c r="M18" s="325">
        <f t="shared" si="3"/>
        <v>19337</v>
      </c>
      <c r="N18" s="383"/>
    </row>
    <row r="19" spans="2:14" x14ac:dyDescent="0.3">
      <c r="B19" s="206" t="s">
        <v>1086</v>
      </c>
      <c r="C19" s="325">
        <f t="shared" si="2"/>
        <v>15470</v>
      </c>
      <c r="D19" s="325">
        <f>'Input summary'!D19</f>
        <v>15470</v>
      </c>
      <c r="E19" s="325">
        <f>'Input summary'!E19</f>
        <v>11602</v>
      </c>
      <c r="F19" s="325">
        <f>'Input summary'!F19</f>
        <v>19337</v>
      </c>
      <c r="G19" s="406"/>
      <c r="H19" s="434"/>
      <c r="I19" s="313" t="s">
        <v>6</v>
      </c>
      <c r="J19" s="325">
        <f t="shared" si="3"/>
        <v>15470</v>
      </c>
      <c r="K19" s="325">
        <f t="shared" si="3"/>
        <v>15470</v>
      </c>
      <c r="L19" s="325">
        <f t="shared" si="3"/>
        <v>11602</v>
      </c>
      <c r="M19" s="325">
        <f t="shared" si="3"/>
        <v>19337</v>
      </c>
      <c r="N19" s="383"/>
    </row>
    <row r="20" spans="2:14" x14ac:dyDescent="0.3">
      <c r="B20" s="206" t="s">
        <v>1087</v>
      </c>
      <c r="C20" s="325">
        <f t="shared" si="2"/>
        <v>15470</v>
      </c>
      <c r="D20" s="325">
        <f>'Input summary'!D20</f>
        <v>15470</v>
      </c>
      <c r="E20" s="325">
        <f>'Input summary'!E20</f>
        <v>11602</v>
      </c>
      <c r="F20" s="325">
        <f>'Input summary'!F20</f>
        <v>19337</v>
      </c>
      <c r="G20" s="406"/>
      <c r="H20" s="434"/>
      <c r="I20" s="313" t="s">
        <v>7</v>
      </c>
      <c r="J20" s="325">
        <f t="shared" si="3"/>
        <v>15470</v>
      </c>
      <c r="K20" s="325">
        <f t="shared" si="3"/>
        <v>15470</v>
      </c>
      <c r="L20" s="325">
        <f t="shared" si="3"/>
        <v>11602</v>
      </c>
      <c r="M20" s="325">
        <f t="shared" si="3"/>
        <v>19337</v>
      </c>
      <c r="N20" s="383"/>
    </row>
    <row r="21" spans="2:14" x14ac:dyDescent="0.3">
      <c r="B21" s="206" t="s">
        <v>1443</v>
      </c>
      <c r="C21" s="325">
        <f t="shared" si="2"/>
        <v>2055</v>
      </c>
      <c r="D21" s="325">
        <f>'Input summary'!D21</f>
        <v>2055</v>
      </c>
      <c r="E21" s="325">
        <f>'Input summary'!E21</f>
        <v>838</v>
      </c>
      <c r="F21" s="325">
        <f>'Input summary'!F21</f>
        <v>3255</v>
      </c>
      <c r="G21" s="406"/>
      <c r="H21" s="434"/>
      <c r="I21" s="313" t="s">
        <v>11</v>
      </c>
      <c r="J21" s="325">
        <f t="shared" si="3"/>
        <v>2055</v>
      </c>
      <c r="K21" s="325">
        <f t="shared" si="3"/>
        <v>2055</v>
      </c>
      <c r="L21" s="325">
        <f t="shared" si="3"/>
        <v>838</v>
      </c>
      <c r="M21" s="325">
        <f t="shared" si="3"/>
        <v>3255</v>
      </c>
      <c r="N21" s="383"/>
    </row>
    <row r="22" spans="2:14" x14ac:dyDescent="0.3">
      <c r="B22" s="314" t="s">
        <v>227</v>
      </c>
      <c r="C22" s="346"/>
      <c r="D22" s="346"/>
      <c r="E22" s="346"/>
      <c r="F22" s="346"/>
      <c r="G22" s="346"/>
      <c r="H22" s="434"/>
      <c r="I22" s="207" t="s">
        <v>227</v>
      </c>
      <c r="J22" s="346"/>
      <c r="K22" s="346"/>
      <c r="L22" s="346"/>
      <c r="M22" s="346"/>
      <c r="N22" s="384"/>
    </row>
    <row r="23" spans="2:14" x14ac:dyDescent="0.3">
      <c r="B23" s="206" t="s">
        <v>1437</v>
      </c>
      <c r="C23" s="325">
        <f>IF($H$5=3,F23,IF($H$5=2,E23,D23))</f>
        <v>11378</v>
      </c>
      <c r="D23" s="325">
        <f>'Input summary'!D23</f>
        <v>11378</v>
      </c>
      <c r="E23" s="325">
        <f>'Input summary'!E23</f>
        <v>8306</v>
      </c>
      <c r="F23" s="325">
        <f>'Input summary'!F23</f>
        <v>14450</v>
      </c>
      <c r="G23" s="406"/>
      <c r="H23" s="434"/>
      <c r="I23" s="206" t="s">
        <v>1437</v>
      </c>
      <c r="J23" s="325">
        <f t="shared" ref="J23:M26" si="4">C23</f>
        <v>11378</v>
      </c>
      <c r="K23" s="325">
        <f t="shared" si="4"/>
        <v>11378</v>
      </c>
      <c r="L23" s="325">
        <f t="shared" si="4"/>
        <v>8306</v>
      </c>
      <c r="M23" s="325">
        <f t="shared" si="4"/>
        <v>14450</v>
      </c>
      <c r="N23" s="384"/>
    </row>
    <row r="24" spans="2:14" x14ac:dyDescent="0.3">
      <c r="B24" s="206" t="s">
        <v>1438</v>
      </c>
      <c r="C24" s="325">
        <f>IF($H$5=3,F24,IF($H$5=2,E24,D24))</f>
        <v>11378</v>
      </c>
      <c r="D24" s="325">
        <f>'Input summary'!D24</f>
        <v>11378</v>
      </c>
      <c r="E24" s="325">
        <f>'Input summary'!E24</f>
        <v>8306</v>
      </c>
      <c r="F24" s="325">
        <f>'Input summary'!F24</f>
        <v>14450</v>
      </c>
      <c r="G24" s="406"/>
      <c r="H24" s="434"/>
      <c r="I24" s="206" t="s">
        <v>1438</v>
      </c>
      <c r="J24" s="325">
        <f t="shared" si="4"/>
        <v>11378</v>
      </c>
      <c r="K24" s="325">
        <f t="shared" si="4"/>
        <v>11378</v>
      </c>
      <c r="L24" s="325">
        <f t="shared" si="4"/>
        <v>8306</v>
      </c>
      <c r="M24" s="325">
        <f t="shared" si="4"/>
        <v>14450</v>
      </c>
      <c r="N24" s="384"/>
    </row>
    <row r="25" spans="2:14" x14ac:dyDescent="0.3">
      <c r="B25" s="206" t="s">
        <v>1441</v>
      </c>
      <c r="C25" s="325">
        <f>IF($H$5=3,F25,IF($H$5=2,E25,D25))</f>
        <v>18280</v>
      </c>
      <c r="D25" s="325">
        <f>'Input summary'!D25</f>
        <v>18280</v>
      </c>
      <c r="E25" s="325">
        <f>'Input summary'!E25</f>
        <v>12430</v>
      </c>
      <c r="F25" s="325">
        <f>'Input summary'!F25</f>
        <v>24129</v>
      </c>
      <c r="G25" s="406"/>
      <c r="H25" s="434"/>
      <c r="I25" s="206" t="s">
        <v>1441</v>
      </c>
      <c r="J25" s="325">
        <f t="shared" si="4"/>
        <v>18280</v>
      </c>
      <c r="K25" s="325">
        <f t="shared" si="4"/>
        <v>18280</v>
      </c>
      <c r="L25" s="325">
        <f t="shared" si="4"/>
        <v>12430</v>
      </c>
      <c r="M25" s="325">
        <f t="shared" si="4"/>
        <v>24129</v>
      </c>
      <c r="N25" s="383"/>
    </row>
    <row r="26" spans="2:14" x14ac:dyDescent="0.3">
      <c r="B26" s="206" t="s">
        <v>1442</v>
      </c>
      <c r="C26" s="325">
        <f>IF($H$5=3,F26,IF($H$5=2,E26,D26))</f>
        <v>18280</v>
      </c>
      <c r="D26" s="325">
        <f>'Input summary'!D26</f>
        <v>18280</v>
      </c>
      <c r="E26" s="325">
        <f>'Input summary'!E26</f>
        <v>12430</v>
      </c>
      <c r="F26" s="325">
        <f>'Input summary'!F26</f>
        <v>24129</v>
      </c>
      <c r="G26" s="406"/>
      <c r="H26" s="434"/>
      <c r="I26" s="206" t="s">
        <v>1442</v>
      </c>
      <c r="J26" s="325">
        <f t="shared" si="4"/>
        <v>18280</v>
      </c>
      <c r="K26" s="325">
        <f t="shared" si="4"/>
        <v>18280</v>
      </c>
      <c r="L26" s="325">
        <f t="shared" si="4"/>
        <v>12430</v>
      </c>
      <c r="M26" s="325">
        <f t="shared" si="4"/>
        <v>24129</v>
      </c>
      <c r="N26" s="383"/>
    </row>
    <row r="27" spans="2:14" x14ac:dyDescent="0.3">
      <c r="B27" s="314" t="s">
        <v>920</v>
      </c>
      <c r="C27" s="346"/>
      <c r="D27" s="346"/>
      <c r="E27" s="346"/>
      <c r="F27" s="346"/>
      <c r="G27" s="346"/>
      <c r="H27" s="434"/>
      <c r="I27" s="207" t="s">
        <v>920</v>
      </c>
      <c r="J27" s="346"/>
      <c r="K27" s="346"/>
      <c r="L27" s="346"/>
      <c r="M27" s="346"/>
      <c r="N27" s="384"/>
    </row>
    <row r="28" spans="2:14" x14ac:dyDescent="0.3">
      <c r="B28" s="313" t="s">
        <v>920</v>
      </c>
      <c r="C28" s="325">
        <f>IF($H$5=3,F28,IF($H$5=2,E28,D28))</f>
        <v>0</v>
      </c>
      <c r="D28" s="325">
        <f>'Input summary'!D28</f>
        <v>0</v>
      </c>
      <c r="E28" s="325">
        <f>'Input summary'!E28</f>
        <v>0</v>
      </c>
      <c r="F28" s="325">
        <f>'Input summary'!F28</f>
        <v>0</v>
      </c>
      <c r="G28" s="406"/>
      <c r="H28" s="434"/>
      <c r="I28" s="206" t="s">
        <v>920</v>
      </c>
      <c r="J28" s="325">
        <f t="shared" ref="J28:M29" si="5">C28</f>
        <v>0</v>
      </c>
      <c r="K28" s="325">
        <f t="shared" si="5"/>
        <v>0</v>
      </c>
      <c r="L28" s="325">
        <f t="shared" si="5"/>
        <v>0</v>
      </c>
      <c r="M28" s="325">
        <f t="shared" si="5"/>
        <v>0</v>
      </c>
      <c r="N28" s="383"/>
    </row>
    <row r="29" spans="2:14" x14ac:dyDescent="0.3">
      <c r="B29" s="313" t="s">
        <v>980</v>
      </c>
      <c r="C29" s="325">
        <f>IF($H$5=3,F29,IF($H$5=2,E29,D29))</f>
        <v>0</v>
      </c>
      <c r="D29" s="325">
        <f>'Input summary'!D29</f>
        <v>0</v>
      </c>
      <c r="E29" s="325">
        <f>'Input summary'!E29</f>
        <v>0</v>
      </c>
      <c r="F29" s="325">
        <f>'Input summary'!F29</f>
        <v>0</v>
      </c>
      <c r="G29" s="406"/>
      <c r="H29" s="434"/>
      <c r="I29" s="206" t="s">
        <v>980</v>
      </c>
      <c r="J29" s="325">
        <f t="shared" si="5"/>
        <v>0</v>
      </c>
      <c r="K29" s="325">
        <f t="shared" si="5"/>
        <v>0</v>
      </c>
      <c r="L29" s="325">
        <f t="shared" si="5"/>
        <v>0</v>
      </c>
      <c r="M29" s="325">
        <f t="shared" si="5"/>
        <v>0</v>
      </c>
      <c r="N29" s="383"/>
    </row>
    <row r="30" spans="2:14" x14ac:dyDescent="0.3">
      <c r="B30" s="297"/>
      <c r="C30" s="336"/>
      <c r="D30" s="336"/>
      <c r="E30" s="336"/>
      <c r="F30" s="336"/>
      <c r="G30" s="336"/>
      <c r="H30" s="434"/>
      <c r="I30" s="385"/>
      <c r="J30" s="336"/>
      <c r="K30" s="336"/>
      <c r="L30" s="336"/>
      <c r="M30" s="336"/>
      <c r="N30" s="385"/>
    </row>
    <row r="31" spans="2:14" x14ac:dyDescent="0.3">
      <c r="B31" s="153" t="s">
        <v>1354</v>
      </c>
      <c r="C31" s="295"/>
      <c r="D31" s="295"/>
      <c r="E31" s="295"/>
      <c r="F31" s="295"/>
      <c r="G31" s="295"/>
      <c r="H31" s="434" t="s">
        <v>1468</v>
      </c>
      <c r="I31" s="153" t="s">
        <v>1354</v>
      </c>
      <c r="J31" s="295"/>
      <c r="K31" s="295"/>
      <c r="L31" s="295"/>
      <c r="M31" s="295"/>
    </row>
    <row r="32" spans="2:14" x14ac:dyDescent="0.3">
      <c r="B32" s="17" t="s">
        <v>950</v>
      </c>
      <c r="C32" s="152" t="s">
        <v>724</v>
      </c>
      <c r="D32" s="152" t="s">
        <v>995</v>
      </c>
      <c r="E32" s="152" t="s">
        <v>985</v>
      </c>
      <c r="F32" s="152" t="s">
        <v>986</v>
      </c>
      <c r="G32" s="152"/>
      <c r="H32" s="434">
        <v>1</v>
      </c>
      <c r="I32" s="17" t="s">
        <v>950</v>
      </c>
      <c r="J32" s="152" t="s">
        <v>724</v>
      </c>
      <c r="K32" s="152" t="s">
        <v>724</v>
      </c>
      <c r="L32" s="152" t="s">
        <v>985</v>
      </c>
      <c r="M32" s="152" t="s">
        <v>986</v>
      </c>
      <c r="N32" s="155"/>
    </row>
    <row r="33" spans="2:15" x14ac:dyDescent="0.3">
      <c r="B33" s="315" t="s">
        <v>1445</v>
      </c>
      <c r="C33" s="312"/>
      <c r="D33" s="312"/>
      <c r="E33" s="312"/>
      <c r="F33" s="312"/>
      <c r="G33" s="312"/>
      <c r="H33" s="434"/>
      <c r="I33" s="315" t="s">
        <v>988</v>
      </c>
      <c r="J33" s="312"/>
      <c r="K33" s="312"/>
      <c r="L33" s="312"/>
      <c r="M33" s="312"/>
      <c r="O33" s="334"/>
    </row>
    <row r="34" spans="2:15" x14ac:dyDescent="0.3">
      <c r="B34" s="313" t="s">
        <v>2</v>
      </c>
      <c r="C34" s="325">
        <f t="shared" ref="C34:C40" si="6">IF($H$32=3,F34,IF($H$32=2,E34,D34))</f>
        <v>5279</v>
      </c>
      <c r="D34" s="325">
        <f>'Input summary'!D34</f>
        <v>5279</v>
      </c>
      <c r="E34" s="325">
        <f>'Input summary'!E34</f>
        <v>3801</v>
      </c>
      <c r="F34" s="325">
        <f>'Input summary'!F34</f>
        <v>6757</v>
      </c>
      <c r="G34" s="406"/>
      <c r="H34" s="434"/>
      <c r="I34" s="313" t="s">
        <v>2</v>
      </c>
      <c r="J34" s="325">
        <f t="shared" ref="J34:M40" si="7">C34</f>
        <v>5279</v>
      </c>
      <c r="K34" s="325">
        <f t="shared" si="7"/>
        <v>5279</v>
      </c>
      <c r="L34" s="325">
        <f t="shared" si="7"/>
        <v>3801</v>
      </c>
      <c r="M34" s="325">
        <f t="shared" si="7"/>
        <v>6757</v>
      </c>
      <c r="N34" s="383"/>
      <c r="O34" s="334" t="s">
        <v>682</v>
      </c>
    </row>
    <row r="35" spans="2:15" x14ac:dyDescent="0.3">
      <c r="B35" s="313" t="s">
        <v>3</v>
      </c>
      <c r="C35" s="325">
        <f t="shared" si="6"/>
        <v>5279</v>
      </c>
      <c r="D35" s="325">
        <f>'Input summary'!D35</f>
        <v>5279</v>
      </c>
      <c r="E35" s="325">
        <f>'Input summary'!E35</f>
        <v>3801</v>
      </c>
      <c r="F35" s="325">
        <f>'Input summary'!F35</f>
        <v>6757</v>
      </c>
      <c r="G35" s="406"/>
      <c r="H35" s="434"/>
      <c r="I35" s="313" t="s">
        <v>3</v>
      </c>
      <c r="J35" s="325">
        <f t="shared" si="7"/>
        <v>5279</v>
      </c>
      <c r="K35" s="325">
        <f t="shared" si="7"/>
        <v>5279</v>
      </c>
      <c r="L35" s="325">
        <f t="shared" si="7"/>
        <v>3801</v>
      </c>
      <c r="M35" s="325">
        <f t="shared" si="7"/>
        <v>6757</v>
      </c>
      <c r="N35" s="383"/>
      <c r="O35" s="335" t="s">
        <v>679</v>
      </c>
    </row>
    <row r="36" spans="2:15" x14ac:dyDescent="0.3">
      <c r="B36" s="313" t="s">
        <v>4</v>
      </c>
      <c r="C36" s="325">
        <f t="shared" si="6"/>
        <v>5279</v>
      </c>
      <c r="D36" s="325">
        <f>'Input summary'!D36</f>
        <v>5279</v>
      </c>
      <c r="E36" s="325">
        <f>'Input summary'!E36</f>
        <v>3801</v>
      </c>
      <c r="F36" s="325">
        <f>'Input summary'!F36</f>
        <v>6757</v>
      </c>
      <c r="G36" s="406"/>
      <c r="H36" s="434"/>
      <c r="I36" s="313" t="s">
        <v>4</v>
      </c>
      <c r="J36" s="325">
        <f t="shared" si="7"/>
        <v>5279</v>
      </c>
      <c r="K36" s="325">
        <f t="shared" si="7"/>
        <v>5279</v>
      </c>
      <c r="L36" s="325">
        <f t="shared" si="7"/>
        <v>3801</v>
      </c>
      <c r="M36" s="325">
        <f t="shared" si="7"/>
        <v>6757</v>
      </c>
      <c r="N36" s="383"/>
    </row>
    <row r="37" spans="2:15" x14ac:dyDescent="0.3">
      <c r="B37" s="313" t="s">
        <v>5</v>
      </c>
      <c r="C37" s="325">
        <f t="shared" si="6"/>
        <v>5290</v>
      </c>
      <c r="D37" s="325">
        <f>'Input summary'!D37</f>
        <v>5290</v>
      </c>
      <c r="E37" s="325">
        <f>'Input summary'!E37</f>
        <v>3914</v>
      </c>
      <c r="F37" s="325">
        <f>'Input summary'!F37</f>
        <v>6665</v>
      </c>
      <c r="G37" s="406"/>
      <c r="H37" s="434"/>
      <c r="I37" s="313" t="s">
        <v>5</v>
      </c>
      <c r="J37" s="325">
        <f t="shared" si="7"/>
        <v>5290</v>
      </c>
      <c r="K37" s="325">
        <f t="shared" si="7"/>
        <v>5290</v>
      </c>
      <c r="L37" s="325">
        <f t="shared" si="7"/>
        <v>3914</v>
      </c>
      <c r="M37" s="325">
        <f t="shared" si="7"/>
        <v>6665</v>
      </c>
      <c r="N37" s="383"/>
    </row>
    <row r="38" spans="2:15" x14ac:dyDescent="0.3">
      <c r="B38" s="313" t="s">
        <v>6</v>
      </c>
      <c r="C38" s="325">
        <f t="shared" si="6"/>
        <v>5290</v>
      </c>
      <c r="D38" s="325">
        <f>'Input summary'!D38</f>
        <v>5290</v>
      </c>
      <c r="E38" s="325">
        <f>'Input summary'!E38</f>
        <v>3914</v>
      </c>
      <c r="F38" s="325">
        <f>'Input summary'!F38</f>
        <v>6665</v>
      </c>
      <c r="G38" s="406"/>
      <c r="H38" s="434"/>
      <c r="I38" s="313" t="s">
        <v>6</v>
      </c>
      <c r="J38" s="325">
        <f t="shared" si="7"/>
        <v>5290</v>
      </c>
      <c r="K38" s="325">
        <f t="shared" si="7"/>
        <v>5290</v>
      </c>
      <c r="L38" s="325">
        <f t="shared" si="7"/>
        <v>3914</v>
      </c>
      <c r="M38" s="325">
        <f t="shared" si="7"/>
        <v>6665</v>
      </c>
      <c r="N38" s="383"/>
    </row>
    <row r="39" spans="2:15" x14ac:dyDescent="0.3">
      <c r="B39" s="313" t="s">
        <v>7</v>
      </c>
      <c r="C39" s="325">
        <f t="shared" si="6"/>
        <v>5290</v>
      </c>
      <c r="D39" s="325">
        <f>'Input summary'!D39</f>
        <v>5290</v>
      </c>
      <c r="E39" s="325">
        <f>'Input summary'!E39</f>
        <v>3914</v>
      </c>
      <c r="F39" s="325">
        <f>'Input summary'!F39</f>
        <v>6665</v>
      </c>
      <c r="G39" s="406"/>
      <c r="H39" s="434"/>
      <c r="I39" s="313" t="s">
        <v>7</v>
      </c>
      <c r="J39" s="325">
        <f t="shared" si="7"/>
        <v>5290</v>
      </c>
      <c r="K39" s="325">
        <f t="shared" si="7"/>
        <v>5290</v>
      </c>
      <c r="L39" s="325">
        <f t="shared" si="7"/>
        <v>3914</v>
      </c>
      <c r="M39" s="325">
        <f t="shared" si="7"/>
        <v>6665</v>
      </c>
      <c r="N39" s="383"/>
    </row>
    <row r="40" spans="2:15" x14ac:dyDescent="0.3">
      <c r="B40" s="313" t="s">
        <v>11</v>
      </c>
      <c r="C40" s="325">
        <f t="shared" si="6"/>
        <v>653</v>
      </c>
      <c r="D40" s="325">
        <f>'Input summary'!D40</f>
        <v>653</v>
      </c>
      <c r="E40" s="325">
        <f>'Input summary'!E40</f>
        <v>270</v>
      </c>
      <c r="F40" s="325">
        <f>'Input summary'!F40</f>
        <v>1036</v>
      </c>
      <c r="G40" s="406"/>
      <c r="H40" s="434"/>
      <c r="I40" s="313" t="s">
        <v>11</v>
      </c>
      <c r="J40" s="325">
        <f t="shared" si="7"/>
        <v>653</v>
      </c>
      <c r="K40" s="325">
        <f t="shared" si="7"/>
        <v>653</v>
      </c>
      <c r="L40" s="325">
        <f t="shared" si="7"/>
        <v>270</v>
      </c>
      <c r="M40" s="325">
        <f t="shared" si="7"/>
        <v>1036</v>
      </c>
      <c r="N40" s="383"/>
    </row>
    <row r="41" spans="2:15" x14ac:dyDescent="0.3">
      <c r="B41" s="315" t="s">
        <v>1444</v>
      </c>
      <c r="C41" s="346"/>
      <c r="D41" s="346"/>
      <c r="E41" s="346"/>
      <c r="F41" s="346"/>
      <c r="G41" s="346"/>
      <c r="H41" s="434"/>
      <c r="I41" s="315" t="s">
        <v>988</v>
      </c>
      <c r="J41" s="346"/>
      <c r="K41" s="346"/>
      <c r="L41" s="346"/>
      <c r="M41" s="346"/>
      <c r="O41" s="334"/>
    </row>
    <row r="42" spans="2:15" x14ac:dyDescent="0.3">
      <c r="B42" s="313" t="s">
        <v>2</v>
      </c>
      <c r="C42" s="325">
        <f t="shared" ref="C42:C48" si="8">IF($H$32=3,F42,IF($H$32=2,E42,D42))</f>
        <v>5279</v>
      </c>
      <c r="D42" s="325">
        <f>'Input summary'!D42</f>
        <v>5279</v>
      </c>
      <c r="E42" s="325">
        <f>'Input summary'!E42</f>
        <v>3801</v>
      </c>
      <c r="F42" s="325">
        <f>'Input summary'!F42</f>
        <v>6757</v>
      </c>
      <c r="G42" s="406"/>
      <c r="H42" s="434"/>
      <c r="I42" s="313" t="s">
        <v>2</v>
      </c>
      <c r="J42" s="325">
        <f t="shared" ref="J42:M48" si="9">C42</f>
        <v>5279</v>
      </c>
      <c r="K42" s="325">
        <f t="shared" si="9"/>
        <v>5279</v>
      </c>
      <c r="L42" s="325">
        <f t="shared" si="9"/>
        <v>3801</v>
      </c>
      <c r="M42" s="325">
        <f t="shared" si="9"/>
        <v>6757</v>
      </c>
      <c r="N42" s="383"/>
      <c r="O42" s="334" t="s">
        <v>682</v>
      </c>
    </row>
    <row r="43" spans="2:15" x14ac:dyDescent="0.3">
      <c r="B43" s="313" t="s">
        <v>3</v>
      </c>
      <c r="C43" s="325">
        <f t="shared" si="8"/>
        <v>5279</v>
      </c>
      <c r="D43" s="325">
        <f>'Input summary'!D43</f>
        <v>5279</v>
      </c>
      <c r="E43" s="325">
        <f>'Input summary'!E43</f>
        <v>3801</v>
      </c>
      <c r="F43" s="325">
        <f>'Input summary'!F43</f>
        <v>6757</v>
      </c>
      <c r="G43" s="406"/>
      <c r="H43" s="434"/>
      <c r="I43" s="313" t="s">
        <v>3</v>
      </c>
      <c r="J43" s="325">
        <f t="shared" si="9"/>
        <v>5279</v>
      </c>
      <c r="K43" s="325">
        <f t="shared" si="9"/>
        <v>5279</v>
      </c>
      <c r="L43" s="325">
        <f t="shared" si="9"/>
        <v>3801</v>
      </c>
      <c r="M43" s="325">
        <f t="shared" si="9"/>
        <v>6757</v>
      </c>
      <c r="N43" s="383"/>
      <c r="O43" s="335" t="s">
        <v>679</v>
      </c>
    </row>
    <row r="44" spans="2:15" x14ac:dyDescent="0.3">
      <c r="B44" s="313" t="s">
        <v>4</v>
      </c>
      <c r="C44" s="325">
        <f t="shared" si="8"/>
        <v>5279</v>
      </c>
      <c r="D44" s="325">
        <f>'Input summary'!D44</f>
        <v>5279</v>
      </c>
      <c r="E44" s="325">
        <f>'Input summary'!E44</f>
        <v>3801</v>
      </c>
      <c r="F44" s="325">
        <f>'Input summary'!F44</f>
        <v>6757</v>
      </c>
      <c r="G44" s="406"/>
      <c r="H44" s="434"/>
      <c r="I44" s="313" t="s">
        <v>4</v>
      </c>
      <c r="J44" s="325">
        <f t="shared" si="9"/>
        <v>5279</v>
      </c>
      <c r="K44" s="325">
        <f t="shared" si="9"/>
        <v>5279</v>
      </c>
      <c r="L44" s="325">
        <f t="shared" si="9"/>
        <v>3801</v>
      </c>
      <c r="M44" s="325">
        <f t="shared" si="9"/>
        <v>6757</v>
      </c>
      <c r="N44" s="383"/>
    </row>
    <row r="45" spans="2:15" x14ac:dyDescent="0.3">
      <c r="B45" s="313" t="s">
        <v>5</v>
      </c>
      <c r="C45" s="325">
        <f t="shared" si="8"/>
        <v>5290</v>
      </c>
      <c r="D45" s="325">
        <f>'Input summary'!D45</f>
        <v>5290</v>
      </c>
      <c r="E45" s="325">
        <f>'Input summary'!E45</f>
        <v>3967</v>
      </c>
      <c r="F45" s="325">
        <f>'Input summary'!F45</f>
        <v>6612</v>
      </c>
      <c r="G45" s="406"/>
      <c r="H45" s="434"/>
      <c r="I45" s="313" t="s">
        <v>5</v>
      </c>
      <c r="J45" s="325">
        <f t="shared" si="9"/>
        <v>5290</v>
      </c>
      <c r="K45" s="325">
        <f t="shared" si="9"/>
        <v>5290</v>
      </c>
      <c r="L45" s="325">
        <f t="shared" si="9"/>
        <v>3967</v>
      </c>
      <c r="M45" s="325">
        <f t="shared" si="9"/>
        <v>6612</v>
      </c>
      <c r="N45" s="383"/>
    </row>
    <row r="46" spans="2:15" x14ac:dyDescent="0.3">
      <c r="B46" s="313" t="s">
        <v>6</v>
      </c>
      <c r="C46" s="325">
        <f t="shared" si="8"/>
        <v>5290</v>
      </c>
      <c r="D46" s="325">
        <f>'Input summary'!D46</f>
        <v>5290</v>
      </c>
      <c r="E46" s="325">
        <f>'Input summary'!E46</f>
        <v>3967</v>
      </c>
      <c r="F46" s="325">
        <f>'Input summary'!F46</f>
        <v>6612</v>
      </c>
      <c r="G46" s="406"/>
      <c r="H46" s="434"/>
      <c r="I46" s="313" t="s">
        <v>6</v>
      </c>
      <c r="J46" s="325">
        <f t="shared" si="9"/>
        <v>5290</v>
      </c>
      <c r="K46" s="325">
        <f t="shared" si="9"/>
        <v>5290</v>
      </c>
      <c r="L46" s="325">
        <f t="shared" si="9"/>
        <v>3967</v>
      </c>
      <c r="M46" s="325">
        <f t="shared" si="9"/>
        <v>6612</v>
      </c>
      <c r="N46" s="383"/>
    </row>
    <row r="47" spans="2:15" x14ac:dyDescent="0.3">
      <c r="B47" s="313" t="s">
        <v>7</v>
      </c>
      <c r="C47" s="325">
        <f t="shared" si="8"/>
        <v>5290</v>
      </c>
      <c r="D47" s="325">
        <f>'Input summary'!D47</f>
        <v>5290</v>
      </c>
      <c r="E47" s="325">
        <f>'Input summary'!E47</f>
        <v>3967</v>
      </c>
      <c r="F47" s="325">
        <f>'Input summary'!F47</f>
        <v>6612</v>
      </c>
      <c r="G47" s="406"/>
      <c r="H47" s="434"/>
      <c r="I47" s="313" t="s">
        <v>7</v>
      </c>
      <c r="J47" s="325">
        <f t="shared" si="9"/>
        <v>5290</v>
      </c>
      <c r="K47" s="325">
        <f t="shared" si="9"/>
        <v>5290</v>
      </c>
      <c r="L47" s="325">
        <f t="shared" si="9"/>
        <v>3967</v>
      </c>
      <c r="M47" s="325">
        <f t="shared" si="9"/>
        <v>6612</v>
      </c>
      <c r="N47" s="383"/>
    </row>
    <row r="48" spans="2:15" x14ac:dyDescent="0.3">
      <c r="B48" s="313" t="s">
        <v>11</v>
      </c>
      <c r="C48" s="325">
        <f t="shared" si="8"/>
        <v>653</v>
      </c>
      <c r="D48" s="325">
        <f>'Input summary'!D48</f>
        <v>653</v>
      </c>
      <c r="E48" s="325">
        <f>'Input summary'!E48</f>
        <v>270</v>
      </c>
      <c r="F48" s="325">
        <f>'Input summary'!F48</f>
        <v>1036</v>
      </c>
      <c r="G48" s="406"/>
      <c r="H48" s="434"/>
      <c r="I48" s="313" t="s">
        <v>11</v>
      </c>
      <c r="J48" s="325">
        <f t="shared" si="9"/>
        <v>653</v>
      </c>
      <c r="K48" s="325">
        <f t="shared" si="9"/>
        <v>653</v>
      </c>
      <c r="L48" s="325">
        <f t="shared" si="9"/>
        <v>270</v>
      </c>
      <c r="M48" s="325">
        <f t="shared" si="9"/>
        <v>1036</v>
      </c>
      <c r="N48" s="383"/>
    </row>
    <row r="49" spans="1:15" x14ac:dyDescent="0.3">
      <c r="B49" s="207" t="s">
        <v>227</v>
      </c>
      <c r="C49" s="346"/>
      <c r="D49" s="346"/>
      <c r="E49" s="346"/>
      <c r="F49" s="346"/>
      <c r="G49" s="346"/>
      <c r="H49" s="434"/>
      <c r="I49" s="207" t="s">
        <v>227</v>
      </c>
      <c r="J49" s="346"/>
      <c r="K49" s="346"/>
      <c r="L49" s="346"/>
      <c r="M49" s="346"/>
      <c r="N49" s="384"/>
    </row>
    <row r="50" spans="1:15" x14ac:dyDescent="0.3">
      <c r="B50" s="206" t="s">
        <v>1437</v>
      </c>
      <c r="C50" s="325">
        <f>IF($H$32=3,F50,IF($H$32=2,E50,D50))</f>
        <v>4676</v>
      </c>
      <c r="D50" s="325">
        <f>'Input summary'!D50</f>
        <v>4676</v>
      </c>
      <c r="E50" s="325">
        <f>'Input summary'!E50</f>
        <v>3414</v>
      </c>
      <c r="F50" s="325">
        <f>'Input summary'!F50</f>
        <v>5939</v>
      </c>
      <c r="G50" s="406"/>
      <c r="H50" s="434"/>
      <c r="I50" s="206" t="s">
        <v>1437</v>
      </c>
      <c r="J50" s="325">
        <f t="shared" ref="J50:M53" si="10">C50</f>
        <v>4676</v>
      </c>
      <c r="K50" s="325">
        <f t="shared" si="10"/>
        <v>4676</v>
      </c>
      <c r="L50" s="325">
        <f t="shared" si="10"/>
        <v>3414</v>
      </c>
      <c r="M50" s="325">
        <f t="shared" si="10"/>
        <v>5939</v>
      </c>
      <c r="N50" s="383"/>
    </row>
    <row r="51" spans="1:15" x14ac:dyDescent="0.3">
      <c r="B51" s="206" t="s">
        <v>1438</v>
      </c>
      <c r="C51" s="325">
        <f>IF($H$32=3,F51,IF($H$32=2,E51,D51))</f>
        <v>4676</v>
      </c>
      <c r="D51" s="325">
        <f>'Input summary'!D51</f>
        <v>4676</v>
      </c>
      <c r="E51" s="325">
        <f>'Input summary'!E51</f>
        <v>3414</v>
      </c>
      <c r="F51" s="325">
        <f>'Input summary'!F51</f>
        <v>5939</v>
      </c>
      <c r="G51" s="406"/>
      <c r="H51" s="434"/>
      <c r="I51" s="206" t="s">
        <v>1438</v>
      </c>
      <c r="J51" s="325">
        <f t="shared" si="10"/>
        <v>4676</v>
      </c>
      <c r="K51" s="325">
        <f t="shared" si="10"/>
        <v>4676</v>
      </c>
      <c r="L51" s="325">
        <f t="shared" si="10"/>
        <v>3414</v>
      </c>
      <c r="M51" s="325">
        <f t="shared" si="10"/>
        <v>5939</v>
      </c>
      <c r="N51" s="383"/>
    </row>
    <row r="52" spans="1:15" x14ac:dyDescent="0.3">
      <c r="B52" s="206" t="s">
        <v>1441</v>
      </c>
      <c r="C52" s="325">
        <f>IF($H$32=3,F52,IF($H$32=2,E52,D52))</f>
        <v>8585</v>
      </c>
      <c r="D52" s="325">
        <f>'Input summary'!D52</f>
        <v>8585</v>
      </c>
      <c r="E52" s="325">
        <f>'Input summary'!E52</f>
        <v>5838</v>
      </c>
      <c r="F52" s="325">
        <f>'Input summary'!F52</f>
        <v>11332</v>
      </c>
      <c r="G52" s="406"/>
      <c r="H52" s="434"/>
      <c r="I52" s="206" t="s">
        <v>1441</v>
      </c>
      <c r="J52" s="325">
        <f t="shared" si="10"/>
        <v>8585</v>
      </c>
      <c r="K52" s="325">
        <f t="shared" si="10"/>
        <v>8585</v>
      </c>
      <c r="L52" s="325">
        <f t="shared" si="10"/>
        <v>5838</v>
      </c>
      <c r="M52" s="325">
        <f t="shared" si="10"/>
        <v>11332</v>
      </c>
      <c r="N52" s="384"/>
    </row>
    <row r="53" spans="1:15" x14ac:dyDescent="0.3">
      <c r="B53" s="206" t="s">
        <v>1442</v>
      </c>
      <c r="C53" s="325">
        <f>IF($H$32=3,F53,IF($H$32=2,E53,D53))</f>
        <v>8585</v>
      </c>
      <c r="D53" s="325">
        <f>'Input summary'!D53</f>
        <v>8585</v>
      </c>
      <c r="E53" s="325">
        <f>'Input summary'!E53</f>
        <v>5838</v>
      </c>
      <c r="F53" s="325">
        <f>'Input summary'!F53</f>
        <v>11332</v>
      </c>
      <c r="G53" s="406"/>
      <c r="H53" s="434"/>
      <c r="I53" s="206" t="s">
        <v>1442</v>
      </c>
      <c r="J53" s="325">
        <f t="shared" si="10"/>
        <v>8585</v>
      </c>
      <c r="K53" s="325">
        <f t="shared" si="10"/>
        <v>8585</v>
      </c>
      <c r="L53" s="325">
        <f t="shared" si="10"/>
        <v>5838</v>
      </c>
      <c r="M53" s="325">
        <f t="shared" si="10"/>
        <v>11332</v>
      </c>
      <c r="N53" s="384"/>
    </row>
    <row r="54" spans="1:15" x14ac:dyDescent="0.3">
      <c r="B54" s="207" t="s">
        <v>920</v>
      </c>
      <c r="C54" s="346"/>
      <c r="D54" s="346"/>
      <c r="E54" s="346"/>
      <c r="F54" s="346"/>
      <c r="G54" s="346"/>
      <c r="H54" s="434"/>
      <c r="I54" s="207" t="s">
        <v>920</v>
      </c>
      <c r="J54" s="346"/>
      <c r="K54" s="346"/>
      <c r="L54" s="346"/>
      <c r="M54" s="346"/>
      <c r="N54" s="384"/>
    </row>
    <row r="55" spans="1:15" x14ac:dyDescent="0.3">
      <c r="B55" s="206" t="s">
        <v>920</v>
      </c>
      <c r="C55" s="325">
        <f>IF($H$32=3,F55,IF($H$32=2,E55,D55))</f>
        <v>5290</v>
      </c>
      <c r="D55" s="325">
        <f>'Input summary'!D55</f>
        <v>5290</v>
      </c>
      <c r="E55" s="325">
        <f>'Input summary'!E55</f>
        <v>3914</v>
      </c>
      <c r="F55" s="325">
        <f>'Input summary'!F55</f>
        <v>6665</v>
      </c>
      <c r="G55" s="406"/>
      <c r="H55" s="434"/>
      <c r="I55" s="206" t="s">
        <v>920</v>
      </c>
      <c r="J55" s="325">
        <f t="shared" ref="J55:M56" si="11">C55</f>
        <v>5290</v>
      </c>
      <c r="K55" s="325">
        <f t="shared" si="11"/>
        <v>5290</v>
      </c>
      <c r="L55" s="325">
        <f t="shared" si="11"/>
        <v>3914</v>
      </c>
      <c r="M55" s="325">
        <f t="shared" si="11"/>
        <v>6665</v>
      </c>
      <c r="N55" s="383"/>
    </row>
    <row r="56" spans="1:15" x14ac:dyDescent="0.3">
      <c r="B56" s="206" t="s">
        <v>980</v>
      </c>
      <c r="C56" s="325">
        <f>IF($H$32=3,F56,IF($H$32=2,E56,D56))</f>
        <v>5290</v>
      </c>
      <c r="D56" s="325">
        <f>'Input summary'!D56</f>
        <v>5290</v>
      </c>
      <c r="E56" s="325">
        <f>'Input summary'!E56</f>
        <v>3914</v>
      </c>
      <c r="F56" s="325">
        <f>'Input summary'!F56</f>
        <v>6665</v>
      </c>
      <c r="G56" s="406"/>
      <c r="H56" s="434"/>
      <c r="I56" s="206" t="s">
        <v>980</v>
      </c>
      <c r="J56" s="325">
        <f t="shared" si="11"/>
        <v>5290</v>
      </c>
      <c r="K56" s="325">
        <f t="shared" si="11"/>
        <v>5290</v>
      </c>
      <c r="L56" s="325">
        <f t="shared" si="11"/>
        <v>3914</v>
      </c>
      <c r="M56" s="325">
        <f t="shared" si="11"/>
        <v>6665</v>
      </c>
      <c r="N56" s="383"/>
    </row>
    <row r="57" spans="1:15" x14ac:dyDescent="0.3">
      <c r="C57" s="312"/>
      <c r="D57" s="312"/>
      <c r="E57" s="312"/>
      <c r="F57" s="312"/>
      <c r="G57" s="312"/>
      <c r="H57" s="434"/>
      <c r="I57" s="296"/>
      <c r="J57" s="312"/>
      <c r="K57" s="312"/>
      <c r="L57" s="312"/>
      <c r="M57" s="312"/>
    </row>
    <row r="58" spans="1:15" x14ac:dyDescent="0.3">
      <c r="B58" s="153" t="s">
        <v>990</v>
      </c>
      <c r="C58" s="295"/>
      <c r="D58" s="295"/>
      <c r="E58" s="295"/>
      <c r="F58" s="295"/>
      <c r="G58" s="295"/>
      <c r="H58" s="434" t="s">
        <v>1468</v>
      </c>
      <c r="I58" s="153" t="s">
        <v>990</v>
      </c>
      <c r="J58" s="295"/>
      <c r="K58" s="295"/>
      <c r="L58" s="295"/>
      <c r="M58" s="295"/>
    </row>
    <row r="59" spans="1:15" x14ac:dyDescent="0.3">
      <c r="B59" s="17" t="s">
        <v>950</v>
      </c>
      <c r="C59" s="152" t="s">
        <v>724</v>
      </c>
      <c r="D59" s="152" t="s">
        <v>995</v>
      </c>
      <c r="E59" s="152" t="s">
        <v>985</v>
      </c>
      <c r="F59" s="152" t="s">
        <v>986</v>
      </c>
      <c r="G59" s="152"/>
      <c r="H59" s="434">
        <f>'SA Results'!$K$2</f>
        <v>1</v>
      </c>
      <c r="I59" s="17" t="s">
        <v>950</v>
      </c>
      <c r="J59" s="152" t="s">
        <v>724</v>
      </c>
      <c r="K59" s="152" t="s">
        <v>724</v>
      </c>
      <c r="L59" s="152" t="s">
        <v>985</v>
      </c>
      <c r="M59" s="152" t="s">
        <v>986</v>
      </c>
      <c r="N59" s="155"/>
    </row>
    <row r="60" spans="1:15" x14ac:dyDescent="0.3">
      <c r="B60" s="315" t="s">
        <v>1445</v>
      </c>
      <c r="C60" s="312"/>
      <c r="D60" s="312"/>
      <c r="E60" s="312"/>
      <c r="F60" s="312"/>
      <c r="G60" s="312"/>
      <c r="H60" s="434"/>
      <c r="I60" s="315" t="s">
        <v>988</v>
      </c>
      <c r="J60" s="312"/>
      <c r="K60" s="312"/>
      <c r="L60" s="312"/>
      <c r="M60" s="312"/>
      <c r="O60" s="334" t="s">
        <v>682</v>
      </c>
    </row>
    <row r="61" spans="1:15" x14ac:dyDescent="0.3">
      <c r="B61" s="313" t="s">
        <v>2</v>
      </c>
      <c r="C61" s="325">
        <f t="shared" ref="C61:C83" si="12">IF($H$59=3,F61,IF($H$59=2,E61,D61))</f>
        <v>234</v>
      </c>
      <c r="D61" s="325">
        <f>'Input summary'!D61</f>
        <v>234</v>
      </c>
      <c r="E61" s="325">
        <f>'Input summary'!E61</f>
        <v>168</v>
      </c>
      <c r="F61" s="325">
        <f>'Input summary'!F61</f>
        <v>299</v>
      </c>
      <c r="G61" s="406"/>
      <c r="H61" s="434"/>
      <c r="I61" s="313" t="s">
        <v>2</v>
      </c>
      <c r="J61" s="325">
        <f t="shared" ref="J61:M67" si="13">C61</f>
        <v>234</v>
      </c>
      <c r="K61" s="325">
        <f t="shared" si="13"/>
        <v>234</v>
      </c>
      <c r="L61" s="325">
        <f t="shared" si="13"/>
        <v>168</v>
      </c>
      <c r="M61" s="325">
        <f t="shared" si="13"/>
        <v>299</v>
      </c>
      <c r="N61" s="383"/>
      <c r="O61" s="335" t="s">
        <v>679</v>
      </c>
    </row>
    <row r="62" spans="1:15" x14ac:dyDescent="0.3">
      <c r="B62" s="313" t="s">
        <v>3</v>
      </c>
      <c r="C62" s="325">
        <f t="shared" si="12"/>
        <v>234</v>
      </c>
      <c r="D62" s="325">
        <f>'Input summary'!D62</f>
        <v>234</v>
      </c>
      <c r="E62" s="325">
        <f>'Input summary'!E62</f>
        <v>168</v>
      </c>
      <c r="F62" s="325">
        <f>'Input summary'!F62</f>
        <v>299</v>
      </c>
      <c r="G62" s="406"/>
      <c r="H62" s="434"/>
      <c r="I62" s="313" t="s">
        <v>3</v>
      </c>
      <c r="J62" s="325">
        <f t="shared" si="13"/>
        <v>234</v>
      </c>
      <c r="K62" s="325">
        <f t="shared" si="13"/>
        <v>234</v>
      </c>
      <c r="L62" s="325">
        <f t="shared" si="13"/>
        <v>168</v>
      </c>
      <c r="M62" s="325">
        <f t="shared" si="13"/>
        <v>299</v>
      </c>
      <c r="N62" s="383"/>
    </row>
    <row r="63" spans="1:15" x14ac:dyDescent="0.3">
      <c r="B63" s="313" t="s">
        <v>4</v>
      </c>
      <c r="C63" s="325">
        <f t="shared" si="12"/>
        <v>234</v>
      </c>
      <c r="D63" s="325">
        <f>'Input summary'!D63</f>
        <v>234</v>
      </c>
      <c r="E63" s="325">
        <f>'Input summary'!E63</f>
        <v>168</v>
      </c>
      <c r="F63" s="325">
        <f>'Input summary'!F63</f>
        <v>299</v>
      </c>
      <c r="G63" s="406"/>
      <c r="H63" s="434"/>
      <c r="I63" s="313" t="s">
        <v>4</v>
      </c>
      <c r="J63" s="325">
        <f t="shared" si="13"/>
        <v>234</v>
      </c>
      <c r="K63" s="325">
        <f t="shared" si="13"/>
        <v>234</v>
      </c>
      <c r="L63" s="325">
        <f t="shared" si="13"/>
        <v>168</v>
      </c>
      <c r="M63" s="325">
        <f t="shared" si="13"/>
        <v>299</v>
      </c>
      <c r="N63" s="383"/>
    </row>
    <row r="64" spans="1:15" x14ac:dyDescent="0.3">
      <c r="A64" s="315"/>
      <c r="B64" s="313" t="s">
        <v>5</v>
      </c>
      <c r="C64" s="325">
        <f t="shared" si="12"/>
        <v>112</v>
      </c>
      <c r="D64" s="325">
        <f>'Input summary'!D64</f>
        <v>112</v>
      </c>
      <c r="E64" s="325">
        <f>'Input summary'!E64</f>
        <v>83</v>
      </c>
      <c r="F64" s="325">
        <f>'Input summary'!F64</f>
        <v>142</v>
      </c>
      <c r="G64" s="406"/>
      <c r="H64" s="434"/>
      <c r="I64" s="313" t="s">
        <v>5</v>
      </c>
      <c r="J64" s="325">
        <f t="shared" si="13"/>
        <v>112</v>
      </c>
      <c r="K64" s="325">
        <f t="shared" si="13"/>
        <v>112</v>
      </c>
      <c r="L64" s="325">
        <f t="shared" si="13"/>
        <v>83</v>
      </c>
      <c r="M64" s="325">
        <f t="shared" si="13"/>
        <v>142</v>
      </c>
      <c r="N64" s="383"/>
    </row>
    <row r="65" spans="1:15" x14ac:dyDescent="0.3">
      <c r="A65" s="297"/>
      <c r="B65" s="313" t="s">
        <v>6</v>
      </c>
      <c r="C65" s="325">
        <f t="shared" si="12"/>
        <v>112</v>
      </c>
      <c r="D65" s="325">
        <f>'Input summary'!D65</f>
        <v>112</v>
      </c>
      <c r="E65" s="325">
        <f>'Input summary'!E65</f>
        <v>83</v>
      </c>
      <c r="F65" s="325">
        <f>'Input summary'!F65</f>
        <v>142</v>
      </c>
      <c r="G65" s="406"/>
      <c r="H65" s="434"/>
      <c r="I65" s="313" t="s">
        <v>6</v>
      </c>
      <c r="J65" s="325">
        <f t="shared" si="13"/>
        <v>112</v>
      </c>
      <c r="K65" s="325">
        <f t="shared" si="13"/>
        <v>112</v>
      </c>
      <c r="L65" s="325">
        <f t="shared" si="13"/>
        <v>83</v>
      </c>
      <c r="M65" s="325">
        <f t="shared" si="13"/>
        <v>142</v>
      </c>
      <c r="N65" s="383"/>
    </row>
    <row r="66" spans="1:15" x14ac:dyDescent="0.3">
      <c r="A66" s="297"/>
      <c r="B66" s="313" t="s">
        <v>7</v>
      </c>
      <c r="C66" s="325">
        <f t="shared" si="12"/>
        <v>112</v>
      </c>
      <c r="D66" s="325">
        <f>'Input summary'!D66</f>
        <v>112</v>
      </c>
      <c r="E66" s="325">
        <f>'Input summary'!E66</f>
        <v>83</v>
      </c>
      <c r="F66" s="325">
        <f>'Input summary'!F66</f>
        <v>142</v>
      </c>
      <c r="G66" s="406"/>
      <c r="H66" s="434"/>
      <c r="I66" s="313" t="s">
        <v>7</v>
      </c>
      <c r="J66" s="325">
        <f t="shared" si="13"/>
        <v>112</v>
      </c>
      <c r="K66" s="325">
        <f t="shared" si="13"/>
        <v>112</v>
      </c>
      <c r="L66" s="325">
        <f t="shared" si="13"/>
        <v>83</v>
      </c>
      <c r="M66" s="325">
        <f t="shared" si="13"/>
        <v>142</v>
      </c>
      <c r="N66" s="383"/>
    </row>
    <row r="67" spans="1:15" x14ac:dyDescent="0.3">
      <c r="A67" s="297"/>
      <c r="B67" s="313" t="s">
        <v>11</v>
      </c>
      <c r="C67" s="325">
        <f t="shared" si="12"/>
        <v>329</v>
      </c>
      <c r="D67" s="325">
        <f>'Input summary'!D67</f>
        <v>329</v>
      </c>
      <c r="E67" s="325">
        <f>'Input summary'!E67</f>
        <v>144</v>
      </c>
      <c r="F67" s="325">
        <f>'Input summary'!F67</f>
        <v>570</v>
      </c>
      <c r="G67" s="406"/>
      <c r="H67" s="434"/>
      <c r="I67" s="313" t="s">
        <v>11</v>
      </c>
      <c r="J67" s="325">
        <f t="shared" si="13"/>
        <v>329</v>
      </c>
      <c r="K67" s="325">
        <f t="shared" si="13"/>
        <v>329</v>
      </c>
      <c r="L67" s="325">
        <f t="shared" si="13"/>
        <v>144</v>
      </c>
      <c r="M67" s="325">
        <f t="shared" si="13"/>
        <v>570</v>
      </c>
      <c r="N67" s="383"/>
    </row>
    <row r="68" spans="1:15" x14ac:dyDescent="0.3">
      <c r="B68" s="315" t="s">
        <v>1444</v>
      </c>
      <c r="C68" s="346">
        <f t="shared" si="12"/>
        <v>0</v>
      </c>
      <c r="D68" s="346"/>
      <c r="E68" s="346"/>
      <c r="F68" s="346"/>
      <c r="G68" s="346"/>
      <c r="H68" s="434"/>
      <c r="I68" s="315" t="s">
        <v>988</v>
      </c>
      <c r="J68" s="346"/>
      <c r="K68" s="346"/>
      <c r="L68" s="346"/>
      <c r="M68" s="346"/>
      <c r="O68" s="334" t="s">
        <v>682</v>
      </c>
    </row>
    <row r="69" spans="1:15" x14ac:dyDescent="0.3">
      <c r="B69" s="313" t="s">
        <v>2</v>
      </c>
      <c r="C69" s="325">
        <f t="shared" si="12"/>
        <v>234</v>
      </c>
      <c r="D69" s="325">
        <f>'Input summary'!D69</f>
        <v>234</v>
      </c>
      <c r="E69" s="325">
        <f>'Input summary'!E69</f>
        <v>168</v>
      </c>
      <c r="F69" s="325">
        <f>'Input summary'!F69</f>
        <v>299</v>
      </c>
      <c r="G69" s="406"/>
      <c r="H69" s="434"/>
      <c r="I69" s="313" t="s">
        <v>2</v>
      </c>
      <c r="J69" s="325">
        <f t="shared" ref="J69:M75" si="14">C69</f>
        <v>234</v>
      </c>
      <c r="K69" s="325">
        <f t="shared" si="14"/>
        <v>234</v>
      </c>
      <c r="L69" s="325">
        <f t="shared" si="14"/>
        <v>168</v>
      </c>
      <c r="M69" s="325">
        <f t="shared" si="14"/>
        <v>299</v>
      </c>
      <c r="N69" s="383"/>
      <c r="O69" s="335" t="s">
        <v>679</v>
      </c>
    </row>
    <row r="70" spans="1:15" x14ac:dyDescent="0.3">
      <c r="B70" s="313" t="s">
        <v>3</v>
      </c>
      <c r="C70" s="325">
        <f t="shared" si="12"/>
        <v>234</v>
      </c>
      <c r="D70" s="325">
        <f>'Input summary'!D70</f>
        <v>234</v>
      </c>
      <c r="E70" s="325">
        <f>'Input summary'!E70</f>
        <v>168</v>
      </c>
      <c r="F70" s="325">
        <f>'Input summary'!F70</f>
        <v>299</v>
      </c>
      <c r="G70" s="406"/>
      <c r="H70" s="434"/>
      <c r="I70" s="313" t="s">
        <v>3</v>
      </c>
      <c r="J70" s="325">
        <f t="shared" si="14"/>
        <v>234</v>
      </c>
      <c r="K70" s="325">
        <f t="shared" si="14"/>
        <v>234</v>
      </c>
      <c r="L70" s="325">
        <f t="shared" si="14"/>
        <v>168</v>
      </c>
      <c r="M70" s="325">
        <f t="shared" si="14"/>
        <v>299</v>
      </c>
      <c r="N70" s="383"/>
    </row>
    <row r="71" spans="1:15" x14ac:dyDescent="0.3">
      <c r="B71" s="313" t="s">
        <v>4</v>
      </c>
      <c r="C71" s="325">
        <f t="shared" si="12"/>
        <v>234</v>
      </c>
      <c r="D71" s="325">
        <f>'Input summary'!D71</f>
        <v>234</v>
      </c>
      <c r="E71" s="325">
        <f>'Input summary'!E71</f>
        <v>168</v>
      </c>
      <c r="F71" s="325">
        <f>'Input summary'!F71</f>
        <v>299</v>
      </c>
      <c r="G71" s="406"/>
      <c r="H71" s="434"/>
      <c r="I71" s="313" t="s">
        <v>4</v>
      </c>
      <c r="J71" s="325">
        <f t="shared" si="14"/>
        <v>234</v>
      </c>
      <c r="K71" s="325">
        <f t="shared" si="14"/>
        <v>234</v>
      </c>
      <c r="L71" s="325">
        <f t="shared" si="14"/>
        <v>168</v>
      </c>
      <c r="M71" s="325">
        <f t="shared" si="14"/>
        <v>299</v>
      </c>
      <c r="N71" s="383"/>
    </row>
    <row r="72" spans="1:15" x14ac:dyDescent="0.3">
      <c r="A72" s="315"/>
      <c r="B72" s="313" t="s">
        <v>5</v>
      </c>
      <c r="C72" s="325">
        <f t="shared" si="12"/>
        <v>296</v>
      </c>
      <c r="D72" s="325">
        <f>'Input summary'!D72</f>
        <v>296</v>
      </c>
      <c r="E72" s="325">
        <f>'Input summary'!E72</f>
        <v>222</v>
      </c>
      <c r="F72" s="325">
        <f>'Input summary'!F72</f>
        <v>370</v>
      </c>
      <c r="G72" s="406"/>
      <c r="H72" s="434"/>
      <c r="I72" s="313" t="s">
        <v>5</v>
      </c>
      <c r="J72" s="325">
        <f t="shared" si="14"/>
        <v>296</v>
      </c>
      <c r="K72" s="325">
        <f t="shared" si="14"/>
        <v>296</v>
      </c>
      <c r="L72" s="325">
        <f t="shared" si="14"/>
        <v>222</v>
      </c>
      <c r="M72" s="325">
        <f t="shared" si="14"/>
        <v>370</v>
      </c>
      <c r="N72" s="383"/>
    </row>
    <row r="73" spans="1:15" x14ac:dyDescent="0.3">
      <c r="A73" s="297"/>
      <c r="B73" s="313" t="s">
        <v>6</v>
      </c>
      <c r="C73" s="325">
        <f t="shared" si="12"/>
        <v>296</v>
      </c>
      <c r="D73" s="325">
        <f>'Input summary'!D73</f>
        <v>296</v>
      </c>
      <c r="E73" s="325">
        <f>'Input summary'!E73</f>
        <v>222</v>
      </c>
      <c r="F73" s="325">
        <f>'Input summary'!F73</f>
        <v>370</v>
      </c>
      <c r="G73" s="406"/>
      <c r="H73" s="434"/>
      <c r="I73" s="313" t="s">
        <v>6</v>
      </c>
      <c r="J73" s="325">
        <f t="shared" si="14"/>
        <v>296</v>
      </c>
      <c r="K73" s="325">
        <f t="shared" si="14"/>
        <v>296</v>
      </c>
      <c r="L73" s="325">
        <f t="shared" si="14"/>
        <v>222</v>
      </c>
      <c r="M73" s="325">
        <f t="shared" si="14"/>
        <v>370</v>
      </c>
      <c r="N73" s="383"/>
    </row>
    <row r="74" spans="1:15" x14ac:dyDescent="0.3">
      <c r="A74" s="297"/>
      <c r="B74" s="313" t="s">
        <v>7</v>
      </c>
      <c r="C74" s="325">
        <f t="shared" si="12"/>
        <v>296</v>
      </c>
      <c r="D74" s="325">
        <f>'Input summary'!D74</f>
        <v>296</v>
      </c>
      <c r="E74" s="325">
        <f>'Input summary'!E74</f>
        <v>222</v>
      </c>
      <c r="F74" s="325">
        <f>'Input summary'!F74</f>
        <v>370</v>
      </c>
      <c r="G74" s="406"/>
      <c r="H74" s="434"/>
      <c r="I74" s="313" t="s">
        <v>7</v>
      </c>
      <c r="J74" s="325">
        <f t="shared" si="14"/>
        <v>296</v>
      </c>
      <c r="K74" s="325">
        <f t="shared" si="14"/>
        <v>296</v>
      </c>
      <c r="L74" s="325">
        <f t="shared" si="14"/>
        <v>222</v>
      </c>
      <c r="M74" s="325">
        <f t="shared" si="14"/>
        <v>370</v>
      </c>
      <c r="N74" s="383"/>
    </row>
    <row r="75" spans="1:15" x14ac:dyDescent="0.3">
      <c r="A75" s="297"/>
      <c r="B75" s="313" t="s">
        <v>11</v>
      </c>
      <c r="C75" s="325">
        <f t="shared" si="12"/>
        <v>329</v>
      </c>
      <c r="D75" s="325">
        <f>'Input summary'!D75</f>
        <v>329</v>
      </c>
      <c r="E75" s="325">
        <f>'Input summary'!E75</f>
        <v>144</v>
      </c>
      <c r="F75" s="325">
        <f>'Input summary'!F75</f>
        <v>570</v>
      </c>
      <c r="G75" s="406"/>
      <c r="H75" s="434"/>
      <c r="I75" s="313" t="s">
        <v>11</v>
      </c>
      <c r="J75" s="325">
        <f t="shared" si="14"/>
        <v>329</v>
      </c>
      <c r="K75" s="325">
        <f t="shared" si="14"/>
        <v>329</v>
      </c>
      <c r="L75" s="325">
        <f t="shared" si="14"/>
        <v>144</v>
      </c>
      <c r="M75" s="325">
        <f t="shared" si="14"/>
        <v>570</v>
      </c>
      <c r="N75" s="383"/>
    </row>
    <row r="76" spans="1:15" x14ac:dyDescent="0.3">
      <c r="A76" s="297"/>
      <c r="B76" s="207" t="s">
        <v>227</v>
      </c>
      <c r="C76" s="346">
        <f t="shared" si="12"/>
        <v>0</v>
      </c>
      <c r="D76" s="346"/>
      <c r="E76" s="346"/>
      <c r="F76" s="346"/>
      <c r="G76" s="346"/>
      <c r="H76" s="434"/>
      <c r="I76" s="207" t="s">
        <v>227</v>
      </c>
      <c r="J76" s="346"/>
      <c r="K76" s="346"/>
      <c r="L76" s="346"/>
      <c r="M76" s="346"/>
      <c r="N76" s="386"/>
    </row>
    <row r="77" spans="1:15" x14ac:dyDescent="0.3">
      <c r="A77" s="297"/>
      <c r="B77" s="206" t="s">
        <v>1437</v>
      </c>
      <c r="C77" s="325">
        <f t="shared" si="12"/>
        <v>425</v>
      </c>
      <c r="D77" s="325">
        <f>'Input summary'!D77</f>
        <v>425</v>
      </c>
      <c r="E77" s="325">
        <f>'Input summary'!E77</f>
        <v>310</v>
      </c>
      <c r="F77" s="325">
        <f>'Input summary'!F77</f>
        <v>540</v>
      </c>
      <c r="G77" s="406"/>
      <c r="H77" s="434"/>
      <c r="I77" s="206" t="s">
        <v>1437</v>
      </c>
      <c r="J77" s="325">
        <f t="shared" ref="J77:M80" si="15">C77</f>
        <v>425</v>
      </c>
      <c r="K77" s="325">
        <f t="shared" si="15"/>
        <v>425</v>
      </c>
      <c r="L77" s="325">
        <f t="shared" si="15"/>
        <v>310</v>
      </c>
      <c r="M77" s="325">
        <f t="shared" si="15"/>
        <v>540</v>
      </c>
    </row>
    <row r="78" spans="1:15" x14ac:dyDescent="0.3">
      <c r="A78" s="297"/>
      <c r="B78" s="206" t="s">
        <v>1438</v>
      </c>
      <c r="C78" s="325">
        <f t="shared" si="12"/>
        <v>425</v>
      </c>
      <c r="D78" s="325">
        <f>'Input summary'!D78</f>
        <v>425</v>
      </c>
      <c r="E78" s="325">
        <f>'Input summary'!E78</f>
        <v>310</v>
      </c>
      <c r="F78" s="325">
        <f>'Input summary'!F78</f>
        <v>540</v>
      </c>
      <c r="G78" s="406"/>
      <c r="H78" s="434"/>
      <c r="I78" s="206" t="s">
        <v>1438</v>
      </c>
      <c r="J78" s="325">
        <f t="shared" si="15"/>
        <v>425</v>
      </c>
      <c r="K78" s="325">
        <f t="shared" si="15"/>
        <v>425</v>
      </c>
      <c r="L78" s="325">
        <f t="shared" si="15"/>
        <v>310</v>
      </c>
      <c r="M78" s="325">
        <f t="shared" si="15"/>
        <v>540</v>
      </c>
    </row>
    <row r="79" spans="1:15" x14ac:dyDescent="0.3">
      <c r="A79" s="297"/>
      <c r="B79" s="206" t="s">
        <v>1441</v>
      </c>
      <c r="C79" s="325">
        <f t="shared" si="12"/>
        <v>539</v>
      </c>
      <c r="D79" s="325">
        <f>'Input summary'!D79</f>
        <v>539</v>
      </c>
      <c r="E79" s="325">
        <f>'Input summary'!E79</f>
        <v>366</v>
      </c>
      <c r="F79" s="325">
        <f>'Input summary'!F79</f>
        <v>711</v>
      </c>
      <c r="G79" s="406"/>
      <c r="H79" s="434"/>
      <c r="I79" s="206" t="s">
        <v>1441</v>
      </c>
      <c r="J79" s="325">
        <f t="shared" si="15"/>
        <v>539</v>
      </c>
      <c r="K79" s="325">
        <f t="shared" si="15"/>
        <v>539</v>
      </c>
      <c r="L79" s="325">
        <f t="shared" si="15"/>
        <v>366</v>
      </c>
      <c r="M79" s="325">
        <f t="shared" si="15"/>
        <v>711</v>
      </c>
      <c r="N79" s="383"/>
    </row>
    <row r="80" spans="1:15" x14ac:dyDescent="0.3">
      <c r="A80" s="297"/>
      <c r="B80" s="206" t="s">
        <v>1442</v>
      </c>
      <c r="C80" s="325">
        <f t="shared" si="12"/>
        <v>539</v>
      </c>
      <c r="D80" s="325">
        <f>'Input summary'!D80</f>
        <v>539</v>
      </c>
      <c r="E80" s="325">
        <f>'Input summary'!E80</f>
        <v>366</v>
      </c>
      <c r="F80" s="325">
        <f>'Input summary'!F80</f>
        <v>711</v>
      </c>
      <c r="G80" s="406"/>
      <c r="H80" s="434"/>
      <c r="I80" s="206" t="s">
        <v>1442</v>
      </c>
      <c r="J80" s="325">
        <f t="shared" si="15"/>
        <v>539</v>
      </c>
      <c r="K80" s="325">
        <f t="shared" si="15"/>
        <v>539</v>
      </c>
      <c r="L80" s="325">
        <f t="shared" si="15"/>
        <v>366</v>
      </c>
      <c r="M80" s="325">
        <f t="shared" si="15"/>
        <v>711</v>
      </c>
      <c r="N80" s="383"/>
    </row>
    <row r="81" spans="1:15" x14ac:dyDescent="0.3">
      <c r="A81" s="297"/>
      <c r="B81" s="207" t="s">
        <v>920</v>
      </c>
      <c r="C81" s="346">
        <f t="shared" si="12"/>
        <v>0</v>
      </c>
      <c r="D81" s="346"/>
      <c r="E81" s="346"/>
      <c r="F81" s="346"/>
      <c r="G81" s="346"/>
      <c r="H81" s="434"/>
      <c r="I81" s="207" t="s">
        <v>920</v>
      </c>
      <c r="J81" s="346"/>
      <c r="K81" s="346"/>
      <c r="L81" s="346"/>
      <c r="M81" s="346"/>
      <c r="N81" s="386"/>
    </row>
    <row r="82" spans="1:15" x14ac:dyDescent="0.3">
      <c r="A82" s="405"/>
      <c r="B82" s="206" t="s">
        <v>920</v>
      </c>
      <c r="C82" s="325">
        <f t="shared" si="12"/>
        <v>112</v>
      </c>
      <c r="D82" s="325">
        <f>'Input summary'!D82</f>
        <v>112</v>
      </c>
      <c r="E82" s="325">
        <f>'Input summary'!E82</f>
        <v>83</v>
      </c>
      <c r="F82" s="325">
        <f>'Input summary'!F82</f>
        <v>142</v>
      </c>
      <c r="G82" s="406"/>
      <c r="H82" s="434"/>
      <c r="I82" s="206" t="s">
        <v>920</v>
      </c>
      <c r="J82" s="325">
        <f t="shared" ref="J82:M83" si="16">C82</f>
        <v>112</v>
      </c>
      <c r="K82" s="325">
        <f t="shared" si="16"/>
        <v>112</v>
      </c>
      <c r="L82" s="325">
        <f t="shared" si="16"/>
        <v>83</v>
      </c>
      <c r="M82" s="325">
        <f t="shared" si="16"/>
        <v>142</v>
      </c>
      <c r="N82" s="383"/>
    </row>
    <row r="83" spans="1:15" x14ac:dyDescent="0.3">
      <c r="A83" s="297"/>
      <c r="B83" s="206" t="s">
        <v>980</v>
      </c>
      <c r="C83" s="325">
        <f t="shared" si="12"/>
        <v>112</v>
      </c>
      <c r="D83" s="325">
        <f>'Input summary'!D83</f>
        <v>112</v>
      </c>
      <c r="E83" s="325">
        <f>'Input summary'!E83</f>
        <v>83</v>
      </c>
      <c r="F83" s="325">
        <f>'Input summary'!F83</f>
        <v>142</v>
      </c>
      <c r="G83" s="406"/>
      <c r="H83" s="434"/>
      <c r="I83" s="206" t="s">
        <v>980</v>
      </c>
      <c r="J83" s="325">
        <f t="shared" si="16"/>
        <v>112</v>
      </c>
      <c r="K83" s="325">
        <f t="shared" si="16"/>
        <v>112</v>
      </c>
      <c r="L83" s="325">
        <f t="shared" si="16"/>
        <v>83</v>
      </c>
      <c r="M83" s="325">
        <f t="shared" si="16"/>
        <v>142</v>
      </c>
      <c r="N83" s="383"/>
    </row>
    <row r="84" spans="1:15" x14ac:dyDescent="0.3">
      <c r="A84" s="297"/>
      <c r="B84" s="312"/>
      <c r="C84" s="312"/>
      <c r="D84" s="312"/>
      <c r="E84" s="312"/>
      <c r="F84" s="312"/>
      <c r="G84" s="312"/>
      <c r="H84" s="434"/>
      <c r="I84" s="312"/>
      <c r="J84" s="312"/>
      <c r="K84" s="312"/>
      <c r="L84" s="312"/>
      <c r="M84" s="312"/>
    </row>
    <row r="85" spans="1:15" x14ac:dyDescent="0.3">
      <c r="A85" s="405"/>
      <c r="B85" s="153" t="s">
        <v>989</v>
      </c>
      <c r="C85" s="295"/>
      <c r="D85" s="295"/>
      <c r="E85" s="295"/>
      <c r="F85" s="295"/>
      <c r="G85" s="295"/>
      <c r="H85" s="434" t="s">
        <v>1468</v>
      </c>
      <c r="I85" s="153" t="s">
        <v>989</v>
      </c>
      <c r="J85" s="295"/>
      <c r="K85" s="295"/>
      <c r="L85" s="295"/>
      <c r="M85" s="295"/>
      <c r="O85" s="334" t="s">
        <v>682</v>
      </c>
    </row>
    <row r="86" spans="1:15" x14ac:dyDescent="0.3">
      <c r="A86" s="297"/>
      <c r="B86" s="17" t="s">
        <v>950</v>
      </c>
      <c r="C86" s="152" t="s">
        <v>724</v>
      </c>
      <c r="D86" s="152" t="s">
        <v>995</v>
      </c>
      <c r="E86" s="152" t="s">
        <v>985</v>
      </c>
      <c r="F86" s="152" t="s">
        <v>986</v>
      </c>
      <c r="G86" s="152"/>
      <c r="H86" s="434">
        <f>'SA Results'!$M$2</f>
        <v>1</v>
      </c>
      <c r="I86" s="17" t="s">
        <v>950</v>
      </c>
      <c r="J86" s="152" t="s">
        <v>724</v>
      </c>
      <c r="K86" s="152" t="s">
        <v>724</v>
      </c>
      <c r="L86" s="152" t="s">
        <v>985</v>
      </c>
      <c r="M86" s="152" t="s">
        <v>986</v>
      </c>
      <c r="N86" s="155"/>
      <c r="O86" s="335" t="s">
        <v>679</v>
      </c>
    </row>
    <row r="87" spans="1:15" x14ac:dyDescent="0.3">
      <c r="A87" s="297"/>
      <c r="B87" s="315" t="s">
        <v>1445</v>
      </c>
      <c r="C87" s="312"/>
      <c r="D87" s="312"/>
      <c r="E87" s="312"/>
      <c r="F87" s="312"/>
      <c r="G87" s="312"/>
      <c r="H87" s="434"/>
      <c r="I87" s="315" t="s">
        <v>988</v>
      </c>
      <c r="J87" s="312"/>
      <c r="K87" s="312"/>
      <c r="L87" s="312"/>
      <c r="M87" s="312"/>
    </row>
    <row r="88" spans="1:15" x14ac:dyDescent="0.3">
      <c r="B88" s="313" t="s">
        <v>2</v>
      </c>
      <c r="C88" s="325">
        <f t="shared" ref="C88:C94" si="17">IF($H$86=3,F88,IF($H$86=2,E88,D88))</f>
        <v>17</v>
      </c>
      <c r="D88" s="325">
        <f>'Input summary'!D88</f>
        <v>17</v>
      </c>
      <c r="E88" s="325">
        <f>'Input summary'!E88</f>
        <v>12</v>
      </c>
      <c r="F88" s="325">
        <f>'Input summary'!F88</f>
        <v>21</v>
      </c>
      <c r="G88" s="406"/>
      <c r="H88" s="434"/>
      <c r="I88" s="313" t="s">
        <v>2</v>
      </c>
      <c r="J88" s="325">
        <f t="shared" ref="J88:M94" si="18">C88</f>
        <v>17</v>
      </c>
      <c r="K88" s="325">
        <f t="shared" si="18"/>
        <v>17</v>
      </c>
      <c r="L88" s="325">
        <f t="shared" si="18"/>
        <v>12</v>
      </c>
      <c r="M88" s="325">
        <f t="shared" si="18"/>
        <v>21</v>
      </c>
      <c r="N88" s="383"/>
    </row>
    <row r="89" spans="1:15" x14ac:dyDescent="0.3">
      <c r="B89" s="313" t="s">
        <v>3</v>
      </c>
      <c r="C89" s="325">
        <f t="shared" si="17"/>
        <v>17</v>
      </c>
      <c r="D89" s="325">
        <f>'Input summary'!D89</f>
        <v>17</v>
      </c>
      <c r="E89" s="325">
        <f>'Input summary'!E89</f>
        <v>12</v>
      </c>
      <c r="F89" s="325">
        <f>'Input summary'!F89</f>
        <v>21</v>
      </c>
      <c r="G89" s="406"/>
      <c r="H89" s="434"/>
      <c r="I89" s="313" t="s">
        <v>3</v>
      </c>
      <c r="J89" s="325">
        <f t="shared" si="18"/>
        <v>17</v>
      </c>
      <c r="K89" s="325">
        <f t="shared" si="18"/>
        <v>17</v>
      </c>
      <c r="L89" s="325">
        <f t="shared" si="18"/>
        <v>12</v>
      </c>
      <c r="M89" s="325">
        <f t="shared" si="18"/>
        <v>21</v>
      </c>
      <c r="N89" s="383"/>
    </row>
    <row r="90" spans="1:15" x14ac:dyDescent="0.3">
      <c r="B90" s="313" t="s">
        <v>4</v>
      </c>
      <c r="C90" s="325">
        <f t="shared" si="17"/>
        <v>17</v>
      </c>
      <c r="D90" s="325">
        <f>'Input summary'!D90</f>
        <v>17</v>
      </c>
      <c r="E90" s="325">
        <f>'Input summary'!E90</f>
        <v>12</v>
      </c>
      <c r="F90" s="325">
        <f>'Input summary'!F90</f>
        <v>21</v>
      </c>
      <c r="G90" s="406"/>
      <c r="H90" s="434"/>
      <c r="I90" s="313" t="s">
        <v>4</v>
      </c>
      <c r="J90" s="325">
        <f t="shared" si="18"/>
        <v>17</v>
      </c>
      <c r="K90" s="325">
        <f t="shared" si="18"/>
        <v>17</v>
      </c>
      <c r="L90" s="325">
        <f t="shared" si="18"/>
        <v>12</v>
      </c>
      <c r="M90" s="325">
        <f t="shared" si="18"/>
        <v>21</v>
      </c>
      <c r="N90" s="383"/>
    </row>
    <row r="91" spans="1:15" x14ac:dyDescent="0.3">
      <c r="B91" s="313" t="s">
        <v>5</v>
      </c>
      <c r="C91" s="325">
        <f t="shared" si="17"/>
        <v>28</v>
      </c>
      <c r="D91" s="325">
        <f>'Input summary'!D91</f>
        <v>28</v>
      </c>
      <c r="E91" s="325">
        <f>'Input summary'!E91</f>
        <v>21</v>
      </c>
      <c r="F91" s="325">
        <f>'Input summary'!F91</f>
        <v>36</v>
      </c>
      <c r="G91" s="406"/>
      <c r="H91" s="434"/>
      <c r="I91" s="313" t="s">
        <v>5</v>
      </c>
      <c r="J91" s="325">
        <f t="shared" si="18"/>
        <v>28</v>
      </c>
      <c r="K91" s="325">
        <f t="shared" si="18"/>
        <v>28</v>
      </c>
      <c r="L91" s="325">
        <f t="shared" si="18"/>
        <v>21</v>
      </c>
      <c r="M91" s="325">
        <f t="shared" si="18"/>
        <v>36</v>
      </c>
      <c r="N91" s="383"/>
    </row>
    <row r="92" spans="1:15" x14ac:dyDescent="0.3">
      <c r="B92" s="313" t="s">
        <v>6</v>
      </c>
      <c r="C92" s="325">
        <f t="shared" si="17"/>
        <v>28</v>
      </c>
      <c r="D92" s="325">
        <f>'Input summary'!D92</f>
        <v>28</v>
      </c>
      <c r="E92" s="325">
        <f>'Input summary'!E92</f>
        <v>21</v>
      </c>
      <c r="F92" s="325">
        <f>'Input summary'!F92</f>
        <v>36</v>
      </c>
      <c r="G92" s="406"/>
      <c r="H92" s="434"/>
      <c r="I92" s="313" t="s">
        <v>6</v>
      </c>
      <c r="J92" s="325">
        <f t="shared" si="18"/>
        <v>28</v>
      </c>
      <c r="K92" s="325">
        <f t="shared" si="18"/>
        <v>28</v>
      </c>
      <c r="L92" s="325">
        <f t="shared" si="18"/>
        <v>21</v>
      </c>
      <c r="M92" s="325">
        <f t="shared" si="18"/>
        <v>36</v>
      </c>
      <c r="N92" s="383"/>
    </row>
    <row r="93" spans="1:15" x14ac:dyDescent="0.3">
      <c r="B93" s="313" t="s">
        <v>7</v>
      </c>
      <c r="C93" s="325">
        <f t="shared" si="17"/>
        <v>28</v>
      </c>
      <c r="D93" s="325">
        <f>'Input summary'!D93</f>
        <v>28</v>
      </c>
      <c r="E93" s="325">
        <f>'Input summary'!E93</f>
        <v>21</v>
      </c>
      <c r="F93" s="325">
        <f>'Input summary'!F93</f>
        <v>36</v>
      </c>
      <c r="G93" s="406"/>
      <c r="H93" s="434"/>
      <c r="I93" s="313" t="s">
        <v>7</v>
      </c>
      <c r="J93" s="325">
        <f t="shared" si="18"/>
        <v>28</v>
      </c>
      <c r="K93" s="325">
        <f t="shared" si="18"/>
        <v>28</v>
      </c>
      <c r="L93" s="325">
        <f t="shared" si="18"/>
        <v>21</v>
      </c>
      <c r="M93" s="325">
        <f t="shared" si="18"/>
        <v>36</v>
      </c>
      <c r="N93" s="383"/>
    </row>
    <row r="94" spans="1:15" x14ac:dyDescent="0.3">
      <c r="B94" s="313" t="s">
        <v>11</v>
      </c>
      <c r="C94" s="325">
        <f t="shared" si="17"/>
        <v>138</v>
      </c>
      <c r="D94" s="325">
        <f>'Input summary'!D94</f>
        <v>138</v>
      </c>
      <c r="E94" s="325">
        <f>'Input summary'!E94</f>
        <v>57</v>
      </c>
      <c r="F94" s="325">
        <f>'Input summary'!F94</f>
        <v>248</v>
      </c>
      <c r="G94" s="406"/>
      <c r="H94" s="434"/>
      <c r="I94" s="313" t="s">
        <v>11</v>
      </c>
      <c r="J94" s="325">
        <f t="shared" si="18"/>
        <v>138</v>
      </c>
      <c r="K94" s="325">
        <f t="shared" si="18"/>
        <v>138</v>
      </c>
      <c r="L94" s="325">
        <f t="shared" si="18"/>
        <v>57</v>
      </c>
      <c r="M94" s="325">
        <f t="shared" si="18"/>
        <v>248</v>
      </c>
      <c r="N94" s="383"/>
    </row>
    <row r="95" spans="1:15" x14ac:dyDescent="0.3">
      <c r="A95" s="297"/>
      <c r="B95" s="315" t="s">
        <v>1444</v>
      </c>
      <c r="C95" s="346"/>
      <c r="D95" s="346"/>
      <c r="E95" s="346"/>
      <c r="F95" s="346"/>
      <c r="G95" s="346"/>
      <c r="H95" s="434"/>
      <c r="I95" s="315" t="s">
        <v>988</v>
      </c>
      <c r="J95" s="346"/>
      <c r="K95" s="346"/>
      <c r="L95" s="346"/>
      <c r="M95" s="346"/>
    </row>
    <row r="96" spans="1:15" x14ac:dyDescent="0.3">
      <c r="B96" s="313" t="s">
        <v>2</v>
      </c>
      <c r="C96" s="325">
        <f t="shared" ref="C96:C102" si="19">IF($H$86=3,F96,IF($H$86=2,E96,D96))</f>
        <v>17</v>
      </c>
      <c r="D96" s="325">
        <f>'Input summary'!D96</f>
        <v>17</v>
      </c>
      <c r="E96" s="325">
        <f>'Input summary'!E96</f>
        <v>12</v>
      </c>
      <c r="F96" s="325">
        <f>'Input summary'!F96</f>
        <v>21</v>
      </c>
      <c r="G96" s="406"/>
      <c r="H96" s="434"/>
      <c r="I96" s="313" t="s">
        <v>2</v>
      </c>
      <c r="J96" s="325">
        <f t="shared" ref="J96:M102" si="20">C96</f>
        <v>17</v>
      </c>
      <c r="K96" s="325">
        <f t="shared" si="20"/>
        <v>17</v>
      </c>
      <c r="L96" s="325">
        <f t="shared" si="20"/>
        <v>12</v>
      </c>
      <c r="M96" s="325">
        <f t="shared" si="20"/>
        <v>21</v>
      </c>
      <c r="N96" s="383"/>
    </row>
    <row r="97" spans="1:15" x14ac:dyDescent="0.3">
      <c r="B97" s="313" t="s">
        <v>3</v>
      </c>
      <c r="C97" s="325">
        <f t="shared" si="19"/>
        <v>17</v>
      </c>
      <c r="D97" s="325">
        <f>'Input summary'!D97</f>
        <v>17</v>
      </c>
      <c r="E97" s="325">
        <f>'Input summary'!E97</f>
        <v>12</v>
      </c>
      <c r="F97" s="325">
        <f>'Input summary'!F97</f>
        <v>21</v>
      </c>
      <c r="G97" s="406"/>
      <c r="H97" s="434"/>
      <c r="I97" s="313" t="s">
        <v>3</v>
      </c>
      <c r="J97" s="325">
        <f t="shared" si="20"/>
        <v>17</v>
      </c>
      <c r="K97" s="325">
        <f t="shared" si="20"/>
        <v>17</v>
      </c>
      <c r="L97" s="325">
        <f t="shared" si="20"/>
        <v>12</v>
      </c>
      <c r="M97" s="325">
        <f t="shared" si="20"/>
        <v>21</v>
      </c>
      <c r="N97" s="383"/>
    </row>
    <row r="98" spans="1:15" x14ac:dyDescent="0.3">
      <c r="B98" s="313" t="s">
        <v>4</v>
      </c>
      <c r="C98" s="325">
        <f t="shared" si="19"/>
        <v>17</v>
      </c>
      <c r="D98" s="325">
        <f>'Input summary'!D98</f>
        <v>17</v>
      </c>
      <c r="E98" s="325">
        <f>'Input summary'!E98</f>
        <v>12</v>
      </c>
      <c r="F98" s="325">
        <f>'Input summary'!F98</f>
        <v>21</v>
      </c>
      <c r="G98" s="406"/>
      <c r="H98" s="434"/>
      <c r="I98" s="313" t="s">
        <v>4</v>
      </c>
      <c r="J98" s="325">
        <f t="shared" si="20"/>
        <v>17</v>
      </c>
      <c r="K98" s="325">
        <f t="shared" si="20"/>
        <v>17</v>
      </c>
      <c r="L98" s="325">
        <f t="shared" si="20"/>
        <v>12</v>
      </c>
      <c r="M98" s="325">
        <f t="shared" si="20"/>
        <v>21</v>
      </c>
      <c r="N98" s="383"/>
    </row>
    <row r="99" spans="1:15" x14ac:dyDescent="0.3">
      <c r="B99" s="313" t="s">
        <v>5</v>
      </c>
      <c r="C99" s="325">
        <f t="shared" si="19"/>
        <v>81</v>
      </c>
      <c r="D99" s="325">
        <f>'Input summary'!D99</f>
        <v>81</v>
      </c>
      <c r="E99" s="325">
        <f>'Input summary'!E99</f>
        <v>60</v>
      </c>
      <c r="F99" s="325">
        <f>'Input summary'!F99</f>
        <v>101</v>
      </c>
      <c r="G99" s="406"/>
      <c r="H99" s="434"/>
      <c r="I99" s="313" t="s">
        <v>5</v>
      </c>
      <c r="J99" s="325">
        <f t="shared" si="20"/>
        <v>81</v>
      </c>
      <c r="K99" s="325">
        <f t="shared" si="20"/>
        <v>81</v>
      </c>
      <c r="L99" s="325">
        <f t="shared" si="20"/>
        <v>60</v>
      </c>
      <c r="M99" s="325">
        <f t="shared" si="20"/>
        <v>101</v>
      </c>
      <c r="N99" s="383"/>
    </row>
    <row r="100" spans="1:15" x14ac:dyDescent="0.3">
      <c r="B100" s="313" t="s">
        <v>6</v>
      </c>
      <c r="C100" s="325">
        <f t="shared" si="19"/>
        <v>81</v>
      </c>
      <c r="D100" s="325">
        <f>'Input summary'!D100</f>
        <v>81</v>
      </c>
      <c r="E100" s="325">
        <f>'Input summary'!E100</f>
        <v>60</v>
      </c>
      <c r="F100" s="325">
        <f>'Input summary'!F100</f>
        <v>101</v>
      </c>
      <c r="G100" s="406"/>
      <c r="H100" s="434"/>
      <c r="I100" s="313" t="s">
        <v>6</v>
      </c>
      <c r="J100" s="325">
        <f t="shared" si="20"/>
        <v>81</v>
      </c>
      <c r="K100" s="325">
        <f t="shared" si="20"/>
        <v>81</v>
      </c>
      <c r="L100" s="325">
        <f t="shared" si="20"/>
        <v>60</v>
      </c>
      <c r="M100" s="325">
        <f t="shared" si="20"/>
        <v>101</v>
      </c>
      <c r="N100" s="383"/>
    </row>
    <row r="101" spans="1:15" x14ac:dyDescent="0.3">
      <c r="B101" s="313" t="s">
        <v>7</v>
      </c>
      <c r="C101" s="325">
        <f t="shared" si="19"/>
        <v>81</v>
      </c>
      <c r="D101" s="325">
        <f>'Input summary'!D101</f>
        <v>81</v>
      </c>
      <c r="E101" s="325">
        <f>'Input summary'!E101</f>
        <v>60</v>
      </c>
      <c r="F101" s="325">
        <f>'Input summary'!F101</f>
        <v>101</v>
      </c>
      <c r="G101" s="406"/>
      <c r="H101" s="434"/>
      <c r="I101" s="313" t="s">
        <v>7</v>
      </c>
      <c r="J101" s="325">
        <f t="shared" si="20"/>
        <v>81</v>
      </c>
      <c r="K101" s="325">
        <f t="shared" si="20"/>
        <v>81</v>
      </c>
      <c r="L101" s="325">
        <f t="shared" si="20"/>
        <v>60</v>
      </c>
      <c r="M101" s="325">
        <f t="shared" si="20"/>
        <v>101</v>
      </c>
      <c r="N101" s="383"/>
    </row>
    <row r="102" spans="1:15" x14ac:dyDescent="0.3">
      <c r="B102" s="313" t="s">
        <v>11</v>
      </c>
      <c r="C102" s="325">
        <f t="shared" si="19"/>
        <v>138</v>
      </c>
      <c r="D102" s="325">
        <f>'Input summary'!D102</f>
        <v>138</v>
      </c>
      <c r="E102" s="325">
        <f>'Input summary'!E102</f>
        <v>57</v>
      </c>
      <c r="F102" s="325">
        <f>'Input summary'!F102</f>
        <v>248</v>
      </c>
      <c r="G102" s="406"/>
      <c r="H102" s="434"/>
      <c r="I102" s="313" t="s">
        <v>11</v>
      </c>
      <c r="J102" s="325">
        <f t="shared" si="20"/>
        <v>138</v>
      </c>
      <c r="K102" s="325">
        <f t="shared" si="20"/>
        <v>138</v>
      </c>
      <c r="L102" s="325">
        <f t="shared" si="20"/>
        <v>57</v>
      </c>
      <c r="M102" s="325">
        <f t="shared" si="20"/>
        <v>248</v>
      </c>
      <c r="N102" s="383"/>
    </row>
    <row r="103" spans="1:15" x14ac:dyDescent="0.3">
      <c r="B103" s="207" t="s">
        <v>227</v>
      </c>
      <c r="C103" s="346"/>
      <c r="D103" s="346"/>
      <c r="E103" s="346"/>
      <c r="F103" s="346"/>
      <c r="G103" s="346"/>
      <c r="H103" s="434"/>
      <c r="I103" s="207" t="s">
        <v>227</v>
      </c>
      <c r="J103" s="346"/>
      <c r="K103" s="346"/>
      <c r="L103" s="346"/>
      <c r="M103" s="346"/>
      <c r="N103" s="308"/>
    </row>
    <row r="104" spans="1:15" x14ac:dyDescent="0.3">
      <c r="B104" s="206" t="s">
        <v>1437</v>
      </c>
      <c r="C104" s="325">
        <f>IF($H$86=3,F104,IF($H$86=2,E104,D104))</f>
        <v>16</v>
      </c>
      <c r="D104" s="325">
        <f>'Input summary'!D104</f>
        <v>16</v>
      </c>
      <c r="E104" s="325">
        <f>'Input summary'!E104</f>
        <v>12</v>
      </c>
      <c r="F104" s="325">
        <f>'Input summary'!F104</f>
        <v>21</v>
      </c>
      <c r="G104" s="406"/>
      <c r="H104" s="434"/>
      <c r="I104" s="206" t="s">
        <v>1437</v>
      </c>
      <c r="J104" s="325">
        <f t="shared" ref="J104:M107" si="21">C104</f>
        <v>16</v>
      </c>
      <c r="K104" s="325">
        <f t="shared" si="21"/>
        <v>16</v>
      </c>
      <c r="L104" s="325">
        <f t="shared" si="21"/>
        <v>12</v>
      </c>
      <c r="M104" s="325">
        <f t="shared" si="21"/>
        <v>21</v>
      </c>
    </row>
    <row r="105" spans="1:15" x14ac:dyDescent="0.3">
      <c r="B105" s="206" t="s">
        <v>1438</v>
      </c>
      <c r="C105" s="325">
        <f>IF($H$86=3,F105,IF($H$86=2,E105,D105))</f>
        <v>16</v>
      </c>
      <c r="D105" s="325">
        <f>'Input summary'!D105</f>
        <v>16</v>
      </c>
      <c r="E105" s="325">
        <f>'Input summary'!E105</f>
        <v>12</v>
      </c>
      <c r="F105" s="325">
        <f>'Input summary'!F105</f>
        <v>21</v>
      </c>
      <c r="G105" s="406"/>
      <c r="H105" s="434"/>
      <c r="I105" s="206" t="s">
        <v>1438</v>
      </c>
      <c r="J105" s="325">
        <f t="shared" si="21"/>
        <v>16</v>
      </c>
      <c r="K105" s="325">
        <f t="shared" si="21"/>
        <v>16</v>
      </c>
      <c r="L105" s="325">
        <f t="shared" si="21"/>
        <v>12</v>
      </c>
      <c r="M105" s="325">
        <f t="shared" si="21"/>
        <v>21</v>
      </c>
    </row>
    <row r="106" spans="1:15" x14ac:dyDescent="0.3">
      <c r="B106" s="206" t="s">
        <v>1441</v>
      </c>
      <c r="C106" s="325">
        <f>IF($H$86=3,F106,IF($H$86=2,E106,D106))</f>
        <v>61</v>
      </c>
      <c r="D106" s="325">
        <f>'Input summary'!D106</f>
        <v>61</v>
      </c>
      <c r="E106" s="325">
        <f>'Input summary'!E106</f>
        <v>41</v>
      </c>
      <c r="F106" s="325">
        <f>'Input summary'!F106</f>
        <v>80</v>
      </c>
      <c r="G106" s="406"/>
      <c r="H106" s="434"/>
      <c r="I106" s="206" t="s">
        <v>1441</v>
      </c>
      <c r="J106" s="325">
        <f t="shared" si="21"/>
        <v>61</v>
      </c>
      <c r="K106" s="325">
        <f t="shared" si="21"/>
        <v>61</v>
      </c>
      <c r="L106" s="325">
        <f t="shared" si="21"/>
        <v>41</v>
      </c>
      <c r="M106" s="325">
        <f t="shared" si="21"/>
        <v>80</v>
      </c>
      <c r="N106" s="383"/>
    </row>
    <row r="107" spans="1:15" x14ac:dyDescent="0.3">
      <c r="B107" s="206" t="s">
        <v>1442</v>
      </c>
      <c r="C107" s="325">
        <f>IF($H$86=3,F107,IF($H$86=2,E107,D107))</f>
        <v>61</v>
      </c>
      <c r="D107" s="325">
        <f>'Input summary'!D107</f>
        <v>61</v>
      </c>
      <c r="E107" s="325">
        <f>'Input summary'!E107</f>
        <v>41</v>
      </c>
      <c r="F107" s="325">
        <f>'Input summary'!F107</f>
        <v>80</v>
      </c>
      <c r="G107" s="406"/>
      <c r="H107" s="434"/>
      <c r="I107" s="206" t="s">
        <v>1442</v>
      </c>
      <c r="J107" s="325">
        <f t="shared" si="21"/>
        <v>61</v>
      </c>
      <c r="K107" s="325">
        <f t="shared" si="21"/>
        <v>61</v>
      </c>
      <c r="L107" s="325">
        <f t="shared" si="21"/>
        <v>41</v>
      </c>
      <c r="M107" s="325">
        <f t="shared" si="21"/>
        <v>80</v>
      </c>
      <c r="N107" s="383"/>
    </row>
    <row r="108" spans="1:15" x14ac:dyDescent="0.3">
      <c r="B108" s="207" t="s">
        <v>920</v>
      </c>
      <c r="C108" s="346"/>
      <c r="D108" s="346"/>
      <c r="E108" s="346"/>
      <c r="F108" s="346"/>
      <c r="G108" s="346"/>
      <c r="H108" s="434"/>
      <c r="I108" s="207" t="s">
        <v>920</v>
      </c>
      <c r="J108" s="346"/>
      <c r="K108" s="346"/>
      <c r="L108" s="346"/>
      <c r="M108" s="346"/>
      <c r="N108" s="308"/>
    </row>
    <row r="109" spans="1:15" x14ac:dyDescent="0.3">
      <c r="B109" s="206" t="s">
        <v>920</v>
      </c>
      <c r="C109" s="325">
        <f>IF($H$86=3,F109,IF($H$86=2,E109,D109))</f>
        <v>0</v>
      </c>
      <c r="D109" s="325">
        <f>'Input summary'!D109</f>
        <v>0</v>
      </c>
      <c r="E109" s="325">
        <f>'Input summary'!E109</f>
        <v>0</v>
      </c>
      <c r="F109" s="325">
        <f>'Input summary'!F109</f>
        <v>0</v>
      </c>
      <c r="G109" s="406"/>
      <c r="H109" s="434"/>
      <c r="I109" s="206" t="s">
        <v>920</v>
      </c>
      <c r="J109" s="325">
        <f t="shared" ref="J109:M110" si="22">C109</f>
        <v>0</v>
      </c>
      <c r="K109" s="325">
        <f t="shared" si="22"/>
        <v>0</v>
      </c>
      <c r="L109" s="325">
        <f t="shared" si="22"/>
        <v>0</v>
      </c>
      <c r="M109" s="325">
        <f t="shared" si="22"/>
        <v>0</v>
      </c>
      <c r="N109" s="383"/>
    </row>
    <row r="110" spans="1:15" x14ac:dyDescent="0.3">
      <c r="B110" s="206" t="s">
        <v>980</v>
      </c>
      <c r="C110" s="325">
        <f>IF($H$86=3,F110,IF($H$86=2,E110,D110))</f>
        <v>0</v>
      </c>
      <c r="D110" s="325">
        <f>'Input summary'!D110</f>
        <v>0</v>
      </c>
      <c r="E110" s="325">
        <f>'Input summary'!E110</f>
        <v>0</v>
      </c>
      <c r="F110" s="325">
        <f>'Input summary'!F110</f>
        <v>0</v>
      </c>
      <c r="G110" s="406"/>
      <c r="H110" s="434"/>
      <c r="I110" s="206" t="s">
        <v>980</v>
      </c>
      <c r="J110" s="325">
        <f t="shared" si="22"/>
        <v>0</v>
      </c>
      <c r="K110" s="325">
        <f t="shared" si="22"/>
        <v>0</v>
      </c>
      <c r="L110" s="325">
        <f t="shared" si="22"/>
        <v>0</v>
      </c>
      <c r="M110" s="325">
        <f t="shared" si="22"/>
        <v>0</v>
      </c>
      <c r="N110" s="383"/>
    </row>
    <row r="111" spans="1:15" x14ac:dyDescent="0.3">
      <c r="B111" s="297"/>
      <c r="G111" s="312"/>
      <c r="H111" s="436"/>
      <c r="I111" s="296"/>
    </row>
    <row r="112" spans="1:15" s="481" customFormat="1" x14ac:dyDescent="0.3">
      <c r="A112" s="503"/>
      <c r="B112" s="483" t="s">
        <v>1582</v>
      </c>
      <c r="C112" s="483"/>
      <c r="D112" s="483"/>
      <c r="E112" s="483"/>
      <c r="F112" s="483"/>
      <c r="G112" s="483"/>
      <c r="J112" s="483" t="s">
        <v>989</v>
      </c>
      <c r="K112" s="483"/>
      <c r="L112" s="483"/>
      <c r="M112" s="483"/>
      <c r="O112" s="489" t="s">
        <v>682</v>
      </c>
    </row>
    <row r="113" spans="1:15" s="481" customFormat="1" x14ac:dyDescent="0.3">
      <c r="A113" s="500"/>
      <c r="B113" s="484" t="s">
        <v>950</v>
      </c>
      <c r="C113" s="485" t="s">
        <v>724</v>
      </c>
      <c r="D113" s="485" t="s">
        <v>995</v>
      </c>
      <c r="E113" s="485" t="s">
        <v>985</v>
      </c>
      <c r="F113" s="485" t="s">
        <v>986</v>
      </c>
      <c r="G113" s="485" t="s">
        <v>996</v>
      </c>
      <c r="J113" s="484" t="s">
        <v>950</v>
      </c>
      <c r="K113" s="485" t="s">
        <v>724</v>
      </c>
      <c r="L113" s="485" t="s">
        <v>985</v>
      </c>
      <c r="M113" s="485" t="s">
        <v>986</v>
      </c>
      <c r="N113" s="486"/>
      <c r="O113" s="495" t="s">
        <v>679</v>
      </c>
    </row>
    <row r="114" spans="1:15" s="481" customFormat="1" x14ac:dyDescent="0.3">
      <c r="A114" s="500"/>
      <c r="B114" s="487" t="s">
        <v>1445</v>
      </c>
      <c r="C114" s="488"/>
      <c r="D114" s="488"/>
      <c r="E114" s="488"/>
      <c r="F114" s="488"/>
      <c r="G114" s="488"/>
      <c r="J114" s="487" t="s">
        <v>988</v>
      </c>
      <c r="K114" s="488"/>
      <c r="L114" s="488"/>
      <c r="M114" s="488"/>
    </row>
    <row r="115" spans="1:15" s="481" customFormat="1" x14ac:dyDescent="0.3">
      <c r="B115" s="493" t="s">
        <v>2</v>
      </c>
      <c r="C115" s="522">
        <f>D115</f>
        <v>0.98556222995046894</v>
      </c>
      <c r="D115" s="522">
        <f>'BoD input'!C131</f>
        <v>0.98556222995046894</v>
      </c>
      <c r="E115" s="522">
        <f>'BoD input'!D131</f>
        <v>0.98558255269320838</v>
      </c>
      <c r="F115" s="522">
        <f>'BoD input'!E131</f>
        <v>0.98555079861682859</v>
      </c>
      <c r="G115" s="492"/>
      <c r="J115" s="493" t="s">
        <v>2</v>
      </c>
      <c r="K115" s="522">
        <f t="shared" ref="K115:K121" si="23">C115</f>
        <v>0.98556222995046894</v>
      </c>
      <c r="L115" s="522">
        <f t="shared" ref="L115:M121" si="24">E115</f>
        <v>0.98558255269320838</v>
      </c>
      <c r="M115" s="522">
        <f t="shared" si="24"/>
        <v>0.98555079861682859</v>
      </c>
      <c r="N115" s="494"/>
    </row>
    <row r="116" spans="1:15" s="481" customFormat="1" x14ac:dyDescent="0.3">
      <c r="B116" s="493" t="s">
        <v>3</v>
      </c>
      <c r="C116" s="522">
        <f t="shared" ref="C116:C137" si="25">D116</f>
        <v>0.98556222995046894</v>
      </c>
      <c r="D116" s="522">
        <f>'BoD input'!C132</f>
        <v>0.98556222995046894</v>
      </c>
      <c r="E116" s="522">
        <f>'BoD input'!D132</f>
        <v>0.98558255269320838</v>
      </c>
      <c r="F116" s="522">
        <f>'BoD input'!E132</f>
        <v>0.98555079861682859</v>
      </c>
      <c r="G116" s="492"/>
      <c r="J116" s="493" t="s">
        <v>3</v>
      </c>
      <c r="K116" s="522">
        <f t="shared" si="23"/>
        <v>0.98556222995046894</v>
      </c>
      <c r="L116" s="522">
        <f t="shared" si="24"/>
        <v>0.98558255269320838</v>
      </c>
      <c r="M116" s="522">
        <f t="shared" si="24"/>
        <v>0.98555079861682859</v>
      </c>
      <c r="N116" s="494"/>
    </row>
    <row r="117" spans="1:15" s="481" customFormat="1" x14ac:dyDescent="0.3">
      <c r="B117" s="493" t="s">
        <v>4</v>
      </c>
      <c r="C117" s="522">
        <f t="shared" si="25"/>
        <v>0.98556222995046894</v>
      </c>
      <c r="D117" s="522">
        <f>'BoD input'!C133</f>
        <v>0.98556222995046894</v>
      </c>
      <c r="E117" s="522">
        <f>'BoD input'!D133</f>
        <v>0.98558255269320838</v>
      </c>
      <c r="F117" s="522">
        <f>'BoD input'!E133</f>
        <v>0.98555079861682859</v>
      </c>
      <c r="G117" s="492"/>
      <c r="J117" s="493" t="s">
        <v>4</v>
      </c>
      <c r="K117" s="522">
        <f t="shared" si="23"/>
        <v>0.98556222995046894</v>
      </c>
      <c r="L117" s="522">
        <f t="shared" si="24"/>
        <v>0.98558255269320838</v>
      </c>
      <c r="M117" s="522">
        <f t="shared" si="24"/>
        <v>0.98555079861682859</v>
      </c>
      <c r="N117" s="494"/>
    </row>
    <row r="118" spans="1:15" s="481" customFormat="1" x14ac:dyDescent="0.3">
      <c r="B118" s="493" t="s">
        <v>5</v>
      </c>
      <c r="C118" s="522">
        <f t="shared" si="25"/>
        <v>0.99021410744778671</v>
      </c>
      <c r="D118" s="522">
        <f>'BoD input'!C134</f>
        <v>0.99021410744778671</v>
      </c>
      <c r="E118" s="522">
        <f>'BoD input'!D134</f>
        <v>0.99023697523741905</v>
      </c>
      <c r="F118" s="522">
        <f>'BoD input'!E134</f>
        <v>0.99020067761271824</v>
      </c>
      <c r="G118" s="492"/>
      <c r="J118" s="493" t="s">
        <v>5</v>
      </c>
      <c r="K118" s="522">
        <f t="shared" si="23"/>
        <v>0.99021410744778671</v>
      </c>
      <c r="L118" s="522">
        <f t="shared" si="24"/>
        <v>0.99023697523741905</v>
      </c>
      <c r="M118" s="522">
        <f t="shared" si="24"/>
        <v>0.99020067761271824</v>
      </c>
      <c r="N118" s="494"/>
    </row>
    <row r="119" spans="1:15" s="481" customFormat="1" x14ac:dyDescent="0.3">
      <c r="B119" s="493" t="s">
        <v>6</v>
      </c>
      <c r="C119" s="522">
        <f t="shared" si="25"/>
        <v>0.99021410744778671</v>
      </c>
      <c r="D119" s="522">
        <f>'BoD input'!C135</f>
        <v>0.99021410744778671</v>
      </c>
      <c r="E119" s="522">
        <f>'BoD input'!D135</f>
        <v>0.99023697523741905</v>
      </c>
      <c r="F119" s="522">
        <f>'BoD input'!E135</f>
        <v>0.99020067761271824</v>
      </c>
      <c r="G119" s="492"/>
      <c r="J119" s="493" t="s">
        <v>6</v>
      </c>
      <c r="K119" s="522">
        <f t="shared" si="23"/>
        <v>0.99021410744778671</v>
      </c>
      <c r="L119" s="522">
        <f t="shared" si="24"/>
        <v>0.99023697523741905</v>
      </c>
      <c r="M119" s="522">
        <f t="shared" si="24"/>
        <v>0.99020067761271824</v>
      </c>
      <c r="N119" s="494"/>
    </row>
    <row r="120" spans="1:15" s="481" customFormat="1" x14ac:dyDescent="0.3">
      <c r="B120" s="493" t="s">
        <v>7</v>
      </c>
      <c r="C120" s="522">
        <f t="shared" si="25"/>
        <v>0.99021410744778671</v>
      </c>
      <c r="D120" s="522">
        <f>'BoD input'!C136</f>
        <v>0.99021410744778671</v>
      </c>
      <c r="E120" s="522">
        <f>'BoD input'!D136</f>
        <v>0.99023697523741905</v>
      </c>
      <c r="F120" s="522">
        <f>'BoD input'!E136</f>
        <v>0.99020067761271824</v>
      </c>
      <c r="G120" s="492"/>
      <c r="J120" s="493" t="s">
        <v>7</v>
      </c>
      <c r="K120" s="522">
        <f t="shared" si="23"/>
        <v>0.99021410744778671</v>
      </c>
      <c r="L120" s="522">
        <f t="shared" si="24"/>
        <v>0.99023697523741905</v>
      </c>
      <c r="M120" s="522">
        <f t="shared" si="24"/>
        <v>0.99020067761271824</v>
      </c>
      <c r="N120" s="494"/>
    </row>
    <row r="121" spans="1:15" s="481" customFormat="1" x14ac:dyDescent="0.3">
      <c r="B121" s="493" t="s">
        <v>1469</v>
      </c>
      <c r="C121" s="522">
        <f t="shared" si="25"/>
        <v>0.82596463022508038</v>
      </c>
      <c r="D121" s="522">
        <f>'BoD input'!C137</f>
        <v>0.82596463022508038</v>
      </c>
      <c r="E121" s="522">
        <f>'BoD input'!D137</f>
        <v>0.82318271119842834</v>
      </c>
      <c r="F121" s="522">
        <f>'BoD input'!E137</f>
        <v>0.80529440870856017</v>
      </c>
      <c r="G121" s="492"/>
      <c r="J121" s="493" t="s">
        <v>1469</v>
      </c>
      <c r="K121" s="522">
        <f t="shared" si="23"/>
        <v>0.82596463022508038</v>
      </c>
      <c r="L121" s="522">
        <f t="shared" si="24"/>
        <v>0.82318271119842834</v>
      </c>
      <c r="M121" s="522">
        <f t="shared" si="24"/>
        <v>0.80529440870856017</v>
      </c>
      <c r="N121" s="494"/>
    </row>
    <row r="122" spans="1:15" s="481" customFormat="1" x14ac:dyDescent="0.3">
      <c r="A122" s="500"/>
      <c r="B122" s="487" t="s">
        <v>1444</v>
      </c>
      <c r="C122" s="598"/>
      <c r="D122" s="598"/>
      <c r="E122" s="598"/>
      <c r="F122" s="598"/>
      <c r="G122" s="496"/>
      <c r="J122" s="487" t="s">
        <v>988</v>
      </c>
      <c r="K122" s="598"/>
      <c r="L122" s="598"/>
      <c r="M122" s="598"/>
    </row>
    <row r="123" spans="1:15" s="481" customFormat="1" x14ac:dyDescent="0.3">
      <c r="B123" s="493" t="s">
        <v>2</v>
      </c>
      <c r="C123" s="522">
        <f t="shared" si="25"/>
        <v>0</v>
      </c>
      <c r="D123" s="522">
        <f>'BoD input'!C139</f>
        <v>0</v>
      </c>
      <c r="E123" s="522">
        <f>'BoD input'!D139</f>
        <v>0</v>
      </c>
      <c r="F123" s="522">
        <f>'BoD input'!E139</f>
        <v>0</v>
      </c>
      <c r="G123" s="492"/>
      <c r="J123" s="493" t="s">
        <v>2</v>
      </c>
      <c r="K123" s="522">
        <f t="shared" ref="K123:K129" si="26">C123</f>
        <v>0</v>
      </c>
      <c r="L123" s="522">
        <f t="shared" ref="L123:M129" si="27">E123</f>
        <v>0</v>
      </c>
      <c r="M123" s="522">
        <f t="shared" si="27"/>
        <v>0</v>
      </c>
      <c r="N123" s="494"/>
    </row>
    <row r="124" spans="1:15" s="481" customFormat="1" x14ac:dyDescent="0.3">
      <c r="B124" s="493" t="s">
        <v>3</v>
      </c>
      <c r="C124" s="522">
        <f t="shared" si="25"/>
        <v>0</v>
      </c>
      <c r="D124" s="522">
        <f>'BoD input'!C140</f>
        <v>0</v>
      </c>
      <c r="E124" s="522">
        <f>'BoD input'!D140</f>
        <v>0</v>
      </c>
      <c r="F124" s="522">
        <f>'BoD input'!E140</f>
        <v>0</v>
      </c>
      <c r="G124" s="492"/>
      <c r="J124" s="493" t="s">
        <v>3</v>
      </c>
      <c r="K124" s="522">
        <f t="shared" si="26"/>
        <v>0</v>
      </c>
      <c r="L124" s="522">
        <f t="shared" si="27"/>
        <v>0</v>
      </c>
      <c r="M124" s="522">
        <f t="shared" si="27"/>
        <v>0</v>
      </c>
      <c r="N124" s="494"/>
    </row>
    <row r="125" spans="1:15" s="481" customFormat="1" x14ac:dyDescent="0.3">
      <c r="B125" s="493" t="s">
        <v>4</v>
      </c>
      <c r="C125" s="522">
        <f t="shared" si="25"/>
        <v>0</v>
      </c>
      <c r="D125" s="522">
        <f>'BoD input'!C141</f>
        <v>0</v>
      </c>
      <c r="E125" s="522">
        <f>'BoD input'!D141</f>
        <v>0</v>
      </c>
      <c r="F125" s="522">
        <f>'BoD input'!E141</f>
        <v>0</v>
      </c>
      <c r="G125" s="492"/>
      <c r="J125" s="493" t="s">
        <v>4</v>
      </c>
      <c r="K125" s="522">
        <f t="shared" si="26"/>
        <v>0</v>
      </c>
      <c r="L125" s="522">
        <f t="shared" si="27"/>
        <v>0</v>
      </c>
      <c r="M125" s="522">
        <f t="shared" si="27"/>
        <v>0</v>
      </c>
      <c r="N125" s="494"/>
    </row>
    <row r="126" spans="1:15" s="481" customFormat="1" x14ac:dyDescent="0.3">
      <c r="B126" s="493" t="s">
        <v>5</v>
      </c>
      <c r="C126" s="522">
        <f t="shared" si="25"/>
        <v>0.97459599224305105</v>
      </c>
      <c r="D126" s="522">
        <f>'BoD input'!C142</f>
        <v>0.97459599224305105</v>
      </c>
      <c r="E126" s="522">
        <f>'BoD input'!D142</f>
        <v>0.97457334942251339</v>
      </c>
      <c r="F126" s="522">
        <f>'BoD input'!E142</f>
        <v>0.97460826394994049</v>
      </c>
      <c r="G126" s="492"/>
      <c r="J126" s="493" t="s">
        <v>5</v>
      </c>
      <c r="K126" s="522">
        <f t="shared" si="26"/>
        <v>0.97459599224305105</v>
      </c>
      <c r="L126" s="522">
        <f t="shared" si="27"/>
        <v>0.97457334942251339</v>
      </c>
      <c r="M126" s="522">
        <f t="shared" si="27"/>
        <v>0.97460826394994049</v>
      </c>
      <c r="N126" s="494"/>
    </row>
    <row r="127" spans="1:15" s="481" customFormat="1" x14ac:dyDescent="0.3">
      <c r="B127" s="493" t="s">
        <v>6</v>
      </c>
      <c r="C127" s="522">
        <f t="shared" si="25"/>
        <v>0.97459599224305105</v>
      </c>
      <c r="D127" s="522">
        <f>'BoD input'!C143</f>
        <v>0.97459599224305105</v>
      </c>
      <c r="E127" s="522">
        <f>'BoD input'!D143</f>
        <v>0.97457334942251339</v>
      </c>
      <c r="F127" s="522">
        <f>'BoD input'!E143</f>
        <v>0.97460826394994049</v>
      </c>
      <c r="G127" s="492"/>
      <c r="J127" s="493" t="s">
        <v>6</v>
      </c>
      <c r="K127" s="522">
        <f t="shared" si="26"/>
        <v>0.97459599224305105</v>
      </c>
      <c r="L127" s="522">
        <f t="shared" si="27"/>
        <v>0.97457334942251339</v>
      </c>
      <c r="M127" s="522">
        <f t="shared" si="27"/>
        <v>0.97460826394994049</v>
      </c>
      <c r="N127" s="494"/>
    </row>
    <row r="128" spans="1:15" s="481" customFormat="1" x14ac:dyDescent="0.3">
      <c r="B128" s="493" t="s">
        <v>7</v>
      </c>
      <c r="C128" s="522">
        <f t="shared" si="25"/>
        <v>0.97459599224305105</v>
      </c>
      <c r="D128" s="522">
        <f>'BoD input'!C144</f>
        <v>0.97459599224305105</v>
      </c>
      <c r="E128" s="522">
        <f>'BoD input'!D144</f>
        <v>0.97457334942251339</v>
      </c>
      <c r="F128" s="522">
        <f>'BoD input'!E144</f>
        <v>0.97460826394994049</v>
      </c>
      <c r="G128" s="492"/>
      <c r="J128" s="493" t="s">
        <v>7</v>
      </c>
      <c r="K128" s="522">
        <f t="shared" si="26"/>
        <v>0.97459599224305105</v>
      </c>
      <c r="L128" s="522">
        <f t="shared" si="27"/>
        <v>0.97457334942251339</v>
      </c>
      <c r="M128" s="522">
        <f t="shared" si="27"/>
        <v>0.97460826394994049</v>
      </c>
      <c r="N128" s="494"/>
    </row>
    <row r="129" spans="1:18" s="481" customFormat="1" x14ac:dyDescent="0.3">
      <c r="B129" s="493" t="s">
        <v>1469</v>
      </c>
      <c r="C129" s="522">
        <f t="shared" si="25"/>
        <v>0</v>
      </c>
      <c r="D129" s="522">
        <f>'BoD input'!C145</f>
        <v>0</v>
      </c>
      <c r="E129" s="522">
        <f>'BoD input'!D145</f>
        <v>0</v>
      </c>
      <c r="F129" s="522">
        <f>'BoD input'!E145</f>
        <v>0</v>
      </c>
      <c r="G129" s="492"/>
      <c r="J129" s="493" t="s">
        <v>1469</v>
      </c>
      <c r="K129" s="522">
        <f t="shared" si="26"/>
        <v>0</v>
      </c>
      <c r="L129" s="522">
        <f t="shared" si="27"/>
        <v>0</v>
      </c>
      <c r="M129" s="522">
        <f t="shared" si="27"/>
        <v>0</v>
      </c>
      <c r="N129" s="494"/>
    </row>
    <row r="130" spans="1:18" s="481" customFormat="1" x14ac:dyDescent="0.3">
      <c r="B130" s="498" t="s">
        <v>227</v>
      </c>
      <c r="C130" s="598"/>
      <c r="D130" s="598"/>
      <c r="E130" s="598"/>
      <c r="F130" s="598"/>
      <c r="G130" s="496"/>
      <c r="J130" s="498" t="s">
        <v>227</v>
      </c>
      <c r="K130" s="598"/>
      <c r="L130" s="598"/>
      <c r="M130" s="598"/>
      <c r="N130" s="504"/>
    </row>
    <row r="131" spans="1:18" s="481" customFormat="1" x14ac:dyDescent="0.3">
      <c r="B131" s="490" t="s">
        <v>1437</v>
      </c>
      <c r="C131" s="522">
        <f t="shared" si="25"/>
        <v>0.95218843381965201</v>
      </c>
      <c r="D131" s="522">
        <f>'BoD input'!C147</f>
        <v>0.95218843381965201</v>
      </c>
      <c r="E131" s="522">
        <f>'BoD input'!D147</f>
        <v>0.9522032265831929</v>
      </c>
      <c r="F131" s="522">
        <f>'BoD input'!E147</f>
        <v>0.95217993079584773</v>
      </c>
      <c r="G131" s="492"/>
      <c r="J131" s="490" t="s">
        <v>1437</v>
      </c>
      <c r="K131" s="522">
        <f t="shared" ref="K131:K134" si="28">C131</f>
        <v>0.95218843381965201</v>
      </c>
      <c r="L131" s="522">
        <f t="shared" ref="L131:M134" si="29">E131</f>
        <v>0.9522032265831929</v>
      </c>
      <c r="M131" s="522">
        <f t="shared" si="29"/>
        <v>0.95217993079584773</v>
      </c>
    </row>
    <row r="132" spans="1:18" s="481" customFormat="1" x14ac:dyDescent="0.3">
      <c r="B132" s="490" t="s">
        <v>1438</v>
      </c>
      <c r="C132" s="522">
        <f t="shared" si="25"/>
        <v>0.95218843381965201</v>
      </c>
      <c r="D132" s="522">
        <f>'BoD input'!C148</f>
        <v>0.95218843381965201</v>
      </c>
      <c r="E132" s="522">
        <f>'BoD input'!D148</f>
        <v>0.9522032265831929</v>
      </c>
      <c r="F132" s="522">
        <f>'BoD input'!E148</f>
        <v>0.95217993079584773</v>
      </c>
      <c r="G132" s="492"/>
      <c r="J132" s="490" t="s">
        <v>1438</v>
      </c>
      <c r="K132" s="522">
        <f t="shared" si="28"/>
        <v>0.95218843381965201</v>
      </c>
      <c r="L132" s="522">
        <f t="shared" si="29"/>
        <v>0.9522032265831929</v>
      </c>
      <c r="M132" s="522">
        <f t="shared" si="29"/>
        <v>0.95217993079584773</v>
      </c>
    </row>
    <row r="133" spans="1:18" s="481" customFormat="1" x14ac:dyDescent="0.3">
      <c r="B133" s="490" t="s">
        <v>1441</v>
      </c>
      <c r="C133" s="522">
        <f t="shared" si="25"/>
        <v>0.95218843381965201</v>
      </c>
      <c r="D133" s="522">
        <f>'BoD input'!C149</f>
        <v>0.95218843381965201</v>
      </c>
      <c r="E133" s="522">
        <f>'BoD input'!D149</f>
        <v>0.9522032265831929</v>
      </c>
      <c r="F133" s="522">
        <f>'BoD input'!E149</f>
        <v>0.95217993079584773</v>
      </c>
      <c r="G133" s="492"/>
      <c r="J133" s="490" t="s">
        <v>1441</v>
      </c>
      <c r="K133" s="522">
        <f t="shared" si="28"/>
        <v>0.95218843381965201</v>
      </c>
      <c r="L133" s="522">
        <f t="shared" si="29"/>
        <v>0.9522032265831929</v>
      </c>
      <c r="M133" s="522">
        <f t="shared" si="29"/>
        <v>0.95217993079584773</v>
      </c>
      <c r="N133" s="494"/>
    </row>
    <row r="134" spans="1:18" s="481" customFormat="1" x14ac:dyDescent="0.3">
      <c r="B134" s="490" t="s">
        <v>1442</v>
      </c>
      <c r="C134" s="522">
        <f t="shared" si="25"/>
        <v>0.95218843381965201</v>
      </c>
      <c r="D134" s="522">
        <f>'BoD input'!C150</f>
        <v>0.95218843381965201</v>
      </c>
      <c r="E134" s="522">
        <f>'BoD input'!D150</f>
        <v>0.9522032265831929</v>
      </c>
      <c r="F134" s="522">
        <f>'BoD input'!E150</f>
        <v>0.95217993079584773</v>
      </c>
      <c r="G134" s="492"/>
      <c r="J134" s="490" t="s">
        <v>1442</v>
      </c>
      <c r="K134" s="522">
        <f t="shared" si="28"/>
        <v>0.95218843381965201</v>
      </c>
      <c r="L134" s="522">
        <f t="shared" si="29"/>
        <v>0.9522032265831929</v>
      </c>
      <c r="M134" s="522">
        <f t="shared" si="29"/>
        <v>0.95217993079584773</v>
      </c>
      <c r="N134" s="494"/>
    </row>
    <row r="135" spans="1:18" s="481" customFormat="1" x14ac:dyDescent="0.3">
      <c r="B135" s="498" t="s">
        <v>920</v>
      </c>
      <c r="C135" s="598"/>
      <c r="D135" s="598"/>
      <c r="E135" s="598"/>
      <c r="F135" s="598"/>
      <c r="G135" s="496"/>
      <c r="J135" s="498" t="s">
        <v>920</v>
      </c>
      <c r="K135" s="598"/>
      <c r="L135" s="598"/>
      <c r="M135" s="598"/>
      <c r="N135" s="504"/>
    </row>
    <row r="136" spans="1:18" s="481" customFormat="1" x14ac:dyDescent="0.3">
      <c r="B136" s="490" t="s">
        <v>920</v>
      </c>
      <c r="C136" s="522">
        <f t="shared" si="25"/>
        <v>0.82596463022508038</v>
      </c>
      <c r="D136" s="522">
        <f>'BoD input'!C152</f>
        <v>0.82596463022508038</v>
      </c>
      <c r="E136" s="522">
        <f>'BoD input'!D152</f>
        <v>0.82318271119842834</v>
      </c>
      <c r="F136" s="522">
        <f>'BoD input'!E152</f>
        <v>0.80529440870856017</v>
      </c>
      <c r="G136" s="492"/>
      <c r="J136" s="490" t="s">
        <v>920</v>
      </c>
      <c r="K136" s="522">
        <f t="shared" ref="K136:K137" si="30">C136</f>
        <v>0.82596463022508038</v>
      </c>
      <c r="L136" s="522">
        <f t="shared" ref="L136:M137" si="31">E136</f>
        <v>0.82318271119842834</v>
      </c>
      <c r="M136" s="522">
        <f t="shared" si="31"/>
        <v>0.80529440870856017</v>
      </c>
      <c r="N136" s="494"/>
    </row>
    <row r="137" spans="1:18" s="481" customFormat="1" x14ac:dyDescent="0.3">
      <c r="B137" s="490" t="s">
        <v>980</v>
      </c>
      <c r="C137" s="522">
        <f t="shared" si="25"/>
        <v>0.82596463022508038</v>
      </c>
      <c r="D137" s="522">
        <f>'BoD input'!C153</f>
        <v>0.82596463022508038</v>
      </c>
      <c r="E137" s="522">
        <f>'BoD input'!D153</f>
        <v>0.82318271119842834</v>
      </c>
      <c r="F137" s="522">
        <f>'BoD input'!E153</f>
        <v>0.80529440870856017</v>
      </c>
      <c r="G137" s="492"/>
      <c r="J137" s="490" t="s">
        <v>980</v>
      </c>
      <c r="K137" s="522">
        <f t="shared" si="30"/>
        <v>0.82596463022508038</v>
      </c>
      <c r="L137" s="522">
        <f t="shared" si="31"/>
        <v>0.82318271119842834</v>
      </c>
      <c r="M137" s="522">
        <f t="shared" si="31"/>
        <v>0.80529440870856017</v>
      </c>
      <c r="N137" s="494"/>
    </row>
    <row r="138" spans="1:18" s="481" customFormat="1" ht="19.5" customHeight="1" x14ac:dyDescent="0.3">
      <c r="B138" s="488"/>
      <c r="C138" s="488"/>
      <c r="D138" s="488"/>
      <c r="E138" s="488"/>
      <c r="F138" s="488"/>
      <c r="G138" s="488"/>
    </row>
    <row r="139" spans="1:18" s="481" customFormat="1" ht="19.5" customHeight="1" x14ac:dyDescent="0.3">
      <c r="A139" s="503"/>
      <c r="B139" s="483" t="s">
        <v>1585</v>
      </c>
      <c r="C139" s="483"/>
      <c r="D139" s="483"/>
      <c r="E139" s="483"/>
      <c r="F139" s="483"/>
      <c r="G139" s="483"/>
      <c r="J139" s="483" t="s">
        <v>989</v>
      </c>
      <c r="K139" s="483"/>
      <c r="L139" s="483"/>
      <c r="M139" s="483"/>
      <c r="O139" s="489" t="s">
        <v>682</v>
      </c>
    </row>
    <row r="140" spans="1:18" s="481" customFormat="1" x14ac:dyDescent="0.3">
      <c r="A140" s="500"/>
      <c r="B140" s="484" t="s">
        <v>950</v>
      </c>
      <c r="C140" s="485" t="s">
        <v>724</v>
      </c>
      <c r="D140" s="485" t="s">
        <v>995</v>
      </c>
      <c r="E140" s="485" t="s">
        <v>985</v>
      </c>
      <c r="F140" s="485" t="s">
        <v>986</v>
      </c>
      <c r="G140" s="485" t="s">
        <v>996</v>
      </c>
      <c r="J140" s="484" t="s">
        <v>950</v>
      </c>
      <c r="K140" s="485" t="s">
        <v>724</v>
      </c>
      <c r="L140" s="485" t="s">
        <v>985</v>
      </c>
      <c r="M140" s="485" t="s">
        <v>986</v>
      </c>
      <c r="N140" s="486"/>
      <c r="O140" s="495" t="s">
        <v>679</v>
      </c>
    </row>
    <row r="141" spans="1:18" s="481" customFormat="1" x14ac:dyDescent="0.3">
      <c r="A141" s="500"/>
      <c r="B141" s="487" t="s">
        <v>1445</v>
      </c>
      <c r="C141" s="488"/>
      <c r="D141" s="488"/>
      <c r="E141" s="488"/>
      <c r="F141" s="488"/>
      <c r="G141" s="488"/>
      <c r="J141" s="487" t="s">
        <v>988</v>
      </c>
      <c r="K141" s="488"/>
      <c r="L141" s="488"/>
      <c r="M141" s="488"/>
    </row>
    <row r="142" spans="1:18" s="481" customFormat="1" x14ac:dyDescent="0.3">
      <c r="B142" s="493" t="s">
        <v>2</v>
      </c>
      <c r="C142" s="522">
        <f>D142</f>
        <v>0.61759999999999993</v>
      </c>
      <c r="D142" s="513">
        <v>0.61759999999999993</v>
      </c>
      <c r="E142" s="513">
        <v>0.61759999999999993</v>
      </c>
      <c r="F142" s="513">
        <v>0.61759999999999993</v>
      </c>
      <c r="G142" s="492"/>
      <c r="J142" s="493" t="s">
        <v>2</v>
      </c>
      <c r="K142" s="491">
        <f t="shared" ref="K142:K148" si="32">C142</f>
        <v>0.61759999999999993</v>
      </c>
      <c r="L142" s="491">
        <f t="shared" ref="L142:M148" si="33">E142</f>
        <v>0.61759999999999993</v>
      </c>
      <c r="M142" s="491">
        <f t="shared" si="33"/>
        <v>0.61759999999999993</v>
      </c>
      <c r="N142" s="494"/>
      <c r="O142" s="726"/>
      <c r="P142" s="726"/>
      <c r="Q142" s="726"/>
      <c r="R142" s="726"/>
    </row>
    <row r="143" spans="1:18" s="481" customFormat="1" x14ac:dyDescent="0.3">
      <c r="B143" s="493" t="s">
        <v>3</v>
      </c>
      <c r="C143" s="522">
        <f t="shared" ref="C143:C164" si="34">D143</f>
        <v>0.48170000000000002</v>
      </c>
      <c r="D143" s="513">
        <v>0.48170000000000002</v>
      </c>
      <c r="E143" s="513">
        <v>0.48170000000000002</v>
      </c>
      <c r="F143" s="513">
        <v>0.48170000000000002</v>
      </c>
      <c r="G143" s="492"/>
      <c r="J143" s="493" t="s">
        <v>3</v>
      </c>
      <c r="K143" s="491">
        <f t="shared" si="32"/>
        <v>0.48170000000000002</v>
      </c>
      <c r="L143" s="491">
        <f t="shared" si="33"/>
        <v>0.48170000000000002</v>
      </c>
      <c r="M143" s="491">
        <f t="shared" si="33"/>
        <v>0.48170000000000002</v>
      </c>
      <c r="N143" s="494"/>
      <c r="O143" s="726"/>
      <c r="P143" s="726"/>
      <c r="Q143" s="726"/>
      <c r="R143" s="726"/>
    </row>
    <row r="144" spans="1:18" s="481" customFormat="1" x14ac:dyDescent="0.3">
      <c r="B144" s="493" t="s">
        <v>4</v>
      </c>
      <c r="C144" s="522">
        <f t="shared" si="34"/>
        <v>0.48170000000000002</v>
      </c>
      <c r="D144" s="513">
        <v>0.48170000000000002</v>
      </c>
      <c r="E144" s="513">
        <v>0.48170000000000002</v>
      </c>
      <c r="F144" s="513">
        <v>0.48170000000000002</v>
      </c>
      <c r="G144" s="492"/>
      <c r="J144" s="493" t="s">
        <v>4</v>
      </c>
      <c r="K144" s="491">
        <f t="shared" si="32"/>
        <v>0.48170000000000002</v>
      </c>
      <c r="L144" s="491">
        <f t="shared" si="33"/>
        <v>0.48170000000000002</v>
      </c>
      <c r="M144" s="491">
        <f t="shared" si="33"/>
        <v>0.48170000000000002</v>
      </c>
      <c r="N144" s="494"/>
      <c r="O144" s="726"/>
      <c r="P144" s="726"/>
      <c r="Q144" s="726"/>
      <c r="R144" s="726"/>
    </row>
    <row r="145" spans="1:18" s="481" customFormat="1" x14ac:dyDescent="0.3">
      <c r="B145" s="493" t="s">
        <v>5</v>
      </c>
      <c r="C145" s="522">
        <f t="shared" si="34"/>
        <v>0.60820000000000007</v>
      </c>
      <c r="D145" s="513">
        <v>0.60820000000000007</v>
      </c>
      <c r="E145" s="513">
        <v>0.60820000000000007</v>
      </c>
      <c r="F145" s="513">
        <v>0.60820000000000007</v>
      </c>
      <c r="G145" s="492"/>
      <c r="J145" s="493" t="s">
        <v>5</v>
      </c>
      <c r="K145" s="491">
        <f t="shared" si="32"/>
        <v>0.60820000000000007</v>
      </c>
      <c r="L145" s="491">
        <f t="shared" si="33"/>
        <v>0.60820000000000007</v>
      </c>
      <c r="M145" s="491">
        <f t="shared" si="33"/>
        <v>0.60820000000000007</v>
      </c>
      <c r="N145" s="494"/>
      <c r="O145" s="726"/>
      <c r="P145" s="726"/>
      <c r="Q145" s="726"/>
      <c r="R145" s="726"/>
    </row>
    <row r="146" spans="1:18" s="481" customFormat="1" x14ac:dyDescent="0.3">
      <c r="B146" s="493" t="s">
        <v>6</v>
      </c>
      <c r="C146" s="522">
        <f t="shared" si="34"/>
        <v>0.55979999999999996</v>
      </c>
      <c r="D146" s="513">
        <v>0.55979999999999996</v>
      </c>
      <c r="E146" s="513">
        <v>0.55979999999999996</v>
      </c>
      <c r="F146" s="513">
        <v>0.55979999999999996</v>
      </c>
      <c r="G146" s="492"/>
      <c r="J146" s="493" t="s">
        <v>6</v>
      </c>
      <c r="K146" s="491">
        <f t="shared" si="32"/>
        <v>0.55979999999999996</v>
      </c>
      <c r="L146" s="491">
        <f t="shared" si="33"/>
        <v>0.55979999999999996</v>
      </c>
      <c r="M146" s="491">
        <f t="shared" si="33"/>
        <v>0.55979999999999996</v>
      </c>
      <c r="N146" s="494"/>
      <c r="O146" s="726"/>
      <c r="P146" s="726"/>
      <c r="Q146" s="726"/>
      <c r="R146" s="726"/>
    </row>
    <row r="147" spans="1:18" s="481" customFormat="1" x14ac:dyDescent="0.3">
      <c r="B147" s="493" t="s">
        <v>7</v>
      </c>
      <c r="C147" s="522">
        <f t="shared" si="34"/>
        <v>0.62409999999999999</v>
      </c>
      <c r="D147" s="513">
        <v>0.62409999999999999</v>
      </c>
      <c r="E147" s="513">
        <v>0.62409999999999999</v>
      </c>
      <c r="F147" s="513">
        <v>0.62409999999999999</v>
      </c>
      <c r="G147" s="492"/>
      <c r="J147" s="493" t="s">
        <v>7</v>
      </c>
      <c r="K147" s="491">
        <f t="shared" si="32"/>
        <v>0.62409999999999999</v>
      </c>
      <c r="L147" s="491">
        <f t="shared" si="33"/>
        <v>0.62409999999999999</v>
      </c>
      <c r="M147" s="491">
        <f t="shared" si="33"/>
        <v>0.62409999999999999</v>
      </c>
      <c r="N147" s="494"/>
      <c r="O147" s="726"/>
      <c r="P147" s="726"/>
      <c r="Q147" s="726"/>
      <c r="R147" s="726"/>
    </row>
    <row r="148" spans="1:18" s="481" customFormat="1" x14ac:dyDescent="0.3">
      <c r="B148" s="493" t="s">
        <v>1469</v>
      </c>
      <c r="C148" s="522">
        <f t="shared" si="34"/>
        <v>0.5837</v>
      </c>
      <c r="D148" s="513">
        <v>0.5837</v>
      </c>
      <c r="E148" s="513">
        <v>0.5837</v>
      </c>
      <c r="F148" s="513">
        <v>0.5837</v>
      </c>
      <c r="G148" s="492"/>
      <c r="J148" s="493" t="s">
        <v>1469</v>
      </c>
      <c r="K148" s="491">
        <f t="shared" si="32"/>
        <v>0.5837</v>
      </c>
      <c r="L148" s="491">
        <f t="shared" si="33"/>
        <v>0.5837</v>
      </c>
      <c r="M148" s="491">
        <f t="shared" si="33"/>
        <v>0.5837</v>
      </c>
      <c r="N148" s="494"/>
      <c r="O148" s="726"/>
      <c r="P148" s="726"/>
      <c r="Q148" s="726"/>
      <c r="R148" s="726"/>
    </row>
    <row r="149" spans="1:18" s="481" customFormat="1" x14ac:dyDescent="0.3">
      <c r="A149" s="500"/>
      <c r="B149" s="487" t="s">
        <v>1444</v>
      </c>
      <c r="C149" s="598"/>
      <c r="D149" s="515"/>
      <c r="E149" s="515"/>
      <c r="F149" s="515"/>
      <c r="G149" s="496"/>
      <c r="J149" s="487" t="s">
        <v>988</v>
      </c>
      <c r="K149" s="496"/>
      <c r="L149" s="496"/>
      <c r="M149" s="496"/>
      <c r="O149" s="726"/>
      <c r="P149" s="726"/>
      <c r="Q149" s="726"/>
      <c r="R149" s="726"/>
    </row>
    <row r="150" spans="1:18" s="481" customFormat="1" x14ac:dyDescent="0.3">
      <c r="B150" s="493" t="s">
        <v>2</v>
      </c>
      <c r="C150" s="522">
        <f t="shared" si="34"/>
        <v>0.61759999999999993</v>
      </c>
      <c r="D150" s="513">
        <v>0.61759999999999993</v>
      </c>
      <c r="E150" s="513">
        <v>0.61759999999999993</v>
      </c>
      <c r="F150" s="513">
        <v>0.61759999999999993</v>
      </c>
      <c r="G150" s="492"/>
      <c r="J150" s="493" t="s">
        <v>2</v>
      </c>
      <c r="K150" s="491">
        <f t="shared" ref="K150:K156" si="35">C150</f>
        <v>0.61759999999999993</v>
      </c>
      <c r="L150" s="491">
        <f t="shared" ref="L150:M156" si="36">E150</f>
        <v>0.61759999999999993</v>
      </c>
      <c r="M150" s="491">
        <f t="shared" si="36"/>
        <v>0.61759999999999993</v>
      </c>
      <c r="N150" s="494"/>
      <c r="O150" s="726"/>
      <c r="P150" s="726"/>
      <c r="Q150" s="726"/>
      <c r="R150" s="726"/>
    </row>
    <row r="151" spans="1:18" s="481" customFormat="1" x14ac:dyDescent="0.3">
      <c r="B151" s="493" t="s">
        <v>3</v>
      </c>
      <c r="C151" s="522">
        <f t="shared" si="34"/>
        <v>0.48170000000000002</v>
      </c>
      <c r="D151" s="513">
        <v>0.48170000000000002</v>
      </c>
      <c r="E151" s="513">
        <v>0.48170000000000002</v>
      </c>
      <c r="F151" s="513">
        <v>0.48170000000000002</v>
      </c>
      <c r="G151" s="492"/>
      <c r="J151" s="493" t="s">
        <v>3</v>
      </c>
      <c r="K151" s="491">
        <f t="shared" si="35"/>
        <v>0.48170000000000002</v>
      </c>
      <c r="L151" s="491">
        <f t="shared" si="36"/>
        <v>0.48170000000000002</v>
      </c>
      <c r="M151" s="491">
        <f t="shared" si="36"/>
        <v>0.48170000000000002</v>
      </c>
      <c r="N151" s="494"/>
      <c r="O151" s="726"/>
      <c r="P151" s="726"/>
      <c r="Q151" s="726"/>
      <c r="R151" s="726"/>
    </row>
    <row r="152" spans="1:18" s="481" customFormat="1" x14ac:dyDescent="0.3">
      <c r="B152" s="493" t="s">
        <v>4</v>
      </c>
      <c r="C152" s="522">
        <f t="shared" si="34"/>
        <v>0.48170000000000002</v>
      </c>
      <c r="D152" s="513">
        <v>0.48170000000000002</v>
      </c>
      <c r="E152" s="513">
        <v>0.48170000000000002</v>
      </c>
      <c r="F152" s="513">
        <v>0.48170000000000002</v>
      </c>
      <c r="G152" s="492"/>
      <c r="J152" s="493" t="s">
        <v>4</v>
      </c>
      <c r="K152" s="491">
        <f t="shared" si="35"/>
        <v>0.48170000000000002</v>
      </c>
      <c r="L152" s="491">
        <f t="shared" si="36"/>
        <v>0.48170000000000002</v>
      </c>
      <c r="M152" s="491">
        <f t="shared" si="36"/>
        <v>0.48170000000000002</v>
      </c>
      <c r="N152" s="494"/>
      <c r="O152" s="726"/>
      <c r="P152" s="726"/>
      <c r="Q152" s="726"/>
      <c r="R152" s="726"/>
    </row>
    <row r="153" spans="1:18" s="481" customFormat="1" x14ac:dyDescent="0.3">
      <c r="B153" s="493" t="s">
        <v>5</v>
      </c>
      <c r="C153" s="522">
        <f t="shared" si="34"/>
        <v>0.58840000000000003</v>
      </c>
      <c r="D153" s="513">
        <v>0.58840000000000003</v>
      </c>
      <c r="E153" s="513">
        <v>0.58840000000000003</v>
      </c>
      <c r="F153" s="513">
        <v>0.58840000000000003</v>
      </c>
      <c r="G153" s="492"/>
      <c r="J153" s="493" t="s">
        <v>5</v>
      </c>
      <c r="K153" s="491">
        <f t="shared" si="35"/>
        <v>0.58840000000000003</v>
      </c>
      <c r="L153" s="491">
        <f t="shared" si="36"/>
        <v>0.58840000000000003</v>
      </c>
      <c r="M153" s="491">
        <f t="shared" si="36"/>
        <v>0.58840000000000003</v>
      </c>
      <c r="N153" s="494"/>
      <c r="O153" s="726"/>
      <c r="P153" s="726"/>
      <c r="Q153" s="726"/>
      <c r="R153" s="726"/>
    </row>
    <row r="154" spans="1:18" s="481" customFormat="1" x14ac:dyDescent="0.3">
      <c r="B154" s="493" t="s">
        <v>6</v>
      </c>
      <c r="C154" s="522">
        <f t="shared" si="34"/>
        <v>0.58840000000000003</v>
      </c>
      <c r="D154" s="513">
        <v>0.58840000000000003</v>
      </c>
      <c r="E154" s="513">
        <v>0.58840000000000003</v>
      </c>
      <c r="F154" s="513">
        <v>0.58840000000000003</v>
      </c>
      <c r="G154" s="492"/>
      <c r="J154" s="493" t="s">
        <v>6</v>
      </c>
      <c r="K154" s="491">
        <f t="shared" si="35"/>
        <v>0.58840000000000003</v>
      </c>
      <c r="L154" s="491">
        <f t="shared" si="36"/>
        <v>0.58840000000000003</v>
      </c>
      <c r="M154" s="491">
        <f t="shared" si="36"/>
        <v>0.58840000000000003</v>
      </c>
      <c r="N154" s="494"/>
      <c r="O154" s="726"/>
      <c r="P154" s="726"/>
      <c r="Q154" s="726"/>
      <c r="R154" s="726"/>
    </row>
    <row r="155" spans="1:18" s="481" customFormat="1" x14ac:dyDescent="0.3">
      <c r="B155" s="493" t="s">
        <v>7</v>
      </c>
      <c r="C155" s="522">
        <f t="shared" si="34"/>
        <v>0.58840000000000003</v>
      </c>
      <c r="D155" s="513">
        <v>0.58840000000000003</v>
      </c>
      <c r="E155" s="513">
        <v>0.58840000000000003</v>
      </c>
      <c r="F155" s="513">
        <v>0.58840000000000003</v>
      </c>
      <c r="G155" s="492"/>
      <c r="J155" s="493" t="s">
        <v>7</v>
      </c>
      <c r="K155" s="491">
        <f t="shared" si="35"/>
        <v>0.58840000000000003</v>
      </c>
      <c r="L155" s="491">
        <f t="shared" si="36"/>
        <v>0.58840000000000003</v>
      </c>
      <c r="M155" s="491">
        <f t="shared" si="36"/>
        <v>0.58840000000000003</v>
      </c>
      <c r="N155" s="494"/>
      <c r="O155" s="726"/>
      <c r="P155" s="726"/>
      <c r="Q155" s="726"/>
      <c r="R155" s="726"/>
    </row>
    <row r="156" spans="1:18" s="481" customFormat="1" x14ac:dyDescent="0.3">
      <c r="B156" s="493" t="s">
        <v>1469</v>
      </c>
      <c r="C156" s="522">
        <f t="shared" si="34"/>
        <v>0.5837</v>
      </c>
      <c r="D156" s="513">
        <v>0.5837</v>
      </c>
      <c r="E156" s="513">
        <v>0.5837</v>
      </c>
      <c r="F156" s="513">
        <v>0.5837</v>
      </c>
      <c r="G156" s="492"/>
      <c r="J156" s="493" t="s">
        <v>1469</v>
      </c>
      <c r="K156" s="491">
        <f t="shared" si="35"/>
        <v>0.5837</v>
      </c>
      <c r="L156" s="491">
        <f t="shared" si="36"/>
        <v>0.5837</v>
      </c>
      <c r="M156" s="491">
        <f t="shared" si="36"/>
        <v>0.5837</v>
      </c>
      <c r="N156" s="494"/>
      <c r="O156" s="726"/>
      <c r="P156" s="726"/>
      <c r="Q156" s="726"/>
      <c r="R156" s="726"/>
    </row>
    <row r="157" spans="1:18" s="481" customFormat="1" x14ac:dyDescent="0.3">
      <c r="B157" s="498" t="s">
        <v>227</v>
      </c>
      <c r="C157" s="598"/>
      <c r="D157" s="515"/>
      <c r="E157" s="515"/>
      <c r="F157" s="515"/>
      <c r="G157" s="496"/>
      <c r="J157" s="498" t="s">
        <v>227</v>
      </c>
      <c r="K157" s="496"/>
      <c r="L157" s="496"/>
      <c r="M157" s="496"/>
      <c r="N157" s="504"/>
      <c r="O157" s="726"/>
      <c r="P157" s="726"/>
      <c r="Q157" s="726"/>
      <c r="R157" s="726"/>
    </row>
    <row r="158" spans="1:18" s="481" customFormat="1" x14ac:dyDescent="0.3">
      <c r="B158" s="490" t="s">
        <v>1437</v>
      </c>
      <c r="C158" s="522">
        <f t="shared" si="34"/>
        <v>0.58840000000000003</v>
      </c>
      <c r="D158" s="513">
        <v>0.58840000000000003</v>
      </c>
      <c r="E158" s="513">
        <v>0.58840000000000003</v>
      </c>
      <c r="F158" s="513">
        <v>0.58840000000000003</v>
      </c>
      <c r="G158" s="492"/>
      <c r="J158" s="490" t="s">
        <v>1437</v>
      </c>
      <c r="K158" s="491">
        <f t="shared" ref="K158:K161" si="37">C158</f>
        <v>0.58840000000000003</v>
      </c>
      <c r="L158" s="491">
        <f t="shared" ref="L158:M161" si="38">E158</f>
        <v>0.58840000000000003</v>
      </c>
      <c r="M158" s="491">
        <f t="shared" si="38"/>
        <v>0.58840000000000003</v>
      </c>
      <c r="O158" s="726"/>
      <c r="P158" s="726"/>
      <c r="Q158" s="726"/>
      <c r="R158" s="726"/>
    </row>
    <row r="159" spans="1:18" s="481" customFormat="1" x14ac:dyDescent="0.3">
      <c r="B159" s="490" t="s">
        <v>1438</v>
      </c>
      <c r="C159" s="522">
        <f t="shared" si="34"/>
        <v>0.58840000000000003</v>
      </c>
      <c r="D159" s="513">
        <v>0.58840000000000003</v>
      </c>
      <c r="E159" s="513">
        <v>0.58840000000000003</v>
      </c>
      <c r="F159" s="513">
        <v>0.58840000000000003</v>
      </c>
      <c r="G159" s="492"/>
      <c r="J159" s="490" t="s">
        <v>1438</v>
      </c>
      <c r="K159" s="491">
        <f t="shared" si="37"/>
        <v>0.58840000000000003</v>
      </c>
      <c r="L159" s="491">
        <f t="shared" si="38"/>
        <v>0.58840000000000003</v>
      </c>
      <c r="M159" s="491">
        <f t="shared" si="38"/>
        <v>0.58840000000000003</v>
      </c>
      <c r="O159" s="726"/>
      <c r="P159" s="726"/>
      <c r="Q159" s="726"/>
      <c r="R159" s="726"/>
    </row>
    <row r="160" spans="1:18" s="481" customFormat="1" x14ac:dyDescent="0.3">
      <c r="B160" s="490" t="s">
        <v>1441</v>
      </c>
      <c r="C160" s="522">
        <f t="shared" si="34"/>
        <v>0.58840000000000003</v>
      </c>
      <c r="D160" s="513">
        <v>0.58840000000000003</v>
      </c>
      <c r="E160" s="513">
        <v>0.58840000000000003</v>
      </c>
      <c r="F160" s="513">
        <v>0.58840000000000003</v>
      </c>
      <c r="G160" s="492"/>
      <c r="J160" s="490" t="s">
        <v>1441</v>
      </c>
      <c r="K160" s="491">
        <f t="shared" si="37"/>
        <v>0.58840000000000003</v>
      </c>
      <c r="L160" s="491">
        <f t="shared" si="38"/>
        <v>0.58840000000000003</v>
      </c>
      <c r="M160" s="491">
        <f t="shared" si="38"/>
        <v>0.58840000000000003</v>
      </c>
      <c r="N160" s="494"/>
      <c r="O160" s="726"/>
      <c r="P160" s="726"/>
      <c r="Q160" s="726"/>
      <c r="R160" s="726"/>
    </row>
    <row r="161" spans="2:18" s="481" customFormat="1" x14ac:dyDescent="0.3">
      <c r="B161" s="490" t="s">
        <v>1442</v>
      </c>
      <c r="C161" s="522">
        <f t="shared" si="34"/>
        <v>0.58840000000000003</v>
      </c>
      <c r="D161" s="513">
        <v>0.58840000000000003</v>
      </c>
      <c r="E161" s="513">
        <v>0.58840000000000003</v>
      </c>
      <c r="F161" s="513">
        <v>0.58840000000000003</v>
      </c>
      <c r="G161" s="492"/>
      <c r="J161" s="490" t="s">
        <v>1442</v>
      </c>
      <c r="K161" s="491">
        <f t="shared" si="37"/>
        <v>0.58840000000000003</v>
      </c>
      <c r="L161" s="491">
        <f t="shared" si="38"/>
        <v>0.58840000000000003</v>
      </c>
      <c r="M161" s="491">
        <f t="shared" si="38"/>
        <v>0.58840000000000003</v>
      </c>
      <c r="N161" s="494"/>
      <c r="O161" s="726"/>
      <c r="P161" s="726"/>
      <c r="Q161" s="726"/>
      <c r="R161" s="726"/>
    </row>
    <row r="162" spans="2:18" s="481" customFormat="1" x14ac:dyDescent="0.3">
      <c r="B162" s="498" t="s">
        <v>920</v>
      </c>
      <c r="C162" s="598"/>
      <c r="D162" s="515"/>
      <c r="E162" s="515"/>
      <c r="F162" s="515"/>
      <c r="G162" s="496"/>
      <c r="J162" s="498" t="s">
        <v>920</v>
      </c>
      <c r="K162" s="496"/>
      <c r="L162" s="496"/>
      <c r="M162" s="496"/>
      <c r="N162" s="504"/>
      <c r="O162" s="726"/>
      <c r="P162" s="726"/>
      <c r="Q162" s="726"/>
      <c r="R162" s="726"/>
    </row>
    <row r="163" spans="2:18" s="481" customFormat="1" x14ac:dyDescent="0.3">
      <c r="B163" s="490" t="s">
        <v>920</v>
      </c>
      <c r="C163" s="522">
        <f t="shared" si="34"/>
        <v>0.58840000000000003</v>
      </c>
      <c r="D163" s="513">
        <v>0.58840000000000003</v>
      </c>
      <c r="E163" s="513">
        <v>0.58840000000000003</v>
      </c>
      <c r="F163" s="513">
        <v>0.58840000000000003</v>
      </c>
      <c r="G163" s="492"/>
      <c r="J163" s="490" t="s">
        <v>920</v>
      </c>
      <c r="K163" s="491">
        <f t="shared" ref="K163:K164" si="39">C163</f>
        <v>0.58840000000000003</v>
      </c>
      <c r="L163" s="491">
        <f t="shared" ref="L163:M164" si="40">E163</f>
        <v>0.58840000000000003</v>
      </c>
      <c r="M163" s="491">
        <f t="shared" si="40"/>
        <v>0.58840000000000003</v>
      </c>
      <c r="N163" s="494"/>
      <c r="O163" s="726"/>
      <c r="P163" s="726"/>
      <c r="Q163" s="726"/>
      <c r="R163" s="726"/>
    </row>
    <row r="164" spans="2:18" s="481" customFormat="1" x14ac:dyDescent="0.3">
      <c r="B164" s="490" t="s">
        <v>980</v>
      </c>
      <c r="C164" s="522">
        <f t="shared" si="34"/>
        <v>0.58840000000000003</v>
      </c>
      <c r="D164" s="513">
        <v>0.58840000000000003</v>
      </c>
      <c r="E164" s="513">
        <v>0.58840000000000003</v>
      </c>
      <c r="F164" s="513">
        <v>0.58840000000000003</v>
      </c>
      <c r="G164" s="492"/>
      <c r="J164" s="490" t="s">
        <v>980</v>
      </c>
      <c r="K164" s="491">
        <f t="shared" si="39"/>
        <v>0.58840000000000003</v>
      </c>
      <c r="L164" s="491">
        <f t="shared" si="40"/>
        <v>0.58840000000000003</v>
      </c>
      <c r="M164" s="491">
        <f t="shared" si="40"/>
        <v>0.58840000000000003</v>
      </c>
      <c r="N164" s="494"/>
      <c r="O164" s="726"/>
      <c r="P164" s="726"/>
      <c r="Q164" s="726"/>
      <c r="R164" s="726"/>
    </row>
    <row r="165" spans="2:18" s="481" customFormat="1" x14ac:dyDescent="0.3">
      <c r="B165" s="488"/>
      <c r="C165" s="488"/>
      <c r="D165" s="488"/>
      <c r="E165" s="488"/>
      <c r="F165" s="488"/>
      <c r="G165" s="488"/>
    </row>
    <row r="166" spans="2:18" x14ac:dyDescent="0.3">
      <c r="B166" s="337" t="s">
        <v>230</v>
      </c>
      <c r="C166" s="17"/>
      <c r="D166" s="17"/>
      <c r="E166" s="155"/>
      <c r="F166" s="155"/>
      <c r="G166" s="312"/>
      <c r="H166" s="434"/>
      <c r="I166" s="296"/>
    </row>
    <row r="167" spans="2:18" x14ac:dyDescent="0.3">
      <c r="B167" s="17" t="s">
        <v>231</v>
      </c>
      <c r="C167" s="417">
        <v>100000</v>
      </c>
      <c r="D167" s="17"/>
      <c r="G167" s="312"/>
    </row>
    <row r="168" spans="2:18" x14ac:dyDescent="0.3">
      <c r="B168" s="17" t="s">
        <v>1353</v>
      </c>
      <c r="C168" s="417">
        <v>100000</v>
      </c>
      <c r="D168" s="17"/>
      <c r="G168" s="312"/>
    </row>
    <row r="169" spans="2:18" x14ac:dyDescent="0.3">
      <c r="B169" s="17" t="s">
        <v>232</v>
      </c>
      <c r="C169" s="417">
        <v>100000</v>
      </c>
      <c r="D169" s="17"/>
      <c r="G169" s="312"/>
    </row>
    <row r="170" spans="2:18" x14ac:dyDescent="0.3">
      <c r="B170" s="17" t="s">
        <v>9</v>
      </c>
      <c r="C170" s="417">
        <v>100000</v>
      </c>
      <c r="D170" s="17"/>
      <c r="G170" s="312"/>
    </row>
    <row r="171" spans="2:18" x14ac:dyDescent="0.3">
      <c r="B171" s="297"/>
      <c r="G171" s="312"/>
      <c r="I171" s="436"/>
      <c r="J171" s="312"/>
    </row>
    <row r="172" spans="2:18" ht="21" customHeight="1" x14ac:dyDescent="0.3">
      <c r="B172" s="793" t="s">
        <v>997</v>
      </c>
      <c r="C172" s="793"/>
      <c r="D172" s="793"/>
      <c r="E172" s="793"/>
      <c r="F172" s="793"/>
      <c r="G172" s="793"/>
      <c r="H172" s="410"/>
      <c r="I172" s="437"/>
      <c r="J172" s="295"/>
      <c r="K172" s="295"/>
      <c r="L172" s="295"/>
      <c r="M172" s="295"/>
      <c r="N172" s="295"/>
    </row>
    <row r="173" spans="2:18" x14ac:dyDescent="0.3">
      <c r="B173" s="312"/>
      <c r="C173" s="312"/>
      <c r="D173" s="312"/>
      <c r="E173" s="338"/>
      <c r="F173" s="312"/>
      <c r="G173" s="312"/>
      <c r="I173" s="436"/>
      <c r="J173" s="312"/>
      <c r="K173" s="312"/>
      <c r="L173" s="312"/>
      <c r="M173" s="312"/>
      <c r="N173" s="312"/>
    </row>
    <row r="174" spans="2:18" x14ac:dyDescent="0.3">
      <c r="B174" s="294" t="s">
        <v>998</v>
      </c>
      <c r="C174" s="294"/>
      <c r="D174" s="294"/>
      <c r="E174" s="294"/>
      <c r="F174" s="294"/>
      <c r="G174" s="294"/>
      <c r="I174" s="438" t="s">
        <v>998</v>
      </c>
      <c r="J174" s="294"/>
      <c r="K174" s="294"/>
      <c r="L174" s="294"/>
      <c r="M174" s="294"/>
      <c r="N174" s="294"/>
    </row>
    <row r="175" spans="2:18" ht="21" x14ac:dyDescent="0.3">
      <c r="B175" s="339" t="s">
        <v>552</v>
      </c>
      <c r="C175" s="301"/>
      <c r="D175" s="301"/>
      <c r="E175" s="301"/>
      <c r="F175" s="301"/>
      <c r="G175" s="301"/>
      <c r="H175" s="455" t="s">
        <v>1468</v>
      </c>
      <c r="I175" s="512" t="s">
        <v>553</v>
      </c>
      <c r="J175" s="301"/>
      <c r="K175" s="301"/>
      <c r="L175" s="301"/>
      <c r="M175" s="301"/>
      <c r="N175" s="301"/>
    </row>
    <row r="176" spans="2:18" ht="15" customHeight="1" x14ac:dyDescent="0.3">
      <c r="B176" s="17" t="s">
        <v>950</v>
      </c>
      <c r="C176" s="152" t="s">
        <v>724</v>
      </c>
      <c r="D176" s="152" t="s">
        <v>995</v>
      </c>
      <c r="E176" s="152" t="s">
        <v>985</v>
      </c>
      <c r="F176" s="152" t="s">
        <v>986</v>
      </c>
      <c r="G176" s="152"/>
      <c r="H176" s="455">
        <f>'SA Results'!O2</f>
        <v>1</v>
      </c>
      <c r="I176" s="440" t="s">
        <v>950</v>
      </c>
      <c r="J176" s="152" t="s">
        <v>724</v>
      </c>
      <c r="K176" s="152" t="s">
        <v>995</v>
      </c>
      <c r="L176" s="152" t="s">
        <v>985</v>
      </c>
      <c r="M176" s="152" t="s">
        <v>986</v>
      </c>
      <c r="N176" s="152"/>
    </row>
    <row r="177" spans="2:14" x14ac:dyDescent="0.3">
      <c r="B177" s="315" t="s">
        <v>1445</v>
      </c>
      <c r="C177" s="312"/>
      <c r="D177" s="312"/>
      <c r="E177" s="312"/>
      <c r="F177" s="312"/>
      <c r="G177" s="312"/>
      <c r="I177" s="441" t="s">
        <v>988</v>
      </c>
      <c r="J177" s="312"/>
      <c r="K177" s="312"/>
      <c r="L177" s="312"/>
      <c r="M177" s="312"/>
      <c r="N177" s="312"/>
    </row>
    <row r="178" spans="2:14" x14ac:dyDescent="0.3">
      <c r="B178" s="313" t="s">
        <v>2</v>
      </c>
      <c r="C178" s="340">
        <f>IF($H$176=3,F178,IF($H$176=2,E178,D178))</f>
        <v>0.35</v>
      </c>
      <c r="D178" s="340">
        <f>'Input summary'!D178</f>
        <v>0.35</v>
      </c>
      <c r="E178" s="340">
        <f>'Input summary'!E178</f>
        <v>0</v>
      </c>
      <c r="F178" s="340">
        <f>'Input summary'!F178</f>
        <v>0.7</v>
      </c>
      <c r="G178" s="407"/>
      <c r="I178" s="442" t="s">
        <v>2</v>
      </c>
      <c r="J178" s="340">
        <f>IF($H$176=3,F178,IF($H$176=2,E178,D178))</f>
        <v>0.35</v>
      </c>
      <c r="K178" s="340">
        <f t="shared" ref="K178:K200" si="41">D178</f>
        <v>0.35</v>
      </c>
      <c r="L178" s="340">
        <f t="shared" ref="L178:L200" si="42">E178</f>
        <v>0</v>
      </c>
      <c r="M178" s="340">
        <f t="shared" ref="M178:M200" si="43">F178</f>
        <v>0.7</v>
      </c>
      <c r="N178" s="340"/>
    </row>
    <row r="179" spans="2:14" x14ac:dyDescent="0.3">
      <c r="B179" s="313" t="s">
        <v>3</v>
      </c>
      <c r="C179" s="340">
        <f t="shared" ref="C179:C200" si="44">IF($H$176=3,F179,IF($H$176=2,E179,D179))</f>
        <v>0.35</v>
      </c>
      <c r="D179" s="340">
        <f>'Input summary'!D179</f>
        <v>0.35</v>
      </c>
      <c r="E179" s="340">
        <f>'Input summary'!E179</f>
        <v>0</v>
      </c>
      <c r="F179" s="340">
        <f>'Input summary'!F179</f>
        <v>0.7</v>
      </c>
      <c r="G179" s="407"/>
      <c r="I179" s="442" t="s">
        <v>3</v>
      </c>
      <c r="J179" s="340">
        <f t="shared" ref="J179:J200" si="45">IF($H$176=3,F179,IF($H$176=2,E179,D179))</f>
        <v>0.35</v>
      </c>
      <c r="K179" s="340">
        <f t="shared" si="41"/>
        <v>0.35</v>
      </c>
      <c r="L179" s="340">
        <f t="shared" si="42"/>
        <v>0</v>
      </c>
      <c r="M179" s="340">
        <f t="shared" si="43"/>
        <v>0.7</v>
      </c>
      <c r="N179" s="340"/>
    </row>
    <row r="180" spans="2:14" x14ac:dyDescent="0.3">
      <c r="B180" s="313" t="s">
        <v>4</v>
      </c>
      <c r="C180" s="340">
        <f t="shared" si="44"/>
        <v>0.39</v>
      </c>
      <c r="D180" s="340">
        <f>'Input summary'!D180</f>
        <v>0.39</v>
      </c>
      <c r="E180" s="340">
        <f>'Input summary'!E180</f>
        <v>0</v>
      </c>
      <c r="F180" s="340">
        <f>'Input summary'!F180</f>
        <v>0.68</v>
      </c>
      <c r="G180" s="407"/>
      <c r="I180" s="442" t="s">
        <v>4</v>
      </c>
      <c r="J180" s="340">
        <f t="shared" si="45"/>
        <v>0.39</v>
      </c>
      <c r="K180" s="340">
        <f t="shared" si="41"/>
        <v>0.39</v>
      </c>
      <c r="L180" s="340">
        <f t="shared" si="42"/>
        <v>0</v>
      </c>
      <c r="M180" s="340">
        <f t="shared" si="43"/>
        <v>0.68</v>
      </c>
      <c r="N180" s="340"/>
    </row>
    <row r="181" spans="2:14" x14ac:dyDescent="0.3">
      <c r="B181" s="313" t="s">
        <v>5</v>
      </c>
      <c r="C181" s="340">
        <f t="shared" si="44"/>
        <v>0.57999999999999996</v>
      </c>
      <c r="D181" s="340">
        <f>'Input summary'!D181</f>
        <v>0.57999999999999996</v>
      </c>
      <c r="E181" s="340">
        <f>'Input summary'!E181</f>
        <v>0.34</v>
      </c>
      <c r="F181" s="340">
        <f>'Input summary'!F181</f>
        <v>0.73</v>
      </c>
      <c r="G181" s="407"/>
      <c r="I181" s="442" t="s">
        <v>5</v>
      </c>
      <c r="J181" s="340">
        <f t="shared" si="45"/>
        <v>0.57999999999999996</v>
      </c>
      <c r="K181" s="340">
        <f t="shared" si="41"/>
        <v>0.57999999999999996</v>
      </c>
      <c r="L181" s="340">
        <f t="shared" si="42"/>
        <v>0.34</v>
      </c>
      <c r="M181" s="340">
        <f t="shared" si="43"/>
        <v>0.73</v>
      </c>
      <c r="N181" s="340"/>
    </row>
    <row r="182" spans="2:14" x14ac:dyDescent="0.3">
      <c r="B182" s="313" t="s">
        <v>6</v>
      </c>
      <c r="C182" s="340">
        <f t="shared" si="44"/>
        <v>0.57999999999999996</v>
      </c>
      <c r="D182" s="340">
        <f>'Input summary'!D182</f>
        <v>0.57999999999999996</v>
      </c>
      <c r="E182" s="340">
        <f>'Input summary'!E182</f>
        <v>0.34</v>
      </c>
      <c r="F182" s="340">
        <f>'Input summary'!F182</f>
        <v>0.73</v>
      </c>
      <c r="G182" s="407"/>
      <c r="I182" s="442" t="s">
        <v>6</v>
      </c>
      <c r="J182" s="340">
        <f t="shared" si="45"/>
        <v>0.57999999999999996</v>
      </c>
      <c r="K182" s="340">
        <f t="shared" si="41"/>
        <v>0.57999999999999996</v>
      </c>
      <c r="L182" s="340">
        <f t="shared" si="42"/>
        <v>0.34</v>
      </c>
      <c r="M182" s="340">
        <f t="shared" si="43"/>
        <v>0.73</v>
      </c>
      <c r="N182" s="340"/>
    </row>
    <row r="183" spans="2:14" x14ac:dyDescent="0.3">
      <c r="B183" s="313" t="s">
        <v>7</v>
      </c>
      <c r="C183" s="340">
        <f t="shared" si="44"/>
        <v>0.57999999999999996</v>
      </c>
      <c r="D183" s="340">
        <f>'Input summary'!D183</f>
        <v>0.57999999999999996</v>
      </c>
      <c r="E183" s="340">
        <f>'Input summary'!E183</f>
        <v>0.34</v>
      </c>
      <c r="F183" s="340">
        <f>'Input summary'!F183</f>
        <v>0.73</v>
      </c>
      <c r="G183" s="407"/>
      <c r="I183" s="442" t="s">
        <v>7</v>
      </c>
      <c r="J183" s="340">
        <f t="shared" si="45"/>
        <v>0.57999999999999996</v>
      </c>
      <c r="K183" s="340">
        <f t="shared" si="41"/>
        <v>0.57999999999999996</v>
      </c>
      <c r="L183" s="340">
        <f t="shared" si="42"/>
        <v>0.34</v>
      </c>
      <c r="M183" s="340">
        <f t="shared" si="43"/>
        <v>0.73</v>
      </c>
      <c r="N183" s="340"/>
    </row>
    <row r="184" spans="2:14" x14ac:dyDescent="0.3">
      <c r="B184" s="313" t="s">
        <v>11</v>
      </c>
      <c r="C184" s="340">
        <f t="shared" si="44"/>
        <v>0.57999999999999996</v>
      </c>
      <c r="D184" s="340">
        <f>'Input summary'!D184</f>
        <v>0.57999999999999996</v>
      </c>
      <c r="E184" s="340">
        <f>'Input summary'!E184</f>
        <v>0.34</v>
      </c>
      <c r="F184" s="340">
        <f>'Input summary'!F184</f>
        <v>0.73</v>
      </c>
      <c r="G184" s="407"/>
      <c r="I184" s="442" t="s">
        <v>1469</v>
      </c>
      <c r="J184" s="340">
        <f t="shared" si="45"/>
        <v>0.57999999999999996</v>
      </c>
      <c r="K184" s="340">
        <f t="shared" si="41"/>
        <v>0.57999999999999996</v>
      </c>
      <c r="L184" s="340">
        <f t="shared" si="42"/>
        <v>0.34</v>
      </c>
      <c r="M184" s="340">
        <f t="shared" si="43"/>
        <v>0.73</v>
      </c>
      <c r="N184" s="340"/>
    </row>
    <row r="185" spans="2:14" x14ac:dyDescent="0.3">
      <c r="B185" s="315" t="s">
        <v>1444</v>
      </c>
      <c r="C185" s="422"/>
      <c r="D185" s="422"/>
      <c r="E185" s="422"/>
      <c r="F185" s="422"/>
      <c r="G185" s="346"/>
      <c r="I185" s="441" t="s">
        <v>988</v>
      </c>
      <c r="J185" s="346"/>
      <c r="K185" s="422"/>
      <c r="L185" s="422"/>
      <c r="M185" s="422"/>
      <c r="N185" s="312"/>
    </row>
    <row r="186" spans="2:14" x14ac:dyDescent="0.3">
      <c r="B186" s="313" t="s">
        <v>2</v>
      </c>
      <c r="C186" s="340">
        <f t="shared" si="44"/>
        <v>0</v>
      </c>
      <c r="D186" s="340">
        <f>'Input summary'!D186</f>
        <v>0</v>
      </c>
      <c r="E186" s="340">
        <f>'Input summary'!E186</f>
        <v>0</v>
      </c>
      <c r="F186" s="340">
        <f>'Input summary'!F186</f>
        <v>0</v>
      </c>
      <c r="G186" s="407"/>
      <c r="I186" s="442" t="s">
        <v>2</v>
      </c>
      <c r="J186" s="340">
        <f t="shared" si="45"/>
        <v>0</v>
      </c>
      <c r="K186" s="340">
        <f t="shared" si="41"/>
        <v>0</v>
      </c>
      <c r="L186" s="340">
        <f t="shared" si="42"/>
        <v>0</v>
      </c>
      <c r="M186" s="340">
        <f t="shared" si="43"/>
        <v>0</v>
      </c>
      <c r="N186" s="340"/>
    </row>
    <row r="187" spans="2:14" x14ac:dyDescent="0.3">
      <c r="B187" s="313" t="s">
        <v>3</v>
      </c>
      <c r="C187" s="340">
        <f t="shared" si="44"/>
        <v>0</v>
      </c>
      <c r="D187" s="340">
        <f>'Input summary'!D187</f>
        <v>0</v>
      </c>
      <c r="E187" s="340">
        <f>'Input summary'!E187</f>
        <v>0</v>
      </c>
      <c r="F187" s="340">
        <f>'Input summary'!F187</f>
        <v>0</v>
      </c>
      <c r="G187" s="407"/>
      <c r="I187" s="442" t="s">
        <v>3</v>
      </c>
      <c r="J187" s="340">
        <f t="shared" si="45"/>
        <v>0</v>
      </c>
      <c r="K187" s="340">
        <f t="shared" si="41"/>
        <v>0</v>
      </c>
      <c r="L187" s="340">
        <f t="shared" si="42"/>
        <v>0</v>
      </c>
      <c r="M187" s="340">
        <f t="shared" si="43"/>
        <v>0</v>
      </c>
      <c r="N187" s="340"/>
    </row>
    <row r="188" spans="2:14" x14ac:dyDescent="0.3">
      <c r="B188" s="313" t="s">
        <v>4</v>
      </c>
      <c r="C188" s="340">
        <f t="shared" si="44"/>
        <v>0</v>
      </c>
      <c r="D188" s="340">
        <f>'Input summary'!D188</f>
        <v>0</v>
      </c>
      <c r="E188" s="340">
        <f>'Input summary'!E188</f>
        <v>0</v>
      </c>
      <c r="F188" s="340">
        <f>'Input summary'!F188</f>
        <v>0</v>
      </c>
      <c r="G188" s="407"/>
      <c r="I188" s="442" t="s">
        <v>4</v>
      </c>
      <c r="J188" s="340">
        <f t="shared" si="45"/>
        <v>0</v>
      </c>
      <c r="K188" s="340">
        <f t="shared" si="41"/>
        <v>0</v>
      </c>
      <c r="L188" s="340">
        <f t="shared" si="42"/>
        <v>0</v>
      </c>
      <c r="M188" s="340">
        <f t="shared" si="43"/>
        <v>0</v>
      </c>
      <c r="N188" s="340"/>
    </row>
    <row r="189" spans="2:14" x14ac:dyDescent="0.3">
      <c r="B189" s="313" t="s">
        <v>5</v>
      </c>
      <c r="C189" s="340">
        <f t="shared" si="44"/>
        <v>0.43645409834744886</v>
      </c>
      <c r="D189" s="340">
        <f>'Input summary'!D189</f>
        <v>0.43645409834744886</v>
      </c>
      <c r="E189" s="340">
        <f>'Input summary'!E189</f>
        <v>0.39206893580364055</v>
      </c>
      <c r="F189" s="340">
        <f>'Input summary'!F189</f>
        <v>0.47344173380062254</v>
      </c>
      <c r="G189" s="407"/>
      <c r="I189" s="442" t="s">
        <v>5</v>
      </c>
      <c r="J189" s="340">
        <f t="shared" si="45"/>
        <v>0.43645409834744886</v>
      </c>
      <c r="K189" s="340">
        <f t="shared" si="41"/>
        <v>0.43645409834744886</v>
      </c>
      <c r="L189" s="340">
        <f t="shared" si="42"/>
        <v>0.39206893580364055</v>
      </c>
      <c r="M189" s="340">
        <f t="shared" si="43"/>
        <v>0.47344173380062254</v>
      </c>
      <c r="N189" s="340"/>
    </row>
    <row r="190" spans="2:14" x14ac:dyDescent="0.3">
      <c r="B190" s="313" t="s">
        <v>6</v>
      </c>
      <c r="C190" s="340">
        <f t="shared" si="44"/>
        <v>0.43645409834744886</v>
      </c>
      <c r="D190" s="340">
        <f>'Input summary'!D190</f>
        <v>0.43645409834744886</v>
      </c>
      <c r="E190" s="340">
        <f>'Input summary'!E190</f>
        <v>0.39206893580364055</v>
      </c>
      <c r="F190" s="340">
        <f>'Input summary'!F190</f>
        <v>0.47344173380062254</v>
      </c>
      <c r="G190" s="407"/>
      <c r="I190" s="442" t="s">
        <v>6</v>
      </c>
      <c r="J190" s="340">
        <f t="shared" si="45"/>
        <v>0.43645409834744886</v>
      </c>
      <c r="K190" s="340">
        <f t="shared" si="41"/>
        <v>0.43645409834744886</v>
      </c>
      <c r="L190" s="340">
        <f t="shared" si="42"/>
        <v>0.39206893580364055</v>
      </c>
      <c r="M190" s="340">
        <f t="shared" si="43"/>
        <v>0.47344173380062254</v>
      </c>
      <c r="N190" s="340"/>
    </row>
    <row r="191" spans="2:14" x14ac:dyDescent="0.3">
      <c r="B191" s="313" t="s">
        <v>7</v>
      </c>
      <c r="C191" s="340">
        <f t="shared" si="44"/>
        <v>0.43645409834744886</v>
      </c>
      <c r="D191" s="340">
        <f>'Input summary'!D191</f>
        <v>0.43645409834744886</v>
      </c>
      <c r="E191" s="340">
        <f>'Input summary'!E191</f>
        <v>0.39206893580364055</v>
      </c>
      <c r="F191" s="340">
        <f>'Input summary'!F191</f>
        <v>0.47344173380062254</v>
      </c>
      <c r="G191" s="407"/>
      <c r="I191" s="442" t="s">
        <v>7</v>
      </c>
      <c r="J191" s="340">
        <f t="shared" si="45"/>
        <v>0.43645409834744886</v>
      </c>
      <c r="K191" s="340">
        <f t="shared" si="41"/>
        <v>0.43645409834744886</v>
      </c>
      <c r="L191" s="340">
        <f t="shared" si="42"/>
        <v>0.39206893580364055</v>
      </c>
      <c r="M191" s="340">
        <f t="shared" si="43"/>
        <v>0.47344173380062254</v>
      </c>
      <c r="N191" s="340"/>
    </row>
    <row r="192" spans="2:14" x14ac:dyDescent="0.3">
      <c r="B192" s="313" t="s">
        <v>11</v>
      </c>
      <c r="C192" s="340">
        <f t="shared" si="44"/>
        <v>0</v>
      </c>
      <c r="D192" s="340">
        <f>'Input summary'!D192</f>
        <v>0</v>
      </c>
      <c r="E192" s="340">
        <f>'Input summary'!E192</f>
        <v>0</v>
      </c>
      <c r="F192" s="340">
        <f>'Input summary'!F192</f>
        <v>0</v>
      </c>
      <c r="G192" s="407"/>
      <c r="I192" s="442" t="s">
        <v>1469</v>
      </c>
      <c r="J192" s="340">
        <f t="shared" si="45"/>
        <v>0</v>
      </c>
      <c r="K192" s="340">
        <f t="shared" si="41"/>
        <v>0</v>
      </c>
      <c r="L192" s="340">
        <f t="shared" si="42"/>
        <v>0</v>
      </c>
      <c r="M192" s="340">
        <f t="shared" si="43"/>
        <v>0</v>
      </c>
      <c r="N192" s="340"/>
    </row>
    <row r="193" spans="2:14" x14ac:dyDescent="0.3">
      <c r="B193" s="207" t="s">
        <v>227</v>
      </c>
      <c r="C193" s="422"/>
      <c r="D193" s="422"/>
      <c r="E193" s="422"/>
      <c r="F193" s="422"/>
      <c r="G193" s="346"/>
      <c r="I193" s="443" t="s">
        <v>227</v>
      </c>
      <c r="J193" s="346"/>
      <c r="K193" s="422"/>
      <c r="L193" s="422"/>
      <c r="M193" s="422"/>
      <c r="N193" s="299"/>
    </row>
    <row r="194" spans="2:14" x14ac:dyDescent="0.3">
      <c r="B194" s="206" t="s">
        <v>1437</v>
      </c>
      <c r="C194" s="340">
        <f t="shared" si="44"/>
        <v>0.504</v>
      </c>
      <c r="D194" s="340">
        <f>'Input summary'!D194</f>
        <v>0.504</v>
      </c>
      <c r="E194" s="340">
        <f>'Input summary'!E194</f>
        <v>0.14199999999999999</v>
      </c>
      <c r="F194" s="340">
        <f>'Input summary'!F194</f>
        <v>0.71199999999999997</v>
      </c>
      <c r="G194" s="407"/>
      <c r="I194" s="444" t="s">
        <v>1437</v>
      </c>
      <c r="J194" s="340">
        <f t="shared" si="45"/>
        <v>0.504</v>
      </c>
      <c r="K194" s="340">
        <f t="shared" si="41"/>
        <v>0.504</v>
      </c>
      <c r="L194" s="340">
        <f t="shared" si="42"/>
        <v>0.14199999999999999</v>
      </c>
      <c r="M194" s="340">
        <f t="shared" si="43"/>
        <v>0.71199999999999997</v>
      </c>
      <c r="N194" s="340"/>
    </row>
    <row r="195" spans="2:14" x14ac:dyDescent="0.3">
      <c r="B195" s="206" t="s">
        <v>1438</v>
      </c>
      <c r="C195" s="340">
        <f t="shared" si="44"/>
        <v>0</v>
      </c>
      <c r="D195" s="340">
        <f>'Input summary'!D195</f>
        <v>0</v>
      </c>
      <c r="E195" s="340">
        <f>'Input summary'!E195</f>
        <v>0</v>
      </c>
      <c r="F195" s="340">
        <f>'Input summary'!F195</f>
        <v>0</v>
      </c>
      <c r="G195" s="407"/>
      <c r="I195" s="444" t="s">
        <v>1438</v>
      </c>
      <c r="J195" s="340">
        <f t="shared" si="45"/>
        <v>0</v>
      </c>
      <c r="K195" s="340">
        <f t="shared" si="41"/>
        <v>0</v>
      </c>
      <c r="L195" s="340">
        <f t="shared" si="42"/>
        <v>0</v>
      </c>
      <c r="M195" s="340">
        <f t="shared" si="43"/>
        <v>0</v>
      </c>
      <c r="N195" s="340"/>
    </row>
    <row r="196" spans="2:14" x14ac:dyDescent="0.3">
      <c r="B196" s="206" t="s">
        <v>1441</v>
      </c>
      <c r="C196" s="340">
        <f t="shared" si="44"/>
        <v>0.48</v>
      </c>
      <c r="D196" s="340">
        <f>'Input summary'!D196</f>
        <v>0.48</v>
      </c>
      <c r="E196" s="340">
        <f>'Input summary'!E196</f>
        <v>0.11600000000000001</v>
      </c>
      <c r="F196" s="340">
        <f>'Input summary'!F196</f>
        <v>0.70399999999999996</v>
      </c>
      <c r="G196" s="407"/>
      <c r="I196" s="444" t="s">
        <v>1441</v>
      </c>
      <c r="J196" s="340">
        <f t="shared" si="45"/>
        <v>0.48</v>
      </c>
      <c r="K196" s="340">
        <f t="shared" si="41"/>
        <v>0.48</v>
      </c>
      <c r="L196" s="340">
        <f t="shared" si="42"/>
        <v>0.11600000000000001</v>
      </c>
      <c r="M196" s="340">
        <f t="shared" si="43"/>
        <v>0.70399999999999996</v>
      </c>
      <c r="N196" s="340"/>
    </row>
    <row r="197" spans="2:14" x14ac:dyDescent="0.3">
      <c r="B197" s="206" t="s">
        <v>1442</v>
      </c>
      <c r="C197" s="340">
        <f t="shared" si="44"/>
        <v>0</v>
      </c>
      <c r="D197" s="340">
        <f>'Input summary'!D197</f>
        <v>0</v>
      </c>
      <c r="E197" s="340">
        <f>'Input summary'!E197</f>
        <v>0</v>
      </c>
      <c r="F197" s="340">
        <f>'Input summary'!F197</f>
        <v>0</v>
      </c>
      <c r="G197" s="407"/>
      <c r="I197" s="444" t="s">
        <v>1442</v>
      </c>
      <c r="J197" s="340">
        <f t="shared" si="45"/>
        <v>0</v>
      </c>
      <c r="K197" s="340">
        <f t="shared" si="41"/>
        <v>0</v>
      </c>
      <c r="L197" s="340">
        <f t="shared" si="42"/>
        <v>0</v>
      </c>
      <c r="M197" s="340">
        <f t="shared" si="43"/>
        <v>0</v>
      </c>
      <c r="N197" s="340"/>
    </row>
    <row r="198" spans="2:14" x14ac:dyDescent="0.3">
      <c r="B198" s="207" t="s">
        <v>920</v>
      </c>
      <c r="C198" s="422"/>
      <c r="D198" s="422"/>
      <c r="E198" s="422"/>
      <c r="F198" s="422"/>
      <c r="G198" s="346"/>
      <c r="I198" s="443" t="s">
        <v>920</v>
      </c>
      <c r="J198" s="346"/>
      <c r="K198" s="422"/>
      <c r="L198" s="422"/>
      <c r="M198" s="422"/>
      <c r="N198" s="299"/>
    </row>
    <row r="199" spans="2:14" x14ac:dyDescent="0.3">
      <c r="B199" s="206" t="s">
        <v>920</v>
      </c>
      <c r="C199" s="340">
        <f t="shared" si="44"/>
        <v>0</v>
      </c>
      <c r="D199" s="340">
        <f>'Input summary'!D199</f>
        <v>0</v>
      </c>
      <c r="E199" s="340">
        <f>'Input summary'!E199</f>
        <v>0</v>
      </c>
      <c r="F199" s="340">
        <f>'Input summary'!F199</f>
        <v>0</v>
      </c>
      <c r="G199" s="407"/>
      <c r="I199" s="444" t="s">
        <v>920</v>
      </c>
      <c r="J199" s="340">
        <f t="shared" si="45"/>
        <v>0</v>
      </c>
      <c r="K199" s="340">
        <f t="shared" si="41"/>
        <v>0</v>
      </c>
      <c r="L199" s="340">
        <f t="shared" si="42"/>
        <v>0</v>
      </c>
      <c r="M199" s="340">
        <f t="shared" si="43"/>
        <v>0</v>
      </c>
      <c r="N199" s="340"/>
    </row>
    <row r="200" spans="2:14" x14ac:dyDescent="0.3">
      <c r="B200" s="206" t="s">
        <v>980</v>
      </c>
      <c r="C200" s="340">
        <f t="shared" si="44"/>
        <v>0</v>
      </c>
      <c r="D200" s="340">
        <f>'Input summary'!D200</f>
        <v>0</v>
      </c>
      <c r="E200" s="340">
        <f>'Input summary'!E200</f>
        <v>0</v>
      </c>
      <c r="F200" s="340">
        <f>'Input summary'!F200</f>
        <v>0</v>
      </c>
      <c r="G200" s="407"/>
      <c r="I200" s="444" t="s">
        <v>980</v>
      </c>
      <c r="J200" s="340">
        <f t="shared" si="45"/>
        <v>0</v>
      </c>
      <c r="K200" s="340">
        <f t="shared" si="41"/>
        <v>0</v>
      </c>
      <c r="L200" s="340">
        <f t="shared" si="42"/>
        <v>0</v>
      </c>
      <c r="M200" s="340">
        <f t="shared" si="43"/>
        <v>0</v>
      </c>
      <c r="N200" s="340"/>
    </row>
    <row r="201" spans="2:14" x14ac:dyDescent="0.3">
      <c r="B201" s="313"/>
      <c r="C201" s="316"/>
      <c r="D201" s="316"/>
      <c r="E201" s="316"/>
      <c r="F201" s="312"/>
      <c r="G201" s="312"/>
      <c r="I201" s="442"/>
      <c r="J201" s="316"/>
      <c r="K201" s="316"/>
      <c r="L201" s="316"/>
      <c r="M201" s="312"/>
      <c r="N201" s="312"/>
    </row>
    <row r="202" spans="2:14" x14ac:dyDescent="0.3">
      <c r="B202" s="294" t="s">
        <v>999</v>
      </c>
      <c r="C202" s="294"/>
      <c r="D202" s="294"/>
      <c r="E202" s="294"/>
      <c r="F202" s="294"/>
      <c r="G202" s="294"/>
      <c r="H202" s="322"/>
      <c r="I202" s="438" t="s">
        <v>999</v>
      </c>
      <c r="J202" s="294"/>
      <c r="K202" s="294"/>
      <c r="L202" s="294"/>
      <c r="M202" s="294"/>
      <c r="N202" s="294"/>
    </row>
    <row r="203" spans="2:14" ht="21" x14ac:dyDescent="0.3">
      <c r="B203" s="339" t="s">
        <v>552</v>
      </c>
      <c r="C203" s="301"/>
      <c r="D203" s="301"/>
      <c r="E203" s="301"/>
      <c r="F203" s="301"/>
      <c r="G203" s="301"/>
      <c r="H203" s="455" t="s">
        <v>1468</v>
      </c>
      <c r="I203" s="439" t="s">
        <v>553</v>
      </c>
      <c r="J203" s="301"/>
      <c r="K203" s="301"/>
      <c r="L203" s="301"/>
      <c r="M203" s="301"/>
      <c r="N203" s="301"/>
    </row>
    <row r="204" spans="2:14" ht="21" x14ac:dyDescent="0.3">
      <c r="B204" s="17" t="s">
        <v>950</v>
      </c>
      <c r="C204" s="152" t="s">
        <v>724</v>
      </c>
      <c r="D204" s="152" t="s">
        <v>995</v>
      </c>
      <c r="E204" s="152" t="s">
        <v>985</v>
      </c>
      <c r="F204" s="152" t="s">
        <v>986</v>
      </c>
      <c r="G204" s="152"/>
      <c r="H204" s="455">
        <f>'SA Results'!$Q$2</f>
        <v>1</v>
      </c>
      <c r="I204" s="440" t="s">
        <v>950</v>
      </c>
      <c r="J204" s="152" t="s">
        <v>724</v>
      </c>
      <c r="K204" s="152" t="s">
        <v>995</v>
      </c>
      <c r="L204" s="152" t="s">
        <v>985</v>
      </c>
      <c r="M204" s="152" t="s">
        <v>986</v>
      </c>
      <c r="N204" s="152"/>
    </row>
    <row r="205" spans="2:14" x14ac:dyDescent="0.3">
      <c r="B205" s="315" t="s">
        <v>1445</v>
      </c>
      <c r="D205" s="322"/>
      <c r="E205" s="322"/>
      <c r="G205" s="297"/>
      <c r="H205" s="322"/>
      <c r="I205" s="441" t="s">
        <v>988</v>
      </c>
    </row>
    <row r="206" spans="2:14" x14ac:dyDescent="0.3">
      <c r="B206" s="313" t="s">
        <v>2</v>
      </c>
      <c r="C206" s="340">
        <f>IF($H$204=3,F206,IF($H$204=2,E206,D206))</f>
        <v>0.35</v>
      </c>
      <c r="D206" s="340">
        <f>'Input summary'!D206</f>
        <v>0.35</v>
      </c>
      <c r="E206" s="340">
        <f>'Input summary'!E206</f>
        <v>0</v>
      </c>
      <c r="F206" s="340">
        <f>'Input summary'!F206</f>
        <v>0.7</v>
      </c>
      <c r="G206" s="407"/>
      <c r="H206" s="322"/>
      <c r="I206" s="442" t="s">
        <v>2</v>
      </c>
      <c r="J206" s="340">
        <f>C206</f>
        <v>0.35</v>
      </c>
      <c r="K206" s="340">
        <f t="shared" ref="K206:K212" si="46">D206</f>
        <v>0.35</v>
      </c>
      <c r="L206" s="340">
        <f t="shared" ref="L206:L212" si="47">E206</f>
        <v>0</v>
      </c>
      <c r="M206" s="340">
        <f t="shared" ref="M206:M212" si="48">F206</f>
        <v>0.7</v>
      </c>
      <c r="N206" s="340"/>
    </row>
    <row r="207" spans="2:14" x14ac:dyDescent="0.3">
      <c r="B207" s="313" t="s">
        <v>3</v>
      </c>
      <c r="C207" s="340">
        <f t="shared" ref="C207:C228" si="49">IF($H$204=3,F207,IF($H$204=2,E207,D207))</f>
        <v>0.35</v>
      </c>
      <c r="D207" s="340">
        <f>'Input summary'!D207</f>
        <v>0.35</v>
      </c>
      <c r="E207" s="340">
        <f>'Input summary'!E207</f>
        <v>0</v>
      </c>
      <c r="F207" s="340">
        <f>'Input summary'!F207</f>
        <v>0.7</v>
      </c>
      <c r="G207" s="407"/>
      <c r="H207" s="322"/>
      <c r="I207" s="442" t="s">
        <v>3</v>
      </c>
      <c r="J207" s="340">
        <f t="shared" ref="J207:J212" si="50">C207</f>
        <v>0.35</v>
      </c>
      <c r="K207" s="340">
        <f t="shared" si="46"/>
        <v>0.35</v>
      </c>
      <c r="L207" s="340">
        <f t="shared" si="47"/>
        <v>0</v>
      </c>
      <c r="M207" s="340">
        <f t="shared" si="48"/>
        <v>0.7</v>
      </c>
      <c r="N207" s="340"/>
    </row>
    <row r="208" spans="2:14" x14ac:dyDescent="0.3">
      <c r="B208" s="313" t="s">
        <v>4</v>
      </c>
      <c r="C208" s="340">
        <f t="shared" si="49"/>
        <v>0.39</v>
      </c>
      <c r="D208" s="340">
        <f>'Input summary'!D208</f>
        <v>0.39</v>
      </c>
      <c r="E208" s="340">
        <f>'Input summary'!E208</f>
        <v>0</v>
      </c>
      <c r="F208" s="340">
        <f>'Input summary'!F208</f>
        <v>0.68</v>
      </c>
      <c r="G208" s="407"/>
      <c r="H208" s="322"/>
      <c r="I208" s="442" t="s">
        <v>4</v>
      </c>
      <c r="J208" s="340">
        <f t="shared" si="50"/>
        <v>0.39</v>
      </c>
      <c r="K208" s="340">
        <f t="shared" si="46"/>
        <v>0.39</v>
      </c>
      <c r="L208" s="340">
        <f t="shared" si="47"/>
        <v>0</v>
      </c>
      <c r="M208" s="340">
        <f t="shared" si="48"/>
        <v>0.68</v>
      </c>
      <c r="N208" s="340"/>
    </row>
    <row r="209" spans="2:14" x14ac:dyDescent="0.3">
      <c r="B209" s="313" t="s">
        <v>5</v>
      </c>
      <c r="C209" s="340">
        <f t="shared" si="49"/>
        <v>0.57999999999999996</v>
      </c>
      <c r="D209" s="340">
        <f>'Input summary'!D209</f>
        <v>0.57999999999999996</v>
      </c>
      <c r="E209" s="340">
        <f>'Input summary'!E209</f>
        <v>0.34</v>
      </c>
      <c r="F209" s="340">
        <f>'Input summary'!F209</f>
        <v>0.73</v>
      </c>
      <c r="G209" s="407"/>
      <c r="H209" s="322"/>
      <c r="I209" s="442" t="s">
        <v>5</v>
      </c>
      <c r="J209" s="340">
        <f t="shared" si="50"/>
        <v>0.57999999999999996</v>
      </c>
      <c r="K209" s="340">
        <f t="shared" si="46"/>
        <v>0.57999999999999996</v>
      </c>
      <c r="L209" s="340">
        <f t="shared" si="47"/>
        <v>0.34</v>
      </c>
      <c r="M209" s="340">
        <f t="shared" si="48"/>
        <v>0.73</v>
      </c>
      <c r="N209" s="340"/>
    </row>
    <row r="210" spans="2:14" x14ac:dyDescent="0.3">
      <c r="B210" s="313" t="s">
        <v>6</v>
      </c>
      <c r="C210" s="340">
        <f t="shared" si="49"/>
        <v>0.57999999999999996</v>
      </c>
      <c r="D210" s="340">
        <f>'Input summary'!D210</f>
        <v>0.57999999999999996</v>
      </c>
      <c r="E210" s="340">
        <f>'Input summary'!E210</f>
        <v>0.34</v>
      </c>
      <c r="F210" s="340">
        <f>'Input summary'!F210</f>
        <v>0.73</v>
      </c>
      <c r="G210" s="407"/>
      <c r="H210" s="322"/>
      <c r="I210" s="442" t="s">
        <v>6</v>
      </c>
      <c r="J210" s="340">
        <f t="shared" si="50"/>
        <v>0.57999999999999996</v>
      </c>
      <c r="K210" s="340">
        <f t="shared" si="46"/>
        <v>0.57999999999999996</v>
      </c>
      <c r="L210" s="340">
        <f t="shared" si="47"/>
        <v>0.34</v>
      </c>
      <c r="M210" s="340">
        <f t="shared" si="48"/>
        <v>0.73</v>
      </c>
      <c r="N210" s="340"/>
    </row>
    <row r="211" spans="2:14" x14ac:dyDescent="0.3">
      <c r="B211" s="313" t="s">
        <v>7</v>
      </c>
      <c r="C211" s="340">
        <f t="shared" si="49"/>
        <v>0.57999999999999996</v>
      </c>
      <c r="D211" s="340">
        <f>'Input summary'!D211</f>
        <v>0.57999999999999996</v>
      </c>
      <c r="E211" s="340">
        <f>'Input summary'!E211</f>
        <v>0.34</v>
      </c>
      <c r="F211" s="340">
        <f>'Input summary'!F211</f>
        <v>0.73</v>
      </c>
      <c r="G211" s="407"/>
      <c r="H211" s="322"/>
      <c r="I211" s="442" t="s">
        <v>7</v>
      </c>
      <c r="J211" s="340">
        <f t="shared" si="50"/>
        <v>0.57999999999999996</v>
      </c>
      <c r="K211" s="340">
        <f t="shared" si="46"/>
        <v>0.57999999999999996</v>
      </c>
      <c r="L211" s="340">
        <f t="shared" si="47"/>
        <v>0.34</v>
      </c>
      <c r="M211" s="340">
        <f t="shared" si="48"/>
        <v>0.73</v>
      </c>
      <c r="N211" s="340"/>
    </row>
    <row r="212" spans="2:14" x14ac:dyDescent="0.3">
      <c r="B212" s="313" t="s">
        <v>11</v>
      </c>
      <c r="C212" s="340">
        <f t="shared" si="49"/>
        <v>0.57999999999999996</v>
      </c>
      <c r="D212" s="340">
        <f>'Input summary'!D212</f>
        <v>0.57999999999999996</v>
      </c>
      <c r="E212" s="340">
        <f>'Input summary'!E212</f>
        <v>0.34</v>
      </c>
      <c r="F212" s="340">
        <f>'Input summary'!F212</f>
        <v>0.73</v>
      </c>
      <c r="G212" s="407"/>
      <c r="H212" s="322"/>
      <c r="I212" s="442" t="s">
        <v>1469</v>
      </c>
      <c r="J212" s="340">
        <f t="shared" si="50"/>
        <v>0.57999999999999996</v>
      </c>
      <c r="K212" s="340">
        <f t="shared" si="46"/>
        <v>0.57999999999999996</v>
      </c>
      <c r="L212" s="340">
        <f t="shared" si="47"/>
        <v>0.34</v>
      </c>
      <c r="M212" s="340">
        <f t="shared" si="48"/>
        <v>0.73</v>
      </c>
      <c r="N212" s="340"/>
    </row>
    <row r="213" spans="2:14" x14ac:dyDescent="0.3">
      <c r="B213" s="315" t="s">
        <v>1444</v>
      </c>
      <c r="C213" s="422"/>
      <c r="D213" s="422"/>
      <c r="E213" s="422"/>
      <c r="F213" s="422"/>
      <c r="G213" s="346"/>
      <c r="H213" s="322"/>
      <c r="I213" s="441" t="s">
        <v>988</v>
      </c>
      <c r="J213" s="346"/>
      <c r="K213" s="422"/>
      <c r="L213" s="422"/>
      <c r="M213" s="422"/>
      <c r="N213" s="346"/>
    </row>
    <row r="214" spans="2:14" x14ac:dyDescent="0.3">
      <c r="B214" s="313" t="s">
        <v>2</v>
      </c>
      <c r="C214" s="340">
        <f t="shared" si="49"/>
        <v>0</v>
      </c>
      <c r="D214" s="340">
        <f>'Input summary'!D214</f>
        <v>0</v>
      </c>
      <c r="E214" s="340">
        <f>'Input summary'!E214</f>
        <v>0</v>
      </c>
      <c r="F214" s="340">
        <f>'Input summary'!F214</f>
        <v>0</v>
      </c>
      <c r="G214" s="407"/>
      <c r="H214" s="322"/>
      <c r="I214" s="442" t="s">
        <v>2</v>
      </c>
      <c r="J214" s="340">
        <f t="shared" ref="J214:J220" si="51">C214</f>
        <v>0</v>
      </c>
      <c r="K214" s="340">
        <f t="shared" ref="K214:K220" si="52">D214</f>
        <v>0</v>
      </c>
      <c r="L214" s="340">
        <f t="shared" ref="L214:L220" si="53">E214</f>
        <v>0</v>
      </c>
      <c r="M214" s="340">
        <f t="shared" ref="M214:M220" si="54">F214</f>
        <v>0</v>
      </c>
      <c r="N214" s="340"/>
    </row>
    <row r="215" spans="2:14" x14ac:dyDescent="0.3">
      <c r="B215" s="313" t="s">
        <v>3</v>
      </c>
      <c r="C215" s="340">
        <f t="shared" si="49"/>
        <v>0</v>
      </c>
      <c r="D215" s="340">
        <f>'Input summary'!D215</f>
        <v>0</v>
      </c>
      <c r="E215" s="340">
        <f>'Input summary'!E215</f>
        <v>0</v>
      </c>
      <c r="F215" s="340">
        <f>'Input summary'!F215</f>
        <v>0</v>
      </c>
      <c r="G215" s="407"/>
      <c r="H215" s="322"/>
      <c r="I215" s="442" t="s">
        <v>3</v>
      </c>
      <c r="J215" s="340">
        <f t="shared" si="51"/>
        <v>0</v>
      </c>
      <c r="K215" s="340">
        <f t="shared" si="52"/>
        <v>0</v>
      </c>
      <c r="L215" s="340">
        <f t="shared" si="53"/>
        <v>0</v>
      </c>
      <c r="M215" s="340">
        <f t="shared" si="54"/>
        <v>0</v>
      </c>
      <c r="N215" s="340"/>
    </row>
    <row r="216" spans="2:14" x14ac:dyDescent="0.3">
      <c r="B216" s="313" t="s">
        <v>4</v>
      </c>
      <c r="C216" s="340">
        <f t="shared" si="49"/>
        <v>0</v>
      </c>
      <c r="D216" s="340">
        <f>'Input summary'!D216</f>
        <v>0</v>
      </c>
      <c r="E216" s="340">
        <f>'Input summary'!E216</f>
        <v>0</v>
      </c>
      <c r="F216" s="340">
        <f>'Input summary'!F216</f>
        <v>0</v>
      </c>
      <c r="G216" s="407"/>
      <c r="H216" s="322"/>
      <c r="I216" s="442" t="s">
        <v>4</v>
      </c>
      <c r="J216" s="340">
        <f t="shared" si="51"/>
        <v>0</v>
      </c>
      <c r="K216" s="340">
        <f t="shared" si="52"/>
        <v>0</v>
      </c>
      <c r="L216" s="340">
        <f t="shared" si="53"/>
        <v>0</v>
      </c>
      <c r="M216" s="340">
        <f t="shared" si="54"/>
        <v>0</v>
      </c>
      <c r="N216" s="340"/>
    </row>
    <row r="217" spans="2:14" x14ac:dyDescent="0.3">
      <c r="B217" s="313" t="s">
        <v>5</v>
      </c>
      <c r="C217" s="340">
        <f t="shared" si="49"/>
        <v>0.43645409834744886</v>
      </c>
      <c r="D217" s="340">
        <f>'Input summary'!D217</f>
        <v>0.43645409834744886</v>
      </c>
      <c r="E217" s="340">
        <f>'Input summary'!E217</f>
        <v>0.39206893580364055</v>
      </c>
      <c r="F217" s="340">
        <f>'Input summary'!F217</f>
        <v>0.47344173380062254</v>
      </c>
      <c r="G217" s="407"/>
      <c r="H217" s="322"/>
      <c r="I217" s="442" t="s">
        <v>5</v>
      </c>
      <c r="J217" s="340">
        <f t="shared" si="51"/>
        <v>0.43645409834744886</v>
      </c>
      <c r="K217" s="340">
        <f t="shared" si="52"/>
        <v>0.43645409834744886</v>
      </c>
      <c r="L217" s="340">
        <f t="shared" si="53"/>
        <v>0.39206893580364055</v>
      </c>
      <c r="M217" s="340">
        <f t="shared" si="54"/>
        <v>0.47344173380062254</v>
      </c>
      <c r="N217" s="340"/>
    </row>
    <row r="218" spans="2:14" x14ac:dyDescent="0.3">
      <c r="B218" s="313" t="s">
        <v>6</v>
      </c>
      <c r="C218" s="340">
        <f t="shared" si="49"/>
        <v>0.43645409834744886</v>
      </c>
      <c r="D218" s="340">
        <f>'Input summary'!D218</f>
        <v>0.43645409834744886</v>
      </c>
      <c r="E218" s="340">
        <f>'Input summary'!E218</f>
        <v>0.39206893580364055</v>
      </c>
      <c r="F218" s="340">
        <f>'Input summary'!F218</f>
        <v>0.47344173380062254</v>
      </c>
      <c r="G218" s="407"/>
      <c r="H218" s="322"/>
      <c r="I218" s="442" t="s">
        <v>6</v>
      </c>
      <c r="J218" s="340">
        <f t="shared" si="51"/>
        <v>0.43645409834744886</v>
      </c>
      <c r="K218" s="340">
        <f t="shared" si="52"/>
        <v>0.43645409834744886</v>
      </c>
      <c r="L218" s="340">
        <f t="shared" si="53"/>
        <v>0.39206893580364055</v>
      </c>
      <c r="M218" s="340">
        <f t="shared" si="54"/>
        <v>0.47344173380062254</v>
      </c>
      <c r="N218" s="340"/>
    </row>
    <row r="219" spans="2:14" x14ac:dyDescent="0.3">
      <c r="B219" s="313" t="s">
        <v>7</v>
      </c>
      <c r="C219" s="340">
        <f t="shared" si="49"/>
        <v>0.43645409834744886</v>
      </c>
      <c r="D219" s="340">
        <f>'Input summary'!D219</f>
        <v>0.43645409834744886</v>
      </c>
      <c r="E219" s="340">
        <f>'Input summary'!E219</f>
        <v>0.39206893580364055</v>
      </c>
      <c r="F219" s="340">
        <f>'Input summary'!F219</f>
        <v>0.47344173380062254</v>
      </c>
      <c r="G219" s="407"/>
      <c r="H219" s="322"/>
      <c r="I219" s="442" t="s">
        <v>7</v>
      </c>
      <c r="J219" s="340">
        <f t="shared" si="51"/>
        <v>0.43645409834744886</v>
      </c>
      <c r="K219" s="340">
        <f t="shared" si="52"/>
        <v>0.43645409834744886</v>
      </c>
      <c r="L219" s="340">
        <f t="shared" si="53"/>
        <v>0.39206893580364055</v>
      </c>
      <c r="M219" s="340">
        <f t="shared" si="54"/>
        <v>0.47344173380062254</v>
      </c>
      <c r="N219" s="340"/>
    </row>
    <row r="220" spans="2:14" x14ac:dyDescent="0.3">
      <c r="B220" s="313" t="s">
        <v>11</v>
      </c>
      <c r="C220" s="340">
        <f t="shared" si="49"/>
        <v>0</v>
      </c>
      <c r="D220" s="340">
        <f>'Input summary'!D220</f>
        <v>0</v>
      </c>
      <c r="E220" s="340">
        <f>'Input summary'!E220</f>
        <v>0</v>
      </c>
      <c r="F220" s="340">
        <f>'Input summary'!F220</f>
        <v>0</v>
      </c>
      <c r="G220" s="407"/>
      <c r="H220" s="322"/>
      <c r="I220" s="442" t="s">
        <v>1469</v>
      </c>
      <c r="J220" s="340">
        <f t="shared" si="51"/>
        <v>0</v>
      </c>
      <c r="K220" s="340">
        <f t="shared" si="52"/>
        <v>0</v>
      </c>
      <c r="L220" s="340">
        <f t="shared" si="53"/>
        <v>0</v>
      </c>
      <c r="M220" s="340">
        <f t="shared" si="54"/>
        <v>0</v>
      </c>
      <c r="N220" s="340"/>
    </row>
    <row r="221" spans="2:14" x14ac:dyDescent="0.3">
      <c r="B221" s="207" t="s">
        <v>227</v>
      </c>
      <c r="C221" s="422"/>
      <c r="D221" s="422"/>
      <c r="E221" s="422"/>
      <c r="F221" s="422"/>
      <c r="G221" s="346"/>
      <c r="H221" s="322"/>
      <c r="I221" s="443" t="s">
        <v>227</v>
      </c>
      <c r="J221" s="346"/>
      <c r="K221" s="422"/>
      <c r="L221" s="422"/>
      <c r="M221" s="422"/>
      <c r="N221" s="346"/>
    </row>
    <row r="222" spans="2:14" x14ac:dyDescent="0.3">
      <c r="B222" s="206" t="s">
        <v>1437</v>
      </c>
      <c r="C222" s="340">
        <f t="shared" si="49"/>
        <v>0.504</v>
      </c>
      <c r="D222" s="340">
        <f>'Input summary'!D222</f>
        <v>0.504</v>
      </c>
      <c r="E222" s="340">
        <f>'Input summary'!E222</f>
        <v>0.14199999999999999</v>
      </c>
      <c r="F222" s="340">
        <f>'Input summary'!F222</f>
        <v>0.71199999999999997</v>
      </c>
      <c r="G222" s="407"/>
      <c r="H222" s="322"/>
      <c r="I222" s="444" t="s">
        <v>1437</v>
      </c>
      <c r="J222" s="340">
        <f t="shared" ref="J222:J225" si="55">C222</f>
        <v>0.504</v>
      </c>
      <c r="K222" s="340">
        <f t="shared" ref="K222:K225" si="56">D222</f>
        <v>0.504</v>
      </c>
      <c r="L222" s="340">
        <f t="shared" ref="L222:L225" si="57">E222</f>
        <v>0.14199999999999999</v>
      </c>
      <c r="M222" s="340">
        <f t="shared" ref="M222:M225" si="58">F222</f>
        <v>0.71199999999999997</v>
      </c>
      <c r="N222" s="340"/>
    </row>
    <row r="223" spans="2:14" x14ac:dyDescent="0.3">
      <c r="B223" s="206" t="s">
        <v>1438</v>
      </c>
      <c r="C223" s="340">
        <f t="shared" si="49"/>
        <v>0</v>
      </c>
      <c r="D223" s="340">
        <f>'Input summary'!D223</f>
        <v>0</v>
      </c>
      <c r="E223" s="340">
        <f>'Input summary'!E223</f>
        <v>0</v>
      </c>
      <c r="F223" s="340">
        <f>'Input summary'!F223</f>
        <v>0</v>
      </c>
      <c r="G223" s="407"/>
      <c r="H223" s="322"/>
      <c r="I223" s="444" t="s">
        <v>1438</v>
      </c>
      <c r="J223" s="340">
        <f t="shared" si="55"/>
        <v>0</v>
      </c>
      <c r="K223" s="340">
        <f t="shared" si="56"/>
        <v>0</v>
      </c>
      <c r="L223" s="340">
        <f t="shared" si="57"/>
        <v>0</v>
      </c>
      <c r="M223" s="340">
        <f t="shared" si="58"/>
        <v>0</v>
      </c>
      <c r="N223" s="340"/>
    </row>
    <row r="224" spans="2:14" x14ac:dyDescent="0.3">
      <c r="B224" s="206" t="s">
        <v>1441</v>
      </c>
      <c r="C224" s="340">
        <f t="shared" si="49"/>
        <v>0.48</v>
      </c>
      <c r="D224" s="340">
        <f>'Input summary'!D224</f>
        <v>0.48</v>
      </c>
      <c r="E224" s="340">
        <f>'Input summary'!E224</f>
        <v>0.11600000000000001</v>
      </c>
      <c r="F224" s="340">
        <f>'Input summary'!F224</f>
        <v>0.70399999999999996</v>
      </c>
      <c r="G224" s="407"/>
      <c r="H224" s="322"/>
      <c r="I224" s="444" t="s">
        <v>1441</v>
      </c>
      <c r="J224" s="340">
        <f t="shared" si="55"/>
        <v>0.48</v>
      </c>
      <c r="K224" s="340">
        <f t="shared" si="56"/>
        <v>0.48</v>
      </c>
      <c r="L224" s="340">
        <f t="shared" si="57"/>
        <v>0.11600000000000001</v>
      </c>
      <c r="M224" s="340">
        <f t="shared" si="58"/>
        <v>0.70399999999999996</v>
      </c>
      <c r="N224" s="340"/>
    </row>
    <row r="225" spans="2:14" x14ac:dyDescent="0.3">
      <c r="B225" s="206" t="s">
        <v>1442</v>
      </c>
      <c r="C225" s="340">
        <f t="shared" si="49"/>
        <v>0</v>
      </c>
      <c r="D225" s="340">
        <f>'Input summary'!D225</f>
        <v>0</v>
      </c>
      <c r="E225" s="340">
        <f>'Input summary'!E225</f>
        <v>0</v>
      </c>
      <c r="F225" s="340">
        <f>'Input summary'!F225</f>
        <v>0</v>
      </c>
      <c r="G225" s="407"/>
      <c r="H225" s="322"/>
      <c r="I225" s="444" t="s">
        <v>1442</v>
      </c>
      <c r="J225" s="340">
        <f t="shared" si="55"/>
        <v>0</v>
      </c>
      <c r="K225" s="340">
        <f t="shared" si="56"/>
        <v>0</v>
      </c>
      <c r="L225" s="340">
        <f t="shared" si="57"/>
        <v>0</v>
      </c>
      <c r="M225" s="340">
        <f t="shared" si="58"/>
        <v>0</v>
      </c>
      <c r="N225" s="340"/>
    </row>
    <row r="226" spans="2:14" x14ac:dyDescent="0.3">
      <c r="B226" s="207" t="s">
        <v>920</v>
      </c>
      <c r="C226" s="422"/>
      <c r="D226" s="422"/>
      <c r="E226" s="422"/>
      <c r="F226" s="422"/>
      <c r="G226" s="346"/>
      <c r="H226" s="322"/>
      <c r="I226" s="443" t="s">
        <v>920</v>
      </c>
      <c r="J226" s="346"/>
      <c r="K226" s="422"/>
      <c r="L226" s="422"/>
      <c r="M226" s="422"/>
      <c r="N226" s="346"/>
    </row>
    <row r="227" spans="2:14" x14ac:dyDescent="0.3">
      <c r="B227" s="206" t="s">
        <v>920</v>
      </c>
      <c r="C227" s="340">
        <f t="shared" si="49"/>
        <v>0</v>
      </c>
      <c r="D227" s="340">
        <f>'Input summary'!D227</f>
        <v>0</v>
      </c>
      <c r="E227" s="340">
        <f>'Input summary'!E227</f>
        <v>0</v>
      </c>
      <c r="F227" s="340">
        <f>'Input summary'!F227</f>
        <v>0</v>
      </c>
      <c r="G227" s="407"/>
      <c r="H227" s="322"/>
      <c r="I227" s="444" t="s">
        <v>920</v>
      </c>
      <c r="J227" s="340">
        <f t="shared" ref="J227:J228" si="59">C227</f>
        <v>0</v>
      </c>
      <c r="K227" s="340">
        <f t="shared" ref="K227:K228" si="60">D227</f>
        <v>0</v>
      </c>
      <c r="L227" s="340">
        <f t="shared" ref="L227:L228" si="61">E227</f>
        <v>0</v>
      </c>
      <c r="M227" s="340">
        <f t="shared" ref="M227:M228" si="62">F227</f>
        <v>0</v>
      </c>
      <c r="N227" s="340"/>
    </row>
    <row r="228" spans="2:14" x14ac:dyDescent="0.3">
      <c r="B228" s="206" t="s">
        <v>980</v>
      </c>
      <c r="C228" s="340">
        <f t="shared" si="49"/>
        <v>0</v>
      </c>
      <c r="D228" s="340">
        <f>'Input summary'!D228</f>
        <v>0</v>
      </c>
      <c r="E228" s="340">
        <f>'Input summary'!E228</f>
        <v>0</v>
      </c>
      <c r="F228" s="340">
        <f>'Input summary'!F228</f>
        <v>0</v>
      </c>
      <c r="G228" s="407"/>
      <c r="H228" s="322"/>
      <c r="I228" s="444" t="s">
        <v>980</v>
      </c>
      <c r="J228" s="340">
        <f t="shared" si="59"/>
        <v>0</v>
      </c>
      <c r="K228" s="340">
        <f t="shared" si="60"/>
        <v>0</v>
      </c>
      <c r="L228" s="340">
        <f t="shared" si="61"/>
        <v>0</v>
      </c>
      <c r="M228" s="340">
        <f t="shared" si="62"/>
        <v>0</v>
      </c>
      <c r="N228" s="340"/>
    </row>
    <row r="229" spans="2:14" x14ac:dyDescent="0.3">
      <c r="B229" s="297"/>
      <c r="C229" s="322"/>
      <c r="D229" s="322"/>
      <c r="E229" s="322"/>
      <c r="G229" s="297"/>
      <c r="H229" s="322"/>
      <c r="I229" s="445"/>
      <c r="J229" s="322"/>
    </row>
    <row r="230" spans="2:14" x14ac:dyDescent="0.3">
      <c r="B230" s="294" t="s">
        <v>1000</v>
      </c>
      <c r="C230" s="294"/>
      <c r="D230" s="294"/>
      <c r="E230" s="294"/>
      <c r="F230" s="294"/>
      <c r="G230" s="294"/>
      <c r="H230" s="322"/>
      <c r="I230" s="543" t="s">
        <v>1000</v>
      </c>
      <c r="J230" s="294"/>
      <c r="K230" s="294"/>
      <c r="L230" s="294"/>
      <c r="M230" s="294"/>
      <c r="N230" s="294"/>
    </row>
    <row r="231" spans="2:14" ht="21" x14ac:dyDescent="0.3">
      <c r="B231" s="339" t="s">
        <v>552</v>
      </c>
      <c r="C231" s="301"/>
      <c r="D231" s="301"/>
      <c r="E231" s="301"/>
      <c r="F231" s="301"/>
      <c r="G231" s="301"/>
      <c r="H231" s="455" t="s">
        <v>1468</v>
      </c>
      <c r="I231" s="439" t="s">
        <v>553</v>
      </c>
      <c r="J231" s="301"/>
      <c r="K231" s="301"/>
      <c r="L231" s="301"/>
      <c r="M231" s="301"/>
      <c r="N231" s="301"/>
    </row>
    <row r="232" spans="2:14" ht="21" x14ac:dyDescent="0.3">
      <c r="B232" s="17" t="s">
        <v>950</v>
      </c>
      <c r="C232" s="152" t="s">
        <v>724</v>
      </c>
      <c r="D232" s="152" t="s">
        <v>995</v>
      </c>
      <c r="E232" s="152" t="s">
        <v>985</v>
      </c>
      <c r="F232" s="152" t="s">
        <v>986</v>
      </c>
      <c r="G232" s="152"/>
      <c r="H232" s="455">
        <f>'SA Results'!$S$2</f>
        <v>1</v>
      </c>
      <c r="I232" s="440" t="s">
        <v>950</v>
      </c>
      <c r="J232" s="152" t="s">
        <v>724</v>
      </c>
      <c r="K232" s="152" t="s">
        <v>995</v>
      </c>
      <c r="L232" s="152" t="s">
        <v>985</v>
      </c>
      <c r="M232" s="152" t="s">
        <v>986</v>
      </c>
      <c r="N232" s="152"/>
    </row>
    <row r="233" spans="2:14" x14ac:dyDescent="0.3">
      <c r="B233" s="315" t="s">
        <v>1445</v>
      </c>
      <c r="D233" s="322"/>
      <c r="E233" s="322"/>
      <c r="G233" s="297"/>
      <c r="H233" s="322"/>
      <c r="I233" s="441" t="s">
        <v>988</v>
      </c>
    </row>
    <row r="234" spans="2:14" x14ac:dyDescent="0.3">
      <c r="B234" s="313" t="s">
        <v>2</v>
      </c>
      <c r="C234" s="340">
        <f>IF($H$232=3,F234,IF($H$232=2,E234,D234))</f>
        <v>0.35</v>
      </c>
      <c r="D234" s="340">
        <f>'Input summary'!D234</f>
        <v>0.35</v>
      </c>
      <c r="E234" s="340">
        <f>'Input summary'!E234</f>
        <v>0</v>
      </c>
      <c r="F234" s="340">
        <f>'Input summary'!F234</f>
        <v>0.7</v>
      </c>
      <c r="G234" s="407"/>
      <c r="H234" s="322"/>
      <c r="I234" s="442" t="s">
        <v>2</v>
      </c>
      <c r="J234" s="340">
        <f>C234</f>
        <v>0.35</v>
      </c>
      <c r="K234" s="340">
        <f t="shared" ref="K234:K240" si="63">D234</f>
        <v>0.35</v>
      </c>
      <c r="L234" s="340">
        <f t="shared" ref="L234:L240" si="64">E234</f>
        <v>0</v>
      </c>
      <c r="M234" s="340">
        <f t="shared" ref="M234:M240" si="65">F234</f>
        <v>0.7</v>
      </c>
      <c r="N234" s="340"/>
    </row>
    <row r="235" spans="2:14" x14ac:dyDescent="0.3">
      <c r="B235" s="313" t="s">
        <v>3</v>
      </c>
      <c r="C235" s="340">
        <f t="shared" ref="C235:C256" si="66">IF($H$232=3,F235,IF($H$232=2,E235,D235))</f>
        <v>0.35</v>
      </c>
      <c r="D235" s="340">
        <f>'Input summary'!D235</f>
        <v>0.35</v>
      </c>
      <c r="E235" s="340">
        <f>'Input summary'!E235</f>
        <v>0</v>
      </c>
      <c r="F235" s="340">
        <f>'Input summary'!F235</f>
        <v>0.7</v>
      </c>
      <c r="G235" s="407"/>
      <c r="H235" s="322"/>
      <c r="I235" s="442" t="s">
        <v>3</v>
      </c>
      <c r="J235" s="340">
        <f t="shared" ref="J235:J240" si="67">C235</f>
        <v>0.35</v>
      </c>
      <c r="K235" s="340">
        <f t="shared" si="63"/>
        <v>0.35</v>
      </c>
      <c r="L235" s="340">
        <f t="shared" si="64"/>
        <v>0</v>
      </c>
      <c r="M235" s="340">
        <f t="shared" si="65"/>
        <v>0.7</v>
      </c>
      <c r="N235" s="340"/>
    </row>
    <row r="236" spans="2:14" x14ac:dyDescent="0.3">
      <c r="B236" s="313" t="s">
        <v>4</v>
      </c>
      <c r="C236" s="340">
        <f t="shared" si="66"/>
        <v>0.39</v>
      </c>
      <c r="D236" s="340">
        <f>'Input summary'!D236</f>
        <v>0.39</v>
      </c>
      <c r="E236" s="340">
        <f>'Input summary'!E236</f>
        <v>0</v>
      </c>
      <c r="F236" s="340">
        <f>'Input summary'!F236</f>
        <v>0.68</v>
      </c>
      <c r="G236" s="407"/>
      <c r="H236" s="322"/>
      <c r="I236" s="442" t="s">
        <v>4</v>
      </c>
      <c r="J236" s="340">
        <f t="shared" si="67"/>
        <v>0.39</v>
      </c>
      <c r="K236" s="340">
        <f t="shared" si="63"/>
        <v>0.39</v>
      </c>
      <c r="L236" s="340">
        <f t="shared" si="64"/>
        <v>0</v>
      </c>
      <c r="M236" s="340">
        <f t="shared" si="65"/>
        <v>0.68</v>
      </c>
      <c r="N236" s="340"/>
    </row>
    <row r="237" spans="2:14" x14ac:dyDescent="0.3">
      <c r="B237" s="313" t="s">
        <v>5</v>
      </c>
      <c r="C237" s="340">
        <f t="shared" si="66"/>
        <v>0.57999999999999996</v>
      </c>
      <c r="D237" s="340">
        <f>'Input summary'!D237</f>
        <v>0.57999999999999996</v>
      </c>
      <c r="E237" s="340">
        <f>'Input summary'!E237</f>
        <v>0.34</v>
      </c>
      <c r="F237" s="340">
        <f>'Input summary'!F237</f>
        <v>0.73</v>
      </c>
      <c r="G237" s="407"/>
      <c r="H237" s="322"/>
      <c r="I237" s="442" t="s">
        <v>5</v>
      </c>
      <c r="J237" s="340">
        <f t="shared" si="67"/>
        <v>0.57999999999999996</v>
      </c>
      <c r="K237" s="340">
        <f t="shared" si="63"/>
        <v>0.57999999999999996</v>
      </c>
      <c r="L237" s="340">
        <f t="shared" si="64"/>
        <v>0.34</v>
      </c>
      <c r="M237" s="340">
        <f t="shared" si="65"/>
        <v>0.73</v>
      </c>
      <c r="N237" s="340"/>
    </row>
    <row r="238" spans="2:14" x14ac:dyDescent="0.3">
      <c r="B238" s="313" t="s">
        <v>6</v>
      </c>
      <c r="C238" s="340">
        <f t="shared" si="66"/>
        <v>0.57999999999999996</v>
      </c>
      <c r="D238" s="340">
        <f>'Input summary'!D238</f>
        <v>0.57999999999999996</v>
      </c>
      <c r="E238" s="340">
        <f>'Input summary'!E238</f>
        <v>0.34</v>
      </c>
      <c r="F238" s="340">
        <f>'Input summary'!F238</f>
        <v>0.73</v>
      </c>
      <c r="G238" s="407"/>
      <c r="H238" s="322"/>
      <c r="I238" s="442" t="s">
        <v>6</v>
      </c>
      <c r="J238" s="340">
        <f t="shared" si="67"/>
        <v>0.57999999999999996</v>
      </c>
      <c r="K238" s="340">
        <f t="shared" si="63"/>
        <v>0.57999999999999996</v>
      </c>
      <c r="L238" s="340">
        <f t="shared" si="64"/>
        <v>0.34</v>
      </c>
      <c r="M238" s="340">
        <f t="shared" si="65"/>
        <v>0.73</v>
      </c>
      <c r="N238" s="340"/>
    </row>
    <row r="239" spans="2:14" x14ac:dyDescent="0.3">
      <c r="B239" s="313" t="s">
        <v>7</v>
      </c>
      <c r="C239" s="340">
        <f t="shared" si="66"/>
        <v>0.57999999999999996</v>
      </c>
      <c r="D239" s="340">
        <f>'Input summary'!D239</f>
        <v>0.57999999999999996</v>
      </c>
      <c r="E239" s="340">
        <f>'Input summary'!E239</f>
        <v>0.34</v>
      </c>
      <c r="F239" s="340">
        <f>'Input summary'!F239</f>
        <v>0.73</v>
      </c>
      <c r="G239" s="407"/>
      <c r="H239" s="322"/>
      <c r="I239" s="442" t="s">
        <v>7</v>
      </c>
      <c r="J239" s="340">
        <f t="shared" si="67"/>
        <v>0.57999999999999996</v>
      </c>
      <c r="K239" s="340">
        <f t="shared" si="63"/>
        <v>0.57999999999999996</v>
      </c>
      <c r="L239" s="340">
        <f t="shared" si="64"/>
        <v>0.34</v>
      </c>
      <c r="M239" s="340">
        <f t="shared" si="65"/>
        <v>0.73</v>
      </c>
      <c r="N239" s="340"/>
    </row>
    <row r="240" spans="2:14" x14ac:dyDescent="0.3">
      <c r="B240" s="313" t="s">
        <v>11</v>
      </c>
      <c r="C240" s="340">
        <f t="shared" si="66"/>
        <v>0.57999999999999996</v>
      </c>
      <c r="D240" s="340">
        <f>'Input summary'!D240</f>
        <v>0.57999999999999996</v>
      </c>
      <c r="E240" s="340">
        <f>'Input summary'!E240</f>
        <v>0.34</v>
      </c>
      <c r="F240" s="340">
        <f>'Input summary'!F240</f>
        <v>0.73</v>
      </c>
      <c r="G240" s="407"/>
      <c r="H240" s="322"/>
      <c r="I240" s="442" t="s">
        <v>1469</v>
      </c>
      <c r="J240" s="340">
        <f t="shared" si="67"/>
        <v>0.57999999999999996</v>
      </c>
      <c r="K240" s="340">
        <f t="shared" si="63"/>
        <v>0.57999999999999996</v>
      </c>
      <c r="L240" s="340">
        <f t="shared" si="64"/>
        <v>0.34</v>
      </c>
      <c r="M240" s="340">
        <f t="shared" si="65"/>
        <v>0.73</v>
      </c>
      <c r="N240" s="340"/>
    </row>
    <row r="241" spans="2:14" x14ac:dyDescent="0.3">
      <c r="B241" s="315" t="s">
        <v>1444</v>
      </c>
      <c r="C241" s="422"/>
      <c r="D241" s="422"/>
      <c r="E241" s="422"/>
      <c r="F241" s="422"/>
      <c r="G241" s="346"/>
      <c r="H241" s="322"/>
      <c r="I241" s="441" t="s">
        <v>988</v>
      </c>
      <c r="J241" s="346"/>
      <c r="K241" s="422"/>
      <c r="L241" s="422"/>
      <c r="M241" s="422"/>
      <c r="N241" s="346"/>
    </row>
    <row r="242" spans="2:14" x14ac:dyDescent="0.3">
      <c r="B242" s="313" t="s">
        <v>2</v>
      </c>
      <c r="C242" s="340">
        <f t="shared" si="66"/>
        <v>0</v>
      </c>
      <c r="D242" s="340">
        <f>'Input summary'!D242</f>
        <v>0</v>
      </c>
      <c r="E242" s="340">
        <f>'Input summary'!E242</f>
        <v>0</v>
      </c>
      <c r="F242" s="340">
        <f>'Input summary'!F242</f>
        <v>0</v>
      </c>
      <c r="G242" s="407"/>
      <c r="H242" s="322"/>
      <c r="I242" s="442" t="s">
        <v>2</v>
      </c>
      <c r="J242" s="340">
        <f t="shared" ref="J242:J248" si="68">C242</f>
        <v>0</v>
      </c>
      <c r="K242" s="340">
        <f t="shared" ref="K242:K248" si="69">D242</f>
        <v>0</v>
      </c>
      <c r="L242" s="340">
        <f t="shared" ref="L242:L248" si="70">E242</f>
        <v>0</v>
      </c>
      <c r="M242" s="340">
        <f t="shared" ref="M242:M248" si="71">F242</f>
        <v>0</v>
      </c>
      <c r="N242" s="340"/>
    </row>
    <row r="243" spans="2:14" x14ac:dyDescent="0.3">
      <c r="B243" s="313" t="s">
        <v>3</v>
      </c>
      <c r="C243" s="340">
        <f t="shared" si="66"/>
        <v>0</v>
      </c>
      <c r="D243" s="340">
        <f>'Input summary'!D243</f>
        <v>0</v>
      </c>
      <c r="E243" s="340">
        <f>'Input summary'!E243</f>
        <v>0</v>
      </c>
      <c r="F243" s="340">
        <f>'Input summary'!F243</f>
        <v>0</v>
      </c>
      <c r="G243" s="407"/>
      <c r="H243" s="322"/>
      <c r="I243" s="442" t="s">
        <v>3</v>
      </c>
      <c r="J243" s="340">
        <f t="shared" si="68"/>
        <v>0</v>
      </c>
      <c r="K243" s="340">
        <f t="shared" si="69"/>
        <v>0</v>
      </c>
      <c r="L243" s="340">
        <f t="shared" si="70"/>
        <v>0</v>
      </c>
      <c r="M243" s="340">
        <f t="shared" si="71"/>
        <v>0</v>
      </c>
      <c r="N243" s="340"/>
    </row>
    <row r="244" spans="2:14" x14ac:dyDescent="0.3">
      <c r="B244" s="313" t="s">
        <v>4</v>
      </c>
      <c r="C244" s="340">
        <f t="shared" si="66"/>
        <v>0</v>
      </c>
      <c r="D244" s="340">
        <f>'Input summary'!D244</f>
        <v>0</v>
      </c>
      <c r="E244" s="340">
        <f>'Input summary'!E244</f>
        <v>0</v>
      </c>
      <c r="F244" s="340">
        <f>'Input summary'!F244</f>
        <v>0</v>
      </c>
      <c r="G244" s="407"/>
      <c r="H244" s="322"/>
      <c r="I244" s="442" t="s">
        <v>4</v>
      </c>
      <c r="J244" s="340">
        <f t="shared" si="68"/>
        <v>0</v>
      </c>
      <c r="K244" s="340">
        <f t="shared" si="69"/>
        <v>0</v>
      </c>
      <c r="L244" s="340">
        <f t="shared" si="70"/>
        <v>0</v>
      </c>
      <c r="M244" s="340">
        <f t="shared" si="71"/>
        <v>0</v>
      </c>
      <c r="N244" s="340"/>
    </row>
    <row r="245" spans="2:14" x14ac:dyDescent="0.3">
      <c r="B245" s="313" t="s">
        <v>5</v>
      </c>
      <c r="C245" s="340">
        <f t="shared" si="66"/>
        <v>0.43645409834744886</v>
      </c>
      <c r="D245" s="340">
        <f>'Input summary'!D245</f>
        <v>0.43645409834744886</v>
      </c>
      <c r="E245" s="340">
        <f>'Input summary'!E245</f>
        <v>0.39206893580364055</v>
      </c>
      <c r="F245" s="340">
        <f>'Input summary'!F245</f>
        <v>0.47344173380062254</v>
      </c>
      <c r="G245" s="407"/>
      <c r="H245" s="322"/>
      <c r="I245" s="442" t="s">
        <v>5</v>
      </c>
      <c r="J245" s="340">
        <f t="shared" si="68"/>
        <v>0.43645409834744886</v>
      </c>
      <c r="K245" s="340">
        <f t="shared" si="69"/>
        <v>0.43645409834744886</v>
      </c>
      <c r="L245" s="340">
        <f t="shared" si="70"/>
        <v>0.39206893580364055</v>
      </c>
      <c r="M245" s="340">
        <f t="shared" si="71"/>
        <v>0.47344173380062254</v>
      </c>
      <c r="N245" s="340"/>
    </row>
    <row r="246" spans="2:14" x14ac:dyDescent="0.3">
      <c r="B246" s="313" t="s">
        <v>6</v>
      </c>
      <c r="C246" s="340">
        <f t="shared" si="66"/>
        <v>0.43645409834744886</v>
      </c>
      <c r="D246" s="340">
        <f>'Input summary'!D246</f>
        <v>0.43645409834744886</v>
      </c>
      <c r="E246" s="340">
        <f>'Input summary'!E246</f>
        <v>0.39206893580364055</v>
      </c>
      <c r="F246" s="340">
        <f>'Input summary'!F246</f>
        <v>0.47344173380062254</v>
      </c>
      <c r="G246" s="407"/>
      <c r="H246" s="322"/>
      <c r="I246" s="442" t="s">
        <v>6</v>
      </c>
      <c r="J246" s="340">
        <f t="shared" si="68"/>
        <v>0.43645409834744886</v>
      </c>
      <c r="K246" s="340">
        <f t="shared" si="69"/>
        <v>0.43645409834744886</v>
      </c>
      <c r="L246" s="340">
        <f t="shared" si="70"/>
        <v>0.39206893580364055</v>
      </c>
      <c r="M246" s="340">
        <f t="shared" si="71"/>
        <v>0.47344173380062254</v>
      </c>
      <c r="N246" s="340"/>
    </row>
    <row r="247" spans="2:14" x14ac:dyDescent="0.3">
      <c r="B247" s="313" t="s">
        <v>7</v>
      </c>
      <c r="C247" s="340">
        <f t="shared" si="66"/>
        <v>0.43645409834744886</v>
      </c>
      <c r="D247" s="340">
        <f>'Input summary'!D247</f>
        <v>0.43645409834744886</v>
      </c>
      <c r="E247" s="340">
        <f>'Input summary'!E247</f>
        <v>0.39206893580364055</v>
      </c>
      <c r="F247" s="340">
        <f>'Input summary'!F247</f>
        <v>0.47344173380062254</v>
      </c>
      <c r="G247" s="407"/>
      <c r="H247" s="322"/>
      <c r="I247" s="442" t="s">
        <v>7</v>
      </c>
      <c r="J247" s="340">
        <f t="shared" si="68"/>
        <v>0.43645409834744886</v>
      </c>
      <c r="K247" s="340">
        <f t="shared" si="69"/>
        <v>0.43645409834744886</v>
      </c>
      <c r="L247" s="340">
        <f t="shared" si="70"/>
        <v>0.39206893580364055</v>
      </c>
      <c r="M247" s="340">
        <f t="shared" si="71"/>
        <v>0.47344173380062254</v>
      </c>
      <c r="N247" s="340"/>
    </row>
    <row r="248" spans="2:14" x14ac:dyDescent="0.3">
      <c r="B248" s="313" t="s">
        <v>11</v>
      </c>
      <c r="C248" s="340">
        <f t="shared" si="66"/>
        <v>0</v>
      </c>
      <c r="D248" s="340">
        <f>'Input summary'!D248</f>
        <v>0</v>
      </c>
      <c r="E248" s="340">
        <f>'Input summary'!E248</f>
        <v>0</v>
      </c>
      <c r="F248" s="340">
        <f>'Input summary'!F248</f>
        <v>0</v>
      </c>
      <c r="G248" s="407"/>
      <c r="H248" s="322"/>
      <c r="I248" s="442" t="s">
        <v>1469</v>
      </c>
      <c r="J248" s="340">
        <f t="shared" si="68"/>
        <v>0</v>
      </c>
      <c r="K248" s="340">
        <f t="shared" si="69"/>
        <v>0</v>
      </c>
      <c r="L248" s="340">
        <f t="shared" si="70"/>
        <v>0</v>
      </c>
      <c r="M248" s="340">
        <f t="shared" si="71"/>
        <v>0</v>
      </c>
      <c r="N248" s="340"/>
    </row>
    <row r="249" spans="2:14" x14ac:dyDescent="0.3">
      <c r="B249" s="207" t="s">
        <v>227</v>
      </c>
      <c r="C249" s="422"/>
      <c r="D249" s="422"/>
      <c r="E249" s="422"/>
      <c r="F249" s="422"/>
      <c r="G249" s="346"/>
      <c r="H249" s="322"/>
      <c r="I249" s="443" t="s">
        <v>227</v>
      </c>
      <c r="J249" s="346"/>
      <c r="K249" s="422"/>
      <c r="L249" s="422"/>
      <c r="M249" s="422"/>
      <c r="N249" s="346"/>
    </row>
    <row r="250" spans="2:14" x14ac:dyDescent="0.3">
      <c r="B250" s="206" t="s">
        <v>1437</v>
      </c>
      <c r="C250" s="340">
        <f t="shared" si="66"/>
        <v>0.504</v>
      </c>
      <c r="D250" s="340">
        <f>'Input summary'!D250</f>
        <v>0.504</v>
      </c>
      <c r="E250" s="340">
        <f>'Input summary'!E250</f>
        <v>0.14199999999999999</v>
      </c>
      <c r="F250" s="340">
        <f>'Input summary'!F250</f>
        <v>0.71199999999999997</v>
      </c>
      <c r="G250" s="407"/>
      <c r="H250" s="322"/>
      <c r="I250" s="444" t="s">
        <v>1437</v>
      </c>
      <c r="J250" s="340">
        <f t="shared" ref="J250:J253" si="72">C250</f>
        <v>0.504</v>
      </c>
      <c r="K250" s="340">
        <f t="shared" ref="K250:K253" si="73">D250</f>
        <v>0.504</v>
      </c>
      <c r="L250" s="340">
        <f t="shared" ref="L250:L253" si="74">E250</f>
        <v>0.14199999999999999</v>
      </c>
      <c r="M250" s="340">
        <f t="shared" ref="M250:M253" si="75">F250</f>
        <v>0.71199999999999997</v>
      </c>
      <c r="N250" s="340"/>
    </row>
    <row r="251" spans="2:14" x14ac:dyDescent="0.3">
      <c r="B251" s="206" t="s">
        <v>1438</v>
      </c>
      <c r="C251" s="340">
        <f t="shared" si="66"/>
        <v>0</v>
      </c>
      <c r="D251" s="340">
        <f>'Input summary'!D251</f>
        <v>0</v>
      </c>
      <c r="E251" s="340">
        <f>'Input summary'!E251</f>
        <v>0</v>
      </c>
      <c r="F251" s="340">
        <f>'Input summary'!F251</f>
        <v>0</v>
      </c>
      <c r="G251" s="407"/>
      <c r="H251" s="322"/>
      <c r="I251" s="444" t="s">
        <v>1438</v>
      </c>
      <c r="J251" s="340">
        <f t="shared" si="72"/>
        <v>0</v>
      </c>
      <c r="K251" s="340">
        <f t="shared" si="73"/>
        <v>0</v>
      </c>
      <c r="L251" s="340">
        <f t="shared" si="74"/>
        <v>0</v>
      </c>
      <c r="M251" s="340">
        <f t="shared" si="75"/>
        <v>0</v>
      </c>
      <c r="N251" s="340"/>
    </row>
    <row r="252" spans="2:14" x14ac:dyDescent="0.3">
      <c r="B252" s="206" t="s">
        <v>1441</v>
      </c>
      <c r="C252" s="340">
        <f t="shared" si="66"/>
        <v>0.48</v>
      </c>
      <c r="D252" s="340">
        <f>'Input summary'!D252</f>
        <v>0.48</v>
      </c>
      <c r="E252" s="340">
        <f>'Input summary'!E252</f>
        <v>0.11600000000000001</v>
      </c>
      <c r="F252" s="340">
        <f>'Input summary'!F252</f>
        <v>0.70399999999999996</v>
      </c>
      <c r="G252" s="407"/>
      <c r="H252" s="322"/>
      <c r="I252" s="444" t="s">
        <v>1441</v>
      </c>
      <c r="J252" s="340">
        <f t="shared" si="72"/>
        <v>0.48</v>
      </c>
      <c r="K252" s="340">
        <f t="shared" si="73"/>
        <v>0.48</v>
      </c>
      <c r="L252" s="340">
        <f t="shared" si="74"/>
        <v>0.11600000000000001</v>
      </c>
      <c r="M252" s="340">
        <f t="shared" si="75"/>
        <v>0.70399999999999996</v>
      </c>
      <c r="N252" s="340"/>
    </row>
    <row r="253" spans="2:14" x14ac:dyDescent="0.3">
      <c r="B253" s="206" t="s">
        <v>1442</v>
      </c>
      <c r="C253" s="340">
        <f t="shared" si="66"/>
        <v>0</v>
      </c>
      <c r="D253" s="340">
        <f>'Input summary'!D253</f>
        <v>0</v>
      </c>
      <c r="E253" s="340">
        <f>'Input summary'!E253</f>
        <v>0</v>
      </c>
      <c r="F253" s="340">
        <f>'Input summary'!F253</f>
        <v>0</v>
      </c>
      <c r="G253" s="407"/>
      <c r="H253" s="322"/>
      <c r="I253" s="444" t="s">
        <v>1442</v>
      </c>
      <c r="J253" s="340">
        <f t="shared" si="72"/>
        <v>0</v>
      </c>
      <c r="K253" s="340">
        <f t="shared" si="73"/>
        <v>0</v>
      </c>
      <c r="L253" s="340">
        <f t="shared" si="74"/>
        <v>0</v>
      </c>
      <c r="M253" s="340">
        <f t="shared" si="75"/>
        <v>0</v>
      </c>
      <c r="N253" s="340"/>
    </row>
    <row r="254" spans="2:14" x14ac:dyDescent="0.3">
      <c r="B254" s="207" t="s">
        <v>920</v>
      </c>
      <c r="C254" s="422"/>
      <c r="D254" s="422"/>
      <c r="E254" s="422"/>
      <c r="F254" s="422"/>
      <c r="G254" s="346"/>
      <c r="H254" s="322"/>
      <c r="I254" s="443" t="s">
        <v>920</v>
      </c>
      <c r="J254" s="346"/>
      <c r="K254" s="422"/>
      <c r="L254" s="422"/>
      <c r="M254" s="422"/>
      <c r="N254" s="346"/>
    </row>
    <row r="255" spans="2:14" x14ac:dyDescent="0.3">
      <c r="B255" s="206" t="s">
        <v>920</v>
      </c>
      <c r="C255" s="340">
        <f t="shared" si="66"/>
        <v>0</v>
      </c>
      <c r="D255" s="340">
        <f>'Input summary'!D255</f>
        <v>0</v>
      </c>
      <c r="E255" s="340">
        <f>'Input summary'!E255</f>
        <v>0</v>
      </c>
      <c r="F255" s="340">
        <f>'Input summary'!F255</f>
        <v>0</v>
      </c>
      <c r="G255" s="407"/>
      <c r="H255" s="322"/>
      <c r="I255" s="444" t="s">
        <v>920</v>
      </c>
      <c r="J255" s="340">
        <f t="shared" ref="J255:J256" si="76">C255</f>
        <v>0</v>
      </c>
      <c r="K255" s="340">
        <f t="shared" ref="K255:K256" si="77">D255</f>
        <v>0</v>
      </c>
      <c r="L255" s="340">
        <f t="shared" ref="L255:L256" si="78">E255</f>
        <v>0</v>
      </c>
      <c r="M255" s="340">
        <f t="shared" ref="M255:M256" si="79">F255</f>
        <v>0</v>
      </c>
      <c r="N255" s="340"/>
    </row>
    <row r="256" spans="2:14" x14ac:dyDescent="0.3">
      <c r="B256" s="206" t="s">
        <v>980</v>
      </c>
      <c r="C256" s="340">
        <f t="shared" si="66"/>
        <v>0</v>
      </c>
      <c r="D256" s="340">
        <f>'Input summary'!D256</f>
        <v>0</v>
      </c>
      <c r="E256" s="340">
        <f>'Input summary'!E256</f>
        <v>0</v>
      </c>
      <c r="F256" s="340">
        <f>'Input summary'!F256</f>
        <v>0</v>
      </c>
      <c r="G256" s="407"/>
      <c r="H256" s="322"/>
      <c r="I256" s="444" t="s">
        <v>980</v>
      </c>
      <c r="J256" s="340">
        <f t="shared" si="76"/>
        <v>0</v>
      </c>
      <c r="K256" s="340">
        <f t="shared" si="77"/>
        <v>0</v>
      </c>
      <c r="L256" s="340">
        <f t="shared" si="78"/>
        <v>0</v>
      </c>
      <c r="M256" s="340">
        <f t="shared" si="79"/>
        <v>0</v>
      </c>
      <c r="N256" s="340"/>
    </row>
    <row r="257" spans="2:15" ht="15" customHeight="1" x14ac:dyDescent="0.3">
      <c r="B257" s="31"/>
      <c r="C257" s="382"/>
      <c r="D257" s="382"/>
      <c r="E257" s="382"/>
      <c r="F257" s="382"/>
      <c r="G257" s="382"/>
      <c r="I257" s="446"/>
      <c r="J257" s="382"/>
      <c r="K257" s="382"/>
      <c r="L257" s="382"/>
      <c r="M257" s="382"/>
      <c r="N257" s="382"/>
      <c r="O257" s="382"/>
    </row>
    <row r="258" spans="2:15" ht="15" customHeight="1" x14ac:dyDescent="0.3">
      <c r="B258" s="509" t="s">
        <v>1448</v>
      </c>
      <c r="C258" s="519"/>
      <c r="D258" s="519"/>
      <c r="E258" s="519"/>
      <c r="F258" s="519"/>
      <c r="G258" s="519"/>
      <c r="H258" s="481"/>
      <c r="I258" s="509" t="s">
        <v>1448</v>
      </c>
      <c r="J258" s="519"/>
      <c r="K258" s="519"/>
      <c r="L258" s="519"/>
      <c r="M258" s="519"/>
      <c r="N258" s="519"/>
    </row>
    <row r="259" spans="2:15" ht="15" customHeight="1" x14ac:dyDescent="0.3">
      <c r="B259" s="682" t="s">
        <v>552</v>
      </c>
      <c r="C259" s="511"/>
      <c r="D259" s="511"/>
      <c r="E259" s="511"/>
      <c r="F259" s="511"/>
      <c r="G259" s="511"/>
      <c r="H259" s="455" t="s">
        <v>1468</v>
      </c>
      <c r="I259" s="512" t="s">
        <v>553</v>
      </c>
      <c r="J259" s="511"/>
      <c r="K259" s="511"/>
      <c r="L259" s="511"/>
      <c r="M259" s="511"/>
      <c r="N259" s="511"/>
    </row>
    <row r="260" spans="2:15" ht="15" customHeight="1" x14ac:dyDescent="0.3">
      <c r="B260" s="484" t="s">
        <v>950</v>
      </c>
      <c r="C260" s="485" t="s">
        <v>724</v>
      </c>
      <c r="D260" s="485" t="s">
        <v>995</v>
      </c>
      <c r="E260" s="485" t="s">
        <v>985</v>
      </c>
      <c r="F260" s="485" t="s">
        <v>986</v>
      </c>
      <c r="G260" s="485" t="s">
        <v>996</v>
      </c>
      <c r="H260" s="455">
        <f>'SA Results'!AG2</f>
        <v>1</v>
      </c>
      <c r="I260" s="484" t="s">
        <v>950</v>
      </c>
      <c r="J260" s="485" t="s">
        <v>724</v>
      </c>
      <c r="K260" s="485" t="s">
        <v>995</v>
      </c>
      <c r="L260" s="485" t="s">
        <v>985</v>
      </c>
      <c r="M260" s="485" t="s">
        <v>986</v>
      </c>
      <c r="N260" s="485" t="s">
        <v>996</v>
      </c>
    </row>
    <row r="261" spans="2:15" ht="15" customHeight="1" x14ac:dyDescent="0.3">
      <c r="B261" s="487" t="s">
        <v>1445</v>
      </c>
      <c r="C261" s="481"/>
      <c r="D261" s="520"/>
      <c r="E261" s="520"/>
      <c r="F261" s="481"/>
      <c r="G261" s="481"/>
      <c r="H261" s="481"/>
      <c r="I261" s="487" t="s">
        <v>1445</v>
      </c>
      <c r="J261" s="481"/>
      <c r="K261" s="520"/>
      <c r="L261" s="520"/>
      <c r="M261" s="481"/>
      <c r="N261" s="481"/>
    </row>
    <row r="262" spans="2:15" ht="15" customHeight="1" x14ac:dyDescent="0.3">
      <c r="B262" s="493" t="s">
        <v>2</v>
      </c>
      <c r="C262" s="325">
        <f>IF($H$260=3,F262,IF($H$260=2,E262,D262))</f>
        <v>12000</v>
      </c>
      <c r="D262" s="325">
        <f>'Input summary'!D262</f>
        <v>12000</v>
      </c>
      <c r="E262" s="491">
        <f>'Input summary'!E262</f>
        <v>6000</v>
      </c>
      <c r="F262" s="491">
        <f>'Input summary'!F262</f>
        <v>18000</v>
      </c>
      <c r="G262" s="514"/>
      <c r="H262" s="481"/>
      <c r="I262" s="493" t="s">
        <v>2</v>
      </c>
      <c r="J262" s="491">
        <f t="shared" ref="J262:J284" si="80">C262</f>
        <v>12000</v>
      </c>
      <c r="K262" s="325">
        <f>D262</f>
        <v>12000</v>
      </c>
      <c r="L262" s="491">
        <f t="shared" ref="L262:L284" si="81">E262</f>
        <v>6000</v>
      </c>
      <c r="M262" s="491">
        <f t="shared" ref="M262:M284" si="82">F262</f>
        <v>18000</v>
      </c>
      <c r="N262" s="492"/>
    </row>
    <row r="263" spans="2:15" ht="15" customHeight="1" x14ac:dyDescent="0.3">
      <c r="B263" s="493" t="s">
        <v>3</v>
      </c>
      <c r="C263" s="491">
        <f t="shared" ref="C263:C284" si="83">IF($H$260=3,F263,IF($H$260=2,E263,D263))</f>
        <v>12000</v>
      </c>
      <c r="D263" s="491">
        <f>'Input summary'!D263</f>
        <v>12000</v>
      </c>
      <c r="E263" s="491">
        <f>'Input summary'!E263</f>
        <v>6000</v>
      </c>
      <c r="F263" s="491">
        <f>'Input summary'!F263</f>
        <v>18000</v>
      </c>
      <c r="G263" s="514"/>
      <c r="H263" s="481"/>
      <c r="I263" s="493" t="s">
        <v>3</v>
      </c>
      <c r="J263" s="491">
        <f t="shared" si="80"/>
        <v>12000</v>
      </c>
      <c r="K263" s="491">
        <f t="shared" ref="K263:K284" si="84">D263</f>
        <v>12000</v>
      </c>
      <c r="L263" s="491">
        <f t="shared" si="81"/>
        <v>6000</v>
      </c>
      <c r="M263" s="491">
        <f t="shared" si="82"/>
        <v>18000</v>
      </c>
      <c r="N263" s="492"/>
    </row>
    <row r="264" spans="2:15" ht="15" customHeight="1" x14ac:dyDescent="0.3">
      <c r="B264" s="493" t="s">
        <v>4</v>
      </c>
      <c r="C264" s="491">
        <f t="shared" si="83"/>
        <v>12000</v>
      </c>
      <c r="D264" s="491">
        <f>'Input summary'!D264</f>
        <v>12000</v>
      </c>
      <c r="E264" s="491">
        <f>'Input summary'!E264</f>
        <v>6000</v>
      </c>
      <c r="F264" s="491">
        <f>'Input summary'!F264</f>
        <v>18000</v>
      </c>
      <c r="G264" s="514"/>
      <c r="H264" s="481"/>
      <c r="I264" s="493" t="s">
        <v>4</v>
      </c>
      <c r="J264" s="491">
        <f t="shared" si="80"/>
        <v>12000</v>
      </c>
      <c r="K264" s="491">
        <f t="shared" si="84"/>
        <v>12000</v>
      </c>
      <c r="L264" s="491">
        <f t="shared" si="81"/>
        <v>6000</v>
      </c>
      <c r="M264" s="491">
        <f t="shared" si="82"/>
        <v>18000</v>
      </c>
      <c r="N264" s="492"/>
    </row>
    <row r="265" spans="2:15" ht="15" customHeight="1" x14ac:dyDescent="0.3">
      <c r="B265" s="493" t="s">
        <v>5</v>
      </c>
      <c r="C265" s="491">
        <f t="shared" si="83"/>
        <v>12000</v>
      </c>
      <c r="D265" s="491">
        <f>'Input summary'!D265</f>
        <v>12000</v>
      </c>
      <c r="E265" s="491">
        <f>'Input summary'!E265</f>
        <v>6000</v>
      </c>
      <c r="F265" s="491">
        <f>'Input summary'!F265</f>
        <v>18000</v>
      </c>
      <c r="G265" s="514"/>
      <c r="H265" s="481"/>
      <c r="I265" s="493" t="s">
        <v>5</v>
      </c>
      <c r="J265" s="491">
        <f t="shared" si="80"/>
        <v>12000</v>
      </c>
      <c r="K265" s="491">
        <f t="shared" si="84"/>
        <v>12000</v>
      </c>
      <c r="L265" s="491">
        <f t="shared" si="81"/>
        <v>6000</v>
      </c>
      <c r="M265" s="491">
        <f t="shared" si="82"/>
        <v>18000</v>
      </c>
      <c r="N265" s="492"/>
    </row>
    <row r="266" spans="2:15" ht="15" customHeight="1" x14ac:dyDescent="0.3">
      <c r="B266" s="493" t="s">
        <v>6</v>
      </c>
      <c r="C266" s="491">
        <f t="shared" si="83"/>
        <v>12000</v>
      </c>
      <c r="D266" s="491">
        <f>'Input summary'!D266</f>
        <v>12000</v>
      </c>
      <c r="E266" s="491">
        <f>'Input summary'!E266</f>
        <v>6000</v>
      </c>
      <c r="F266" s="491">
        <f>'Input summary'!F266</f>
        <v>18000</v>
      </c>
      <c r="G266" s="514"/>
      <c r="H266" s="481"/>
      <c r="I266" s="493" t="s">
        <v>6</v>
      </c>
      <c r="J266" s="491">
        <f t="shared" si="80"/>
        <v>12000</v>
      </c>
      <c r="K266" s="491">
        <f t="shared" si="84"/>
        <v>12000</v>
      </c>
      <c r="L266" s="491">
        <f t="shared" si="81"/>
        <v>6000</v>
      </c>
      <c r="M266" s="491">
        <f t="shared" si="82"/>
        <v>18000</v>
      </c>
      <c r="N266" s="492"/>
    </row>
    <row r="267" spans="2:15" ht="15" customHeight="1" x14ac:dyDescent="0.3">
      <c r="B267" s="493" t="s">
        <v>7</v>
      </c>
      <c r="C267" s="491">
        <f t="shared" si="83"/>
        <v>12000</v>
      </c>
      <c r="D267" s="491">
        <f>'Input summary'!D267</f>
        <v>12000</v>
      </c>
      <c r="E267" s="491">
        <f>'Input summary'!E267</f>
        <v>6000</v>
      </c>
      <c r="F267" s="491">
        <f>'Input summary'!F267</f>
        <v>18000</v>
      </c>
      <c r="G267" s="514"/>
      <c r="H267" s="481"/>
      <c r="I267" s="493" t="s">
        <v>7</v>
      </c>
      <c r="J267" s="491">
        <f t="shared" si="80"/>
        <v>12000</v>
      </c>
      <c r="K267" s="491">
        <f t="shared" si="84"/>
        <v>12000</v>
      </c>
      <c r="L267" s="491">
        <f t="shared" si="81"/>
        <v>6000</v>
      </c>
      <c r="M267" s="491">
        <f t="shared" si="82"/>
        <v>18000</v>
      </c>
      <c r="N267" s="492"/>
    </row>
    <row r="268" spans="2:15" x14ac:dyDescent="0.3">
      <c r="B268" s="493" t="s">
        <v>1469</v>
      </c>
      <c r="C268" s="491">
        <f t="shared" si="83"/>
        <v>12000</v>
      </c>
      <c r="D268" s="491">
        <f>'Input summary'!D268</f>
        <v>12000</v>
      </c>
      <c r="E268" s="491">
        <f>'Input summary'!E268</f>
        <v>6000</v>
      </c>
      <c r="F268" s="491">
        <f>'Input summary'!F268</f>
        <v>18000</v>
      </c>
      <c r="G268" s="514"/>
      <c r="H268" s="481"/>
      <c r="I268" s="493" t="s">
        <v>1469</v>
      </c>
      <c r="J268" s="491">
        <f t="shared" si="80"/>
        <v>12000</v>
      </c>
      <c r="K268" s="491">
        <f t="shared" si="84"/>
        <v>12000</v>
      </c>
      <c r="L268" s="491">
        <f t="shared" si="81"/>
        <v>6000</v>
      </c>
      <c r="M268" s="491">
        <f t="shared" si="82"/>
        <v>18000</v>
      </c>
      <c r="N268" s="492"/>
    </row>
    <row r="269" spans="2:15" x14ac:dyDescent="0.3">
      <c r="B269" s="487" t="s">
        <v>1444</v>
      </c>
      <c r="C269" s="533"/>
      <c r="D269" s="533"/>
      <c r="E269" s="533"/>
      <c r="F269" s="533"/>
      <c r="G269" s="496"/>
      <c r="H269" s="517"/>
      <c r="I269" s="487" t="s">
        <v>1444</v>
      </c>
      <c r="J269" s="533"/>
      <c r="K269" s="533"/>
      <c r="L269" s="533"/>
      <c r="M269" s="533"/>
      <c r="N269" s="533"/>
    </row>
    <row r="270" spans="2:15" x14ac:dyDescent="0.3">
      <c r="B270" s="493" t="s">
        <v>2</v>
      </c>
      <c r="C270" s="491">
        <f t="shared" si="83"/>
        <v>12000</v>
      </c>
      <c r="D270" s="491">
        <f>'Input summary'!D270</f>
        <v>12000</v>
      </c>
      <c r="E270" s="491">
        <f>'Input summary'!E270</f>
        <v>6000</v>
      </c>
      <c r="F270" s="491">
        <f>'Input summary'!F270</f>
        <v>18000</v>
      </c>
      <c r="G270" s="514"/>
      <c r="H270" s="517"/>
      <c r="I270" s="493" t="s">
        <v>2</v>
      </c>
      <c r="J270" s="491">
        <f t="shared" si="80"/>
        <v>12000</v>
      </c>
      <c r="K270" s="491">
        <f t="shared" si="84"/>
        <v>12000</v>
      </c>
      <c r="L270" s="491">
        <f t="shared" si="81"/>
        <v>6000</v>
      </c>
      <c r="M270" s="491">
        <f t="shared" si="82"/>
        <v>18000</v>
      </c>
      <c r="N270" s="492"/>
    </row>
    <row r="271" spans="2:15" x14ac:dyDescent="0.3">
      <c r="B271" s="493" t="s">
        <v>3</v>
      </c>
      <c r="C271" s="491">
        <f t="shared" si="83"/>
        <v>12000</v>
      </c>
      <c r="D271" s="491">
        <f>'Input summary'!D271</f>
        <v>12000</v>
      </c>
      <c r="E271" s="491">
        <f>'Input summary'!E271</f>
        <v>6000</v>
      </c>
      <c r="F271" s="491">
        <f>'Input summary'!F271</f>
        <v>18000</v>
      </c>
      <c r="G271" s="514"/>
      <c r="H271" s="517"/>
      <c r="I271" s="493" t="s">
        <v>3</v>
      </c>
      <c r="J271" s="491">
        <f t="shared" si="80"/>
        <v>12000</v>
      </c>
      <c r="K271" s="491">
        <f t="shared" si="84"/>
        <v>12000</v>
      </c>
      <c r="L271" s="491">
        <f t="shared" si="81"/>
        <v>6000</v>
      </c>
      <c r="M271" s="491">
        <f t="shared" si="82"/>
        <v>18000</v>
      </c>
      <c r="N271" s="492"/>
    </row>
    <row r="272" spans="2:15" x14ac:dyDescent="0.3">
      <c r="B272" s="493" t="s">
        <v>4</v>
      </c>
      <c r="C272" s="491">
        <f t="shared" si="83"/>
        <v>12000</v>
      </c>
      <c r="D272" s="491">
        <f>'Input summary'!D272</f>
        <v>12000</v>
      </c>
      <c r="E272" s="491">
        <f>'Input summary'!E272</f>
        <v>6000</v>
      </c>
      <c r="F272" s="491">
        <f>'Input summary'!F272</f>
        <v>18000</v>
      </c>
      <c r="G272" s="514"/>
      <c r="H272" s="517"/>
      <c r="I272" s="493" t="s">
        <v>4</v>
      </c>
      <c r="J272" s="491">
        <f t="shared" si="80"/>
        <v>12000</v>
      </c>
      <c r="K272" s="491">
        <f t="shared" si="84"/>
        <v>12000</v>
      </c>
      <c r="L272" s="491">
        <f t="shared" si="81"/>
        <v>6000</v>
      </c>
      <c r="M272" s="491">
        <f t="shared" si="82"/>
        <v>18000</v>
      </c>
      <c r="N272" s="492"/>
    </row>
    <row r="273" spans="2:14" x14ac:dyDescent="0.3">
      <c r="B273" s="493" t="s">
        <v>5</v>
      </c>
      <c r="C273" s="491">
        <f t="shared" si="83"/>
        <v>12000</v>
      </c>
      <c r="D273" s="491">
        <f>'Input summary'!D273</f>
        <v>12000</v>
      </c>
      <c r="E273" s="491">
        <f>'Input summary'!E273</f>
        <v>6000</v>
      </c>
      <c r="F273" s="491">
        <f>'Input summary'!F273</f>
        <v>18000</v>
      </c>
      <c r="G273" s="514"/>
      <c r="H273" s="517"/>
      <c r="I273" s="493" t="s">
        <v>5</v>
      </c>
      <c r="J273" s="491">
        <f t="shared" si="80"/>
        <v>12000</v>
      </c>
      <c r="K273" s="491">
        <f t="shared" si="84"/>
        <v>12000</v>
      </c>
      <c r="L273" s="491">
        <f t="shared" si="81"/>
        <v>6000</v>
      </c>
      <c r="M273" s="491">
        <f t="shared" si="82"/>
        <v>18000</v>
      </c>
      <c r="N273" s="492"/>
    </row>
    <row r="274" spans="2:14" x14ac:dyDescent="0.3">
      <c r="B274" s="493" t="s">
        <v>6</v>
      </c>
      <c r="C274" s="491">
        <f t="shared" si="83"/>
        <v>12000</v>
      </c>
      <c r="D274" s="491">
        <f>'Input summary'!D274</f>
        <v>12000</v>
      </c>
      <c r="E274" s="491">
        <f>'Input summary'!E274</f>
        <v>6000</v>
      </c>
      <c r="F274" s="491">
        <f>'Input summary'!F274</f>
        <v>18000</v>
      </c>
      <c r="G274" s="514"/>
      <c r="H274" s="517"/>
      <c r="I274" s="493" t="s">
        <v>6</v>
      </c>
      <c r="J274" s="491">
        <f t="shared" si="80"/>
        <v>12000</v>
      </c>
      <c r="K274" s="491">
        <f t="shared" si="84"/>
        <v>12000</v>
      </c>
      <c r="L274" s="491">
        <f t="shared" si="81"/>
        <v>6000</v>
      </c>
      <c r="M274" s="491">
        <f t="shared" si="82"/>
        <v>18000</v>
      </c>
      <c r="N274" s="492"/>
    </row>
    <row r="275" spans="2:14" x14ac:dyDescent="0.3">
      <c r="B275" s="493" t="s">
        <v>7</v>
      </c>
      <c r="C275" s="491">
        <f t="shared" si="83"/>
        <v>12000</v>
      </c>
      <c r="D275" s="491">
        <f>'Input summary'!D275</f>
        <v>12000</v>
      </c>
      <c r="E275" s="491">
        <f>'Input summary'!E275</f>
        <v>6000</v>
      </c>
      <c r="F275" s="491">
        <f>'Input summary'!F275</f>
        <v>18000</v>
      </c>
      <c r="G275" s="514"/>
      <c r="H275" s="517"/>
      <c r="I275" s="493" t="s">
        <v>7</v>
      </c>
      <c r="J275" s="491">
        <f t="shared" si="80"/>
        <v>12000</v>
      </c>
      <c r="K275" s="491">
        <f t="shared" si="84"/>
        <v>12000</v>
      </c>
      <c r="L275" s="491">
        <f t="shared" si="81"/>
        <v>6000</v>
      </c>
      <c r="M275" s="491">
        <f t="shared" si="82"/>
        <v>18000</v>
      </c>
      <c r="N275" s="492"/>
    </row>
    <row r="276" spans="2:14" ht="15" customHeight="1" x14ac:dyDescent="0.3">
      <c r="B276" s="493" t="s">
        <v>1469</v>
      </c>
      <c r="C276" s="491">
        <f t="shared" si="83"/>
        <v>12000</v>
      </c>
      <c r="D276" s="491">
        <f>'Input summary'!D276</f>
        <v>12000</v>
      </c>
      <c r="E276" s="491">
        <f>'Input summary'!E276</f>
        <v>6000</v>
      </c>
      <c r="F276" s="491">
        <f>'Input summary'!F276</f>
        <v>18000</v>
      </c>
      <c r="G276" s="514"/>
      <c r="H276" s="517"/>
      <c r="I276" s="493" t="s">
        <v>1469</v>
      </c>
      <c r="J276" s="491">
        <f t="shared" si="80"/>
        <v>12000</v>
      </c>
      <c r="K276" s="491">
        <f t="shared" si="84"/>
        <v>12000</v>
      </c>
      <c r="L276" s="491">
        <f t="shared" si="81"/>
        <v>6000</v>
      </c>
      <c r="M276" s="491">
        <f t="shared" si="82"/>
        <v>18000</v>
      </c>
      <c r="N276" s="492"/>
    </row>
    <row r="277" spans="2:14" ht="15" customHeight="1" x14ac:dyDescent="0.3">
      <c r="B277" s="498" t="s">
        <v>227</v>
      </c>
      <c r="C277" s="533"/>
      <c r="D277" s="533"/>
      <c r="E277" s="533"/>
      <c r="F277" s="533"/>
      <c r="G277" s="496"/>
      <c r="H277" s="481"/>
      <c r="I277" s="498" t="s">
        <v>227</v>
      </c>
      <c r="J277" s="533"/>
      <c r="K277" s="533"/>
      <c r="L277" s="533"/>
      <c r="M277" s="533"/>
      <c r="N277" s="533"/>
    </row>
    <row r="278" spans="2:14" ht="15" customHeight="1" x14ac:dyDescent="0.3">
      <c r="B278" s="490" t="s">
        <v>1437</v>
      </c>
      <c r="C278" s="491">
        <f t="shared" si="83"/>
        <v>12000</v>
      </c>
      <c r="D278" s="491">
        <f>'Input summary'!D278</f>
        <v>12000</v>
      </c>
      <c r="E278" s="491">
        <f>'Input summary'!E278</f>
        <v>6000</v>
      </c>
      <c r="F278" s="491">
        <f>'Input summary'!F278</f>
        <v>18000</v>
      </c>
      <c r="G278" s="514"/>
      <c r="H278" s="481"/>
      <c r="I278" s="490" t="s">
        <v>1437</v>
      </c>
      <c r="J278" s="491">
        <f t="shared" si="80"/>
        <v>12000</v>
      </c>
      <c r="K278" s="491">
        <f t="shared" si="84"/>
        <v>12000</v>
      </c>
      <c r="L278" s="491">
        <f t="shared" si="81"/>
        <v>6000</v>
      </c>
      <c r="M278" s="491">
        <f t="shared" si="82"/>
        <v>18000</v>
      </c>
      <c r="N278" s="492"/>
    </row>
    <row r="279" spans="2:14" ht="15" customHeight="1" x14ac:dyDescent="0.3">
      <c r="B279" s="490" t="s">
        <v>1438</v>
      </c>
      <c r="C279" s="491">
        <f t="shared" si="83"/>
        <v>12000</v>
      </c>
      <c r="D279" s="491">
        <f>'Input summary'!D279</f>
        <v>12000</v>
      </c>
      <c r="E279" s="491">
        <f>'Input summary'!E279</f>
        <v>6000</v>
      </c>
      <c r="F279" s="491">
        <f>'Input summary'!F279</f>
        <v>18000</v>
      </c>
      <c r="G279" s="514"/>
      <c r="H279" s="481"/>
      <c r="I279" s="490" t="s">
        <v>1438</v>
      </c>
      <c r="J279" s="491">
        <f t="shared" si="80"/>
        <v>12000</v>
      </c>
      <c r="K279" s="491">
        <f t="shared" si="84"/>
        <v>12000</v>
      </c>
      <c r="L279" s="491">
        <f t="shared" si="81"/>
        <v>6000</v>
      </c>
      <c r="M279" s="491">
        <f t="shared" si="82"/>
        <v>18000</v>
      </c>
      <c r="N279" s="492"/>
    </row>
    <row r="280" spans="2:14" ht="15" customHeight="1" x14ac:dyDescent="0.3">
      <c r="B280" s="490" t="s">
        <v>1441</v>
      </c>
      <c r="C280" s="491">
        <f t="shared" si="83"/>
        <v>12000</v>
      </c>
      <c r="D280" s="491">
        <f>'Input summary'!D280</f>
        <v>12000</v>
      </c>
      <c r="E280" s="491">
        <f>'Input summary'!E280</f>
        <v>6000</v>
      </c>
      <c r="F280" s="491">
        <f>'Input summary'!F280</f>
        <v>18000</v>
      </c>
      <c r="G280" s="514"/>
      <c r="H280" s="481"/>
      <c r="I280" s="490" t="s">
        <v>1441</v>
      </c>
      <c r="J280" s="491">
        <f t="shared" si="80"/>
        <v>12000</v>
      </c>
      <c r="K280" s="491">
        <f t="shared" si="84"/>
        <v>12000</v>
      </c>
      <c r="L280" s="491">
        <f t="shared" si="81"/>
        <v>6000</v>
      </c>
      <c r="M280" s="491">
        <f t="shared" si="82"/>
        <v>18000</v>
      </c>
      <c r="N280" s="492"/>
    </row>
    <row r="281" spans="2:14" ht="15" customHeight="1" x14ac:dyDescent="0.3">
      <c r="B281" s="490" t="s">
        <v>1442</v>
      </c>
      <c r="C281" s="491">
        <f t="shared" si="83"/>
        <v>12000</v>
      </c>
      <c r="D281" s="491">
        <f>'Input summary'!D281</f>
        <v>12000</v>
      </c>
      <c r="E281" s="491">
        <f>'Input summary'!E281</f>
        <v>6000</v>
      </c>
      <c r="F281" s="491">
        <f>'Input summary'!F281</f>
        <v>18000</v>
      </c>
      <c r="G281" s="514"/>
      <c r="H281" s="481"/>
      <c r="I281" s="490" t="s">
        <v>1442</v>
      </c>
      <c r="J281" s="491">
        <f t="shared" si="80"/>
        <v>12000</v>
      </c>
      <c r="K281" s="491">
        <f t="shared" si="84"/>
        <v>12000</v>
      </c>
      <c r="L281" s="491">
        <f t="shared" si="81"/>
        <v>6000</v>
      </c>
      <c r="M281" s="491">
        <f t="shared" si="82"/>
        <v>18000</v>
      </c>
      <c r="N281" s="492"/>
    </row>
    <row r="282" spans="2:14" ht="15" customHeight="1" x14ac:dyDescent="0.3">
      <c r="B282" s="498" t="s">
        <v>920</v>
      </c>
      <c r="C282" s="533"/>
      <c r="D282" s="533"/>
      <c r="E282" s="533"/>
      <c r="F282" s="533"/>
      <c r="G282" s="496"/>
      <c r="H282" s="481"/>
      <c r="I282" s="498" t="s">
        <v>920</v>
      </c>
      <c r="J282" s="496"/>
      <c r="K282" s="533"/>
      <c r="L282" s="533"/>
      <c r="M282" s="533"/>
      <c r="N282" s="533"/>
    </row>
    <row r="283" spans="2:14" ht="15" customHeight="1" x14ac:dyDescent="0.3">
      <c r="B283" s="490" t="s">
        <v>920</v>
      </c>
      <c r="C283" s="491">
        <f t="shared" si="83"/>
        <v>12000</v>
      </c>
      <c r="D283" s="491">
        <f>'Input summary'!D283</f>
        <v>12000</v>
      </c>
      <c r="E283" s="491">
        <f>'Input summary'!E283</f>
        <v>6000</v>
      </c>
      <c r="F283" s="491">
        <f>'Input summary'!F283</f>
        <v>18000</v>
      </c>
      <c r="G283" s="514"/>
      <c r="H283" s="481"/>
      <c r="I283" s="490" t="s">
        <v>920</v>
      </c>
      <c r="J283" s="491">
        <f t="shared" si="80"/>
        <v>12000</v>
      </c>
      <c r="K283" s="491">
        <f t="shared" si="84"/>
        <v>12000</v>
      </c>
      <c r="L283" s="491">
        <f t="shared" si="81"/>
        <v>6000</v>
      </c>
      <c r="M283" s="491">
        <f t="shared" si="82"/>
        <v>18000</v>
      </c>
      <c r="N283" s="492"/>
    </row>
    <row r="284" spans="2:14" ht="15" customHeight="1" x14ac:dyDescent="0.3">
      <c r="B284" s="490" t="s">
        <v>980</v>
      </c>
      <c r="C284" s="491">
        <f t="shared" si="83"/>
        <v>12000</v>
      </c>
      <c r="D284" s="491">
        <f>'Input summary'!D284</f>
        <v>12000</v>
      </c>
      <c r="E284" s="491">
        <f>'Input summary'!E284</f>
        <v>6000</v>
      </c>
      <c r="F284" s="491">
        <f>'Input summary'!F284</f>
        <v>18000</v>
      </c>
      <c r="G284" s="514"/>
      <c r="H284" s="481"/>
      <c r="I284" s="490" t="s">
        <v>980</v>
      </c>
      <c r="J284" s="491">
        <f t="shared" si="80"/>
        <v>12000</v>
      </c>
      <c r="K284" s="491">
        <f t="shared" si="84"/>
        <v>12000</v>
      </c>
      <c r="L284" s="491">
        <f t="shared" si="81"/>
        <v>6000</v>
      </c>
      <c r="M284" s="491">
        <f t="shared" si="82"/>
        <v>18000</v>
      </c>
      <c r="N284" s="492"/>
    </row>
    <row r="285" spans="2:14" ht="15" customHeight="1" x14ac:dyDescent="0.3">
      <c r="B285" s="520"/>
      <c r="C285" s="520"/>
      <c r="D285" s="520"/>
      <c r="E285" s="520"/>
      <c r="F285" s="481"/>
      <c r="G285" s="481"/>
      <c r="H285" s="481"/>
      <c r="I285" s="520"/>
      <c r="J285" s="520"/>
      <c r="K285" s="520"/>
      <c r="L285" s="520"/>
      <c r="M285" s="481"/>
      <c r="N285" s="481"/>
    </row>
    <row r="286" spans="2:14" ht="15" customHeight="1" x14ac:dyDescent="0.3">
      <c r="B286" s="509" t="s">
        <v>1449</v>
      </c>
      <c r="C286" s="519"/>
      <c r="D286" s="519"/>
      <c r="E286" s="519"/>
      <c r="F286" s="519"/>
      <c r="G286" s="519"/>
      <c r="H286" s="455"/>
      <c r="I286" s="509" t="s">
        <v>1449</v>
      </c>
      <c r="J286" s="519"/>
      <c r="K286" s="519"/>
      <c r="L286" s="519"/>
      <c r="M286" s="519"/>
      <c r="N286" s="519"/>
    </row>
    <row r="287" spans="2:14" ht="15" customHeight="1" x14ac:dyDescent="0.3">
      <c r="B287" s="484" t="s">
        <v>950</v>
      </c>
      <c r="C287" s="485" t="s">
        <v>724</v>
      </c>
      <c r="D287" s="485" t="s">
        <v>995</v>
      </c>
      <c r="E287" s="485" t="s">
        <v>985</v>
      </c>
      <c r="F287" s="485" t="s">
        <v>986</v>
      </c>
      <c r="G287" s="485" t="s">
        <v>996</v>
      </c>
      <c r="H287" s="455"/>
      <c r="I287" s="484" t="s">
        <v>950</v>
      </c>
      <c r="J287" s="485" t="s">
        <v>724</v>
      </c>
      <c r="K287" s="485" t="s">
        <v>995</v>
      </c>
      <c r="L287" s="485" t="s">
        <v>985</v>
      </c>
      <c r="M287" s="485" t="s">
        <v>986</v>
      </c>
      <c r="N287" s="485" t="s">
        <v>996</v>
      </c>
    </row>
    <row r="288" spans="2:14" ht="15" customHeight="1" x14ac:dyDescent="0.3">
      <c r="B288" s="487" t="s">
        <v>1445</v>
      </c>
      <c r="C288" s="481"/>
      <c r="D288" s="520"/>
      <c r="E288" s="520"/>
      <c r="F288" s="481"/>
      <c r="G288" s="481"/>
      <c r="H288" s="481"/>
      <c r="I288" s="487" t="s">
        <v>1445</v>
      </c>
      <c r="J288" s="481"/>
      <c r="K288" s="520"/>
      <c r="L288" s="520"/>
      <c r="M288" s="481"/>
      <c r="N288" s="481"/>
    </row>
    <row r="289" spans="2:14" ht="15" customHeight="1" x14ac:dyDescent="0.3">
      <c r="B289" s="493" t="s">
        <v>2</v>
      </c>
      <c r="C289" s="522">
        <f t="shared" ref="C289:C311" si="85">IF($H$260=3,F289,IF($H$260=2,E289,D289))</f>
        <v>0.15</v>
      </c>
      <c r="D289" s="522">
        <f>'Input summary'!D289</f>
        <v>0.15</v>
      </c>
      <c r="E289" s="522">
        <f>'Input summary'!E289</f>
        <v>7.4999999999999997E-2</v>
      </c>
      <c r="F289" s="522">
        <f>'Input summary'!F289</f>
        <v>0.22499999999999998</v>
      </c>
      <c r="G289" s="514"/>
      <c r="H289" s="481"/>
      <c r="I289" s="493" t="s">
        <v>2</v>
      </c>
      <c r="J289" s="522">
        <f>C289</f>
        <v>0.15</v>
      </c>
      <c r="K289" s="522">
        <f t="shared" ref="K289:K311" si="86">D289</f>
        <v>0.15</v>
      </c>
      <c r="L289" s="522">
        <f t="shared" ref="L289:L311" si="87">E289</f>
        <v>7.4999999999999997E-2</v>
      </c>
      <c r="M289" s="522">
        <f t="shared" ref="M289:M311" si="88">F289</f>
        <v>0.22499999999999998</v>
      </c>
      <c r="N289" s="514"/>
    </row>
    <row r="290" spans="2:14" ht="15" customHeight="1" x14ac:dyDescent="0.3">
      <c r="B290" s="493" t="s">
        <v>3</v>
      </c>
      <c r="C290" s="522">
        <f t="shared" si="85"/>
        <v>0.15</v>
      </c>
      <c r="D290" s="522">
        <f>'Input summary'!D290</f>
        <v>0.15</v>
      </c>
      <c r="E290" s="522">
        <f>'Input summary'!E290</f>
        <v>7.4999999999999997E-2</v>
      </c>
      <c r="F290" s="522">
        <f>'Input summary'!F290</f>
        <v>0.22499999999999998</v>
      </c>
      <c r="G290" s="514"/>
      <c r="H290" s="481"/>
      <c r="I290" s="493" t="s">
        <v>3</v>
      </c>
      <c r="J290" s="522">
        <f t="shared" ref="J290:J311" si="89">C290</f>
        <v>0.15</v>
      </c>
      <c r="K290" s="522">
        <f t="shared" si="86"/>
        <v>0.15</v>
      </c>
      <c r="L290" s="522">
        <f t="shared" si="87"/>
        <v>7.4999999999999997E-2</v>
      </c>
      <c r="M290" s="522">
        <f t="shared" si="88"/>
        <v>0.22499999999999998</v>
      </c>
      <c r="N290" s="514"/>
    </row>
    <row r="291" spans="2:14" ht="15" customHeight="1" x14ac:dyDescent="0.3">
      <c r="B291" s="493" t="s">
        <v>4</v>
      </c>
      <c r="C291" s="522">
        <f t="shared" si="85"/>
        <v>0.15</v>
      </c>
      <c r="D291" s="522">
        <f>'Input summary'!D291</f>
        <v>0.15</v>
      </c>
      <c r="E291" s="522">
        <f>'Input summary'!E291</f>
        <v>7.4999999999999997E-2</v>
      </c>
      <c r="F291" s="522">
        <f>'Input summary'!F291</f>
        <v>0.22499999999999998</v>
      </c>
      <c r="G291" s="514"/>
      <c r="H291" s="481"/>
      <c r="I291" s="493" t="s">
        <v>4</v>
      </c>
      <c r="J291" s="522">
        <f t="shared" si="89"/>
        <v>0.15</v>
      </c>
      <c r="K291" s="522">
        <f t="shared" si="86"/>
        <v>0.15</v>
      </c>
      <c r="L291" s="522">
        <f t="shared" si="87"/>
        <v>7.4999999999999997E-2</v>
      </c>
      <c r="M291" s="522">
        <f t="shared" si="88"/>
        <v>0.22499999999999998</v>
      </c>
      <c r="N291" s="514"/>
    </row>
    <row r="292" spans="2:14" ht="15" customHeight="1" x14ac:dyDescent="0.3">
      <c r="B292" s="493" t="s">
        <v>5</v>
      </c>
      <c r="C292" s="522">
        <f t="shared" si="85"/>
        <v>0.15</v>
      </c>
      <c r="D292" s="522">
        <f>'Input summary'!D292</f>
        <v>0.15</v>
      </c>
      <c r="E292" s="522">
        <f>'Input summary'!E292</f>
        <v>7.4999999999999997E-2</v>
      </c>
      <c r="F292" s="522">
        <f>'Input summary'!F292</f>
        <v>0.22499999999999998</v>
      </c>
      <c r="G292" s="514"/>
      <c r="H292" s="481"/>
      <c r="I292" s="493" t="s">
        <v>5</v>
      </c>
      <c r="J292" s="522">
        <f t="shared" si="89"/>
        <v>0.15</v>
      </c>
      <c r="K292" s="522">
        <f t="shared" si="86"/>
        <v>0.15</v>
      </c>
      <c r="L292" s="522">
        <f t="shared" si="87"/>
        <v>7.4999999999999997E-2</v>
      </c>
      <c r="M292" s="522">
        <f t="shared" si="88"/>
        <v>0.22499999999999998</v>
      </c>
      <c r="N292" s="514"/>
    </row>
    <row r="293" spans="2:14" ht="15" customHeight="1" x14ac:dyDescent="0.3">
      <c r="B293" s="493" t="s">
        <v>6</v>
      </c>
      <c r="C293" s="522">
        <f t="shared" si="85"/>
        <v>0.15</v>
      </c>
      <c r="D293" s="522">
        <f>'Input summary'!D293</f>
        <v>0.15</v>
      </c>
      <c r="E293" s="522">
        <f>'Input summary'!E293</f>
        <v>7.4999999999999997E-2</v>
      </c>
      <c r="F293" s="522">
        <f>'Input summary'!F293</f>
        <v>0.22499999999999998</v>
      </c>
      <c r="G293" s="514"/>
      <c r="H293" s="481"/>
      <c r="I293" s="493" t="s">
        <v>6</v>
      </c>
      <c r="J293" s="522">
        <f t="shared" si="89"/>
        <v>0.15</v>
      </c>
      <c r="K293" s="522">
        <f t="shared" si="86"/>
        <v>0.15</v>
      </c>
      <c r="L293" s="522">
        <f t="shared" si="87"/>
        <v>7.4999999999999997E-2</v>
      </c>
      <c r="M293" s="522">
        <f t="shared" si="88"/>
        <v>0.22499999999999998</v>
      </c>
      <c r="N293" s="514"/>
    </row>
    <row r="294" spans="2:14" ht="15" customHeight="1" x14ac:dyDescent="0.3">
      <c r="B294" s="493" t="s">
        <v>7</v>
      </c>
      <c r="C294" s="522">
        <f t="shared" si="85"/>
        <v>0.15</v>
      </c>
      <c r="D294" s="522">
        <f>'Input summary'!D294</f>
        <v>0.15</v>
      </c>
      <c r="E294" s="522">
        <f>'Input summary'!E294</f>
        <v>7.4999999999999997E-2</v>
      </c>
      <c r="F294" s="522">
        <f>'Input summary'!F294</f>
        <v>0.22499999999999998</v>
      </c>
      <c r="G294" s="514"/>
      <c r="H294" s="481"/>
      <c r="I294" s="493" t="s">
        <v>7</v>
      </c>
      <c r="J294" s="522">
        <f t="shared" si="89"/>
        <v>0.15</v>
      </c>
      <c r="K294" s="522">
        <f t="shared" si="86"/>
        <v>0.15</v>
      </c>
      <c r="L294" s="522">
        <f t="shared" si="87"/>
        <v>7.4999999999999997E-2</v>
      </c>
      <c r="M294" s="522">
        <f t="shared" si="88"/>
        <v>0.22499999999999998</v>
      </c>
      <c r="N294" s="514"/>
    </row>
    <row r="295" spans="2:14" x14ac:dyDescent="0.3">
      <c r="B295" s="493" t="s">
        <v>1469</v>
      </c>
      <c r="C295" s="522">
        <f t="shared" si="85"/>
        <v>0.15</v>
      </c>
      <c r="D295" s="522">
        <f>'Input summary'!D295</f>
        <v>0.15</v>
      </c>
      <c r="E295" s="522">
        <f>'Input summary'!E295</f>
        <v>7.4999999999999997E-2</v>
      </c>
      <c r="F295" s="522">
        <f>'Input summary'!F295</f>
        <v>0.22499999999999998</v>
      </c>
      <c r="G295" s="514"/>
      <c r="H295" s="481"/>
      <c r="I295" s="493" t="s">
        <v>1469</v>
      </c>
      <c r="J295" s="522">
        <f t="shared" si="89"/>
        <v>0.15</v>
      </c>
      <c r="K295" s="522">
        <f t="shared" si="86"/>
        <v>0.15</v>
      </c>
      <c r="L295" s="522">
        <f t="shared" si="87"/>
        <v>7.4999999999999997E-2</v>
      </c>
      <c r="M295" s="522">
        <f t="shared" si="88"/>
        <v>0.22499999999999998</v>
      </c>
      <c r="N295" s="514"/>
    </row>
    <row r="296" spans="2:14" x14ac:dyDescent="0.3">
      <c r="B296" s="487" t="s">
        <v>1444</v>
      </c>
      <c r="C296" s="533"/>
      <c r="D296" s="496"/>
      <c r="E296" s="496"/>
      <c r="F296" s="496"/>
      <c r="G296" s="496"/>
      <c r="H296" s="517"/>
      <c r="I296" s="487" t="s">
        <v>1444</v>
      </c>
      <c r="J296" s="533"/>
      <c r="K296" s="496"/>
      <c r="L296" s="496"/>
      <c r="M296" s="496"/>
      <c r="N296" s="496"/>
    </row>
    <row r="297" spans="2:14" x14ac:dyDescent="0.3">
      <c r="B297" s="493" t="s">
        <v>2</v>
      </c>
      <c r="C297" s="522">
        <f t="shared" si="85"/>
        <v>0.15</v>
      </c>
      <c r="D297" s="522">
        <f>'Input summary'!D297</f>
        <v>0.15</v>
      </c>
      <c r="E297" s="522">
        <f>'Input summary'!E297</f>
        <v>7.4999999999999997E-2</v>
      </c>
      <c r="F297" s="522">
        <f>'Input summary'!F297</f>
        <v>0.22499999999999998</v>
      </c>
      <c r="G297" s="514"/>
      <c r="H297" s="517"/>
      <c r="I297" s="493" t="s">
        <v>2</v>
      </c>
      <c r="J297" s="522">
        <f t="shared" si="89"/>
        <v>0.15</v>
      </c>
      <c r="K297" s="522">
        <f t="shared" si="86"/>
        <v>0.15</v>
      </c>
      <c r="L297" s="522">
        <f t="shared" si="87"/>
        <v>7.4999999999999997E-2</v>
      </c>
      <c r="M297" s="522">
        <f t="shared" si="88"/>
        <v>0.22499999999999998</v>
      </c>
      <c r="N297" s="514"/>
    </row>
    <row r="298" spans="2:14" x14ac:dyDescent="0.3">
      <c r="B298" s="493" t="s">
        <v>3</v>
      </c>
      <c r="C298" s="522">
        <f t="shared" si="85"/>
        <v>0.15</v>
      </c>
      <c r="D298" s="522">
        <f>'Input summary'!D298</f>
        <v>0.15</v>
      </c>
      <c r="E298" s="522">
        <f>'Input summary'!E298</f>
        <v>7.4999999999999997E-2</v>
      </c>
      <c r="F298" s="522">
        <f>'Input summary'!F298</f>
        <v>0.22499999999999998</v>
      </c>
      <c r="G298" s="514"/>
      <c r="H298" s="517"/>
      <c r="I298" s="493" t="s">
        <v>3</v>
      </c>
      <c r="J298" s="522">
        <f t="shared" si="89"/>
        <v>0.15</v>
      </c>
      <c r="K298" s="522">
        <f t="shared" si="86"/>
        <v>0.15</v>
      </c>
      <c r="L298" s="522">
        <f t="shared" si="87"/>
        <v>7.4999999999999997E-2</v>
      </c>
      <c r="M298" s="522">
        <f t="shared" si="88"/>
        <v>0.22499999999999998</v>
      </c>
      <c r="N298" s="514"/>
    </row>
    <row r="299" spans="2:14" x14ac:dyDescent="0.3">
      <c r="B299" s="493" t="s">
        <v>4</v>
      </c>
      <c r="C299" s="522">
        <f t="shared" si="85"/>
        <v>0.15</v>
      </c>
      <c r="D299" s="522">
        <f>'Input summary'!D299</f>
        <v>0.15</v>
      </c>
      <c r="E299" s="522">
        <f>'Input summary'!E299</f>
        <v>7.4999999999999997E-2</v>
      </c>
      <c r="F299" s="522">
        <f>'Input summary'!F299</f>
        <v>0.22499999999999998</v>
      </c>
      <c r="G299" s="514"/>
      <c r="H299" s="517"/>
      <c r="I299" s="493" t="s">
        <v>4</v>
      </c>
      <c r="J299" s="522">
        <f t="shared" si="89"/>
        <v>0.15</v>
      </c>
      <c r="K299" s="522">
        <f t="shared" si="86"/>
        <v>0.15</v>
      </c>
      <c r="L299" s="522">
        <f t="shared" si="87"/>
        <v>7.4999999999999997E-2</v>
      </c>
      <c r="M299" s="522">
        <f t="shared" si="88"/>
        <v>0.22499999999999998</v>
      </c>
      <c r="N299" s="514"/>
    </row>
    <row r="300" spans="2:14" x14ac:dyDescent="0.3">
      <c r="B300" s="493" t="s">
        <v>5</v>
      </c>
      <c r="C300" s="522">
        <f t="shared" si="85"/>
        <v>0.15</v>
      </c>
      <c r="D300" s="522">
        <f>'Input summary'!D300</f>
        <v>0.15</v>
      </c>
      <c r="E300" s="522">
        <f>'Input summary'!E300</f>
        <v>7.4999999999999997E-2</v>
      </c>
      <c r="F300" s="522">
        <f>'Input summary'!F300</f>
        <v>0.22499999999999998</v>
      </c>
      <c r="G300" s="514"/>
      <c r="H300" s="517"/>
      <c r="I300" s="493" t="s">
        <v>5</v>
      </c>
      <c r="J300" s="522">
        <f t="shared" si="89"/>
        <v>0.15</v>
      </c>
      <c r="K300" s="522">
        <f t="shared" si="86"/>
        <v>0.15</v>
      </c>
      <c r="L300" s="522">
        <f t="shared" si="87"/>
        <v>7.4999999999999997E-2</v>
      </c>
      <c r="M300" s="522">
        <f t="shared" si="88"/>
        <v>0.22499999999999998</v>
      </c>
      <c r="N300" s="514"/>
    </row>
    <row r="301" spans="2:14" x14ac:dyDescent="0.3">
      <c r="B301" s="493" t="s">
        <v>6</v>
      </c>
      <c r="C301" s="522">
        <f t="shared" si="85"/>
        <v>0.15</v>
      </c>
      <c r="D301" s="522">
        <f>'Input summary'!D301</f>
        <v>0.15</v>
      </c>
      <c r="E301" s="522">
        <f>'Input summary'!E301</f>
        <v>7.4999999999999997E-2</v>
      </c>
      <c r="F301" s="522">
        <f>'Input summary'!F301</f>
        <v>0.22499999999999998</v>
      </c>
      <c r="G301" s="514"/>
      <c r="H301" s="517"/>
      <c r="I301" s="493" t="s">
        <v>6</v>
      </c>
      <c r="J301" s="522">
        <f t="shared" si="89"/>
        <v>0.15</v>
      </c>
      <c r="K301" s="522">
        <f t="shared" si="86"/>
        <v>0.15</v>
      </c>
      <c r="L301" s="522">
        <f t="shared" si="87"/>
        <v>7.4999999999999997E-2</v>
      </c>
      <c r="M301" s="522">
        <f t="shared" si="88"/>
        <v>0.22499999999999998</v>
      </c>
      <c r="N301" s="514"/>
    </row>
    <row r="302" spans="2:14" x14ac:dyDescent="0.3">
      <c r="B302" s="493" t="s">
        <v>7</v>
      </c>
      <c r="C302" s="522">
        <f t="shared" si="85"/>
        <v>0.15</v>
      </c>
      <c r="D302" s="522">
        <f>'Input summary'!D302</f>
        <v>0.15</v>
      </c>
      <c r="E302" s="522">
        <f>'Input summary'!E302</f>
        <v>7.4999999999999997E-2</v>
      </c>
      <c r="F302" s="522">
        <f>'Input summary'!F302</f>
        <v>0.22499999999999998</v>
      </c>
      <c r="G302" s="514"/>
      <c r="H302" s="517"/>
      <c r="I302" s="493" t="s">
        <v>7</v>
      </c>
      <c r="J302" s="522">
        <f t="shared" si="89"/>
        <v>0.15</v>
      </c>
      <c r="K302" s="522">
        <f t="shared" si="86"/>
        <v>0.15</v>
      </c>
      <c r="L302" s="522">
        <f t="shared" si="87"/>
        <v>7.4999999999999997E-2</v>
      </c>
      <c r="M302" s="522">
        <f t="shared" si="88"/>
        <v>0.22499999999999998</v>
      </c>
      <c r="N302" s="514"/>
    </row>
    <row r="303" spans="2:14" ht="15" customHeight="1" x14ac:dyDescent="0.3">
      <c r="B303" s="493" t="s">
        <v>1469</v>
      </c>
      <c r="C303" s="522">
        <f t="shared" si="85"/>
        <v>0.15</v>
      </c>
      <c r="D303" s="522">
        <f>'Input summary'!D303</f>
        <v>0.15</v>
      </c>
      <c r="E303" s="522">
        <f>'Input summary'!E303</f>
        <v>7.4999999999999997E-2</v>
      </c>
      <c r="F303" s="522">
        <f>'Input summary'!F303</f>
        <v>0.22499999999999998</v>
      </c>
      <c r="G303" s="514"/>
      <c r="H303" s="517"/>
      <c r="I303" s="493" t="s">
        <v>1469</v>
      </c>
      <c r="J303" s="522">
        <f t="shared" si="89"/>
        <v>0.15</v>
      </c>
      <c r="K303" s="522">
        <f t="shared" si="86"/>
        <v>0.15</v>
      </c>
      <c r="L303" s="522">
        <f t="shared" si="87"/>
        <v>7.4999999999999997E-2</v>
      </c>
      <c r="M303" s="522">
        <f t="shared" si="88"/>
        <v>0.22499999999999998</v>
      </c>
      <c r="N303" s="514"/>
    </row>
    <row r="304" spans="2:14" ht="15" customHeight="1" x14ac:dyDescent="0.3">
      <c r="B304" s="498" t="s">
        <v>227</v>
      </c>
      <c r="C304" s="533"/>
      <c r="D304" s="496"/>
      <c r="E304" s="496"/>
      <c r="F304" s="496"/>
      <c r="G304" s="496"/>
      <c r="H304" s="481"/>
      <c r="I304" s="498" t="s">
        <v>227</v>
      </c>
      <c r="J304" s="533"/>
      <c r="K304" s="496"/>
      <c r="L304" s="496"/>
      <c r="M304" s="496"/>
      <c r="N304" s="496"/>
    </row>
    <row r="305" spans="2:15" ht="15" customHeight="1" x14ac:dyDescent="0.3">
      <c r="B305" s="490" t="s">
        <v>1437</v>
      </c>
      <c r="C305" s="522">
        <f t="shared" si="85"/>
        <v>0.15</v>
      </c>
      <c r="D305" s="522">
        <f>'Input summary'!D305</f>
        <v>0.15</v>
      </c>
      <c r="E305" s="522">
        <f>'Input summary'!E305</f>
        <v>7.4999999999999997E-2</v>
      </c>
      <c r="F305" s="522">
        <f>'Input summary'!F305</f>
        <v>0.22499999999999998</v>
      </c>
      <c r="G305" s="514"/>
      <c r="H305" s="481"/>
      <c r="I305" s="490" t="s">
        <v>1437</v>
      </c>
      <c r="J305" s="522">
        <f t="shared" si="89"/>
        <v>0.15</v>
      </c>
      <c r="K305" s="522">
        <f t="shared" si="86"/>
        <v>0.15</v>
      </c>
      <c r="L305" s="522">
        <f t="shared" si="87"/>
        <v>7.4999999999999997E-2</v>
      </c>
      <c r="M305" s="522">
        <f t="shared" si="88"/>
        <v>0.22499999999999998</v>
      </c>
      <c r="N305" s="514"/>
    </row>
    <row r="306" spans="2:15" ht="15" customHeight="1" x14ac:dyDescent="0.3">
      <c r="B306" s="490" t="s">
        <v>1438</v>
      </c>
      <c r="C306" s="522">
        <f t="shared" si="85"/>
        <v>0.15</v>
      </c>
      <c r="D306" s="522">
        <f>'Input summary'!D306</f>
        <v>0.15</v>
      </c>
      <c r="E306" s="522">
        <f>'Input summary'!E306</f>
        <v>7.4999999999999997E-2</v>
      </c>
      <c r="F306" s="522">
        <f>'Input summary'!F306</f>
        <v>0.22499999999999998</v>
      </c>
      <c r="G306" s="514"/>
      <c r="H306" s="481"/>
      <c r="I306" s="490" t="s">
        <v>1438</v>
      </c>
      <c r="J306" s="522">
        <f t="shared" si="89"/>
        <v>0.15</v>
      </c>
      <c r="K306" s="522">
        <f t="shared" si="86"/>
        <v>0.15</v>
      </c>
      <c r="L306" s="522">
        <f t="shared" si="87"/>
        <v>7.4999999999999997E-2</v>
      </c>
      <c r="M306" s="522">
        <f t="shared" si="88"/>
        <v>0.22499999999999998</v>
      </c>
      <c r="N306" s="514"/>
    </row>
    <row r="307" spans="2:15" ht="15" customHeight="1" x14ac:dyDescent="0.3">
      <c r="B307" s="490" t="s">
        <v>1441</v>
      </c>
      <c r="C307" s="522">
        <f t="shared" si="85"/>
        <v>0.15</v>
      </c>
      <c r="D307" s="522">
        <f>'Input summary'!D307</f>
        <v>0.15</v>
      </c>
      <c r="E307" s="522">
        <f>'Input summary'!E307</f>
        <v>7.4999999999999997E-2</v>
      </c>
      <c r="F307" s="522">
        <f>'Input summary'!F307</f>
        <v>0.22499999999999998</v>
      </c>
      <c r="G307" s="514"/>
      <c r="H307" s="481"/>
      <c r="I307" s="490" t="s">
        <v>1441</v>
      </c>
      <c r="J307" s="522">
        <f t="shared" si="89"/>
        <v>0.15</v>
      </c>
      <c r="K307" s="522">
        <f t="shared" si="86"/>
        <v>0.15</v>
      </c>
      <c r="L307" s="522">
        <f t="shared" si="87"/>
        <v>7.4999999999999997E-2</v>
      </c>
      <c r="M307" s="522">
        <f t="shared" si="88"/>
        <v>0.22499999999999998</v>
      </c>
      <c r="N307" s="514"/>
    </row>
    <row r="308" spans="2:15" ht="15" customHeight="1" x14ac:dyDescent="0.3">
      <c r="B308" s="490" t="s">
        <v>1442</v>
      </c>
      <c r="C308" s="522">
        <f t="shared" si="85"/>
        <v>0.15</v>
      </c>
      <c r="D308" s="522">
        <f>'Input summary'!D308</f>
        <v>0.15</v>
      </c>
      <c r="E308" s="522">
        <f>'Input summary'!E308</f>
        <v>7.4999999999999997E-2</v>
      </c>
      <c r="F308" s="522">
        <f>'Input summary'!F308</f>
        <v>0.22499999999999998</v>
      </c>
      <c r="G308" s="514"/>
      <c r="H308" s="481"/>
      <c r="I308" s="490" t="s">
        <v>1442</v>
      </c>
      <c r="J308" s="522">
        <f t="shared" si="89"/>
        <v>0.15</v>
      </c>
      <c r="K308" s="522">
        <f t="shared" si="86"/>
        <v>0.15</v>
      </c>
      <c r="L308" s="522">
        <f t="shared" si="87"/>
        <v>7.4999999999999997E-2</v>
      </c>
      <c r="M308" s="522">
        <f t="shared" si="88"/>
        <v>0.22499999999999998</v>
      </c>
      <c r="N308" s="514"/>
    </row>
    <row r="309" spans="2:15" ht="15" customHeight="1" x14ac:dyDescent="0.3">
      <c r="B309" s="498" t="s">
        <v>920</v>
      </c>
      <c r="C309" s="533"/>
      <c r="D309" s="496"/>
      <c r="E309" s="496"/>
      <c r="F309" s="496"/>
      <c r="G309" s="496"/>
      <c r="H309" s="481"/>
      <c r="I309" s="498" t="s">
        <v>920</v>
      </c>
      <c r="J309" s="533"/>
      <c r="K309" s="496"/>
      <c r="L309" s="496"/>
      <c r="M309" s="496"/>
      <c r="N309" s="496"/>
    </row>
    <row r="310" spans="2:15" ht="15" customHeight="1" x14ac:dyDescent="0.3">
      <c r="B310" s="490" t="s">
        <v>920</v>
      </c>
      <c r="C310" s="522">
        <f t="shared" si="85"/>
        <v>0.15</v>
      </c>
      <c r="D310" s="522">
        <f>'Input summary'!D310</f>
        <v>0.15</v>
      </c>
      <c r="E310" s="522">
        <f>'Input summary'!E310</f>
        <v>7.4999999999999997E-2</v>
      </c>
      <c r="F310" s="522">
        <f>'Input summary'!F310</f>
        <v>0.22499999999999998</v>
      </c>
      <c r="G310" s="514"/>
      <c r="H310" s="481"/>
      <c r="I310" s="490" t="s">
        <v>920</v>
      </c>
      <c r="J310" s="522">
        <f t="shared" si="89"/>
        <v>0.15</v>
      </c>
      <c r="K310" s="522">
        <f t="shared" si="86"/>
        <v>0.15</v>
      </c>
      <c r="L310" s="522">
        <f t="shared" si="87"/>
        <v>7.4999999999999997E-2</v>
      </c>
      <c r="M310" s="522">
        <f t="shared" si="88"/>
        <v>0.22499999999999998</v>
      </c>
      <c r="N310" s="514"/>
    </row>
    <row r="311" spans="2:15" ht="15" customHeight="1" x14ac:dyDescent="0.3">
      <c r="B311" s="490" t="s">
        <v>980</v>
      </c>
      <c r="C311" s="522">
        <f t="shared" si="85"/>
        <v>0.15</v>
      </c>
      <c r="D311" s="522">
        <f>'Input summary'!D311</f>
        <v>0.15</v>
      </c>
      <c r="E311" s="522">
        <f>'Input summary'!E311</f>
        <v>7.4999999999999997E-2</v>
      </c>
      <c r="F311" s="522">
        <f>'Input summary'!F311</f>
        <v>0.22499999999999998</v>
      </c>
      <c r="G311" s="514"/>
      <c r="H311" s="481"/>
      <c r="I311" s="490" t="s">
        <v>980</v>
      </c>
      <c r="J311" s="522">
        <f t="shared" si="89"/>
        <v>0.15</v>
      </c>
      <c r="K311" s="522">
        <f t="shared" si="86"/>
        <v>0.15</v>
      </c>
      <c r="L311" s="522">
        <f t="shared" si="87"/>
        <v>7.4999999999999997E-2</v>
      </c>
      <c r="M311" s="522">
        <f t="shared" si="88"/>
        <v>0.22499999999999998</v>
      </c>
      <c r="N311" s="514"/>
    </row>
    <row r="312" spans="2:15" ht="15" customHeight="1" x14ac:dyDescent="0.3">
      <c r="B312" s="490"/>
      <c r="C312" s="589"/>
      <c r="D312" s="589"/>
      <c r="E312" s="589"/>
      <c r="F312" s="589"/>
      <c r="G312" s="577"/>
      <c r="H312" s="481"/>
      <c r="I312" s="490"/>
      <c r="J312" s="589"/>
      <c r="K312" s="589"/>
      <c r="L312" s="589"/>
      <c r="M312" s="589"/>
      <c r="N312" s="577"/>
    </row>
    <row r="313" spans="2:15" x14ac:dyDescent="0.3">
      <c r="B313" s="297"/>
      <c r="C313" s="322"/>
      <c r="D313" s="322"/>
      <c r="E313" s="322"/>
      <c r="G313" s="297"/>
      <c r="H313" s="322"/>
      <c r="I313" s="445"/>
      <c r="J313" s="322"/>
    </row>
    <row r="314" spans="2:15" ht="21" x14ac:dyDescent="0.3">
      <c r="B314" s="302" t="s">
        <v>563</v>
      </c>
      <c r="C314" s="302"/>
      <c r="D314" s="302"/>
      <c r="E314" s="302"/>
      <c r="F314" s="295"/>
      <c r="G314" s="295"/>
      <c r="I314" s="437"/>
      <c r="J314" s="295"/>
      <c r="K314" s="295"/>
      <c r="L314" s="295"/>
      <c r="M314" s="295"/>
      <c r="N314" s="295"/>
      <c r="O314" s="295"/>
    </row>
    <row r="315" spans="2:15" ht="21" x14ac:dyDescent="0.3">
      <c r="B315" s="303"/>
      <c r="C315" s="303"/>
      <c r="D315" s="303"/>
      <c r="E315" s="303"/>
      <c r="G315" s="304"/>
      <c r="H315" s="304"/>
      <c r="J315" s="304"/>
    </row>
    <row r="316" spans="2:15" ht="21" x14ac:dyDescent="0.3">
      <c r="B316" s="341" t="s">
        <v>1002</v>
      </c>
      <c r="C316" s="342"/>
      <c r="D316" s="342"/>
      <c r="E316" s="342"/>
      <c r="F316" s="343"/>
      <c r="G316" s="344"/>
      <c r="H316" s="411"/>
      <c r="I316" s="447"/>
      <c r="J316" s="344"/>
      <c r="K316" s="343"/>
      <c r="L316" s="343"/>
      <c r="M316" s="343"/>
      <c r="N316" s="343"/>
      <c r="O316" s="343"/>
    </row>
    <row r="317" spans="2:15" ht="21" x14ac:dyDescent="0.3">
      <c r="B317" s="303"/>
      <c r="C317" s="303"/>
      <c r="D317" s="303"/>
      <c r="E317" s="303"/>
      <c r="G317" s="304"/>
      <c r="H317" s="304"/>
      <c r="J317" s="304"/>
    </row>
    <row r="318" spans="2:15" x14ac:dyDescent="0.3">
      <c r="B318" s="294" t="s">
        <v>536</v>
      </c>
      <c r="C318" s="294"/>
      <c r="D318" s="294"/>
      <c r="E318" s="294"/>
      <c r="F318" s="294"/>
      <c r="G318" s="294"/>
      <c r="I318" s="438" t="s">
        <v>536</v>
      </c>
      <c r="J318" s="294"/>
      <c r="K318" s="294"/>
      <c r="L318" s="294"/>
      <c r="M318" s="294"/>
      <c r="N318" s="294"/>
      <c r="O318" s="294"/>
    </row>
    <row r="319" spans="2:15" ht="21" x14ac:dyDescent="0.3">
      <c r="B319" s="339" t="s">
        <v>552</v>
      </c>
      <c r="C319" s="301"/>
      <c r="D319" s="301"/>
      <c r="E319" s="301"/>
      <c r="F319" s="301"/>
      <c r="G319" s="301"/>
      <c r="H319" s="455" t="s">
        <v>1468</v>
      </c>
      <c r="I319" s="439" t="s">
        <v>553</v>
      </c>
      <c r="J319" s="301"/>
      <c r="K319" s="301"/>
      <c r="L319" s="301"/>
      <c r="M319" s="301"/>
      <c r="N319" s="301"/>
      <c r="O319" s="301"/>
    </row>
    <row r="320" spans="2:15" ht="21" x14ac:dyDescent="0.3">
      <c r="B320" s="17" t="s">
        <v>950</v>
      </c>
      <c r="C320" s="152" t="s">
        <v>724</v>
      </c>
      <c r="D320" s="152" t="s">
        <v>995</v>
      </c>
      <c r="E320" s="152" t="s">
        <v>985</v>
      </c>
      <c r="F320" s="152" t="s">
        <v>986</v>
      </c>
      <c r="G320" s="152"/>
      <c r="H320" s="455">
        <f>'SA Results'!$U$2</f>
        <v>1</v>
      </c>
      <c r="I320" s="440" t="s">
        <v>950</v>
      </c>
      <c r="J320" s="152" t="s">
        <v>724</v>
      </c>
      <c r="K320" s="152" t="s">
        <v>995</v>
      </c>
      <c r="L320" s="152" t="s">
        <v>985</v>
      </c>
      <c r="M320" s="152" t="s">
        <v>986</v>
      </c>
      <c r="N320" s="152"/>
    </row>
    <row r="321" spans="2:14" x14ac:dyDescent="0.3">
      <c r="B321" s="315" t="s">
        <v>1445</v>
      </c>
      <c r="I321" s="441" t="s">
        <v>988</v>
      </c>
    </row>
    <row r="322" spans="2:14" x14ac:dyDescent="0.3">
      <c r="B322" s="313" t="s">
        <v>2</v>
      </c>
      <c r="C322" s="340">
        <f>IF($H$320=3,F322,IF($H$320=2,E322,D322))</f>
        <v>40.22</v>
      </c>
      <c r="D322" s="340">
        <f>'Input summary'!D322</f>
        <v>40.22</v>
      </c>
      <c r="E322" s="340">
        <f>'Input summary'!E322</f>
        <v>14.29</v>
      </c>
      <c r="F322" s="340">
        <f>'Input summary'!F322</f>
        <v>56.64965311236994</v>
      </c>
      <c r="G322" s="407"/>
      <c r="I322" s="442" t="s">
        <v>2</v>
      </c>
      <c r="J322" s="340">
        <f>C322</f>
        <v>40.22</v>
      </c>
      <c r="K322" s="340">
        <f t="shared" ref="K322:K344" si="90">D322</f>
        <v>40.22</v>
      </c>
      <c r="L322" s="340">
        <f t="shared" ref="L322:L344" si="91">E322</f>
        <v>14.29</v>
      </c>
      <c r="M322" s="340">
        <f t="shared" ref="M322:M344" si="92">F322</f>
        <v>56.64965311236994</v>
      </c>
      <c r="N322" s="340"/>
    </row>
    <row r="323" spans="2:14" x14ac:dyDescent="0.3">
      <c r="B323" s="313" t="s">
        <v>3</v>
      </c>
      <c r="C323" s="340">
        <f t="shared" ref="C323:C328" si="93">IF($H$320=3,F323,IF($H$320=2,E323,D323))</f>
        <v>40.22</v>
      </c>
      <c r="D323" s="340">
        <f>'Input summary'!D323</f>
        <v>40.22</v>
      </c>
      <c r="E323" s="340">
        <f>'Input summary'!E323</f>
        <v>14.29</v>
      </c>
      <c r="F323" s="340">
        <f>'Input summary'!F323</f>
        <v>56.64965311236994</v>
      </c>
      <c r="G323" s="407"/>
      <c r="I323" s="442" t="s">
        <v>3</v>
      </c>
      <c r="J323" s="340">
        <f t="shared" ref="J323:J344" si="94">C323</f>
        <v>40.22</v>
      </c>
      <c r="K323" s="340">
        <f t="shared" si="90"/>
        <v>40.22</v>
      </c>
      <c r="L323" s="340">
        <f t="shared" si="91"/>
        <v>14.29</v>
      </c>
      <c r="M323" s="340">
        <f t="shared" si="92"/>
        <v>56.64965311236994</v>
      </c>
      <c r="N323" s="340"/>
    </row>
    <row r="324" spans="2:14" x14ac:dyDescent="0.3">
      <c r="B324" s="313" t="s">
        <v>4</v>
      </c>
      <c r="C324" s="340">
        <f t="shared" si="93"/>
        <v>40.22</v>
      </c>
      <c r="D324" s="340">
        <f>'Input summary'!D324</f>
        <v>40.22</v>
      </c>
      <c r="E324" s="340">
        <f>'Input summary'!E324</f>
        <v>14.29</v>
      </c>
      <c r="F324" s="340">
        <f>'Input summary'!F324</f>
        <v>56.64965311236994</v>
      </c>
      <c r="G324" s="407"/>
      <c r="I324" s="442" t="s">
        <v>4</v>
      </c>
      <c r="J324" s="340">
        <f t="shared" si="94"/>
        <v>40.22</v>
      </c>
      <c r="K324" s="340">
        <f t="shared" si="90"/>
        <v>40.22</v>
      </c>
      <c r="L324" s="340">
        <f t="shared" si="91"/>
        <v>14.29</v>
      </c>
      <c r="M324" s="340">
        <f t="shared" si="92"/>
        <v>56.64965311236994</v>
      </c>
      <c r="N324" s="340"/>
    </row>
    <row r="325" spans="2:14" x14ac:dyDescent="0.3">
      <c r="B325" s="313" t="s">
        <v>5</v>
      </c>
      <c r="C325" s="340">
        <f t="shared" si="93"/>
        <v>40.22</v>
      </c>
      <c r="D325" s="340">
        <f>'Input summary'!D325</f>
        <v>40.22</v>
      </c>
      <c r="E325" s="340">
        <f>'Input summary'!E325</f>
        <v>14.29</v>
      </c>
      <c r="F325" s="340">
        <f>'Input summary'!F325</f>
        <v>56.64965311236994</v>
      </c>
      <c r="G325" s="407"/>
      <c r="I325" s="442" t="s">
        <v>5</v>
      </c>
      <c r="J325" s="340">
        <f t="shared" si="94"/>
        <v>40.22</v>
      </c>
      <c r="K325" s="340">
        <f t="shared" si="90"/>
        <v>40.22</v>
      </c>
      <c r="L325" s="340">
        <f t="shared" si="91"/>
        <v>14.29</v>
      </c>
      <c r="M325" s="340">
        <f t="shared" si="92"/>
        <v>56.64965311236994</v>
      </c>
      <c r="N325" s="340"/>
    </row>
    <row r="326" spans="2:14" x14ac:dyDescent="0.3">
      <c r="B326" s="313" t="s">
        <v>6</v>
      </c>
      <c r="C326" s="340">
        <f t="shared" si="93"/>
        <v>40.22</v>
      </c>
      <c r="D326" s="340">
        <f>'Input summary'!D326</f>
        <v>40.22</v>
      </c>
      <c r="E326" s="340">
        <f>'Input summary'!E326</f>
        <v>14.29</v>
      </c>
      <c r="F326" s="340">
        <f>'Input summary'!F326</f>
        <v>56.64965311236994</v>
      </c>
      <c r="G326" s="407"/>
      <c r="I326" s="442" t="s">
        <v>6</v>
      </c>
      <c r="J326" s="340">
        <f t="shared" si="94"/>
        <v>40.22</v>
      </c>
      <c r="K326" s="340">
        <f t="shared" si="90"/>
        <v>40.22</v>
      </c>
      <c r="L326" s="340">
        <f t="shared" si="91"/>
        <v>14.29</v>
      </c>
      <c r="M326" s="340">
        <f t="shared" si="92"/>
        <v>56.64965311236994</v>
      </c>
      <c r="N326" s="340"/>
    </row>
    <row r="327" spans="2:14" x14ac:dyDescent="0.3">
      <c r="B327" s="313" t="s">
        <v>7</v>
      </c>
      <c r="C327" s="340">
        <f t="shared" si="93"/>
        <v>40.22</v>
      </c>
      <c r="D327" s="340">
        <f>'Input summary'!D327</f>
        <v>40.22</v>
      </c>
      <c r="E327" s="340">
        <f>'Input summary'!E327</f>
        <v>14.29</v>
      </c>
      <c r="F327" s="340">
        <f>'Input summary'!F327</f>
        <v>56.64965311236994</v>
      </c>
      <c r="G327" s="407"/>
      <c r="I327" s="442" t="s">
        <v>7</v>
      </c>
      <c r="J327" s="340">
        <f t="shared" si="94"/>
        <v>40.22</v>
      </c>
      <c r="K327" s="340">
        <f t="shared" si="90"/>
        <v>40.22</v>
      </c>
      <c r="L327" s="340">
        <f t="shared" si="91"/>
        <v>14.29</v>
      </c>
      <c r="M327" s="340">
        <f t="shared" si="92"/>
        <v>56.64965311236994</v>
      </c>
      <c r="N327" s="340"/>
    </row>
    <row r="328" spans="2:14" x14ac:dyDescent="0.3">
      <c r="B328" s="313" t="s">
        <v>11</v>
      </c>
      <c r="C328" s="340">
        <f t="shared" si="93"/>
        <v>40.22</v>
      </c>
      <c r="D328" s="340">
        <f>'Input summary'!D328</f>
        <v>40.22</v>
      </c>
      <c r="E328" s="340">
        <f>'Input summary'!E328</f>
        <v>14.29</v>
      </c>
      <c r="F328" s="340">
        <f>'Input summary'!F328</f>
        <v>56.64965311236994</v>
      </c>
      <c r="G328" s="407"/>
      <c r="I328" s="442" t="s">
        <v>1469</v>
      </c>
      <c r="J328" s="340">
        <f t="shared" si="94"/>
        <v>40.22</v>
      </c>
      <c r="K328" s="340">
        <f t="shared" si="90"/>
        <v>40.22</v>
      </c>
      <c r="L328" s="340">
        <f t="shared" si="91"/>
        <v>14.29</v>
      </c>
      <c r="M328" s="340">
        <f t="shared" si="92"/>
        <v>56.64965311236994</v>
      </c>
      <c r="N328" s="340"/>
    </row>
    <row r="329" spans="2:14" x14ac:dyDescent="0.3">
      <c r="B329" s="315" t="s">
        <v>1444</v>
      </c>
      <c r="C329" s="580"/>
      <c r="D329" s="581"/>
      <c r="E329" s="581"/>
      <c r="F329" s="581"/>
      <c r="G329" s="580"/>
      <c r="H329" s="322"/>
      <c r="I329" s="441" t="s">
        <v>988</v>
      </c>
      <c r="J329" s="422"/>
      <c r="K329" s="422"/>
      <c r="L329" s="422"/>
      <c r="M329" s="422"/>
    </row>
    <row r="330" spans="2:14" x14ac:dyDescent="0.3">
      <c r="B330" s="313" t="s">
        <v>2</v>
      </c>
      <c r="C330" s="340">
        <f>IF($H$320=3,F330,IF($H$320=2,E330,D330))</f>
        <v>40.22</v>
      </c>
      <c r="D330" s="340">
        <f>'Input summary'!D330</f>
        <v>40.22</v>
      </c>
      <c r="E330" s="340">
        <f>'Input summary'!E330</f>
        <v>14.29</v>
      </c>
      <c r="F330" s="340">
        <f>'Input summary'!F330</f>
        <v>56.64965311236994</v>
      </c>
      <c r="G330" s="407"/>
      <c r="H330" s="322"/>
      <c r="I330" s="442" t="s">
        <v>2</v>
      </c>
      <c r="J330" s="340">
        <f t="shared" si="94"/>
        <v>40.22</v>
      </c>
      <c r="K330" s="340">
        <f t="shared" si="90"/>
        <v>40.22</v>
      </c>
      <c r="L330" s="340">
        <f t="shared" si="91"/>
        <v>14.29</v>
      </c>
      <c r="M330" s="340">
        <f t="shared" si="92"/>
        <v>56.64965311236994</v>
      </c>
      <c r="N330" s="340"/>
    </row>
    <row r="331" spans="2:14" x14ac:dyDescent="0.3">
      <c r="B331" s="313" t="s">
        <v>3</v>
      </c>
      <c r="C331" s="340">
        <f t="shared" ref="C331:C336" si="95">IF($H$320=3,F331,IF($H$320=2,E331,D331))</f>
        <v>40.22</v>
      </c>
      <c r="D331" s="340">
        <f>'Input summary'!D331</f>
        <v>40.22</v>
      </c>
      <c r="E331" s="340">
        <f>'Input summary'!E331</f>
        <v>14.29</v>
      </c>
      <c r="F331" s="340">
        <f>'Input summary'!F331</f>
        <v>56.64965311236994</v>
      </c>
      <c r="G331" s="407"/>
      <c r="H331" s="322"/>
      <c r="I331" s="442" t="s">
        <v>3</v>
      </c>
      <c r="J331" s="340">
        <f t="shared" si="94"/>
        <v>40.22</v>
      </c>
      <c r="K331" s="340">
        <f t="shared" si="90"/>
        <v>40.22</v>
      </c>
      <c r="L331" s="340">
        <f t="shared" si="91"/>
        <v>14.29</v>
      </c>
      <c r="M331" s="340">
        <f t="shared" si="92"/>
        <v>56.64965311236994</v>
      </c>
      <c r="N331" s="340"/>
    </row>
    <row r="332" spans="2:14" x14ac:dyDescent="0.3">
      <c r="B332" s="313" t="s">
        <v>4</v>
      </c>
      <c r="C332" s="340">
        <f t="shared" si="95"/>
        <v>40.22</v>
      </c>
      <c r="D332" s="340">
        <f>'Input summary'!D332</f>
        <v>40.22</v>
      </c>
      <c r="E332" s="340">
        <f>'Input summary'!E332</f>
        <v>14.29</v>
      </c>
      <c r="F332" s="340">
        <f>'Input summary'!F332</f>
        <v>56.64965311236994</v>
      </c>
      <c r="G332" s="407"/>
      <c r="H332" s="322"/>
      <c r="I332" s="442" t="s">
        <v>4</v>
      </c>
      <c r="J332" s="340">
        <f t="shared" si="94"/>
        <v>40.22</v>
      </c>
      <c r="K332" s="340">
        <f t="shared" si="90"/>
        <v>40.22</v>
      </c>
      <c r="L332" s="340">
        <f t="shared" si="91"/>
        <v>14.29</v>
      </c>
      <c r="M332" s="340">
        <f t="shared" si="92"/>
        <v>56.64965311236994</v>
      </c>
      <c r="N332" s="340"/>
    </row>
    <row r="333" spans="2:14" x14ac:dyDescent="0.3">
      <c r="B333" s="313" t="s">
        <v>5</v>
      </c>
      <c r="C333" s="340">
        <f t="shared" si="95"/>
        <v>40.22</v>
      </c>
      <c r="D333" s="340">
        <f>'Input summary'!D333</f>
        <v>40.22</v>
      </c>
      <c r="E333" s="340">
        <f>'Input summary'!E333</f>
        <v>14.29</v>
      </c>
      <c r="F333" s="340">
        <f>'Input summary'!F333</f>
        <v>56.64965311236994</v>
      </c>
      <c r="G333" s="407"/>
      <c r="H333" s="322"/>
      <c r="I333" s="442" t="s">
        <v>5</v>
      </c>
      <c r="J333" s="340">
        <f t="shared" si="94"/>
        <v>40.22</v>
      </c>
      <c r="K333" s="340">
        <f t="shared" si="90"/>
        <v>40.22</v>
      </c>
      <c r="L333" s="340">
        <f t="shared" si="91"/>
        <v>14.29</v>
      </c>
      <c r="M333" s="340">
        <f t="shared" si="92"/>
        <v>56.64965311236994</v>
      </c>
      <c r="N333" s="340"/>
    </row>
    <row r="334" spans="2:14" x14ac:dyDescent="0.3">
      <c r="B334" s="313" t="s">
        <v>6</v>
      </c>
      <c r="C334" s="340">
        <f t="shared" si="95"/>
        <v>40.22</v>
      </c>
      <c r="D334" s="340">
        <f>'Input summary'!D334</f>
        <v>40.22</v>
      </c>
      <c r="E334" s="340">
        <f>'Input summary'!E334</f>
        <v>14.29</v>
      </c>
      <c r="F334" s="340">
        <f>'Input summary'!F334</f>
        <v>56.64965311236994</v>
      </c>
      <c r="G334" s="407"/>
      <c r="H334" s="322"/>
      <c r="I334" s="442" t="s">
        <v>6</v>
      </c>
      <c r="J334" s="340">
        <f t="shared" si="94"/>
        <v>40.22</v>
      </c>
      <c r="K334" s="340">
        <f t="shared" si="90"/>
        <v>40.22</v>
      </c>
      <c r="L334" s="340">
        <f t="shared" si="91"/>
        <v>14.29</v>
      </c>
      <c r="M334" s="340">
        <f t="shared" si="92"/>
        <v>56.64965311236994</v>
      </c>
      <c r="N334" s="340"/>
    </row>
    <row r="335" spans="2:14" x14ac:dyDescent="0.3">
      <c r="B335" s="313" t="s">
        <v>7</v>
      </c>
      <c r="C335" s="340">
        <f t="shared" si="95"/>
        <v>40.22</v>
      </c>
      <c r="D335" s="340">
        <f>'Input summary'!D335</f>
        <v>40.22</v>
      </c>
      <c r="E335" s="340">
        <f>'Input summary'!E335</f>
        <v>14.29</v>
      </c>
      <c r="F335" s="340">
        <f>'Input summary'!F335</f>
        <v>56.64965311236994</v>
      </c>
      <c r="G335" s="407"/>
      <c r="H335" s="322"/>
      <c r="I335" s="442" t="s">
        <v>7</v>
      </c>
      <c r="J335" s="340">
        <f t="shared" si="94"/>
        <v>40.22</v>
      </c>
      <c r="K335" s="340">
        <f t="shared" si="90"/>
        <v>40.22</v>
      </c>
      <c r="L335" s="340">
        <f t="shared" si="91"/>
        <v>14.29</v>
      </c>
      <c r="M335" s="340">
        <f t="shared" si="92"/>
        <v>56.64965311236994</v>
      </c>
      <c r="N335" s="340"/>
    </row>
    <row r="336" spans="2:14" x14ac:dyDescent="0.3">
      <c r="B336" s="313" t="s">
        <v>11</v>
      </c>
      <c r="C336" s="340">
        <f t="shared" si="95"/>
        <v>40.22</v>
      </c>
      <c r="D336" s="340">
        <f>'Input summary'!D336</f>
        <v>40.22</v>
      </c>
      <c r="E336" s="340">
        <f>'Input summary'!E336</f>
        <v>14.29</v>
      </c>
      <c r="F336" s="340">
        <f>'Input summary'!F336</f>
        <v>56.64965311236994</v>
      </c>
      <c r="G336" s="407"/>
      <c r="H336" s="322"/>
      <c r="I336" s="442" t="s">
        <v>1469</v>
      </c>
      <c r="J336" s="340">
        <f t="shared" si="94"/>
        <v>40.22</v>
      </c>
      <c r="K336" s="340">
        <f t="shared" si="90"/>
        <v>40.22</v>
      </c>
      <c r="L336" s="340">
        <f t="shared" si="91"/>
        <v>14.29</v>
      </c>
      <c r="M336" s="340">
        <f t="shared" si="92"/>
        <v>56.64965311236994</v>
      </c>
      <c r="N336" s="340"/>
    </row>
    <row r="337" spans="2:15" x14ac:dyDescent="0.3">
      <c r="B337" s="207" t="s">
        <v>227</v>
      </c>
      <c r="C337" s="580"/>
      <c r="D337" s="581"/>
      <c r="E337" s="581"/>
      <c r="F337" s="581"/>
      <c r="G337" s="580"/>
      <c r="I337" s="443" t="s">
        <v>227</v>
      </c>
      <c r="J337" s="422"/>
      <c r="K337" s="422"/>
      <c r="L337" s="422"/>
      <c r="M337" s="422"/>
      <c r="N337" s="309"/>
    </row>
    <row r="338" spans="2:15" x14ac:dyDescent="0.3">
      <c r="B338" s="206" t="s">
        <v>1437</v>
      </c>
      <c r="C338" s="340">
        <f>IF($H$320=3,F338,IF($H$320=2,E338,D338))</f>
        <v>40.22</v>
      </c>
      <c r="D338" s="340">
        <f>'Input summary'!D338</f>
        <v>40.22</v>
      </c>
      <c r="E338" s="340">
        <f>'Input summary'!E338</f>
        <v>14.29</v>
      </c>
      <c r="F338" s="340">
        <f>'Input summary'!F338</f>
        <v>56.64965311236994</v>
      </c>
      <c r="G338" s="407"/>
      <c r="I338" s="444" t="s">
        <v>1437</v>
      </c>
      <c r="J338" s="340">
        <f t="shared" si="94"/>
        <v>40.22</v>
      </c>
      <c r="K338" s="340">
        <f t="shared" si="90"/>
        <v>40.22</v>
      </c>
      <c r="L338" s="340">
        <f t="shared" si="91"/>
        <v>14.29</v>
      </c>
      <c r="M338" s="340">
        <f t="shared" si="92"/>
        <v>56.64965311236994</v>
      </c>
      <c r="N338" s="340"/>
    </row>
    <row r="339" spans="2:15" x14ac:dyDescent="0.3">
      <c r="B339" s="206" t="s">
        <v>1438</v>
      </c>
      <c r="C339" s="340">
        <f t="shared" ref="C339:C344" si="96">IF($H$320=3,F339,IF($H$320=2,E339,D339))</f>
        <v>40.22</v>
      </c>
      <c r="D339" s="340">
        <f>'Input summary'!D339</f>
        <v>40.22</v>
      </c>
      <c r="E339" s="340">
        <f>'Input summary'!E339</f>
        <v>14.29</v>
      </c>
      <c r="F339" s="340">
        <f>'Input summary'!F339</f>
        <v>56.64965311236994</v>
      </c>
      <c r="G339" s="407"/>
      <c r="I339" s="444" t="s">
        <v>1438</v>
      </c>
      <c r="J339" s="340">
        <f t="shared" si="94"/>
        <v>40.22</v>
      </c>
      <c r="K339" s="340">
        <f t="shared" si="90"/>
        <v>40.22</v>
      </c>
      <c r="L339" s="340">
        <f t="shared" si="91"/>
        <v>14.29</v>
      </c>
      <c r="M339" s="340">
        <f t="shared" si="92"/>
        <v>56.64965311236994</v>
      </c>
      <c r="N339" s="340"/>
    </row>
    <row r="340" spans="2:15" x14ac:dyDescent="0.3">
      <c r="B340" s="206" t="s">
        <v>1441</v>
      </c>
      <c r="C340" s="340">
        <f t="shared" si="96"/>
        <v>40.22</v>
      </c>
      <c r="D340" s="340">
        <f>'Input summary'!D340</f>
        <v>40.22</v>
      </c>
      <c r="E340" s="340">
        <f>'Input summary'!E340</f>
        <v>14.29</v>
      </c>
      <c r="F340" s="340">
        <f>'Input summary'!F340</f>
        <v>56.64965311236994</v>
      </c>
      <c r="G340" s="407"/>
      <c r="I340" s="444" t="s">
        <v>1441</v>
      </c>
      <c r="J340" s="340">
        <f t="shared" si="94"/>
        <v>40.22</v>
      </c>
      <c r="K340" s="340">
        <f t="shared" si="90"/>
        <v>40.22</v>
      </c>
      <c r="L340" s="340">
        <f t="shared" si="91"/>
        <v>14.29</v>
      </c>
      <c r="M340" s="340">
        <f t="shared" si="92"/>
        <v>56.64965311236994</v>
      </c>
      <c r="N340" s="340"/>
    </row>
    <row r="341" spans="2:15" x14ac:dyDescent="0.3">
      <c r="B341" s="206" t="s">
        <v>1442</v>
      </c>
      <c r="C341" s="340">
        <f t="shared" si="96"/>
        <v>40.22</v>
      </c>
      <c r="D341" s="340">
        <f>'Input summary'!D341</f>
        <v>40.22</v>
      </c>
      <c r="E341" s="340">
        <f>'Input summary'!E341</f>
        <v>14.29</v>
      </c>
      <c r="F341" s="340">
        <f>'Input summary'!F341</f>
        <v>56.64965311236994</v>
      </c>
      <c r="G341" s="407"/>
      <c r="I341" s="444" t="s">
        <v>1442</v>
      </c>
      <c r="J341" s="340">
        <f t="shared" si="94"/>
        <v>40.22</v>
      </c>
      <c r="K341" s="340">
        <f t="shared" si="90"/>
        <v>40.22</v>
      </c>
      <c r="L341" s="340">
        <f t="shared" si="91"/>
        <v>14.29</v>
      </c>
      <c r="M341" s="340">
        <f t="shared" si="92"/>
        <v>56.64965311236994</v>
      </c>
      <c r="N341" s="340"/>
    </row>
    <row r="342" spans="2:15" x14ac:dyDescent="0.3">
      <c r="B342" s="207" t="s">
        <v>920</v>
      </c>
      <c r="C342" s="580"/>
      <c r="D342" s="581"/>
      <c r="E342" s="581"/>
      <c r="F342" s="581"/>
      <c r="G342" s="580"/>
      <c r="I342" s="443" t="s">
        <v>920</v>
      </c>
      <c r="J342" s="422"/>
      <c r="K342" s="422"/>
      <c r="L342" s="422"/>
      <c r="M342" s="422"/>
      <c r="N342" s="309"/>
    </row>
    <row r="343" spans="2:15" x14ac:dyDescent="0.3">
      <c r="B343" s="206" t="s">
        <v>920</v>
      </c>
      <c r="C343" s="340">
        <f t="shared" si="96"/>
        <v>40.22</v>
      </c>
      <c r="D343" s="340">
        <f>'Input summary'!D343</f>
        <v>40.22</v>
      </c>
      <c r="E343" s="340">
        <f>'Input summary'!E343</f>
        <v>14.29</v>
      </c>
      <c r="F343" s="340">
        <f>'Input summary'!F343</f>
        <v>56.64965311236994</v>
      </c>
      <c r="G343" s="407"/>
      <c r="I343" s="444" t="s">
        <v>920</v>
      </c>
      <c r="J343" s="340">
        <f t="shared" si="94"/>
        <v>40.22</v>
      </c>
      <c r="K343" s="340">
        <f t="shared" si="90"/>
        <v>40.22</v>
      </c>
      <c r="L343" s="340">
        <f t="shared" si="91"/>
        <v>14.29</v>
      </c>
      <c r="M343" s="340">
        <f t="shared" si="92"/>
        <v>56.64965311236994</v>
      </c>
      <c r="N343" s="340"/>
    </row>
    <row r="344" spans="2:15" x14ac:dyDescent="0.3">
      <c r="B344" s="206" t="s">
        <v>980</v>
      </c>
      <c r="C344" s="340">
        <f t="shared" si="96"/>
        <v>40.22</v>
      </c>
      <c r="D344" s="340">
        <f>'Input summary'!D344</f>
        <v>40.22</v>
      </c>
      <c r="E344" s="340">
        <f>'Input summary'!E344</f>
        <v>14.29</v>
      </c>
      <c r="F344" s="340">
        <f>'Input summary'!F344</f>
        <v>56.64965311236994</v>
      </c>
      <c r="G344" s="407"/>
      <c r="I344" s="444" t="s">
        <v>980</v>
      </c>
      <c r="J344" s="340">
        <f t="shared" si="94"/>
        <v>40.22</v>
      </c>
      <c r="K344" s="340">
        <f t="shared" si="90"/>
        <v>40.22</v>
      </c>
      <c r="L344" s="340">
        <f t="shared" si="91"/>
        <v>14.29</v>
      </c>
      <c r="M344" s="340">
        <f t="shared" si="92"/>
        <v>56.64965311236994</v>
      </c>
      <c r="N344" s="340"/>
    </row>
    <row r="345" spans="2:15" ht="15" customHeight="1" x14ac:dyDescent="0.3">
      <c r="B345" s="306"/>
      <c r="C345" s="306"/>
      <c r="D345" s="306"/>
      <c r="E345" s="306"/>
    </row>
    <row r="346" spans="2:15" ht="15" customHeight="1" x14ac:dyDescent="0.3">
      <c r="B346" s="294" t="s">
        <v>911</v>
      </c>
      <c r="C346" s="305"/>
      <c r="D346" s="305"/>
      <c r="E346" s="305"/>
      <c r="F346" s="305"/>
      <c r="G346" s="305"/>
      <c r="I346" s="438" t="s">
        <v>911</v>
      </c>
      <c r="J346" s="305"/>
      <c r="K346" s="305"/>
      <c r="L346" s="305"/>
      <c r="M346" s="305"/>
      <c r="N346" s="305"/>
    </row>
    <row r="347" spans="2:15" ht="15" customHeight="1" x14ac:dyDescent="0.3">
      <c r="B347" s="339" t="s">
        <v>552</v>
      </c>
      <c r="C347" s="301"/>
      <c r="D347" s="301"/>
      <c r="E347" s="301"/>
      <c r="F347" s="301"/>
      <c r="G347" s="301"/>
      <c r="H347" s="455" t="s">
        <v>1468</v>
      </c>
      <c r="I347" s="439" t="s">
        <v>553</v>
      </c>
      <c r="J347" s="301"/>
      <c r="K347" s="301"/>
      <c r="L347" s="301"/>
      <c r="M347" s="301"/>
      <c r="N347" s="301"/>
    </row>
    <row r="348" spans="2:15" ht="15" customHeight="1" x14ac:dyDescent="0.3">
      <c r="B348" s="17" t="s">
        <v>950</v>
      </c>
      <c r="C348" s="152" t="s">
        <v>724</v>
      </c>
      <c r="D348" s="152" t="s">
        <v>995</v>
      </c>
      <c r="E348" s="152" t="s">
        <v>985</v>
      </c>
      <c r="F348" s="152" t="s">
        <v>986</v>
      </c>
      <c r="G348" s="152"/>
      <c r="H348" s="455">
        <f>'SA Results'!$W$2</f>
        <v>1</v>
      </c>
      <c r="I348" s="440" t="s">
        <v>950</v>
      </c>
      <c r="J348" s="152" t="s">
        <v>724</v>
      </c>
      <c r="K348" s="152" t="s">
        <v>995</v>
      </c>
      <c r="L348" s="152" t="s">
        <v>985</v>
      </c>
      <c r="M348" s="152" t="s">
        <v>986</v>
      </c>
      <c r="N348" s="152"/>
    </row>
    <row r="349" spans="2:15" ht="15" customHeight="1" x14ac:dyDescent="0.3">
      <c r="B349" s="315" t="s">
        <v>1445</v>
      </c>
      <c r="D349" s="306"/>
      <c r="E349" s="306"/>
      <c r="I349" s="441" t="s">
        <v>988</v>
      </c>
    </row>
    <row r="350" spans="2:15" ht="15" customHeight="1" x14ac:dyDescent="0.3">
      <c r="B350" s="313" t="s">
        <v>2</v>
      </c>
      <c r="C350" s="340">
        <f>IF($H$348=3,F350,IF($H$348=2,E350,D350))</f>
        <v>67.52</v>
      </c>
      <c r="D350" s="340">
        <f>'Input summary'!D350</f>
        <v>67.52</v>
      </c>
      <c r="E350" s="340">
        <f>'Input summary'!E350</f>
        <v>33.76</v>
      </c>
      <c r="F350" s="340">
        <f>'Input summary'!F350</f>
        <v>101.28</v>
      </c>
      <c r="G350" s="407"/>
      <c r="I350" s="442" t="s">
        <v>2</v>
      </c>
      <c r="J350" s="340">
        <f>C350</f>
        <v>67.52</v>
      </c>
      <c r="K350" s="340">
        <f t="shared" ref="K350:K356" si="97">D350</f>
        <v>67.52</v>
      </c>
      <c r="L350" s="340">
        <f t="shared" ref="L350:L356" si="98">E350</f>
        <v>33.76</v>
      </c>
      <c r="M350" s="340">
        <f t="shared" ref="M350:M356" si="99">F350</f>
        <v>101.28</v>
      </c>
      <c r="N350" s="340"/>
      <c r="O350" s="340"/>
    </row>
    <row r="351" spans="2:15" ht="15" customHeight="1" x14ac:dyDescent="0.3">
      <c r="B351" s="313" t="s">
        <v>3</v>
      </c>
      <c r="C351" s="340">
        <f t="shared" ref="C351:C372" si="100">IF($H$348=3,F351,IF($H$348=2,E351,D351))</f>
        <v>67.52</v>
      </c>
      <c r="D351" s="340">
        <f>'Input summary'!D351</f>
        <v>67.52</v>
      </c>
      <c r="E351" s="340">
        <f>'Input summary'!E351</f>
        <v>33.76</v>
      </c>
      <c r="F351" s="340">
        <f>'Input summary'!F351</f>
        <v>101.28</v>
      </c>
      <c r="G351" s="407"/>
      <c r="I351" s="442" t="s">
        <v>3</v>
      </c>
      <c r="J351" s="340">
        <f t="shared" ref="J351:J356" si="101">C351</f>
        <v>67.52</v>
      </c>
      <c r="K351" s="340">
        <f t="shared" si="97"/>
        <v>67.52</v>
      </c>
      <c r="L351" s="340">
        <f t="shared" si="98"/>
        <v>33.76</v>
      </c>
      <c r="M351" s="340">
        <f t="shared" si="99"/>
        <v>101.28</v>
      </c>
      <c r="N351" s="340"/>
      <c r="O351" s="340"/>
    </row>
    <row r="352" spans="2:15" ht="15" customHeight="1" x14ac:dyDescent="0.3">
      <c r="B352" s="313" t="s">
        <v>4</v>
      </c>
      <c r="C352" s="340">
        <f t="shared" si="100"/>
        <v>67.52</v>
      </c>
      <c r="D352" s="340">
        <f>'Input summary'!D352</f>
        <v>67.52</v>
      </c>
      <c r="E352" s="340">
        <f>'Input summary'!E352</f>
        <v>33.76</v>
      </c>
      <c r="F352" s="340">
        <f>'Input summary'!F352</f>
        <v>101.28</v>
      </c>
      <c r="G352" s="407"/>
      <c r="I352" s="442" t="s">
        <v>4</v>
      </c>
      <c r="J352" s="340">
        <f t="shared" si="101"/>
        <v>67.52</v>
      </c>
      <c r="K352" s="340">
        <f t="shared" si="97"/>
        <v>67.52</v>
      </c>
      <c r="L352" s="340">
        <f t="shared" si="98"/>
        <v>33.76</v>
      </c>
      <c r="M352" s="340">
        <f t="shared" si="99"/>
        <v>101.28</v>
      </c>
      <c r="N352" s="340"/>
      <c r="O352" s="340"/>
    </row>
    <row r="353" spans="2:15" ht="15" customHeight="1" x14ac:dyDescent="0.3">
      <c r="B353" s="313" t="s">
        <v>5</v>
      </c>
      <c r="C353" s="340">
        <f t="shared" si="100"/>
        <v>67.52</v>
      </c>
      <c r="D353" s="340">
        <f>'Input summary'!D353</f>
        <v>67.52</v>
      </c>
      <c r="E353" s="340">
        <f>'Input summary'!E353</f>
        <v>33.76</v>
      </c>
      <c r="F353" s="340">
        <f>'Input summary'!F353</f>
        <v>101.28</v>
      </c>
      <c r="G353" s="407"/>
      <c r="I353" s="442" t="s">
        <v>5</v>
      </c>
      <c r="J353" s="340">
        <f t="shared" si="101"/>
        <v>67.52</v>
      </c>
      <c r="K353" s="340">
        <f t="shared" si="97"/>
        <v>67.52</v>
      </c>
      <c r="L353" s="340">
        <f t="shared" si="98"/>
        <v>33.76</v>
      </c>
      <c r="M353" s="340">
        <f t="shared" si="99"/>
        <v>101.28</v>
      </c>
      <c r="N353" s="340"/>
      <c r="O353" s="340"/>
    </row>
    <row r="354" spans="2:15" ht="15" customHeight="1" x14ac:dyDescent="0.3">
      <c r="B354" s="313" t="s">
        <v>6</v>
      </c>
      <c r="C354" s="340">
        <f t="shared" si="100"/>
        <v>67.52</v>
      </c>
      <c r="D354" s="340">
        <f>'Input summary'!D354</f>
        <v>67.52</v>
      </c>
      <c r="E354" s="340">
        <f>'Input summary'!E354</f>
        <v>33.76</v>
      </c>
      <c r="F354" s="340">
        <f>'Input summary'!F354</f>
        <v>101.28</v>
      </c>
      <c r="G354" s="407"/>
      <c r="I354" s="442" t="s">
        <v>6</v>
      </c>
      <c r="J354" s="340">
        <f t="shared" si="101"/>
        <v>67.52</v>
      </c>
      <c r="K354" s="340">
        <f t="shared" si="97"/>
        <v>67.52</v>
      </c>
      <c r="L354" s="340">
        <f t="shared" si="98"/>
        <v>33.76</v>
      </c>
      <c r="M354" s="340">
        <f t="shared" si="99"/>
        <v>101.28</v>
      </c>
      <c r="N354" s="340"/>
      <c r="O354" s="340"/>
    </row>
    <row r="355" spans="2:15" ht="15" customHeight="1" x14ac:dyDescent="0.3">
      <c r="B355" s="313" t="s">
        <v>7</v>
      </c>
      <c r="C355" s="340">
        <f t="shared" si="100"/>
        <v>67.52</v>
      </c>
      <c r="D355" s="340">
        <f>'Input summary'!D355</f>
        <v>67.52</v>
      </c>
      <c r="E355" s="340">
        <f>'Input summary'!E355</f>
        <v>33.76</v>
      </c>
      <c r="F355" s="340">
        <f>'Input summary'!F355</f>
        <v>101.28</v>
      </c>
      <c r="G355" s="407"/>
      <c r="I355" s="442" t="s">
        <v>7</v>
      </c>
      <c r="J355" s="340">
        <f t="shared" si="101"/>
        <v>67.52</v>
      </c>
      <c r="K355" s="340">
        <f t="shared" si="97"/>
        <v>67.52</v>
      </c>
      <c r="L355" s="340">
        <f t="shared" si="98"/>
        <v>33.76</v>
      </c>
      <c r="M355" s="340">
        <f t="shared" si="99"/>
        <v>101.28</v>
      </c>
      <c r="N355" s="340"/>
      <c r="O355" s="340"/>
    </row>
    <row r="356" spans="2:15" ht="15" customHeight="1" x14ac:dyDescent="0.3">
      <c r="B356" s="313" t="s">
        <v>11</v>
      </c>
      <c r="C356" s="340">
        <f t="shared" si="100"/>
        <v>67.52</v>
      </c>
      <c r="D356" s="340">
        <f>'Input summary'!D356</f>
        <v>67.52</v>
      </c>
      <c r="E356" s="340">
        <f>'Input summary'!E356</f>
        <v>33.76</v>
      </c>
      <c r="F356" s="340">
        <f>'Input summary'!F356</f>
        <v>101.28</v>
      </c>
      <c r="G356" s="407"/>
      <c r="I356" s="442" t="s">
        <v>1469</v>
      </c>
      <c r="J356" s="340">
        <f t="shared" si="101"/>
        <v>67.52</v>
      </c>
      <c r="K356" s="340">
        <f t="shared" si="97"/>
        <v>67.52</v>
      </c>
      <c r="L356" s="340">
        <f t="shared" si="98"/>
        <v>33.76</v>
      </c>
      <c r="M356" s="340">
        <f t="shared" si="99"/>
        <v>101.28</v>
      </c>
      <c r="N356" s="340"/>
      <c r="O356" s="340"/>
    </row>
    <row r="357" spans="2:15" x14ac:dyDescent="0.3">
      <c r="B357" s="315" t="s">
        <v>1444</v>
      </c>
      <c r="C357" s="580"/>
      <c r="D357" s="581"/>
      <c r="E357" s="581"/>
      <c r="F357" s="581"/>
      <c r="G357" s="580"/>
      <c r="H357" s="322"/>
      <c r="I357" s="441" t="s">
        <v>988</v>
      </c>
      <c r="J357" s="422"/>
      <c r="K357" s="422"/>
      <c r="L357" s="422"/>
      <c r="M357" s="422"/>
      <c r="N357" s="422"/>
    </row>
    <row r="358" spans="2:15" x14ac:dyDescent="0.3">
      <c r="B358" s="313" t="s">
        <v>2</v>
      </c>
      <c r="C358" s="340">
        <f t="shared" si="100"/>
        <v>67.52</v>
      </c>
      <c r="D358" s="340">
        <f>'Input summary'!D358</f>
        <v>67.52</v>
      </c>
      <c r="E358" s="340">
        <f>'Input summary'!E358</f>
        <v>33.76</v>
      </c>
      <c r="F358" s="340">
        <f>'Input summary'!F358</f>
        <v>101.28</v>
      </c>
      <c r="G358" s="407"/>
      <c r="H358" s="322"/>
      <c r="I358" s="442" t="s">
        <v>2</v>
      </c>
      <c r="J358" s="340">
        <f t="shared" ref="J358:J364" si="102">C358</f>
        <v>67.52</v>
      </c>
      <c r="K358" s="340">
        <f t="shared" ref="K358:K364" si="103">D358</f>
        <v>67.52</v>
      </c>
      <c r="L358" s="340">
        <f t="shared" ref="L358:L364" si="104">E358</f>
        <v>33.76</v>
      </c>
      <c r="M358" s="340">
        <f t="shared" ref="M358:M364" si="105">F358</f>
        <v>101.28</v>
      </c>
      <c r="N358" s="340"/>
      <c r="O358" s="340"/>
    </row>
    <row r="359" spans="2:15" x14ac:dyDescent="0.3">
      <c r="B359" s="313" t="s">
        <v>3</v>
      </c>
      <c r="C359" s="340">
        <f t="shared" si="100"/>
        <v>67.52</v>
      </c>
      <c r="D359" s="340">
        <f>'Input summary'!D359</f>
        <v>67.52</v>
      </c>
      <c r="E359" s="340">
        <f>'Input summary'!E359</f>
        <v>33.76</v>
      </c>
      <c r="F359" s="340">
        <f>'Input summary'!F359</f>
        <v>101.28</v>
      </c>
      <c r="G359" s="407"/>
      <c r="H359" s="322"/>
      <c r="I359" s="442" t="s">
        <v>3</v>
      </c>
      <c r="J359" s="340">
        <f t="shared" si="102"/>
        <v>67.52</v>
      </c>
      <c r="K359" s="340">
        <f t="shared" si="103"/>
        <v>67.52</v>
      </c>
      <c r="L359" s="340">
        <f t="shared" si="104"/>
        <v>33.76</v>
      </c>
      <c r="M359" s="340">
        <f t="shared" si="105"/>
        <v>101.28</v>
      </c>
      <c r="N359" s="340"/>
      <c r="O359" s="340"/>
    </row>
    <row r="360" spans="2:15" x14ac:dyDescent="0.3">
      <c r="B360" s="313" t="s">
        <v>4</v>
      </c>
      <c r="C360" s="340">
        <f t="shared" si="100"/>
        <v>67.52</v>
      </c>
      <c r="D360" s="340">
        <f>'Input summary'!D360</f>
        <v>67.52</v>
      </c>
      <c r="E360" s="340">
        <f>'Input summary'!E360</f>
        <v>33.76</v>
      </c>
      <c r="F360" s="340">
        <f>'Input summary'!F360</f>
        <v>101.28</v>
      </c>
      <c r="G360" s="407"/>
      <c r="H360" s="322"/>
      <c r="I360" s="442" t="s">
        <v>4</v>
      </c>
      <c r="J360" s="340">
        <f t="shared" si="102"/>
        <v>67.52</v>
      </c>
      <c r="K360" s="340">
        <f t="shared" si="103"/>
        <v>67.52</v>
      </c>
      <c r="L360" s="340">
        <f t="shared" si="104"/>
        <v>33.76</v>
      </c>
      <c r="M360" s="340">
        <f t="shared" si="105"/>
        <v>101.28</v>
      </c>
      <c r="N360" s="340"/>
      <c r="O360" s="340"/>
    </row>
    <row r="361" spans="2:15" x14ac:dyDescent="0.3">
      <c r="B361" s="313" t="s">
        <v>5</v>
      </c>
      <c r="C361" s="340">
        <f t="shared" si="100"/>
        <v>67.52</v>
      </c>
      <c r="D361" s="340">
        <f>'Input summary'!D361</f>
        <v>67.52</v>
      </c>
      <c r="E361" s="340">
        <f>'Input summary'!E361</f>
        <v>33.76</v>
      </c>
      <c r="F361" s="340">
        <f>'Input summary'!F361</f>
        <v>101.28</v>
      </c>
      <c r="G361" s="407"/>
      <c r="H361" s="322"/>
      <c r="I361" s="442" t="s">
        <v>5</v>
      </c>
      <c r="J361" s="340">
        <f t="shared" si="102"/>
        <v>67.52</v>
      </c>
      <c r="K361" s="340">
        <f t="shared" si="103"/>
        <v>67.52</v>
      </c>
      <c r="L361" s="340">
        <f t="shared" si="104"/>
        <v>33.76</v>
      </c>
      <c r="M361" s="340">
        <f t="shared" si="105"/>
        <v>101.28</v>
      </c>
      <c r="N361" s="340"/>
      <c r="O361" s="340"/>
    </row>
    <row r="362" spans="2:15" x14ac:dyDescent="0.3">
      <c r="B362" s="313" t="s">
        <v>6</v>
      </c>
      <c r="C362" s="340">
        <f t="shared" si="100"/>
        <v>67.52</v>
      </c>
      <c r="D362" s="340">
        <f>'Input summary'!D362</f>
        <v>67.52</v>
      </c>
      <c r="E362" s="340">
        <f>'Input summary'!E362</f>
        <v>33.76</v>
      </c>
      <c r="F362" s="340">
        <f>'Input summary'!F362</f>
        <v>101.28</v>
      </c>
      <c r="G362" s="407"/>
      <c r="H362" s="322"/>
      <c r="I362" s="442" t="s">
        <v>6</v>
      </c>
      <c r="J362" s="340">
        <f t="shared" si="102"/>
        <v>67.52</v>
      </c>
      <c r="K362" s="340">
        <f t="shared" si="103"/>
        <v>67.52</v>
      </c>
      <c r="L362" s="340">
        <f t="shared" si="104"/>
        <v>33.76</v>
      </c>
      <c r="M362" s="340">
        <f t="shared" si="105"/>
        <v>101.28</v>
      </c>
      <c r="N362" s="340"/>
      <c r="O362" s="340"/>
    </row>
    <row r="363" spans="2:15" x14ac:dyDescent="0.3">
      <c r="B363" s="313" t="s">
        <v>7</v>
      </c>
      <c r="C363" s="340">
        <f t="shared" si="100"/>
        <v>67.52</v>
      </c>
      <c r="D363" s="340">
        <f>'Input summary'!D363</f>
        <v>67.52</v>
      </c>
      <c r="E363" s="340">
        <f>'Input summary'!E363</f>
        <v>33.76</v>
      </c>
      <c r="F363" s="340">
        <f>'Input summary'!F363</f>
        <v>101.28</v>
      </c>
      <c r="G363" s="407"/>
      <c r="H363" s="322"/>
      <c r="I363" s="442" t="s">
        <v>7</v>
      </c>
      <c r="J363" s="340">
        <f t="shared" si="102"/>
        <v>67.52</v>
      </c>
      <c r="K363" s="340">
        <f t="shared" si="103"/>
        <v>67.52</v>
      </c>
      <c r="L363" s="340">
        <f t="shared" si="104"/>
        <v>33.76</v>
      </c>
      <c r="M363" s="340">
        <f t="shared" si="105"/>
        <v>101.28</v>
      </c>
      <c r="N363" s="340"/>
      <c r="O363" s="340"/>
    </row>
    <row r="364" spans="2:15" x14ac:dyDescent="0.3">
      <c r="B364" s="313" t="s">
        <v>11</v>
      </c>
      <c r="C364" s="340">
        <f t="shared" si="100"/>
        <v>67.52</v>
      </c>
      <c r="D364" s="340">
        <f>'Input summary'!D364</f>
        <v>67.52</v>
      </c>
      <c r="E364" s="340">
        <f>'Input summary'!E364</f>
        <v>33.76</v>
      </c>
      <c r="F364" s="340">
        <f>'Input summary'!F364</f>
        <v>101.28</v>
      </c>
      <c r="G364" s="407"/>
      <c r="H364" s="322"/>
      <c r="I364" s="442" t="s">
        <v>1469</v>
      </c>
      <c r="J364" s="340">
        <f t="shared" si="102"/>
        <v>67.52</v>
      </c>
      <c r="K364" s="340">
        <f t="shared" si="103"/>
        <v>67.52</v>
      </c>
      <c r="L364" s="340">
        <f t="shared" si="104"/>
        <v>33.76</v>
      </c>
      <c r="M364" s="340">
        <f t="shared" si="105"/>
        <v>101.28</v>
      </c>
      <c r="N364" s="340"/>
      <c r="O364" s="340"/>
    </row>
    <row r="365" spans="2:15" ht="15" customHeight="1" x14ac:dyDescent="0.3">
      <c r="B365" s="207" t="s">
        <v>227</v>
      </c>
      <c r="C365" s="580"/>
      <c r="D365" s="581"/>
      <c r="E365" s="581"/>
      <c r="F365" s="581"/>
      <c r="G365" s="580"/>
      <c r="I365" s="443" t="s">
        <v>227</v>
      </c>
      <c r="J365" s="422"/>
      <c r="K365" s="422"/>
      <c r="L365" s="422"/>
      <c r="M365" s="422"/>
      <c r="N365" s="422"/>
    </row>
    <row r="366" spans="2:15" ht="15" customHeight="1" x14ac:dyDescent="0.3">
      <c r="B366" s="206" t="s">
        <v>1437</v>
      </c>
      <c r="C366" s="340">
        <f t="shared" si="100"/>
        <v>67.52</v>
      </c>
      <c r="D366" s="340">
        <f>'Input summary'!D366</f>
        <v>67.52</v>
      </c>
      <c r="E366" s="340">
        <f>'Input summary'!E366</f>
        <v>33.76</v>
      </c>
      <c r="F366" s="340">
        <f>'Input summary'!F366</f>
        <v>101.28</v>
      </c>
      <c r="G366" s="407"/>
      <c r="I366" s="444" t="s">
        <v>1437</v>
      </c>
      <c r="J366" s="340">
        <f t="shared" ref="J366:J369" si="106">C366</f>
        <v>67.52</v>
      </c>
      <c r="K366" s="340">
        <f t="shared" ref="K366:K369" si="107">D366</f>
        <v>67.52</v>
      </c>
      <c r="L366" s="340">
        <f t="shared" ref="L366:L369" si="108">E366</f>
        <v>33.76</v>
      </c>
      <c r="M366" s="340">
        <f t="shared" ref="M366:M369" si="109">F366</f>
        <v>101.28</v>
      </c>
      <c r="N366" s="340"/>
      <c r="O366" s="340"/>
    </row>
    <row r="367" spans="2:15" ht="15" customHeight="1" x14ac:dyDescent="0.3">
      <c r="B367" s="206" t="s">
        <v>1438</v>
      </c>
      <c r="C367" s="340">
        <f t="shared" si="100"/>
        <v>67.52</v>
      </c>
      <c r="D367" s="340">
        <f>'Input summary'!D367</f>
        <v>67.52</v>
      </c>
      <c r="E367" s="340">
        <f>'Input summary'!E367</f>
        <v>33.76</v>
      </c>
      <c r="F367" s="340">
        <f>'Input summary'!F367</f>
        <v>101.28</v>
      </c>
      <c r="G367" s="407"/>
      <c r="I367" s="444" t="s">
        <v>1438</v>
      </c>
      <c r="J367" s="340">
        <f t="shared" si="106"/>
        <v>67.52</v>
      </c>
      <c r="K367" s="340">
        <f t="shared" si="107"/>
        <v>67.52</v>
      </c>
      <c r="L367" s="340">
        <f t="shared" si="108"/>
        <v>33.76</v>
      </c>
      <c r="M367" s="340">
        <f t="shared" si="109"/>
        <v>101.28</v>
      </c>
      <c r="N367" s="340"/>
      <c r="O367" s="340"/>
    </row>
    <row r="368" spans="2:15" ht="15" customHeight="1" x14ac:dyDescent="0.3">
      <c r="B368" s="206" t="s">
        <v>1441</v>
      </c>
      <c r="C368" s="340">
        <f t="shared" si="100"/>
        <v>67.52</v>
      </c>
      <c r="D368" s="340">
        <f>'Input summary'!D368</f>
        <v>67.52</v>
      </c>
      <c r="E368" s="340">
        <f>'Input summary'!E368</f>
        <v>33.76</v>
      </c>
      <c r="F368" s="340">
        <f>'Input summary'!F368</f>
        <v>101.28</v>
      </c>
      <c r="G368" s="407"/>
      <c r="I368" s="444" t="s">
        <v>1441</v>
      </c>
      <c r="J368" s="340">
        <f t="shared" si="106"/>
        <v>67.52</v>
      </c>
      <c r="K368" s="340">
        <f t="shared" si="107"/>
        <v>67.52</v>
      </c>
      <c r="L368" s="340">
        <f t="shared" si="108"/>
        <v>33.76</v>
      </c>
      <c r="M368" s="340">
        <f t="shared" si="109"/>
        <v>101.28</v>
      </c>
      <c r="N368" s="340"/>
      <c r="O368" s="340"/>
    </row>
    <row r="369" spans="2:15" ht="15" customHeight="1" x14ac:dyDescent="0.3">
      <c r="B369" s="206" t="s">
        <v>1442</v>
      </c>
      <c r="C369" s="340">
        <f t="shared" si="100"/>
        <v>67.52</v>
      </c>
      <c r="D369" s="340">
        <f>'Input summary'!D369</f>
        <v>67.52</v>
      </c>
      <c r="E369" s="340">
        <f>'Input summary'!E369</f>
        <v>33.76</v>
      </c>
      <c r="F369" s="340">
        <f>'Input summary'!F369</f>
        <v>101.28</v>
      </c>
      <c r="G369" s="407"/>
      <c r="I369" s="444" t="s">
        <v>1442</v>
      </c>
      <c r="J369" s="340">
        <f t="shared" si="106"/>
        <v>67.52</v>
      </c>
      <c r="K369" s="340">
        <f t="shared" si="107"/>
        <v>67.52</v>
      </c>
      <c r="L369" s="340">
        <f t="shared" si="108"/>
        <v>33.76</v>
      </c>
      <c r="M369" s="340">
        <f t="shared" si="109"/>
        <v>101.28</v>
      </c>
      <c r="N369" s="340"/>
      <c r="O369" s="340"/>
    </row>
    <row r="370" spans="2:15" ht="15" customHeight="1" x14ac:dyDescent="0.3">
      <c r="B370" s="207" t="s">
        <v>920</v>
      </c>
      <c r="C370" s="580"/>
      <c r="D370" s="581"/>
      <c r="E370" s="581"/>
      <c r="F370" s="581"/>
      <c r="G370" s="580"/>
      <c r="I370" s="443" t="s">
        <v>920</v>
      </c>
      <c r="J370" s="422"/>
      <c r="K370" s="422"/>
      <c r="L370" s="422"/>
      <c r="M370" s="422"/>
      <c r="N370" s="422"/>
    </row>
    <row r="371" spans="2:15" ht="15" customHeight="1" x14ac:dyDescent="0.3">
      <c r="B371" s="206" t="s">
        <v>920</v>
      </c>
      <c r="C371" s="340">
        <f t="shared" si="100"/>
        <v>67.52</v>
      </c>
      <c r="D371" s="340">
        <f>'Input summary'!D371</f>
        <v>67.52</v>
      </c>
      <c r="E371" s="340">
        <f>'Input summary'!E371</f>
        <v>33.76</v>
      </c>
      <c r="F371" s="340">
        <f>'Input summary'!F371</f>
        <v>101.28</v>
      </c>
      <c r="G371" s="407"/>
      <c r="I371" s="444" t="s">
        <v>920</v>
      </c>
      <c r="J371" s="340">
        <f t="shared" ref="J371:J372" si="110">C371</f>
        <v>67.52</v>
      </c>
      <c r="K371" s="340">
        <f t="shared" ref="K371:K372" si="111">D371</f>
        <v>67.52</v>
      </c>
      <c r="L371" s="340">
        <f t="shared" ref="L371:L372" si="112">E371</f>
        <v>33.76</v>
      </c>
      <c r="M371" s="340">
        <f t="shared" ref="M371:M372" si="113">F371</f>
        <v>101.28</v>
      </c>
      <c r="N371" s="340"/>
      <c r="O371" s="340"/>
    </row>
    <row r="372" spans="2:15" ht="15" customHeight="1" x14ac:dyDescent="0.3">
      <c r="B372" s="206" t="s">
        <v>980</v>
      </c>
      <c r="C372" s="340">
        <f t="shared" si="100"/>
        <v>67.52</v>
      </c>
      <c r="D372" s="340">
        <f>'Input summary'!D372</f>
        <v>67.52</v>
      </c>
      <c r="E372" s="340">
        <f>'Input summary'!E372</f>
        <v>33.76</v>
      </c>
      <c r="F372" s="340">
        <f>'Input summary'!F372</f>
        <v>101.28</v>
      </c>
      <c r="G372" s="407"/>
      <c r="I372" s="444" t="s">
        <v>980</v>
      </c>
      <c r="J372" s="340">
        <f t="shared" si="110"/>
        <v>67.52</v>
      </c>
      <c r="K372" s="340">
        <f t="shared" si="111"/>
        <v>67.52</v>
      </c>
      <c r="L372" s="340">
        <f t="shared" si="112"/>
        <v>33.76</v>
      </c>
      <c r="M372" s="340">
        <f t="shared" si="113"/>
        <v>101.28</v>
      </c>
      <c r="N372" s="340"/>
      <c r="O372" s="340"/>
    </row>
    <row r="373" spans="2:15" ht="15" customHeight="1" x14ac:dyDescent="0.3">
      <c r="B373" s="31"/>
      <c r="C373" s="382"/>
      <c r="D373" s="382"/>
      <c r="E373" s="382"/>
      <c r="F373" s="382"/>
      <c r="G373" s="382"/>
      <c r="I373" s="446"/>
      <c r="J373" s="382"/>
      <c r="K373" s="382"/>
      <c r="L373" s="382"/>
      <c r="M373" s="382"/>
      <c r="N373" s="382"/>
      <c r="O373" s="382"/>
    </row>
    <row r="374" spans="2:15" ht="15" customHeight="1" x14ac:dyDescent="0.3">
      <c r="B374" s="294" t="s">
        <v>1446</v>
      </c>
      <c r="C374" s="305"/>
      <c r="D374" s="305"/>
      <c r="E374" s="305"/>
      <c r="F374" s="305"/>
      <c r="G374" s="305"/>
      <c r="H374" s="455" t="s">
        <v>1468</v>
      </c>
      <c r="I374" s="294" t="s">
        <v>1446</v>
      </c>
      <c r="J374" s="305"/>
      <c r="K374" s="305"/>
      <c r="L374" s="305"/>
      <c r="M374" s="305"/>
      <c r="N374" s="305"/>
    </row>
    <row r="375" spans="2:15" s="481" customFormat="1" ht="21" x14ac:dyDescent="0.3">
      <c r="B375" s="613" t="s">
        <v>1535</v>
      </c>
      <c r="C375" s="614"/>
      <c r="D375" s="614"/>
      <c r="E375" s="614"/>
      <c r="F375" s="614"/>
      <c r="G375" s="614"/>
      <c r="H375" s="455">
        <f>'SA Results'!AI2</f>
        <v>1</v>
      </c>
      <c r="I375" s="613" t="s">
        <v>1497</v>
      </c>
      <c r="J375" s="614"/>
      <c r="K375" s="614"/>
      <c r="L375" s="614"/>
      <c r="M375" s="614"/>
      <c r="N375" s="614"/>
    </row>
    <row r="376" spans="2:15" ht="15" customHeight="1" x14ac:dyDescent="0.3">
      <c r="B376" s="17" t="s">
        <v>950</v>
      </c>
      <c r="C376" s="152" t="s">
        <v>724</v>
      </c>
      <c r="D376" s="152" t="s">
        <v>995</v>
      </c>
      <c r="E376" s="152" t="s">
        <v>985</v>
      </c>
      <c r="F376" s="152" t="s">
        <v>986</v>
      </c>
      <c r="G376" s="152" t="s">
        <v>996</v>
      </c>
      <c r="I376" s="17" t="s">
        <v>950</v>
      </c>
      <c r="J376" s="152" t="s">
        <v>724</v>
      </c>
      <c r="K376" s="17" t="s">
        <v>995</v>
      </c>
      <c r="L376" s="152" t="s">
        <v>985</v>
      </c>
      <c r="M376" s="152" t="s">
        <v>986</v>
      </c>
      <c r="N376" s="152" t="s">
        <v>996</v>
      </c>
    </row>
    <row r="377" spans="2:15" ht="15" customHeight="1" x14ac:dyDescent="0.3">
      <c r="B377" s="315" t="s">
        <v>1445</v>
      </c>
      <c r="D377" s="306"/>
      <c r="E377" s="306"/>
      <c r="I377" s="315" t="s">
        <v>1445</v>
      </c>
      <c r="K377" s="306"/>
      <c r="L377" s="306"/>
    </row>
    <row r="378" spans="2:15" ht="15" customHeight="1" x14ac:dyDescent="0.3">
      <c r="B378" s="313" t="s">
        <v>2</v>
      </c>
      <c r="C378" s="340">
        <f>IF($H$375=3,F378,IF($H$375=2,E378,D378))</f>
        <v>32.621217391304349</v>
      </c>
      <c r="D378" s="491">
        <f>'Input summary'!D378</f>
        <v>32.621217391304349</v>
      </c>
      <c r="E378" s="491">
        <f>'Input summary'!E378</f>
        <v>21.208478260869569</v>
      </c>
      <c r="F378" s="491">
        <f>'Input summary'!F378</f>
        <v>44.04567391304348</v>
      </c>
      <c r="G378" s="492"/>
      <c r="I378" s="313" t="s">
        <v>2</v>
      </c>
      <c r="J378" s="513">
        <f>C378</f>
        <v>32.621217391304349</v>
      </c>
      <c r="K378" s="491">
        <f>D378</f>
        <v>32.621217391304349</v>
      </c>
      <c r="L378" s="491">
        <f t="shared" ref="L378:L400" si="114">E378</f>
        <v>21.208478260869569</v>
      </c>
      <c r="M378" s="491">
        <f t="shared" ref="M378:M400" si="115">F378</f>
        <v>44.04567391304348</v>
      </c>
      <c r="N378" s="492"/>
    </row>
    <row r="379" spans="2:15" ht="15" customHeight="1" x14ac:dyDescent="0.3">
      <c r="B379" s="313" t="s">
        <v>3</v>
      </c>
      <c r="C379" s="513">
        <f t="shared" ref="C379:C400" si="116">IF($H$375=3,F379,IF($H$375=2,E379,D379))</f>
        <v>32.621217391304349</v>
      </c>
      <c r="D379" s="491">
        <f>'Input summary'!D379</f>
        <v>32.621217391304349</v>
      </c>
      <c r="E379" s="491">
        <f>'Input summary'!E379</f>
        <v>21.208478260869569</v>
      </c>
      <c r="F379" s="491">
        <f>'Input summary'!F379</f>
        <v>44.04567391304348</v>
      </c>
      <c r="G379" s="492"/>
      <c r="I379" s="313" t="s">
        <v>3</v>
      </c>
      <c r="J379" s="513">
        <f t="shared" ref="J379:J400" si="117">C379</f>
        <v>32.621217391304349</v>
      </c>
      <c r="K379" s="491">
        <f t="shared" ref="K379:K400" si="118">D379</f>
        <v>32.621217391304349</v>
      </c>
      <c r="L379" s="491">
        <f t="shared" si="114"/>
        <v>21.208478260869569</v>
      </c>
      <c r="M379" s="491">
        <f t="shared" si="115"/>
        <v>44.04567391304348</v>
      </c>
      <c r="N379" s="492"/>
    </row>
    <row r="380" spans="2:15" ht="15" customHeight="1" x14ac:dyDescent="0.3">
      <c r="B380" s="313" t="s">
        <v>4</v>
      </c>
      <c r="C380" s="513">
        <f t="shared" si="116"/>
        <v>32.621217391304349</v>
      </c>
      <c r="D380" s="491">
        <f>'Input summary'!D380</f>
        <v>32.621217391304349</v>
      </c>
      <c r="E380" s="491">
        <f>'Input summary'!E380</f>
        <v>21.208478260869569</v>
      </c>
      <c r="F380" s="491">
        <f>'Input summary'!F380</f>
        <v>44.04567391304348</v>
      </c>
      <c r="G380" s="492"/>
      <c r="I380" s="313" t="s">
        <v>4</v>
      </c>
      <c r="J380" s="513">
        <f t="shared" si="117"/>
        <v>32.621217391304349</v>
      </c>
      <c r="K380" s="491">
        <f t="shared" si="118"/>
        <v>32.621217391304349</v>
      </c>
      <c r="L380" s="491">
        <f t="shared" si="114"/>
        <v>21.208478260869569</v>
      </c>
      <c r="M380" s="491">
        <f t="shared" si="115"/>
        <v>44.04567391304348</v>
      </c>
      <c r="N380" s="492"/>
    </row>
    <row r="381" spans="2:15" ht="15" customHeight="1" x14ac:dyDescent="0.3">
      <c r="B381" s="313" t="s">
        <v>5</v>
      </c>
      <c r="C381" s="513">
        <f t="shared" si="116"/>
        <v>32.832130434782606</v>
      </c>
      <c r="D381" s="491">
        <f>'Input summary'!D381</f>
        <v>32.832130434782606</v>
      </c>
      <c r="E381" s="491">
        <f>'Input summary'!E381</f>
        <v>19.404</v>
      </c>
      <c r="F381" s="491">
        <f>'Input summary'!F381</f>
        <v>46.365717391304351</v>
      </c>
      <c r="G381" s="492"/>
      <c r="I381" s="313" t="s">
        <v>5</v>
      </c>
      <c r="J381" s="513">
        <f t="shared" si="117"/>
        <v>32.832130434782606</v>
      </c>
      <c r="K381" s="491">
        <f t="shared" si="118"/>
        <v>32.832130434782606</v>
      </c>
      <c r="L381" s="491">
        <f t="shared" si="114"/>
        <v>19.404</v>
      </c>
      <c r="M381" s="491">
        <f t="shared" si="115"/>
        <v>46.365717391304351</v>
      </c>
      <c r="N381" s="492"/>
    </row>
    <row r="382" spans="2:15" ht="15" customHeight="1" x14ac:dyDescent="0.3">
      <c r="B382" s="313" t="s">
        <v>6</v>
      </c>
      <c r="C382" s="513">
        <f t="shared" si="116"/>
        <v>32.832130434782606</v>
      </c>
      <c r="D382" s="491">
        <f>'Input summary'!D382</f>
        <v>32.832130434782606</v>
      </c>
      <c r="E382" s="491">
        <f>'Input summary'!E382</f>
        <v>19.404</v>
      </c>
      <c r="F382" s="491">
        <f>'Input summary'!F382</f>
        <v>46.365717391304351</v>
      </c>
      <c r="G382" s="492"/>
      <c r="I382" s="313" t="s">
        <v>6</v>
      </c>
      <c r="J382" s="513">
        <f t="shared" si="117"/>
        <v>32.832130434782606</v>
      </c>
      <c r="K382" s="491">
        <f t="shared" si="118"/>
        <v>32.832130434782606</v>
      </c>
      <c r="L382" s="491">
        <f t="shared" si="114"/>
        <v>19.404</v>
      </c>
      <c r="M382" s="491">
        <f t="shared" si="115"/>
        <v>46.365717391304351</v>
      </c>
      <c r="N382" s="492"/>
    </row>
    <row r="383" spans="2:15" ht="15" customHeight="1" x14ac:dyDescent="0.3">
      <c r="B383" s="313" t="s">
        <v>7</v>
      </c>
      <c r="C383" s="513">
        <f t="shared" si="116"/>
        <v>32.832130434782606</v>
      </c>
      <c r="D383" s="491">
        <f>'Input summary'!D383</f>
        <v>32.832130434782606</v>
      </c>
      <c r="E383" s="491">
        <f>'Input summary'!E383</f>
        <v>19.404</v>
      </c>
      <c r="F383" s="491">
        <f>'Input summary'!F383</f>
        <v>46.365717391304351</v>
      </c>
      <c r="G383" s="492"/>
      <c r="I383" s="313" t="s">
        <v>7</v>
      </c>
      <c r="J383" s="513">
        <f t="shared" si="117"/>
        <v>32.832130434782606</v>
      </c>
      <c r="K383" s="491">
        <f t="shared" si="118"/>
        <v>32.832130434782606</v>
      </c>
      <c r="L383" s="491">
        <f t="shared" si="114"/>
        <v>19.404</v>
      </c>
      <c r="M383" s="491">
        <f t="shared" si="115"/>
        <v>46.365717391304351</v>
      </c>
      <c r="N383" s="492"/>
    </row>
    <row r="384" spans="2:15" ht="15" customHeight="1" x14ac:dyDescent="0.3">
      <c r="B384" s="313" t="s">
        <v>11</v>
      </c>
      <c r="C384" s="513">
        <f t="shared" si="116"/>
        <v>32.843847826086964</v>
      </c>
      <c r="D384" s="491">
        <f>'Input summary'!D384</f>
        <v>32.843847826086964</v>
      </c>
      <c r="E384" s="491">
        <f>'Input summary'!E384</f>
        <v>20.364826086956526</v>
      </c>
      <c r="F384" s="491">
        <f>'Input summary'!F384</f>
        <v>45.322869565217395</v>
      </c>
      <c r="G384" s="492"/>
      <c r="I384" s="313" t="s">
        <v>11</v>
      </c>
      <c r="J384" s="513">
        <f t="shared" si="117"/>
        <v>32.843847826086964</v>
      </c>
      <c r="K384" s="491">
        <f t="shared" si="118"/>
        <v>32.843847826086964</v>
      </c>
      <c r="L384" s="491">
        <f t="shared" si="114"/>
        <v>20.364826086956526</v>
      </c>
      <c r="M384" s="491">
        <f t="shared" si="115"/>
        <v>45.322869565217395</v>
      </c>
      <c r="N384" s="492"/>
    </row>
    <row r="385" spans="2:14" x14ac:dyDescent="0.3">
      <c r="B385" s="315" t="s">
        <v>1444</v>
      </c>
      <c r="C385" s="515"/>
      <c r="D385" s="533"/>
      <c r="E385" s="533"/>
      <c r="F385" s="533"/>
      <c r="G385" s="533"/>
      <c r="H385" s="322"/>
      <c r="I385" s="315" t="s">
        <v>1444</v>
      </c>
      <c r="J385" s="515"/>
      <c r="K385" s="533"/>
      <c r="L385" s="533"/>
      <c r="M385" s="533"/>
      <c r="N385" s="533"/>
    </row>
    <row r="386" spans="2:14" x14ac:dyDescent="0.3">
      <c r="B386" s="313" t="s">
        <v>2</v>
      </c>
      <c r="C386" s="513">
        <f t="shared" si="116"/>
        <v>33.089913043478262</v>
      </c>
      <c r="D386" s="491">
        <f>'Input summary'!D386</f>
        <v>33.089913043478262</v>
      </c>
      <c r="E386" s="491">
        <f>'Input summary'!E386</f>
        <v>20.187913280652175</v>
      </c>
      <c r="F386" s="491">
        <f>'Input summary'!F386</f>
        <v>46.001966328043487</v>
      </c>
      <c r="G386" s="492"/>
      <c r="H386" s="322"/>
      <c r="I386" s="313" t="s">
        <v>2</v>
      </c>
      <c r="J386" s="513">
        <f t="shared" si="117"/>
        <v>33.089913043478262</v>
      </c>
      <c r="K386" s="491">
        <f t="shared" si="118"/>
        <v>33.089913043478262</v>
      </c>
      <c r="L386" s="491">
        <f t="shared" si="114"/>
        <v>20.187913280652175</v>
      </c>
      <c r="M386" s="491">
        <f t="shared" si="115"/>
        <v>46.001966328043487</v>
      </c>
      <c r="N386" s="492"/>
    </row>
    <row r="387" spans="2:14" x14ac:dyDescent="0.3">
      <c r="B387" s="313" t="s">
        <v>3</v>
      </c>
      <c r="C387" s="513">
        <f t="shared" si="116"/>
        <v>33.089913043478262</v>
      </c>
      <c r="D387" s="491">
        <f>'Input summary'!D387</f>
        <v>33.089913043478262</v>
      </c>
      <c r="E387" s="491">
        <f>'Input summary'!E387</f>
        <v>20.187913280652175</v>
      </c>
      <c r="F387" s="491">
        <f>'Input summary'!F387</f>
        <v>46.001966328043487</v>
      </c>
      <c r="G387" s="492"/>
      <c r="H387" s="322"/>
      <c r="I387" s="313" t="s">
        <v>3</v>
      </c>
      <c r="J387" s="513">
        <f t="shared" si="117"/>
        <v>33.089913043478262</v>
      </c>
      <c r="K387" s="491">
        <f t="shared" si="118"/>
        <v>33.089913043478262</v>
      </c>
      <c r="L387" s="491">
        <f t="shared" si="114"/>
        <v>20.187913280652175</v>
      </c>
      <c r="M387" s="491">
        <f t="shared" si="115"/>
        <v>46.001966328043487</v>
      </c>
      <c r="N387" s="492"/>
    </row>
    <row r="388" spans="2:14" x14ac:dyDescent="0.3">
      <c r="B388" s="313" t="s">
        <v>4</v>
      </c>
      <c r="C388" s="513">
        <f t="shared" si="116"/>
        <v>33.089913043478262</v>
      </c>
      <c r="D388" s="491">
        <f>'Input summary'!D388</f>
        <v>33.089913043478262</v>
      </c>
      <c r="E388" s="491">
        <f>'Input summary'!E388</f>
        <v>20.187913280652175</v>
      </c>
      <c r="F388" s="491">
        <f>'Input summary'!F388</f>
        <v>46.001966328043487</v>
      </c>
      <c r="G388" s="492"/>
      <c r="H388" s="322"/>
      <c r="I388" s="313" t="s">
        <v>4</v>
      </c>
      <c r="J388" s="513">
        <f t="shared" si="117"/>
        <v>33.089913043478262</v>
      </c>
      <c r="K388" s="491">
        <f t="shared" si="118"/>
        <v>33.089913043478262</v>
      </c>
      <c r="L388" s="491">
        <f t="shared" si="114"/>
        <v>20.187913280652175</v>
      </c>
      <c r="M388" s="491">
        <f t="shared" si="115"/>
        <v>46.001966328043487</v>
      </c>
      <c r="N388" s="492"/>
    </row>
    <row r="389" spans="2:14" x14ac:dyDescent="0.3">
      <c r="B389" s="313" t="s">
        <v>5</v>
      </c>
      <c r="C389" s="513">
        <f t="shared" si="116"/>
        <v>33.089913043478262</v>
      </c>
      <c r="D389" s="491">
        <f>'Input summary'!D389</f>
        <v>33.089913043478262</v>
      </c>
      <c r="E389" s="491">
        <f>'Input summary'!E389</f>
        <v>20.187913280652175</v>
      </c>
      <c r="F389" s="491">
        <f>'Input summary'!F389</f>
        <v>46.001966328043487</v>
      </c>
      <c r="G389" s="492"/>
      <c r="H389" s="322"/>
      <c r="I389" s="313" t="s">
        <v>5</v>
      </c>
      <c r="J389" s="513">
        <f t="shared" si="117"/>
        <v>33.089913043478262</v>
      </c>
      <c r="K389" s="491">
        <f t="shared" si="118"/>
        <v>33.089913043478262</v>
      </c>
      <c r="L389" s="491">
        <f t="shared" si="114"/>
        <v>20.187913280652175</v>
      </c>
      <c r="M389" s="491">
        <f t="shared" si="115"/>
        <v>46.001966328043487</v>
      </c>
      <c r="N389" s="492"/>
    </row>
    <row r="390" spans="2:14" x14ac:dyDescent="0.3">
      <c r="B390" s="313" t="s">
        <v>6</v>
      </c>
      <c r="C390" s="513">
        <f t="shared" si="116"/>
        <v>33.089913043478262</v>
      </c>
      <c r="D390" s="491">
        <f>'Input summary'!D390</f>
        <v>33.089913043478262</v>
      </c>
      <c r="E390" s="491">
        <f>'Input summary'!E390</f>
        <v>20.187913280652175</v>
      </c>
      <c r="F390" s="491">
        <f>'Input summary'!F390</f>
        <v>46.001966328043487</v>
      </c>
      <c r="G390" s="492"/>
      <c r="H390" s="322"/>
      <c r="I390" s="313" t="s">
        <v>6</v>
      </c>
      <c r="J390" s="513">
        <f t="shared" si="117"/>
        <v>33.089913043478262</v>
      </c>
      <c r="K390" s="491">
        <f t="shared" si="118"/>
        <v>33.089913043478262</v>
      </c>
      <c r="L390" s="491">
        <f t="shared" si="114"/>
        <v>20.187913280652175</v>
      </c>
      <c r="M390" s="491">
        <f t="shared" si="115"/>
        <v>46.001966328043487</v>
      </c>
      <c r="N390" s="492"/>
    </row>
    <row r="391" spans="2:14" x14ac:dyDescent="0.3">
      <c r="B391" s="313" t="s">
        <v>7</v>
      </c>
      <c r="C391" s="513">
        <f t="shared" si="116"/>
        <v>33.089913043478262</v>
      </c>
      <c r="D391" s="491">
        <f>'Input summary'!D391</f>
        <v>33.089913043478262</v>
      </c>
      <c r="E391" s="491">
        <f>'Input summary'!E391</f>
        <v>20.187913280652175</v>
      </c>
      <c r="F391" s="491">
        <f>'Input summary'!F391</f>
        <v>46.001966328043487</v>
      </c>
      <c r="G391" s="492"/>
      <c r="H391" s="322"/>
      <c r="I391" s="313" t="s">
        <v>7</v>
      </c>
      <c r="J391" s="513">
        <f t="shared" si="117"/>
        <v>33.089913043478262</v>
      </c>
      <c r="K391" s="491">
        <f t="shared" si="118"/>
        <v>33.089913043478262</v>
      </c>
      <c r="L391" s="491">
        <f t="shared" si="114"/>
        <v>20.187913280652175</v>
      </c>
      <c r="M391" s="491">
        <f t="shared" si="115"/>
        <v>46.001966328043487</v>
      </c>
      <c r="N391" s="492"/>
    </row>
    <row r="392" spans="2:14" x14ac:dyDescent="0.3">
      <c r="B392" s="313" t="s">
        <v>11</v>
      </c>
      <c r="C392" s="513">
        <f t="shared" si="116"/>
        <v>33.089913043478262</v>
      </c>
      <c r="D392" s="491">
        <f>'Input summary'!D392</f>
        <v>33.089913043478262</v>
      </c>
      <c r="E392" s="491">
        <f>'Input summary'!E392</f>
        <v>20.187913280652175</v>
      </c>
      <c r="F392" s="491">
        <f>'Input summary'!F392</f>
        <v>46.001966328043487</v>
      </c>
      <c r="G392" s="492"/>
      <c r="H392" s="322"/>
      <c r="I392" s="313" t="s">
        <v>11</v>
      </c>
      <c r="J392" s="513">
        <f t="shared" si="117"/>
        <v>33.089913043478262</v>
      </c>
      <c r="K392" s="491">
        <f t="shared" si="118"/>
        <v>33.089913043478262</v>
      </c>
      <c r="L392" s="491">
        <f t="shared" si="114"/>
        <v>20.187913280652175</v>
      </c>
      <c r="M392" s="491">
        <f t="shared" si="115"/>
        <v>46.001966328043487</v>
      </c>
      <c r="N392" s="492"/>
    </row>
    <row r="393" spans="2:14" ht="15" customHeight="1" x14ac:dyDescent="0.3">
      <c r="B393" s="207" t="s">
        <v>227</v>
      </c>
      <c r="C393" s="515"/>
      <c r="D393" s="533"/>
      <c r="E393" s="533"/>
      <c r="F393" s="533"/>
      <c r="G393" s="533"/>
      <c r="I393" s="207" t="s">
        <v>227</v>
      </c>
      <c r="J393" s="515"/>
      <c r="K393" s="533"/>
      <c r="L393" s="533"/>
      <c r="M393" s="533"/>
      <c r="N393" s="533"/>
    </row>
    <row r="394" spans="2:14" ht="15" customHeight="1" x14ac:dyDescent="0.3">
      <c r="B394" s="206" t="s">
        <v>1437</v>
      </c>
      <c r="C394" s="513">
        <f t="shared" si="116"/>
        <v>32.000195652173915</v>
      </c>
      <c r="D394" s="491">
        <f>'Input summary'!D394</f>
        <v>32.000195652173915</v>
      </c>
      <c r="E394" s="491">
        <f>'Input summary'!E394</f>
        <v>13.761111980000003</v>
      </c>
      <c r="F394" s="491">
        <f>'Input summary'!F394</f>
        <v>50.244060020000006</v>
      </c>
      <c r="G394" s="492"/>
      <c r="I394" s="206" t="s">
        <v>1437</v>
      </c>
      <c r="J394" s="513">
        <f t="shared" si="117"/>
        <v>32.000195652173915</v>
      </c>
      <c r="K394" s="491">
        <f t="shared" si="118"/>
        <v>32.000195652173915</v>
      </c>
      <c r="L394" s="491">
        <f t="shared" si="114"/>
        <v>13.761111980000003</v>
      </c>
      <c r="M394" s="491">
        <f t="shared" si="115"/>
        <v>50.244060020000006</v>
      </c>
      <c r="N394" s="492"/>
    </row>
    <row r="395" spans="2:14" ht="15" customHeight="1" x14ac:dyDescent="0.3">
      <c r="B395" s="206" t="s">
        <v>1438</v>
      </c>
      <c r="C395" s="513">
        <f t="shared" si="116"/>
        <v>32.000195652173915</v>
      </c>
      <c r="D395" s="491">
        <f>'Input summary'!D395</f>
        <v>32.000195652173915</v>
      </c>
      <c r="E395" s="491">
        <f>'Input summary'!E395</f>
        <v>13.761111980000003</v>
      </c>
      <c r="F395" s="491">
        <f>'Input summary'!F395</f>
        <v>50.244060020000006</v>
      </c>
      <c r="G395" s="492"/>
      <c r="I395" s="206" t="s">
        <v>1438</v>
      </c>
      <c r="J395" s="513">
        <f t="shared" si="117"/>
        <v>32.000195652173915</v>
      </c>
      <c r="K395" s="491">
        <f t="shared" si="118"/>
        <v>32.000195652173915</v>
      </c>
      <c r="L395" s="491">
        <f t="shared" si="114"/>
        <v>13.761111980000003</v>
      </c>
      <c r="M395" s="491">
        <f t="shared" si="115"/>
        <v>50.244060020000006</v>
      </c>
      <c r="N395" s="492"/>
    </row>
    <row r="396" spans="2:14" ht="15" customHeight="1" x14ac:dyDescent="0.3">
      <c r="B396" s="206" t="s">
        <v>1441</v>
      </c>
      <c r="C396" s="513">
        <f t="shared" si="116"/>
        <v>32.867282608695653</v>
      </c>
      <c r="D396" s="491">
        <f>'Input summary'!D396</f>
        <v>32.867282608695653</v>
      </c>
      <c r="E396" s="491">
        <f>'Input summary'!E396</f>
        <v>17.419877140217391</v>
      </c>
      <c r="F396" s="491">
        <f>'Input summary'!F396</f>
        <v>48.31550829456522</v>
      </c>
      <c r="G396" s="492"/>
      <c r="I396" s="206" t="s">
        <v>1441</v>
      </c>
      <c r="J396" s="513">
        <f t="shared" si="117"/>
        <v>32.867282608695653</v>
      </c>
      <c r="K396" s="491">
        <f t="shared" si="118"/>
        <v>32.867282608695653</v>
      </c>
      <c r="L396" s="491">
        <f t="shared" si="114"/>
        <v>17.419877140217391</v>
      </c>
      <c r="M396" s="491">
        <f t="shared" si="115"/>
        <v>48.31550829456522</v>
      </c>
      <c r="N396" s="492"/>
    </row>
    <row r="397" spans="2:14" ht="15" customHeight="1" x14ac:dyDescent="0.3">
      <c r="B397" s="206" t="s">
        <v>1442</v>
      </c>
      <c r="C397" s="513">
        <f t="shared" si="116"/>
        <v>32.867282608695653</v>
      </c>
      <c r="D397" s="491">
        <f>'Input summary'!D397</f>
        <v>32.867282608695653</v>
      </c>
      <c r="E397" s="491">
        <f>'Input summary'!E397</f>
        <v>17.419877140217391</v>
      </c>
      <c r="F397" s="491">
        <f>'Input summary'!F397</f>
        <v>48.31550829456522</v>
      </c>
      <c r="G397" s="492"/>
      <c r="I397" s="206" t="s">
        <v>1442</v>
      </c>
      <c r="J397" s="513">
        <f t="shared" si="117"/>
        <v>32.867282608695653</v>
      </c>
      <c r="K397" s="491">
        <f t="shared" si="118"/>
        <v>32.867282608695653</v>
      </c>
      <c r="L397" s="491">
        <f t="shared" si="114"/>
        <v>17.419877140217391</v>
      </c>
      <c r="M397" s="491">
        <f t="shared" si="115"/>
        <v>48.31550829456522</v>
      </c>
      <c r="N397" s="492"/>
    </row>
    <row r="398" spans="2:14" ht="15" customHeight="1" x14ac:dyDescent="0.3">
      <c r="B398" s="207" t="s">
        <v>920</v>
      </c>
      <c r="C398" s="515"/>
      <c r="D398" s="533"/>
      <c r="E398" s="533"/>
      <c r="F398" s="533"/>
      <c r="G398" s="533"/>
      <c r="I398" s="207" t="s">
        <v>920</v>
      </c>
      <c r="J398" s="515"/>
      <c r="K398" s="533"/>
      <c r="L398" s="533"/>
      <c r="M398" s="533"/>
      <c r="N398" s="533"/>
    </row>
    <row r="399" spans="2:14" ht="15" customHeight="1" x14ac:dyDescent="0.3">
      <c r="B399" s="206" t="s">
        <v>920</v>
      </c>
      <c r="C399" s="513">
        <f t="shared" si="116"/>
        <v>32.832130434782606</v>
      </c>
      <c r="D399" s="491">
        <f>'Input summary'!D399</f>
        <v>32.832130434782606</v>
      </c>
      <c r="E399" s="491">
        <f>'Input summary'!E399</f>
        <v>19.404</v>
      </c>
      <c r="F399" s="491">
        <f>'Input summary'!F399</f>
        <v>46.365717391304351</v>
      </c>
      <c r="G399" s="492"/>
      <c r="I399" s="206" t="s">
        <v>920</v>
      </c>
      <c r="J399" s="513">
        <f t="shared" si="117"/>
        <v>32.832130434782606</v>
      </c>
      <c r="K399" s="491">
        <f t="shared" si="118"/>
        <v>32.832130434782606</v>
      </c>
      <c r="L399" s="491">
        <f t="shared" si="114"/>
        <v>19.404</v>
      </c>
      <c r="M399" s="491">
        <f t="shared" si="115"/>
        <v>46.365717391304351</v>
      </c>
      <c r="N399" s="492"/>
    </row>
    <row r="400" spans="2:14" ht="15" customHeight="1" x14ac:dyDescent="0.3">
      <c r="B400" s="206" t="s">
        <v>980</v>
      </c>
      <c r="C400" s="513">
        <f t="shared" si="116"/>
        <v>32.832130434782606</v>
      </c>
      <c r="D400" s="491">
        <f>'Input summary'!D400</f>
        <v>32.832130434782606</v>
      </c>
      <c r="E400" s="491">
        <f>'Input summary'!E400</f>
        <v>19.404</v>
      </c>
      <c r="F400" s="491">
        <f>'Input summary'!F400</f>
        <v>46.365717391304351</v>
      </c>
      <c r="G400" s="492"/>
      <c r="I400" s="206" t="s">
        <v>980</v>
      </c>
      <c r="J400" s="513">
        <f t="shared" si="117"/>
        <v>32.832130434782606</v>
      </c>
      <c r="K400" s="491">
        <f t="shared" si="118"/>
        <v>32.832130434782606</v>
      </c>
      <c r="L400" s="491">
        <f t="shared" si="114"/>
        <v>19.404</v>
      </c>
      <c r="M400" s="491">
        <f t="shared" si="115"/>
        <v>46.365717391304351</v>
      </c>
      <c r="N400" s="492"/>
    </row>
    <row r="401" spans="2:14" ht="15" customHeight="1" x14ac:dyDescent="0.3">
      <c r="B401" s="306"/>
      <c r="C401" s="520"/>
      <c r="D401" s="520"/>
      <c r="E401" s="520"/>
      <c r="F401" s="481"/>
      <c r="G401" s="481"/>
      <c r="I401" s="306"/>
      <c r="J401" s="520"/>
      <c r="K401" s="520"/>
      <c r="L401" s="520"/>
      <c r="M401" s="481"/>
      <c r="N401" s="481"/>
    </row>
    <row r="402" spans="2:14" ht="15" customHeight="1" x14ac:dyDescent="0.3">
      <c r="B402" s="294" t="s">
        <v>1447</v>
      </c>
      <c r="C402" s="519"/>
      <c r="D402" s="519"/>
      <c r="E402" s="519"/>
      <c r="F402" s="519"/>
      <c r="G402" s="519"/>
      <c r="H402" s="455"/>
      <c r="I402" s="294" t="s">
        <v>1447</v>
      </c>
      <c r="J402" s="519"/>
      <c r="K402" s="519"/>
      <c r="L402" s="519"/>
      <c r="M402" s="519"/>
      <c r="N402" s="519"/>
    </row>
    <row r="403" spans="2:14" s="481" customFormat="1" ht="21" x14ac:dyDescent="0.3">
      <c r="B403" s="613" t="s">
        <v>1535</v>
      </c>
      <c r="C403" s="614"/>
      <c r="D403" s="614"/>
      <c r="E403" s="614"/>
      <c r="F403" s="614"/>
      <c r="G403" s="614"/>
      <c r="H403" s="455"/>
      <c r="I403" s="613" t="s">
        <v>1497</v>
      </c>
      <c r="J403" s="614"/>
      <c r="K403" s="614"/>
      <c r="L403" s="614"/>
      <c r="M403" s="614"/>
      <c r="N403" s="614"/>
    </row>
    <row r="404" spans="2:14" ht="15" customHeight="1" x14ac:dyDescent="0.3">
      <c r="B404" s="17" t="s">
        <v>950</v>
      </c>
      <c r="C404" s="485" t="s">
        <v>724</v>
      </c>
      <c r="D404" s="485" t="s">
        <v>995</v>
      </c>
      <c r="E404" s="485" t="s">
        <v>985</v>
      </c>
      <c r="F404" s="485" t="s">
        <v>986</v>
      </c>
      <c r="G404" s="485" t="s">
        <v>996</v>
      </c>
      <c r="I404" s="17" t="s">
        <v>950</v>
      </c>
      <c r="J404" s="485" t="s">
        <v>724</v>
      </c>
      <c r="K404" s="485" t="s">
        <v>995</v>
      </c>
      <c r="L404" s="485" t="s">
        <v>985</v>
      </c>
      <c r="M404" s="485" t="s">
        <v>986</v>
      </c>
      <c r="N404" s="485" t="s">
        <v>996</v>
      </c>
    </row>
    <row r="405" spans="2:14" ht="15" customHeight="1" x14ac:dyDescent="0.3">
      <c r="B405" s="315" t="s">
        <v>1445</v>
      </c>
      <c r="C405" s="481"/>
      <c r="D405" s="520"/>
      <c r="E405" s="520"/>
      <c r="F405" s="481"/>
      <c r="G405" s="481"/>
      <c r="I405" s="315" t="s">
        <v>1445</v>
      </c>
      <c r="J405" s="481"/>
      <c r="K405" s="520"/>
      <c r="L405" s="520"/>
      <c r="M405" s="481"/>
      <c r="N405" s="481"/>
    </row>
    <row r="406" spans="2:14" ht="15" customHeight="1" x14ac:dyDescent="0.3">
      <c r="B406" s="313" t="s">
        <v>2</v>
      </c>
      <c r="C406" s="491">
        <f t="shared" ref="C406:C428" si="119">IF($H$375=3,F406,IF($H$375=2,E406,D406))</f>
        <v>7996.6039999999985</v>
      </c>
      <c r="D406" s="491">
        <f>'Input summary'!D406</f>
        <v>7996.6039999999985</v>
      </c>
      <c r="E406" s="491">
        <f>'Input summary'!E406</f>
        <v>3898.2514320749997</v>
      </c>
      <c r="F406" s="491">
        <f>'Input summary'!F406</f>
        <v>13493.947264875</v>
      </c>
      <c r="G406" s="492"/>
      <c r="I406" s="313" t="s">
        <v>2</v>
      </c>
      <c r="J406" s="491">
        <f>C406</f>
        <v>7996.6039999999985</v>
      </c>
      <c r="K406" s="491">
        <f>D406</f>
        <v>7996.6039999999985</v>
      </c>
      <c r="L406" s="491">
        <f t="shared" ref="L406:L412" si="120">E406</f>
        <v>3898.2514320749997</v>
      </c>
      <c r="M406" s="491">
        <f t="shared" ref="M406:M412" si="121">F406</f>
        <v>13493.947264875</v>
      </c>
      <c r="N406" s="492"/>
    </row>
    <row r="407" spans="2:14" ht="15" customHeight="1" x14ac:dyDescent="0.3">
      <c r="B407" s="313" t="s">
        <v>3</v>
      </c>
      <c r="C407" s="491">
        <f t="shared" si="119"/>
        <v>7996.6039999999985</v>
      </c>
      <c r="D407" s="491">
        <f>'Input summary'!D407</f>
        <v>7996.6039999999985</v>
      </c>
      <c r="E407" s="491">
        <f>'Input summary'!E407</f>
        <v>3898.2514320749997</v>
      </c>
      <c r="F407" s="491">
        <f>'Input summary'!F407</f>
        <v>13493.947264875</v>
      </c>
      <c r="G407" s="492"/>
      <c r="I407" s="313" t="s">
        <v>3</v>
      </c>
      <c r="J407" s="491">
        <f t="shared" ref="J407:J412" si="122">C407</f>
        <v>7996.6039999999985</v>
      </c>
      <c r="K407" s="491">
        <f t="shared" ref="K407:K412" si="123">D407</f>
        <v>7996.6039999999985</v>
      </c>
      <c r="L407" s="491">
        <f t="shared" si="120"/>
        <v>3898.2514320749997</v>
      </c>
      <c r="M407" s="491">
        <f t="shared" si="121"/>
        <v>13493.947264875</v>
      </c>
      <c r="N407" s="492"/>
    </row>
    <row r="408" spans="2:14" ht="15" customHeight="1" x14ac:dyDescent="0.3">
      <c r="B408" s="313" t="s">
        <v>4</v>
      </c>
      <c r="C408" s="491">
        <f t="shared" si="119"/>
        <v>7996.6039999999985</v>
      </c>
      <c r="D408" s="491">
        <f>'Input summary'!D408</f>
        <v>7996.6039999999985</v>
      </c>
      <c r="E408" s="491">
        <f>'Input summary'!E408</f>
        <v>3898.2514320749997</v>
      </c>
      <c r="F408" s="491">
        <f>'Input summary'!F408</f>
        <v>13493.947264875</v>
      </c>
      <c r="G408" s="492"/>
      <c r="I408" s="313" t="s">
        <v>4</v>
      </c>
      <c r="J408" s="491">
        <f t="shared" si="122"/>
        <v>7996.6039999999985</v>
      </c>
      <c r="K408" s="491">
        <f t="shared" si="123"/>
        <v>7996.6039999999985</v>
      </c>
      <c r="L408" s="491">
        <f t="shared" si="120"/>
        <v>3898.2514320749997</v>
      </c>
      <c r="M408" s="491">
        <f t="shared" si="121"/>
        <v>13493.947264875</v>
      </c>
      <c r="N408" s="492"/>
    </row>
    <row r="409" spans="2:14" ht="15" customHeight="1" x14ac:dyDescent="0.3">
      <c r="B409" s="313" t="s">
        <v>5</v>
      </c>
      <c r="C409" s="491">
        <f t="shared" si="119"/>
        <v>11062.529739130434</v>
      </c>
      <c r="D409" s="491">
        <f>'Input summary'!D409</f>
        <v>11062.529739130434</v>
      </c>
      <c r="E409" s="491">
        <f>'Input summary'!E409</f>
        <v>5309.8663769321774</v>
      </c>
      <c r="F409" s="491">
        <f>'Input summary'!F409</f>
        <v>18805.776751634785</v>
      </c>
      <c r="G409" s="492"/>
      <c r="I409" s="313" t="s">
        <v>5</v>
      </c>
      <c r="J409" s="491">
        <f t="shared" si="122"/>
        <v>11062.529739130434</v>
      </c>
      <c r="K409" s="491">
        <f t="shared" si="123"/>
        <v>11062.529739130434</v>
      </c>
      <c r="L409" s="491">
        <f t="shared" si="120"/>
        <v>5309.8663769321774</v>
      </c>
      <c r="M409" s="491">
        <f t="shared" si="121"/>
        <v>18805.776751634785</v>
      </c>
      <c r="N409" s="492"/>
    </row>
    <row r="410" spans="2:14" ht="15" customHeight="1" x14ac:dyDescent="0.3">
      <c r="B410" s="313" t="s">
        <v>6</v>
      </c>
      <c r="C410" s="491">
        <f t="shared" si="119"/>
        <v>11062.529739130434</v>
      </c>
      <c r="D410" s="491">
        <f>'Input summary'!D410</f>
        <v>11062.529739130434</v>
      </c>
      <c r="E410" s="491">
        <f>'Input summary'!E410</f>
        <v>5309.8663769321774</v>
      </c>
      <c r="F410" s="491">
        <f>'Input summary'!F410</f>
        <v>18805.776751634785</v>
      </c>
      <c r="G410" s="492"/>
      <c r="I410" s="313" t="s">
        <v>6</v>
      </c>
      <c r="J410" s="491">
        <f t="shared" si="122"/>
        <v>11062.529739130434</v>
      </c>
      <c r="K410" s="491">
        <f t="shared" si="123"/>
        <v>11062.529739130434</v>
      </c>
      <c r="L410" s="491">
        <f t="shared" si="120"/>
        <v>5309.8663769321774</v>
      </c>
      <c r="M410" s="491">
        <f t="shared" si="121"/>
        <v>18805.776751634785</v>
      </c>
      <c r="N410" s="492"/>
    </row>
    <row r="411" spans="2:14" ht="15" customHeight="1" x14ac:dyDescent="0.3">
      <c r="B411" s="313" t="s">
        <v>7</v>
      </c>
      <c r="C411" s="491">
        <f t="shared" si="119"/>
        <v>11062.529739130434</v>
      </c>
      <c r="D411" s="491">
        <f>'Input summary'!D411</f>
        <v>11062.529739130434</v>
      </c>
      <c r="E411" s="491">
        <f>'Input summary'!E411</f>
        <v>5309.8663769321774</v>
      </c>
      <c r="F411" s="491">
        <f>'Input summary'!F411</f>
        <v>18805.776751634785</v>
      </c>
      <c r="G411" s="492"/>
      <c r="I411" s="313" t="s">
        <v>7</v>
      </c>
      <c r="J411" s="491">
        <f t="shared" si="122"/>
        <v>11062.529739130434</v>
      </c>
      <c r="K411" s="491">
        <f t="shared" si="123"/>
        <v>11062.529739130434</v>
      </c>
      <c r="L411" s="491">
        <f t="shared" si="120"/>
        <v>5309.8663769321774</v>
      </c>
      <c r="M411" s="491">
        <f t="shared" si="121"/>
        <v>18805.776751634785</v>
      </c>
      <c r="N411" s="492"/>
    </row>
    <row r="412" spans="2:14" ht="15" customHeight="1" x14ac:dyDescent="0.3">
      <c r="B412" s="313" t="s">
        <v>11</v>
      </c>
      <c r="C412" s="491">
        <f t="shared" si="119"/>
        <v>11460.077391304349</v>
      </c>
      <c r="D412" s="491">
        <f>'Input summary'!D412</f>
        <v>11460.077391304349</v>
      </c>
      <c r="E412" s="491">
        <f>'Input summary'!E412</f>
        <v>5328.8825363184769</v>
      </c>
      <c r="F412" s="491">
        <f>'Input summary'!F412</f>
        <v>16871.020777499991</v>
      </c>
      <c r="G412" s="492"/>
      <c r="I412" s="313" t="s">
        <v>11</v>
      </c>
      <c r="J412" s="491">
        <f t="shared" si="122"/>
        <v>11460.077391304349</v>
      </c>
      <c r="K412" s="491">
        <f t="shared" si="123"/>
        <v>11460.077391304349</v>
      </c>
      <c r="L412" s="491">
        <f t="shared" si="120"/>
        <v>5328.8825363184769</v>
      </c>
      <c r="M412" s="491">
        <f t="shared" si="121"/>
        <v>16871.020777499991</v>
      </c>
      <c r="N412" s="492"/>
    </row>
    <row r="413" spans="2:14" x14ac:dyDescent="0.3">
      <c r="B413" s="315" t="s">
        <v>1444</v>
      </c>
      <c r="C413" s="533"/>
      <c r="D413" s="533"/>
      <c r="E413" s="533"/>
      <c r="F413" s="533"/>
      <c r="G413" s="533"/>
      <c r="H413" s="322"/>
      <c r="I413" s="315" t="s">
        <v>1444</v>
      </c>
      <c r="J413" s="533"/>
      <c r="K413" s="533"/>
      <c r="L413" s="533"/>
      <c r="M413" s="533"/>
      <c r="N413" s="533"/>
    </row>
    <row r="414" spans="2:14" x14ac:dyDescent="0.3">
      <c r="B414" s="313" t="s">
        <v>2</v>
      </c>
      <c r="C414" s="491">
        <f t="shared" si="119"/>
        <v>11761.06202173913</v>
      </c>
      <c r="D414" s="491">
        <f>'Input summary'!D414</f>
        <v>11761.06202173913</v>
      </c>
      <c r="E414" s="491">
        <f>'Input summary'!E414</f>
        <v>5380.7032865204328</v>
      </c>
      <c r="F414" s="491">
        <f>'Input summary'!F414</f>
        <v>20434.91138869779</v>
      </c>
      <c r="G414" s="492"/>
      <c r="H414" s="322"/>
      <c r="I414" s="313" t="s">
        <v>2</v>
      </c>
      <c r="J414" s="491">
        <f t="shared" ref="J414:J420" si="124">C414</f>
        <v>11761.06202173913</v>
      </c>
      <c r="K414" s="491">
        <f t="shared" ref="K414:K420" si="125">D414</f>
        <v>11761.06202173913</v>
      </c>
      <c r="L414" s="491">
        <f t="shared" ref="L414:L420" si="126">E414</f>
        <v>5380.7032865204328</v>
      </c>
      <c r="M414" s="491">
        <f t="shared" ref="M414:M420" si="127">F414</f>
        <v>20434.91138869779</v>
      </c>
      <c r="N414" s="492"/>
    </row>
    <row r="415" spans="2:14" x14ac:dyDescent="0.3">
      <c r="B415" s="313" t="s">
        <v>3</v>
      </c>
      <c r="C415" s="491">
        <f t="shared" si="119"/>
        <v>11761.06202173913</v>
      </c>
      <c r="D415" s="491">
        <f>'Input summary'!D415</f>
        <v>11761.06202173913</v>
      </c>
      <c r="E415" s="491">
        <f>'Input summary'!E415</f>
        <v>5380.7032865204328</v>
      </c>
      <c r="F415" s="491">
        <f>'Input summary'!F415</f>
        <v>20434.91138869779</v>
      </c>
      <c r="G415" s="492"/>
      <c r="H415" s="322"/>
      <c r="I415" s="313" t="s">
        <v>3</v>
      </c>
      <c r="J415" s="491">
        <f t="shared" si="124"/>
        <v>11761.06202173913</v>
      </c>
      <c r="K415" s="491">
        <f t="shared" si="125"/>
        <v>11761.06202173913</v>
      </c>
      <c r="L415" s="491">
        <f t="shared" si="126"/>
        <v>5380.7032865204328</v>
      </c>
      <c r="M415" s="491">
        <f t="shared" si="127"/>
        <v>20434.91138869779</v>
      </c>
      <c r="N415" s="492"/>
    </row>
    <row r="416" spans="2:14" x14ac:dyDescent="0.3">
      <c r="B416" s="313" t="s">
        <v>4</v>
      </c>
      <c r="C416" s="491">
        <f t="shared" si="119"/>
        <v>11761.06202173913</v>
      </c>
      <c r="D416" s="491">
        <f>'Input summary'!D416</f>
        <v>11761.06202173913</v>
      </c>
      <c r="E416" s="491">
        <f>'Input summary'!E416</f>
        <v>5380.7032865204328</v>
      </c>
      <c r="F416" s="491">
        <f>'Input summary'!F416</f>
        <v>20434.91138869779</v>
      </c>
      <c r="G416" s="492"/>
      <c r="H416" s="322"/>
      <c r="I416" s="313" t="s">
        <v>4</v>
      </c>
      <c r="J416" s="491">
        <f t="shared" si="124"/>
        <v>11761.06202173913</v>
      </c>
      <c r="K416" s="491">
        <f t="shared" si="125"/>
        <v>11761.06202173913</v>
      </c>
      <c r="L416" s="491">
        <f t="shared" si="126"/>
        <v>5380.7032865204328</v>
      </c>
      <c r="M416" s="491">
        <f t="shared" si="127"/>
        <v>20434.91138869779</v>
      </c>
      <c r="N416" s="492"/>
    </row>
    <row r="417" spans="2:19" x14ac:dyDescent="0.3">
      <c r="B417" s="313" t="s">
        <v>5</v>
      </c>
      <c r="C417" s="491">
        <f t="shared" si="119"/>
        <v>11761.06202173913</v>
      </c>
      <c r="D417" s="491">
        <f>'Input summary'!D417</f>
        <v>11761.06202173913</v>
      </c>
      <c r="E417" s="491">
        <f>'Input summary'!E417</f>
        <v>5380.7032865204328</v>
      </c>
      <c r="F417" s="491">
        <f>'Input summary'!F417</f>
        <v>20434.91138869779</v>
      </c>
      <c r="G417" s="492"/>
      <c r="H417" s="322"/>
      <c r="I417" s="313" t="s">
        <v>5</v>
      </c>
      <c r="J417" s="491">
        <f t="shared" si="124"/>
        <v>11761.06202173913</v>
      </c>
      <c r="K417" s="491">
        <f t="shared" si="125"/>
        <v>11761.06202173913</v>
      </c>
      <c r="L417" s="491">
        <f t="shared" si="126"/>
        <v>5380.7032865204328</v>
      </c>
      <c r="M417" s="491">
        <f t="shared" si="127"/>
        <v>20434.91138869779</v>
      </c>
      <c r="N417" s="492"/>
    </row>
    <row r="418" spans="2:19" x14ac:dyDescent="0.3">
      <c r="B418" s="313" t="s">
        <v>6</v>
      </c>
      <c r="C418" s="491">
        <f t="shared" si="119"/>
        <v>11761.06202173913</v>
      </c>
      <c r="D418" s="491">
        <f>'Input summary'!D418</f>
        <v>11761.06202173913</v>
      </c>
      <c r="E418" s="491">
        <f>'Input summary'!E418</f>
        <v>5380.7032865204328</v>
      </c>
      <c r="F418" s="491">
        <f>'Input summary'!F418</f>
        <v>20434.91138869779</v>
      </c>
      <c r="G418" s="492"/>
      <c r="H418" s="322"/>
      <c r="I418" s="313" t="s">
        <v>6</v>
      </c>
      <c r="J418" s="491">
        <f t="shared" si="124"/>
        <v>11761.06202173913</v>
      </c>
      <c r="K418" s="491">
        <f t="shared" si="125"/>
        <v>11761.06202173913</v>
      </c>
      <c r="L418" s="491">
        <f t="shared" si="126"/>
        <v>5380.7032865204328</v>
      </c>
      <c r="M418" s="491">
        <f t="shared" si="127"/>
        <v>20434.91138869779</v>
      </c>
      <c r="N418" s="492"/>
    </row>
    <row r="419" spans="2:19" x14ac:dyDescent="0.3">
      <c r="B419" s="313" t="s">
        <v>7</v>
      </c>
      <c r="C419" s="491">
        <f t="shared" si="119"/>
        <v>11761.06202173913</v>
      </c>
      <c r="D419" s="491">
        <f>'Input summary'!D419</f>
        <v>11761.06202173913</v>
      </c>
      <c r="E419" s="491">
        <f>'Input summary'!E419</f>
        <v>5380.7032865204328</v>
      </c>
      <c r="F419" s="491">
        <f>'Input summary'!F419</f>
        <v>20434.91138869779</v>
      </c>
      <c r="G419" s="492"/>
      <c r="H419" s="322"/>
      <c r="I419" s="313" t="s">
        <v>7</v>
      </c>
      <c r="J419" s="491">
        <f t="shared" si="124"/>
        <v>11761.06202173913</v>
      </c>
      <c r="K419" s="491">
        <f t="shared" si="125"/>
        <v>11761.06202173913</v>
      </c>
      <c r="L419" s="491">
        <f t="shared" si="126"/>
        <v>5380.7032865204328</v>
      </c>
      <c r="M419" s="491">
        <f t="shared" si="127"/>
        <v>20434.91138869779</v>
      </c>
      <c r="N419" s="492"/>
    </row>
    <row r="420" spans="2:19" x14ac:dyDescent="0.3">
      <c r="B420" s="313" t="s">
        <v>11</v>
      </c>
      <c r="C420" s="491">
        <f t="shared" si="119"/>
        <v>11761.06202173913</v>
      </c>
      <c r="D420" s="491">
        <f>'Input summary'!D420</f>
        <v>11761.06202173913</v>
      </c>
      <c r="E420" s="491">
        <f>'Input summary'!E420</f>
        <v>5380.7032865204328</v>
      </c>
      <c r="F420" s="491">
        <f>'Input summary'!F420</f>
        <v>20434.91138869779</v>
      </c>
      <c r="G420" s="492"/>
      <c r="H420" s="322"/>
      <c r="I420" s="313" t="s">
        <v>11</v>
      </c>
      <c r="J420" s="491">
        <f t="shared" si="124"/>
        <v>11761.06202173913</v>
      </c>
      <c r="K420" s="491">
        <f t="shared" si="125"/>
        <v>11761.06202173913</v>
      </c>
      <c r="L420" s="491">
        <f t="shared" si="126"/>
        <v>5380.7032865204328</v>
      </c>
      <c r="M420" s="491">
        <f t="shared" si="127"/>
        <v>20434.91138869779</v>
      </c>
      <c r="N420" s="492"/>
    </row>
    <row r="421" spans="2:19" ht="15" customHeight="1" x14ac:dyDescent="0.3">
      <c r="B421" s="207" t="s">
        <v>227</v>
      </c>
      <c r="C421" s="533"/>
      <c r="D421" s="533"/>
      <c r="E421" s="533"/>
      <c r="F421" s="533"/>
      <c r="G421" s="533"/>
      <c r="I421" s="207" t="s">
        <v>227</v>
      </c>
      <c r="J421" s="533"/>
      <c r="K421" s="533"/>
      <c r="L421" s="533"/>
      <c r="M421" s="533"/>
      <c r="N421" s="533"/>
    </row>
    <row r="422" spans="2:19" ht="15" customHeight="1" x14ac:dyDescent="0.3">
      <c r="B422" s="206" t="s">
        <v>1437</v>
      </c>
      <c r="C422" s="491">
        <f t="shared" si="119"/>
        <v>12523.44236956522</v>
      </c>
      <c r="D422" s="491">
        <f>'Input summary'!D422</f>
        <v>12523.44236956522</v>
      </c>
      <c r="E422" s="491">
        <f>'Input summary'!E422</f>
        <v>4038.7397262586951</v>
      </c>
      <c r="F422" s="491">
        <f>'Input summary'!F422</f>
        <v>24576.827016380466</v>
      </c>
      <c r="G422" s="492"/>
      <c r="I422" s="206" t="s">
        <v>1437</v>
      </c>
      <c r="J422" s="491">
        <f t="shared" ref="J422:J425" si="128">C422</f>
        <v>12523.44236956522</v>
      </c>
      <c r="K422" s="491">
        <f t="shared" ref="K422:K425" si="129">D422</f>
        <v>12523.44236956522</v>
      </c>
      <c r="L422" s="491">
        <f t="shared" ref="L422:L425" si="130">E422</f>
        <v>4038.7397262586951</v>
      </c>
      <c r="M422" s="491">
        <f t="shared" ref="M422:M425" si="131">F422</f>
        <v>24576.827016380466</v>
      </c>
      <c r="N422" s="492"/>
    </row>
    <row r="423" spans="2:19" ht="15" customHeight="1" x14ac:dyDescent="0.3">
      <c r="B423" s="206" t="s">
        <v>1438</v>
      </c>
      <c r="C423" s="491">
        <f t="shared" si="119"/>
        <v>12523.44236956522</v>
      </c>
      <c r="D423" s="491">
        <f>'Input summary'!D423</f>
        <v>12523.44236956522</v>
      </c>
      <c r="E423" s="491">
        <f>'Input summary'!E423</f>
        <v>4038.7397262586951</v>
      </c>
      <c r="F423" s="491">
        <f>'Input summary'!F423</f>
        <v>24576.827016380466</v>
      </c>
      <c r="G423" s="492"/>
      <c r="I423" s="206" t="s">
        <v>1438</v>
      </c>
      <c r="J423" s="491">
        <f t="shared" si="128"/>
        <v>12523.44236956522</v>
      </c>
      <c r="K423" s="491">
        <f t="shared" si="129"/>
        <v>12523.44236956522</v>
      </c>
      <c r="L423" s="491">
        <f t="shared" si="130"/>
        <v>4038.7397262586951</v>
      </c>
      <c r="M423" s="491">
        <f t="shared" si="131"/>
        <v>24576.827016380466</v>
      </c>
      <c r="N423" s="492"/>
    </row>
    <row r="424" spans="2:19" ht="15" customHeight="1" x14ac:dyDescent="0.3">
      <c r="B424" s="206" t="s">
        <v>1441</v>
      </c>
      <c r="C424" s="491">
        <f t="shared" si="119"/>
        <v>8595.6321956521733</v>
      </c>
      <c r="D424" s="491">
        <f>'Input summary'!D424</f>
        <v>8595.6321956521733</v>
      </c>
      <c r="E424" s="491">
        <f>'Input summary'!E424</f>
        <v>3416.6498527030458</v>
      </c>
      <c r="F424" s="491">
        <f>'Input summary'!F424</f>
        <v>15793.947432306521</v>
      </c>
      <c r="G424" s="492"/>
      <c r="I424" s="206" t="s">
        <v>1441</v>
      </c>
      <c r="J424" s="491">
        <f t="shared" si="128"/>
        <v>8595.6321956521733</v>
      </c>
      <c r="K424" s="491">
        <f t="shared" si="129"/>
        <v>8595.6321956521733</v>
      </c>
      <c r="L424" s="491">
        <f t="shared" si="130"/>
        <v>3416.6498527030458</v>
      </c>
      <c r="M424" s="491">
        <f t="shared" si="131"/>
        <v>15793.947432306521</v>
      </c>
      <c r="N424" s="492"/>
    </row>
    <row r="425" spans="2:19" ht="15" customHeight="1" x14ac:dyDescent="0.3">
      <c r="B425" s="206" t="s">
        <v>1442</v>
      </c>
      <c r="C425" s="491">
        <f t="shared" si="119"/>
        <v>8595.6321956521733</v>
      </c>
      <c r="D425" s="491">
        <f>'Input summary'!D425</f>
        <v>8595.6321956521733</v>
      </c>
      <c r="E425" s="491">
        <f>'Input summary'!E425</f>
        <v>3416.6498527030458</v>
      </c>
      <c r="F425" s="491">
        <f>'Input summary'!F425</f>
        <v>15793.947432306521</v>
      </c>
      <c r="G425" s="492"/>
      <c r="I425" s="206" t="s">
        <v>1442</v>
      </c>
      <c r="J425" s="491">
        <f t="shared" si="128"/>
        <v>8595.6321956521733</v>
      </c>
      <c r="K425" s="491">
        <f t="shared" si="129"/>
        <v>8595.6321956521733</v>
      </c>
      <c r="L425" s="491">
        <f t="shared" si="130"/>
        <v>3416.6498527030458</v>
      </c>
      <c r="M425" s="491">
        <f t="shared" si="131"/>
        <v>15793.947432306521</v>
      </c>
      <c r="N425" s="492"/>
    </row>
    <row r="426" spans="2:19" ht="15" customHeight="1" x14ac:dyDescent="0.3">
      <c r="B426" s="207" t="s">
        <v>920</v>
      </c>
      <c r="C426" s="533"/>
      <c r="D426" s="533"/>
      <c r="E426" s="533"/>
      <c r="F426" s="533"/>
      <c r="G426" s="533"/>
      <c r="I426" s="207" t="s">
        <v>920</v>
      </c>
      <c r="J426" s="533"/>
      <c r="K426" s="533"/>
      <c r="L426" s="533"/>
      <c r="M426" s="533"/>
      <c r="N426" s="533"/>
    </row>
    <row r="427" spans="2:19" ht="15" customHeight="1" x14ac:dyDescent="0.3">
      <c r="B427" s="206" t="s">
        <v>920</v>
      </c>
      <c r="C427" s="491">
        <f t="shared" si="119"/>
        <v>11387.898260869566</v>
      </c>
      <c r="D427" s="491">
        <f>'Input summary'!D427</f>
        <v>11387.898260869566</v>
      </c>
      <c r="E427" s="491">
        <f>'Input summary'!E427</f>
        <v>5466.0389174301827</v>
      </c>
      <c r="F427" s="491">
        <f>'Input summary'!F427</f>
        <v>19358.887832565219</v>
      </c>
      <c r="G427" s="492"/>
      <c r="I427" s="206" t="s">
        <v>920</v>
      </c>
      <c r="J427" s="491">
        <f t="shared" ref="J427:J428" si="132">C427</f>
        <v>11387.898260869566</v>
      </c>
      <c r="K427" s="491">
        <f t="shared" ref="K427:K428" si="133">D427</f>
        <v>11387.898260869566</v>
      </c>
      <c r="L427" s="491">
        <f t="shared" ref="L427:L428" si="134">E427</f>
        <v>5466.0389174301827</v>
      </c>
      <c r="M427" s="491">
        <f t="shared" ref="M427:M428" si="135">F427</f>
        <v>19358.887832565219</v>
      </c>
      <c r="N427" s="492"/>
    </row>
    <row r="428" spans="2:19" ht="15" customHeight="1" x14ac:dyDescent="0.3">
      <c r="B428" s="206" t="s">
        <v>980</v>
      </c>
      <c r="C428" s="491">
        <f t="shared" si="119"/>
        <v>11387.898260869566</v>
      </c>
      <c r="D428" s="491">
        <f>'Input summary'!D428</f>
        <v>11387.898260869566</v>
      </c>
      <c r="E428" s="491">
        <f>'Input summary'!E428</f>
        <v>5466.0389174301827</v>
      </c>
      <c r="F428" s="491">
        <f>'Input summary'!F428</f>
        <v>19358.887832565219</v>
      </c>
      <c r="G428" s="492"/>
      <c r="I428" s="206" t="s">
        <v>980</v>
      </c>
      <c r="J428" s="491">
        <f t="shared" si="132"/>
        <v>11387.898260869566</v>
      </c>
      <c r="K428" s="491">
        <f t="shared" si="133"/>
        <v>11387.898260869566</v>
      </c>
      <c r="L428" s="491">
        <f t="shared" si="134"/>
        <v>5466.0389174301827</v>
      </c>
      <c r="M428" s="491">
        <f t="shared" si="135"/>
        <v>19358.887832565219</v>
      </c>
      <c r="N428" s="492"/>
    </row>
    <row r="429" spans="2:19" ht="15" customHeight="1" x14ac:dyDescent="0.3">
      <c r="B429" s="306"/>
      <c r="C429" s="306"/>
      <c r="D429" s="306"/>
      <c r="E429" s="306"/>
    </row>
    <row r="430" spans="2:19" ht="15" customHeight="1" x14ac:dyDescent="0.3">
      <c r="B430" s="294" t="s">
        <v>1375</v>
      </c>
      <c r="C430" s="305"/>
      <c r="D430" s="305"/>
      <c r="E430" s="305"/>
      <c r="F430" s="305"/>
      <c r="G430" s="305"/>
      <c r="H430" s="455" t="s">
        <v>1468</v>
      </c>
    </row>
    <row r="431" spans="2:19" ht="15" customHeight="1" x14ac:dyDescent="0.3">
      <c r="B431" s="17" t="s">
        <v>950</v>
      </c>
      <c r="C431" s="152" t="s">
        <v>724</v>
      </c>
      <c r="D431" s="152" t="s">
        <v>995</v>
      </c>
      <c r="E431" s="152" t="s">
        <v>985</v>
      </c>
      <c r="F431" s="152" t="s">
        <v>986</v>
      </c>
      <c r="G431" s="152"/>
      <c r="H431" s="455">
        <f>'SA Results'!$Y$2</f>
        <v>1</v>
      </c>
    </row>
    <row r="432" spans="2:19" ht="15" customHeight="1" x14ac:dyDescent="0.3">
      <c r="B432" s="315" t="s">
        <v>1445</v>
      </c>
      <c r="Q432" s="334" t="s">
        <v>909</v>
      </c>
      <c r="R432" s="304"/>
      <c r="S432" s="304"/>
    </row>
    <row r="433" spans="2:19" ht="15" customHeight="1" x14ac:dyDescent="0.3">
      <c r="B433" s="313" t="s">
        <v>2</v>
      </c>
      <c r="C433" s="340">
        <f>IF($H$431=3,F433,IF($H$431=2,E433,D433))</f>
        <v>326.21217391304344</v>
      </c>
      <c r="D433" s="340">
        <f>'Input summary'!D433</f>
        <v>326.21217391304344</v>
      </c>
      <c r="E433" s="340">
        <f>'Input summary'!E433</f>
        <v>212.08478260869566</v>
      </c>
      <c r="F433" s="340">
        <f>'Input summary'!F433</f>
        <v>440.45673913043476</v>
      </c>
      <c r="G433" s="407"/>
      <c r="Q433" s="335" t="s">
        <v>907</v>
      </c>
    </row>
    <row r="434" spans="2:19" ht="15" customHeight="1" x14ac:dyDescent="0.3">
      <c r="B434" s="313" t="s">
        <v>3</v>
      </c>
      <c r="C434" s="340">
        <f t="shared" ref="C434:C455" si="136">IF($H$431=3,F434,IF($H$431=2,E434,D434))</f>
        <v>326.21217391304344</v>
      </c>
      <c r="D434" s="340">
        <f>'Input summary'!D434</f>
        <v>326.21217391304344</v>
      </c>
      <c r="E434" s="340">
        <f>'Input summary'!E434</f>
        <v>212.08478260869566</v>
      </c>
      <c r="F434" s="340">
        <f>'Input summary'!F434</f>
        <v>440.45673913043476</v>
      </c>
      <c r="G434" s="407"/>
    </row>
    <row r="435" spans="2:19" ht="15" customHeight="1" x14ac:dyDescent="0.3">
      <c r="B435" s="313" t="s">
        <v>4</v>
      </c>
      <c r="C435" s="340">
        <f t="shared" si="136"/>
        <v>326.21217391304344</v>
      </c>
      <c r="D435" s="340">
        <f>'Input summary'!D435</f>
        <v>326.21217391304344</v>
      </c>
      <c r="E435" s="340">
        <f>'Input summary'!E435</f>
        <v>212.08478260869566</v>
      </c>
      <c r="F435" s="340">
        <f>'Input summary'!F435</f>
        <v>440.45673913043476</v>
      </c>
      <c r="G435" s="407"/>
    </row>
    <row r="436" spans="2:19" ht="15" customHeight="1" x14ac:dyDescent="0.3">
      <c r="B436" s="313" t="s">
        <v>5</v>
      </c>
      <c r="C436" s="340">
        <f t="shared" si="136"/>
        <v>328.32130434782607</v>
      </c>
      <c r="D436" s="340">
        <f>'Input summary'!D436</f>
        <v>328.32130434782607</v>
      </c>
      <c r="E436" s="340">
        <f>'Input summary'!E436</f>
        <v>194.04</v>
      </c>
      <c r="F436" s="340">
        <f>'Input summary'!F436</f>
        <v>463.65717391304349</v>
      </c>
      <c r="G436" s="407"/>
      <c r="Q436" s="794"/>
      <c r="R436" s="794"/>
      <c r="S436" s="794"/>
    </row>
    <row r="437" spans="2:19" ht="15" customHeight="1" x14ac:dyDescent="0.3">
      <c r="B437" s="313" t="s">
        <v>6</v>
      </c>
      <c r="C437" s="340">
        <f t="shared" si="136"/>
        <v>328.32130434782607</v>
      </c>
      <c r="D437" s="340">
        <f>'Input summary'!D437</f>
        <v>328.32130434782607</v>
      </c>
      <c r="E437" s="340">
        <f>'Input summary'!E437</f>
        <v>194.04</v>
      </c>
      <c r="F437" s="340">
        <f>'Input summary'!F437</f>
        <v>463.65717391304349</v>
      </c>
      <c r="G437" s="407"/>
    </row>
    <row r="438" spans="2:19" ht="15" customHeight="1" x14ac:dyDescent="0.3">
      <c r="B438" s="313" t="s">
        <v>7</v>
      </c>
      <c r="C438" s="340">
        <f t="shared" si="136"/>
        <v>328.32130434782607</v>
      </c>
      <c r="D438" s="340">
        <f>'Input summary'!D438</f>
        <v>328.32130434782607</v>
      </c>
      <c r="E438" s="340">
        <f>'Input summary'!E438</f>
        <v>194.04</v>
      </c>
      <c r="F438" s="340">
        <f>'Input summary'!F438</f>
        <v>463.65717391304349</v>
      </c>
      <c r="G438" s="407"/>
    </row>
    <row r="439" spans="2:19" ht="15" customHeight="1" x14ac:dyDescent="0.3">
      <c r="B439" s="313" t="s">
        <v>11</v>
      </c>
      <c r="C439" s="340">
        <f t="shared" si="136"/>
        <v>328.4384782608696</v>
      </c>
      <c r="D439" s="340">
        <f>'Input summary'!D439</f>
        <v>328.4384782608696</v>
      </c>
      <c r="E439" s="340">
        <f>'Input summary'!E439</f>
        <v>203.64826086956523</v>
      </c>
      <c r="F439" s="340">
        <f>'Input summary'!F439</f>
        <v>453.22869565217394</v>
      </c>
      <c r="G439" s="407"/>
    </row>
    <row r="440" spans="2:19" x14ac:dyDescent="0.3">
      <c r="B440" s="315" t="s">
        <v>1444</v>
      </c>
      <c r="C440" s="346"/>
      <c r="D440" s="346"/>
      <c r="E440" s="346"/>
      <c r="F440" s="346"/>
      <c r="G440" s="346"/>
      <c r="H440" s="315"/>
      <c r="I440" s="441"/>
    </row>
    <row r="441" spans="2:19" x14ac:dyDescent="0.3">
      <c r="B441" s="313" t="s">
        <v>2</v>
      </c>
      <c r="C441" s="340">
        <f t="shared" si="136"/>
        <v>330.89913043478259</v>
      </c>
      <c r="D441" s="340">
        <f>'Input summary'!D441</f>
        <v>330.89913043478259</v>
      </c>
      <c r="E441" s="340">
        <f>'Input summary'!E441</f>
        <v>201.87913280652174</v>
      </c>
      <c r="F441" s="340">
        <f>'Input summary'!F441</f>
        <v>460.01966328043483</v>
      </c>
      <c r="G441" s="407"/>
      <c r="H441" s="297"/>
      <c r="I441" s="448"/>
      <c r="J441" s="382"/>
      <c r="K441" s="382"/>
      <c r="L441" s="382"/>
      <c r="M441" s="382"/>
      <c r="N441" s="382"/>
      <c r="O441" s="382"/>
    </row>
    <row r="442" spans="2:19" x14ac:dyDescent="0.3">
      <c r="B442" s="313" t="s">
        <v>3</v>
      </c>
      <c r="C442" s="340">
        <f t="shared" si="136"/>
        <v>330.89913043478259</v>
      </c>
      <c r="D442" s="340">
        <f>'Input summary'!D442</f>
        <v>330.89913043478259</v>
      </c>
      <c r="E442" s="340">
        <f>'Input summary'!E442</f>
        <v>201.87913280652174</v>
      </c>
      <c r="F442" s="340">
        <f>'Input summary'!F442</f>
        <v>460.01966328043483</v>
      </c>
      <c r="G442" s="407"/>
      <c r="H442" s="297"/>
      <c r="I442" s="448"/>
      <c r="J442" s="382"/>
      <c r="K442" s="382"/>
      <c r="L442" s="382"/>
      <c r="M442" s="382"/>
      <c r="N442" s="382"/>
      <c r="O442" s="382"/>
    </row>
    <row r="443" spans="2:19" x14ac:dyDescent="0.3">
      <c r="B443" s="313" t="s">
        <v>4</v>
      </c>
      <c r="C443" s="340">
        <f t="shared" si="136"/>
        <v>330.89913043478259</v>
      </c>
      <c r="D443" s="340">
        <f>'Input summary'!D443</f>
        <v>330.89913043478259</v>
      </c>
      <c r="E443" s="340">
        <f>'Input summary'!E443</f>
        <v>201.87913280652174</v>
      </c>
      <c r="F443" s="340">
        <f>'Input summary'!F443</f>
        <v>460.01966328043483</v>
      </c>
      <c r="G443" s="407"/>
      <c r="H443" s="297"/>
      <c r="I443" s="448"/>
      <c r="J443" s="382"/>
      <c r="K443" s="382"/>
      <c r="L443" s="382"/>
      <c r="M443" s="382"/>
      <c r="N443" s="382"/>
      <c r="O443" s="382"/>
    </row>
    <row r="444" spans="2:19" x14ac:dyDescent="0.3">
      <c r="B444" s="313" t="s">
        <v>5</v>
      </c>
      <c r="C444" s="340">
        <f t="shared" si="136"/>
        <v>330.89913043478259</v>
      </c>
      <c r="D444" s="340">
        <f>'Input summary'!D444</f>
        <v>330.89913043478259</v>
      </c>
      <c r="E444" s="340">
        <f>'Input summary'!E444</f>
        <v>201.87913280652174</v>
      </c>
      <c r="F444" s="340">
        <f>'Input summary'!F444</f>
        <v>460.01966328043483</v>
      </c>
      <c r="G444" s="407"/>
      <c r="H444" s="297"/>
      <c r="I444" s="448"/>
      <c r="J444" s="382"/>
      <c r="K444" s="382"/>
      <c r="L444" s="382"/>
      <c r="M444" s="382"/>
      <c r="N444" s="382"/>
      <c r="O444" s="382"/>
    </row>
    <row r="445" spans="2:19" x14ac:dyDescent="0.3">
      <c r="B445" s="313" t="s">
        <v>6</v>
      </c>
      <c r="C445" s="340">
        <f t="shared" si="136"/>
        <v>330.89913043478259</v>
      </c>
      <c r="D445" s="340">
        <f>'Input summary'!D445</f>
        <v>330.89913043478259</v>
      </c>
      <c r="E445" s="340">
        <f>'Input summary'!E445</f>
        <v>201.87913280652174</v>
      </c>
      <c r="F445" s="340">
        <f>'Input summary'!F445</f>
        <v>460.01966328043483</v>
      </c>
      <c r="G445" s="407"/>
      <c r="H445" s="297"/>
      <c r="I445" s="448"/>
      <c r="J445" s="382"/>
      <c r="K445" s="382"/>
      <c r="L445" s="382"/>
      <c r="M445" s="382"/>
      <c r="N445" s="382"/>
      <c r="O445" s="382"/>
    </row>
    <row r="446" spans="2:19" x14ac:dyDescent="0.3">
      <c r="B446" s="313" t="s">
        <v>7</v>
      </c>
      <c r="C446" s="340">
        <f t="shared" si="136"/>
        <v>330.89913043478259</v>
      </c>
      <c r="D446" s="340">
        <f>'Input summary'!D446</f>
        <v>330.89913043478259</v>
      </c>
      <c r="E446" s="340">
        <f>'Input summary'!E446</f>
        <v>201.87913280652174</v>
      </c>
      <c r="F446" s="340">
        <f>'Input summary'!F446</f>
        <v>460.01966328043483</v>
      </c>
      <c r="G446" s="407"/>
      <c r="H446" s="297"/>
      <c r="I446" s="448"/>
      <c r="J446" s="382"/>
      <c r="K446" s="382"/>
      <c r="L446" s="382"/>
      <c r="M446" s="382"/>
      <c r="N446" s="382"/>
      <c r="O446" s="382"/>
    </row>
    <row r="447" spans="2:19" x14ac:dyDescent="0.3">
      <c r="B447" s="313" t="s">
        <v>11</v>
      </c>
      <c r="C447" s="340">
        <f t="shared" si="136"/>
        <v>330.89913043478259</v>
      </c>
      <c r="D447" s="340">
        <f>'Input summary'!D447</f>
        <v>330.89913043478259</v>
      </c>
      <c r="E447" s="340">
        <f>'Input summary'!E447</f>
        <v>201.87913280652174</v>
      </c>
      <c r="F447" s="340">
        <f>'Input summary'!F447</f>
        <v>460.01966328043483</v>
      </c>
      <c r="G447" s="407"/>
      <c r="H447" s="297"/>
      <c r="I447" s="448"/>
      <c r="J447" s="382"/>
      <c r="K447" s="382"/>
      <c r="L447" s="382"/>
      <c r="M447" s="382"/>
      <c r="N447" s="382"/>
      <c r="O447" s="382"/>
    </row>
    <row r="448" spans="2:19" ht="15" customHeight="1" x14ac:dyDescent="0.3">
      <c r="B448" s="207" t="s">
        <v>227</v>
      </c>
      <c r="C448" s="346"/>
      <c r="D448" s="346"/>
      <c r="E448" s="346"/>
      <c r="F448" s="346"/>
      <c r="G448" s="346"/>
    </row>
    <row r="449" spans="2:17" ht="15" customHeight="1" x14ac:dyDescent="0.3">
      <c r="B449" s="206" t="s">
        <v>1437</v>
      </c>
      <c r="C449" s="340">
        <f t="shared" si="136"/>
        <v>320.00195652173915</v>
      </c>
      <c r="D449" s="340">
        <f>'Input summary'!D449</f>
        <v>320.00195652173915</v>
      </c>
      <c r="E449" s="340">
        <f>'Input summary'!E449</f>
        <v>137.61111980000001</v>
      </c>
      <c r="F449" s="340">
        <f>'Input summary'!F449</f>
        <v>502.44060020000001</v>
      </c>
      <c r="G449" s="407"/>
    </row>
    <row r="450" spans="2:17" ht="15" customHeight="1" x14ac:dyDescent="0.3">
      <c r="B450" s="206" t="s">
        <v>1438</v>
      </c>
      <c r="C450" s="340">
        <f t="shared" si="136"/>
        <v>320.00195652173915</v>
      </c>
      <c r="D450" s="340">
        <f>'Input summary'!D450</f>
        <v>320.00195652173915</v>
      </c>
      <c r="E450" s="340">
        <f>'Input summary'!E450</f>
        <v>137.61111980000001</v>
      </c>
      <c r="F450" s="340">
        <f>'Input summary'!F450</f>
        <v>502.44060020000001</v>
      </c>
      <c r="G450" s="407"/>
    </row>
    <row r="451" spans="2:17" ht="15" customHeight="1" x14ac:dyDescent="0.3">
      <c r="B451" s="206" t="s">
        <v>1441</v>
      </c>
      <c r="C451" s="340">
        <f t="shared" si="136"/>
        <v>328.67282608695655</v>
      </c>
      <c r="D451" s="340">
        <f>'Input summary'!D451</f>
        <v>328.67282608695655</v>
      </c>
      <c r="E451" s="340">
        <f>'Input summary'!E451</f>
        <v>174.19877140217392</v>
      </c>
      <c r="F451" s="340">
        <f>'Input summary'!F451</f>
        <v>483.15508294565217</v>
      </c>
      <c r="G451" s="407"/>
    </row>
    <row r="452" spans="2:17" ht="15" customHeight="1" x14ac:dyDescent="0.3">
      <c r="B452" s="206" t="s">
        <v>1442</v>
      </c>
      <c r="C452" s="340">
        <f t="shared" si="136"/>
        <v>328.67282608695655</v>
      </c>
      <c r="D452" s="340">
        <f>'Input summary'!D452</f>
        <v>328.67282608695655</v>
      </c>
      <c r="E452" s="340">
        <f>'Input summary'!E452</f>
        <v>174.19877140217392</v>
      </c>
      <c r="F452" s="340">
        <f>'Input summary'!F452</f>
        <v>483.15508294565217</v>
      </c>
      <c r="G452" s="407"/>
    </row>
    <row r="453" spans="2:17" ht="15" customHeight="1" x14ac:dyDescent="0.3">
      <c r="B453" s="207" t="s">
        <v>920</v>
      </c>
      <c r="C453" s="346"/>
      <c r="D453" s="346"/>
      <c r="E453" s="346"/>
      <c r="F453" s="346"/>
      <c r="G453" s="346"/>
    </row>
    <row r="454" spans="2:17" ht="15" customHeight="1" x14ac:dyDescent="0.3">
      <c r="B454" s="206" t="s">
        <v>920</v>
      </c>
      <c r="C454" s="340">
        <f t="shared" si="136"/>
        <v>328.32130434782607</v>
      </c>
      <c r="D454" s="340">
        <f>'Input summary'!D454</f>
        <v>328.32130434782607</v>
      </c>
      <c r="E454" s="340">
        <f>'Input summary'!E454</f>
        <v>194.04</v>
      </c>
      <c r="F454" s="340">
        <f>'Input summary'!F454</f>
        <v>463.65717391304349</v>
      </c>
      <c r="G454" s="407"/>
    </row>
    <row r="455" spans="2:17" ht="15" customHeight="1" x14ac:dyDescent="0.3">
      <c r="B455" s="206" t="s">
        <v>980</v>
      </c>
      <c r="C455" s="340">
        <f t="shared" si="136"/>
        <v>328.32130434782607</v>
      </c>
      <c r="D455" s="340">
        <f>'Input summary'!D455</f>
        <v>328.32130434782607</v>
      </c>
      <c r="E455" s="340">
        <f>'Input summary'!E455</f>
        <v>194.04</v>
      </c>
      <c r="F455" s="340">
        <f>'Input summary'!F455</f>
        <v>463.65717391304349</v>
      </c>
      <c r="G455" s="407"/>
    </row>
    <row r="456" spans="2:17" ht="15" customHeight="1" x14ac:dyDescent="0.3">
      <c r="B456" s="347"/>
      <c r="C456" s="304"/>
      <c r="D456" s="304"/>
      <c r="E456" s="347"/>
    </row>
    <row r="457" spans="2:17" ht="15" customHeight="1" x14ac:dyDescent="0.3">
      <c r="B457" s="294" t="s">
        <v>535</v>
      </c>
      <c r="C457" s="305"/>
      <c r="D457" s="305"/>
      <c r="E457" s="305"/>
      <c r="F457" s="305"/>
      <c r="G457" s="305"/>
      <c r="H457" s="455" t="s">
        <v>1468</v>
      </c>
    </row>
    <row r="458" spans="2:17" ht="15" customHeight="1" x14ac:dyDescent="0.3">
      <c r="B458" s="17" t="s">
        <v>950</v>
      </c>
      <c r="C458" s="152" t="s">
        <v>724</v>
      </c>
      <c r="D458" s="152" t="s">
        <v>995</v>
      </c>
      <c r="E458" s="152" t="s">
        <v>985</v>
      </c>
      <c r="F458" s="152" t="s">
        <v>986</v>
      </c>
      <c r="G458" s="152"/>
      <c r="H458" s="455">
        <f>'SA Results'!$AA$2</f>
        <v>1</v>
      </c>
    </row>
    <row r="459" spans="2:17" ht="15" customHeight="1" x14ac:dyDescent="0.3">
      <c r="B459" s="315" t="s">
        <v>1445</v>
      </c>
      <c r="Q459" s="334" t="s">
        <v>909</v>
      </c>
    </row>
    <row r="460" spans="2:17" ht="15" customHeight="1" x14ac:dyDescent="0.3">
      <c r="B460" s="313" t="s">
        <v>2</v>
      </c>
      <c r="C460" s="340">
        <f>IF($H$458=3,F460,IF($H$458=2,E460,D460))</f>
        <v>7996.6039999999985</v>
      </c>
      <c r="D460" s="340">
        <f>'Input summary'!D460</f>
        <v>7996.6039999999985</v>
      </c>
      <c r="E460" s="340">
        <f>'Input summary'!E460</f>
        <v>3898.2514320749997</v>
      </c>
      <c r="F460" s="340">
        <f>'Input summary'!F460</f>
        <v>13493.947264875</v>
      </c>
      <c r="G460" s="407"/>
      <c r="Q460" s="335" t="s">
        <v>907</v>
      </c>
    </row>
    <row r="461" spans="2:17" ht="15" customHeight="1" x14ac:dyDescent="0.3">
      <c r="B461" s="313" t="s">
        <v>3</v>
      </c>
      <c r="C461" s="340">
        <f t="shared" ref="C461:C482" si="137">IF($H$458=3,F461,IF($H$458=2,E461,D461))</f>
        <v>7996.6039999999985</v>
      </c>
      <c r="D461" s="340">
        <f>'Input summary'!D461</f>
        <v>7996.6039999999985</v>
      </c>
      <c r="E461" s="340">
        <f>'Input summary'!E461</f>
        <v>3898.2514320749997</v>
      </c>
      <c r="F461" s="340">
        <f>'Input summary'!F461</f>
        <v>13493.947264875</v>
      </c>
      <c r="G461" s="407"/>
      <c r="Q461" s="296">
        <f>IF(ISBLANK('Cost input'!C475),'Cost input'!#REF!,'Cost input'!C475)</f>
        <v>183.72869565217388</v>
      </c>
    </row>
    <row r="462" spans="2:17" ht="15" customHeight="1" x14ac:dyDescent="0.3">
      <c r="B462" s="313" t="s">
        <v>4</v>
      </c>
      <c r="C462" s="340">
        <f t="shared" si="137"/>
        <v>7996.6039999999985</v>
      </c>
      <c r="D462" s="340">
        <f>'Input summary'!D462</f>
        <v>7996.6039999999985</v>
      </c>
      <c r="E462" s="340">
        <f>'Input summary'!E462</f>
        <v>3898.2514320749997</v>
      </c>
      <c r="F462" s="340">
        <f>'Input summary'!F462</f>
        <v>13493.947264875</v>
      </c>
      <c r="G462" s="407"/>
    </row>
    <row r="463" spans="2:17" ht="15" customHeight="1" x14ac:dyDescent="0.3">
      <c r="B463" s="313" t="s">
        <v>5</v>
      </c>
      <c r="C463" s="340">
        <f t="shared" si="137"/>
        <v>11062.529739130434</v>
      </c>
      <c r="D463" s="340">
        <f>'Input summary'!D463</f>
        <v>11062.529739130434</v>
      </c>
      <c r="E463" s="340">
        <f>'Input summary'!E463</f>
        <v>5309.8663769321774</v>
      </c>
      <c r="F463" s="340">
        <f>'Input summary'!F463</f>
        <v>18805.776751634785</v>
      </c>
      <c r="G463" s="407"/>
    </row>
    <row r="464" spans="2:17" ht="15" customHeight="1" x14ac:dyDescent="0.3">
      <c r="B464" s="313" t="s">
        <v>6</v>
      </c>
      <c r="C464" s="340">
        <f t="shared" si="137"/>
        <v>11062.529739130434</v>
      </c>
      <c r="D464" s="340">
        <f>'Input summary'!D464</f>
        <v>11062.529739130434</v>
      </c>
      <c r="E464" s="340">
        <f>'Input summary'!E464</f>
        <v>5309.8663769321774</v>
      </c>
      <c r="F464" s="340">
        <f>'Input summary'!F464</f>
        <v>18805.776751634785</v>
      </c>
      <c r="G464" s="407"/>
    </row>
    <row r="465" spans="2:15" ht="15" customHeight="1" x14ac:dyDescent="0.3">
      <c r="B465" s="313" t="s">
        <v>7</v>
      </c>
      <c r="C465" s="340">
        <f t="shared" si="137"/>
        <v>11062.529739130434</v>
      </c>
      <c r="D465" s="340">
        <f>'Input summary'!D465</f>
        <v>11062.529739130434</v>
      </c>
      <c r="E465" s="340">
        <f>'Input summary'!E465</f>
        <v>5309.8663769321774</v>
      </c>
      <c r="F465" s="340">
        <f>'Input summary'!F465</f>
        <v>18805.776751634785</v>
      </c>
      <c r="G465" s="407"/>
    </row>
    <row r="466" spans="2:15" ht="15" customHeight="1" x14ac:dyDescent="0.3">
      <c r="B466" s="313" t="s">
        <v>11</v>
      </c>
      <c r="C466" s="340">
        <f t="shared" si="137"/>
        <v>11460.077391304349</v>
      </c>
      <c r="D466" s="340">
        <f>'Input summary'!D466</f>
        <v>11460.077391304349</v>
      </c>
      <c r="E466" s="340">
        <f>'Input summary'!E466</f>
        <v>5328.8825363184769</v>
      </c>
      <c r="F466" s="340">
        <f>'Input summary'!F466</f>
        <v>16871.020777499991</v>
      </c>
      <c r="G466" s="407"/>
    </row>
    <row r="467" spans="2:15" x14ac:dyDescent="0.3">
      <c r="B467" s="315" t="s">
        <v>1444</v>
      </c>
      <c r="C467" s="346"/>
      <c r="D467" s="346"/>
      <c r="E467" s="346"/>
      <c r="F467" s="346"/>
      <c r="G467" s="348"/>
      <c r="H467" s="315"/>
    </row>
    <row r="468" spans="2:15" x14ac:dyDescent="0.3">
      <c r="B468" s="313" t="s">
        <v>2</v>
      </c>
      <c r="C468" s="340">
        <f t="shared" si="137"/>
        <v>11761.06202173913</v>
      </c>
      <c r="D468" s="340">
        <f>'Input summary'!D468</f>
        <v>11761.06202173913</v>
      </c>
      <c r="E468" s="340">
        <f>'Input summary'!E468</f>
        <v>5380.7032865204328</v>
      </c>
      <c r="F468" s="340">
        <f>'Input summary'!F468</f>
        <v>20434.91138869779</v>
      </c>
      <c r="G468" s="407"/>
      <c r="H468" s="297"/>
      <c r="I468" s="449"/>
      <c r="J468" s="382"/>
      <c r="K468" s="382"/>
      <c r="L468" s="382"/>
      <c r="M468" s="382"/>
      <c r="N468" s="382"/>
      <c r="O468" s="382"/>
    </row>
    <row r="469" spans="2:15" x14ac:dyDescent="0.3">
      <c r="B469" s="313" t="s">
        <v>3</v>
      </c>
      <c r="C469" s="340">
        <f t="shared" si="137"/>
        <v>11761.06202173913</v>
      </c>
      <c r="D469" s="340">
        <f>'Input summary'!D469</f>
        <v>11761.06202173913</v>
      </c>
      <c r="E469" s="340">
        <f>'Input summary'!E469</f>
        <v>5380.7032865204328</v>
      </c>
      <c r="F469" s="340">
        <f>'Input summary'!F469</f>
        <v>20434.91138869779</v>
      </c>
      <c r="G469" s="407"/>
      <c r="H469" s="297"/>
      <c r="I469" s="449"/>
      <c r="J469" s="382"/>
      <c r="K469" s="382"/>
      <c r="L469" s="382"/>
      <c r="M469" s="382"/>
      <c r="N469" s="382"/>
      <c r="O469" s="382"/>
    </row>
    <row r="470" spans="2:15" x14ac:dyDescent="0.3">
      <c r="B470" s="313" t="s">
        <v>4</v>
      </c>
      <c r="C470" s="340">
        <f t="shared" si="137"/>
        <v>11761.06202173913</v>
      </c>
      <c r="D470" s="340">
        <f>'Input summary'!D470</f>
        <v>11761.06202173913</v>
      </c>
      <c r="E470" s="340">
        <f>'Input summary'!E470</f>
        <v>5380.7032865204328</v>
      </c>
      <c r="F470" s="340">
        <f>'Input summary'!F470</f>
        <v>20434.91138869779</v>
      </c>
      <c r="G470" s="407"/>
      <c r="H470" s="297"/>
      <c r="I470" s="449"/>
      <c r="J470" s="382"/>
      <c r="K470" s="382"/>
      <c r="L470" s="382"/>
      <c r="M470" s="382"/>
      <c r="N470" s="382"/>
      <c r="O470" s="382"/>
    </row>
    <row r="471" spans="2:15" x14ac:dyDescent="0.3">
      <c r="B471" s="313" t="s">
        <v>5</v>
      </c>
      <c r="C471" s="340">
        <f t="shared" si="137"/>
        <v>11761.06202173913</v>
      </c>
      <c r="D471" s="340">
        <f>'Input summary'!D471</f>
        <v>11761.06202173913</v>
      </c>
      <c r="E471" s="340">
        <f>'Input summary'!E471</f>
        <v>5380.7032865204328</v>
      </c>
      <c r="F471" s="340">
        <f>'Input summary'!F471</f>
        <v>20434.91138869779</v>
      </c>
      <c r="G471" s="407"/>
      <c r="H471" s="297"/>
      <c r="I471" s="449"/>
      <c r="J471" s="382"/>
      <c r="K471" s="382"/>
      <c r="L471" s="382"/>
      <c r="M471" s="382"/>
      <c r="N471" s="382"/>
      <c r="O471" s="382"/>
    </row>
    <row r="472" spans="2:15" x14ac:dyDescent="0.3">
      <c r="B472" s="313" t="s">
        <v>6</v>
      </c>
      <c r="C472" s="340">
        <f t="shared" si="137"/>
        <v>11761.06202173913</v>
      </c>
      <c r="D472" s="340">
        <f>'Input summary'!D472</f>
        <v>11761.06202173913</v>
      </c>
      <c r="E472" s="340">
        <f>'Input summary'!E472</f>
        <v>5380.7032865204328</v>
      </c>
      <c r="F472" s="340">
        <f>'Input summary'!F472</f>
        <v>20434.91138869779</v>
      </c>
      <c r="G472" s="407"/>
      <c r="H472" s="297"/>
      <c r="I472" s="449"/>
      <c r="J472" s="382"/>
      <c r="K472" s="382"/>
      <c r="L472" s="382"/>
      <c r="M472" s="382"/>
      <c r="N472" s="382"/>
      <c r="O472" s="382"/>
    </row>
    <row r="473" spans="2:15" x14ac:dyDescent="0.3">
      <c r="B473" s="313" t="s">
        <v>7</v>
      </c>
      <c r="C473" s="340">
        <f t="shared" si="137"/>
        <v>11761.06202173913</v>
      </c>
      <c r="D473" s="340">
        <f>'Input summary'!D473</f>
        <v>11761.06202173913</v>
      </c>
      <c r="E473" s="340">
        <f>'Input summary'!E473</f>
        <v>5380.7032865204328</v>
      </c>
      <c r="F473" s="340">
        <f>'Input summary'!F473</f>
        <v>20434.91138869779</v>
      </c>
      <c r="G473" s="407"/>
      <c r="H473" s="297"/>
      <c r="I473" s="449"/>
      <c r="J473" s="382"/>
      <c r="K473" s="382"/>
      <c r="L473" s="382"/>
      <c r="M473" s="382"/>
      <c r="N473" s="382"/>
      <c r="O473" s="382"/>
    </row>
    <row r="474" spans="2:15" x14ac:dyDescent="0.3">
      <c r="B474" s="313" t="s">
        <v>11</v>
      </c>
      <c r="C474" s="340">
        <f t="shared" si="137"/>
        <v>11761.06202173913</v>
      </c>
      <c r="D474" s="340">
        <f>'Input summary'!D474</f>
        <v>11761.06202173913</v>
      </c>
      <c r="E474" s="340">
        <f>'Input summary'!E474</f>
        <v>5380.7032865204328</v>
      </c>
      <c r="F474" s="340">
        <f>'Input summary'!F474</f>
        <v>20434.91138869779</v>
      </c>
      <c r="G474" s="407"/>
      <c r="H474" s="297"/>
      <c r="I474" s="449"/>
      <c r="J474" s="382"/>
      <c r="K474" s="382"/>
      <c r="L474" s="382"/>
      <c r="M474" s="382"/>
      <c r="N474" s="382"/>
      <c r="O474" s="382"/>
    </row>
    <row r="475" spans="2:15" ht="15" customHeight="1" x14ac:dyDescent="0.3">
      <c r="B475" s="207" t="s">
        <v>227</v>
      </c>
      <c r="C475" s="346"/>
      <c r="D475" s="346"/>
      <c r="E475" s="346"/>
      <c r="F475" s="346"/>
      <c r="G475" s="348"/>
    </row>
    <row r="476" spans="2:15" ht="15" customHeight="1" x14ac:dyDescent="0.3">
      <c r="B476" s="206" t="s">
        <v>1437</v>
      </c>
      <c r="C476" s="340">
        <f t="shared" si="137"/>
        <v>12523.44236956522</v>
      </c>
      <c r="D476" s="340">
        <f>'Input summary'!D476</f>
        <v>12523.44236956522</v>
      </c>
      <c r="E476" s="340">
        <f>'Input summary'!E476</f>
        <v>4038.7397262586951</v>
      </c>
      <c r="F476" s="340">
        <f>'Input summary'!F476</f>
        <v>24576.827016380466</v>
      </c>
      <c r="G476" s="407"/>
    </row>
    <row r="477" spans="2:15" ht="15" customHeight="1" x14ac:dyDescent="0.3">
      <c r="B477" s="206" t="s">
        <v>1438</v>
      </c>
      <c r="C477" s="340">
        <f t="shared" si="137"/>
        <v>12523.44236956522</v>
      </c>
      <c r="D477" s="340">
        <f>'Input summary'!D477</f>
        <v>12523.44236956522</v>
      </c>
      <c r="E477" s="340">
        <f>'Input summary'!E477</f>
        <v>4038.7397262586951</v>
      </c>
      <c r="F477" s="340">
        <f>'Input summary'!F477</f>
        <v>24576.827016380466</v>
      </c>
      <c r="G477" s="407"/>
    </row>
    <row r="478" spans="2:15" ht="15" customHeight="1" x14ac:dyDescent="0.3">
      <c r="B478" s="206" t="s">
        <v>1441</v>
      </c>
      <c r="C478" s="340">
        <f t="shared" si="137"/>
        <v>8595.6321956521733</v>
      </c>
      <c r="D478" s="340">
        <f>'Input summary'!D478</f>
        <v>8595.6321956521733</v>
      </c>
      <c r="E478" s="340">
        <f>'Input summary'!E478</f>
        <v>3416.6498527030458</v>
      </c>
      <c r="F478" s="340">
        <f>'Input summary'!F478</f>
        <v>15793.947432306521</v>
      </c>
      <c r="G478" s="407"/>
    </row>
    <row r="479" spans="2:15" ht="15" customHeight="1" x14ac:dyDescent="0.3">
      <c r="B479" s="206" t="s">
        <v>1442</v>
      </c>
      <c r="C479" s="340">
        <f t="shared" si="137"/>
        <v>8595.6321956521733</v>
      </c>
      <c r="D479" s="340">
        <f>'Input summary'!D479</f>
        <v>8595.6321956521733</v>
      </c>
      <c r="E479" s="340">
        <f>'Input summary'!E479</f>
        <v>3416.6498527030458</v>
      </c>
      <c r="F479" s="340">
        <f>'Input summary'!F479</f>
        <v>15793.947432306521</v>
      </c>
      <c r="G479" s="407"/>
    </row>
    <row r="480" spans="2:15" ht="15" customHeight="1" x14ac:dyDescent="0.3">
      <c r="B480" s="207" t="s">
        <v>920</v>
      </c>
      <c r="C480" s="346"/>
      <c r="D480" s="346"/>
      <c r="E480" s="346"/>
      <c r="F480" s="346"/>
      <c r="G480" s="348"/>
    </row>
    <row r="481" spans="2:15" ht="15" customHeight="1" x14ac:dyDescent="0.3">
      <c r="B481" s="206" t="s">
        <v>920</v>
      </c>
      <c r="C481" s="340">
        <f t="shared" si="137"/>
        <v>11387.898260869566</v>
      </c>
      <c r="D481" s="340">
        <f>'Input summary'!D481</f>
        <v>11387.898260869566</v>
      </c>
      <c r="E481" s="340">
        <f>'Input summary'!E481</f>
        <v>5466.0389174301827</v>
      </c>
      <c r="F481" s="340">
        <f>'Input summary'!F481</f>
        <v>19358.887832565219</v>
      </c>
      <c r="G481" s="407"/>
    </row>
    <row r="482" spans="2:15" ht="15" customHeight="1" x14ac:dyDescent="0.3">
      <c r="B482" s="206" t="s">
        <v>980</v>
      </c>
      <c r="C482" s="340">
        <f t="shared" si="137"/>
        <v>11387.898260869566</v>
      </c>
      <c r="D482" s="340">
        <f>'Input summary'!D482</f>
        <v>11387.898260869566</v>
      </c>
      <c r="E482" s="340">
        <f>'Input summary'!E482</f>
        <v>5466.0389174301827</v>
      </c>
      <c r="F482" s="340">
        <f>'Input summary'!F482</f>
        <v>19358.887832565219</v>
      </c>
      <c r="G482" s="407"/>
    </row>
    <row r="483" spans="2:15" ht="15" customHeight="1" x14ac:dyDescent="0.3">
      <c r="B483" s="306"/>
      <c r="C483" s="306"/>
      <c r="D483" s="306"/>
      <c r="E483" s="306"/>
    </row>
    <row r="484" spans="2:15" ht="15" customHeight="1" x14ac:dyDescent="0.3">
      <c r="B484" s="349" t="s">
        <v>966</v>
      </c>
      <c r="C484" s="342"/>
      <c r="D484" s="342"/>
      <c r="E484" s="342"/>
      <c r="F484" s="343"/>
      <c r="G484" s="344"/>
      <c r="H484" s="411"/>
      <c r="I484" s="447"/>
      <c r="J484" s="344"/>
      <c r="K484" s="343"/>
      <c r="L484" s="343"/>
      <c r="M484" s="343"/>
      <c r="N484" s="343"/>
      <c r="O484" s="343"/>
    </row>
    <row r="485" spans="2:15" ht="15" customHeight="1" x14ac:dyDescent="0.3">
      <c r="B485" s="306"/>
      <c r="C485" s="306"/>
      <c r="D485" s="306"/>
      <c r="E485" s="306"/>
    </row>
    <row r="486" spans="2:15" ht="15" customHeight="1" x14ac:dyDescent="0.3">
      <c r="B486" s="294" t="s">
        <v>1403</v>
      </c>
      <c r="C486" s="305"/>
      <c r="D486" s="305"/>
      <c r="E486" s="305"/>
      <c r="F486" s="305"/>
      <c r="G486" s="305"/>
      <c r="I486" s="438" t="s">
        <v>1403</v>
      </c>
      <c r="J486" s="305"/>
      <c r="K486" s="305"/>
      <c r="L486" s="305"/>
      <c r="M486" s="305"/>
      <c r="N486" s="305"/>
    </row>
    <row r="487" spans="2:15" ht="15" customHeight="1" x14ac:dyDescent="0.3">
      <c r="B487" s="339" t="s">
        <v>552</v>
      </c>
      <c r="C487" s="301"/>
      <c r="D487" s="301"/>
      <c r="E487" s="301"/>
      <c r="F487" s="301"/>
      <c r="G487" s="301"/>
      <c r="H487" s="455"/>
      <c r="I487" s="439" t="s">
        <v>553</v>
      </c>
      <c r="J487" s="301"/>
      <c r="K487" s="301"/>
      <c r="L487" s="301"/>
      <c r="M487" s="301"/>
      <c r="N487" s="301"/>
    </row>
    <row r="488" spans="2:15" ht="15" customHeight="1" x14ac:dyDescent="0.3">
      <c r="B488" s="17" t="s">
        <v>950</v>
      </c>
      <c r="C488" s="152" t="s">
        <v>724</v>
      </c>
      <c r="D488" s="152" t="s">
        <v>995</v>
      </c>
      <c r="E488" s="152" t="s">
        <v>985</v>
      </c>
      <c r="F488" s="152" t="s">
        <v>986</v>
      </c>
      <c r="G488" s="152"/>
      <c r="H488" s="455"/>
      <c r="I488" s="440" t="s">
        <v>950</v>
      </c>
      <c r="J488" s="152" t="s">
        <v>724</v>
      </c>
      <c r="K488" s="152" t="s">
        <v>995</v>
      </c>
      <c r="L488" s="152" t="s">
        <v>985</v>
      </c>
      <c r="M488" s="152" t="s">
        <v>986</v>
      </c>
      <c r="N488" s="152"/>
    </row>
    <row r="489" spans="2:15" ht="15" customHeight="1" x14ac:dyDescent="0.3">
      <c r="B489" s="315" t="s">
        <v>1445</v>
      </c>
      <c r="D489" s="306"/>
      <c r="E489" s="306"/>
      <c r="I489" s="441" t="s">
        <v>988</v>
      </c>
    </row>
    <row r="490" spans="2:15" ht="15" customHeight="1" x14ac:dyDescent="0.3">
      <c r="B490" s="313" t="s">
        <v>2</v>
      </c>
      <c r="C490" s="340">
        <f>'Input summary'!C490</f>
        <v>0</v>
      </c>
      <c r="D490" s="340">
        <f>'Input summary'!D490</f>
        <v>0</v>
      </c>
      <c r="E490" s="340">
        <f>'Input summary'!E490</f>
        <v>0</v>
      </c>
      <c r="F490" s="340">
        <f>'Input summary'!F490</f>
        <v>0</v>
      </c>
      <c r="G490" s="407"/>
      <c r="I490" s="442" t="s">
        <v>2</v>
      </c>
      <c r="J490" s="340">
        <f ca="1">'Input summary'!J490</f>
        <v>59.341044325555174</v>
      </c>
      <c r="K490" s="340">
        <f>'Input summary'!K490</f>
        <v>0</v>
      </c>
      <c r="L490" s="340">
        <f>'Input summary'!L490</f>
        <v>0</v>
      </c>
      <c r="M490" s="340">
        <f>'Input summary'!M490</f>
        <v>0</v>
      </c>
      <c r="N490" s="340"/>
    </row>
    <row r="491" spans="2:15" ht="15" customHeight="1" x14ac:dyDescent="0.3">
      <c r="B491" s="313" t="s">
        <v>3</v>
      </c>
      <c r="C491" s="340">
        <f>'Input summary'!C491</f>
        <v>0</v>
      </c>
      <c r="D491" s="340">
        <f>'Input summary'!D491</f>
        <v>0</v>
      </c>
      <c r="E491" s="340">
        <f>'Input summary'!E491</f>
        <v>0</v>
      </c>
      <c r="F491" s="340">
        <f>'Input summary'!F491</f>
        <v>0</v>
      </c>
      <c r="G491" s="407"/>
      <c r="I491" s="442" t="s">
        <v>3</v>
      </c>
      <c r="J491" s="340">
        <f ca="1">'Input summary'!J491</f>
        <v>59.341044325555174</v>
      </c>
      <c r="K491" s="340">
        <f>'Input summary'!K491</f>
        <v>0</v>
      </c>
      <c r="L491" s="340">
        <f>'Input summary'!L491</f>
        <v>0</v>
      </c>
      <c r="M491" s="340">
        <f>'Input summary'!M491</f>
        <v>0</v>
      </c>
      <c r="N491" s="340"/>
    </row>
    <row r="492" spans="2:15" ht="15" customHeight="1" x14ac:dyDescent="0.3">
      <c r="B492" s="313" t="s">
        <v>4</v>
      </c>
      <c r="C492" s="340">
        <f>'Input summary'!C492</f>
        <v>0</v>
      </c>
      <c r="D492" s="340">
        <f>'Input summary'!D492</f>
        <v>0</v>
      </c>
      <c r="E492" s="340">
        <f>'Input summary'!E492</f>
        <v>0</v>
      </c>
      <c r="F492" s="340">
        <f>'Input summary'!F492</f>
        <v>0</v>
      </c>
      <c r="G492" s="407"/>
      <c r="I492" s="442" t="s">
        <v>4</v>
      </c>
      <c r="J492" s="340">
        <f ca="1">'Input summary'!J492</f>
        <v>59.341044325555174</v>
      </c>
      <c r="K492" s="340">
        <f>'Input summary'!K492</f>
        <v>0</v>
      </c>
      <c r="L492" s="340">
        <f>'Input summary'!L492</f>
        <v>0</v>
      </c>
      <c r="M492" s="340">
        <f>'Input summary'!M492</f>
        <v>0</v>
      </c>
      <c r="N492" s="340"/>
    </row>
    <row r="493" spans="2:15" ht="15" customHeight="1" x14ac:dyDescent="0.3">
      <c r="B493" s="313" t="s">
        <v>5</v>
      </c>
      <c r="C493" s="340">
        <f>'Input summary'!C493</f>
        <v>0</v>
      </c>
      <c r="D493" s="340">
        <f>'Input summary'!D493</f>
        <v>0</v>
      </c>
      <c r="E493" s="340">
        <f>'Input summary'!E493</f>
        <v>0</v>
      </c>
      <c r="F493" s="340">
        <f>'Input summary'!F493</f>
        <v>0</v>
      </c>
      <c r="G493" s="407"/>
      <c r="I493" s="442" t="s">
        <v>5</v>
      </c>
      <c r="J493" s="340">
        <f ca="1">'Input summary'!J493</f>
        <v>59.341044325555174</v>
      </c>
      <c r="K493" s="340">
        <f>'Input summary'!K493</f>
        <v>0</v>
      </c>
      <c r="L493" s="340">
        <f>'Input summary'!L493</f>
        <v>0</v>
      </c>
      <c r="M493" s="340">
        <f>'Input summary'!M493</f>
        <v>0</v>
      </c>
      <c r="N493" s="340"/>
    </row>
    <row r="494" spans="2:15" ht="15" customHeight="1" x14ac:dyDescent="0.3">
      <c r="B494" s="313" t="s">
        <v>6</v>
      </c>
      <c r="C494" s="340">
        <f>'Input summary'!C494</f>
        <v>0</v>
      </c>
      <c r="D494" s="340">
        <f>'Input summary'!D494</f>
        <v>0</v>
      </c>
      <c r="E494" s="340">
        <f>'Input summary'!E494</f>
        <v>0</v>
      </c>
      <c r="F494" s="340">
        <f>'Input summary'!F494</f>
        <v>0</v>
      </c>
      <c r="G494" s="407"/>
      <c r="I494" s="442" t="s">
        <v>6</v>
      </c>
      <c r="J494" s="340">
        <f ca="1">'Input summary'!J494</f>
        <v>59.341044325555174</v>
      </c>
      <c r="K494" s="340">
        <f>'Input summary'!K494</f>
        <v>0</v>
      </c>
      <c r="L494" s="340">
        <f>'Input summary'!L494</f>
        <v>0</v>
      </c>
      <c r="M494" s="340">
        <f>'Input summary'!M494</f>
        <v>0</v>
      </c>
      <c r="N494" s="340"/>
    </row>
    <row r="495" spans="2:15" ht="15" customHeight="1" x14ac:dyDescent="0.3">
      <c r="B495" s="313" t="s">
        <v>7</v>
      </c>
      <c r="C495" s="340">
        <f>'Input summary'!C495</f>
        <v>0</v>
      </c>
      <c r="D495" s="340">
        <f>'Input summary'!D495</f>
        <v>0</v>
      </c>
      <c r="E495" s="340">
        <f>'Input summary'!E495</f>
        <v>0</v>
      </c>
      <c r="F495" s="340">
        <f>'Input summary'!F495</f>
        <v>0</v>
      </c>
      <c r="G495" s="407"/>
      <c r="I495" s="442" t="s">
        <v>7</v>
      </c>
      <c r="J495" s="340">
        <f ca="1">'Input summary'!J495</f>
        <v>59.341044325555174</v>
      </c>
      <c r="K495" s="340">
        <f>'Input summary'!K495</f>
        <v>0</v>
      </c>
      <c r="L495" s="340">
        <f>'Input summary'!L495</f>
        <v>0</v>
      </c>
      <c r="M495" s="340">
        <f>'Input summary'!M495</f>
        <v>0</v>
      </c>
      <c r="N495" s="340"/>
    </row>
    <row r="496" spans="2:15" ht="15" customHeight="1" x14ac:dyDescent="0.3">
      <c r="B496" s="313" t="s">
        <v>11</v>
      </c>
      <c r="C496" s="340">
        <f>'Input summary'!C496</f>
        <v>0</v>
      </c>
      <c r="D496" s="340">
        <f>'Input summary'!D496</f>
        <v>0</v>
      </c>
      <c r="E496" s="340">
        <f>'Input summary'!E496</f>
        <v>0</v>
      </c>
      <c r="F496" s="340">
        <f>'Input summary'!F496</f>
        <v>0</v>
      </c>
      <c r="G496" s="407"/>
      <c r="I496" s="442" t="s">
        <v>1469</v>
      </c>
      <c r="J496" s="340">
        <f ca="1">'Input summary'!J496</f>
        <v>59.341044325555174</v>
      </c>
      <c r="K496" s="340">
        <f>'Input summary'!K496</f>
        <v>0</v>
      </c>
      <c r="L496" s="340">
        <f>'Input summary'!L496</f>
        <v>0</v>
      </c>
      <c r="M496" s="340">
        <f>'Input summary'!M496</f>
        <v>0</v>
      </c>
      <c r="N496" s="340"/>
    </row>
    <row r="497" spans="2:14" x14ac:dyDescent="0.3">
      <c r="B497" s="315" t="s">
        <v>1444</v>
      </c>
      <c r="C497" s="346"/>
      <c r="D497" s="346"/>
      <c r="E497" s="346"/>
      <c r="F497" s="346"/>
      <c r="G497" s="348"/>
      <c r="H497" s="322"/>
      <c r="I497" s="441" t="s">
        <v>988</v>
      </c>
      <c r="J497" s="346">
        <f>'Input summary'!J497</f>
        <v>0</v>
      </c>
      <c r="K497" s="346">
        <f>'Input summary'!K497</f>
        <v>0</v>
      </c>
      <c r="L497" s="346">
        <f>'Input summary'!L497</f>
        <v>0</v>
      </c>
      <c r="M497" s="348">
        <f>'Input summary'!M497</f>
        <v>0</v>
      </c>
    </row>
    <row r="498" spans="2:14" x14ac:dyDescent="0.3">
      <c r="B498" s="313" t="s">
        <v>2</v>
      </c>
      <c r="C498" s="340">
        <f>'Input summary'!C498</f>
        <v>0</v>
      </c>
      <c r="D498" s="340">
        <f>'Input summary'!D498</f>
        <v>0</v>
      </c>
      <c r="E498" s="340">
        <f>'Input summary'!E498</f>
        <v>0</v>
      </c>
      <c r="F498" s="340">
        <f>'Input summary'!F498</f>
        <v>0</v>
      </c>
      <c r="G498" s="407"/>
      <c r="H498" s="322"/>
      <c r="I498" s="442" t="s">
        <v>2</v>
      </c>
      <c r="J498" s="340">
        <f ca="1">'Input summary'!J498</f>
        <v>40.336113584575138</v>
      </c>
      <c r="K498" s="340">
        <f>'Input summary'!K498</f>
        <v>0</v>
      </c>
      <c r="L498" s="340">
        <f>'Input summary'!L498</f>
        <v>0</v>
      </c>
      <c r="M498" s="340">
        <f>'Input summary'!M498</f>
        <v>0</v>
      </c>
      <c r="N498" s="340"/>
    </row>
    <row r="499" spans="2:14" x14ac:dyDescent="0.3">
      <c r="B499" s="313" t="s">
        <v>3</v>
      </c>
      <c r="C499" s="340">
        <f>'Input summary'!C499</f>
        <v>0</v>
      </c>
      <c r="D499" s="340">
        <f>'Input summary'!D499</f>
        <v>0</v>
      </c>
      <c r="E499" s="340">
        <f>'Input summary'!E499</f>
        <v>0</v>
      </c>
      <c r="F499" s="340">
        <f>'Input summary'!F499</f>
        <v>0</v>
      </c>
      <c r="G499" s="407"/>
      <c r="H499" s="322"/>
      <c r="I499" s="442" t="s">
        <v>3</v>
      </c>
      <c r="J499" s="340">
        <f ca="1">'Input summary'!J499</f>
        <v>40.336113584575138</v>
      </c>
      <c r="K499" s="340">
        <f>'Input summary'!K499</f>
        <v>0</v>
      </c>
      <c r="L499" s="340">
        <f>'Input summary'!L499</f>
        <v>0</v>
      </c>
      <c r="M499" s="340">
        <f>'Input summary'!M499</f>
        <v>0</v>
      </c>
      <c r="N499" s="340"/>
    </row>
    <row r="500" spans="2:14" x14ac:dyDescent="0.3">
      <c r="B500" s="313" t="s">
        <v>4</v>
      </c>
      <c r="C500" s="340">
        <f>'Input summary'!C500</f>
        <v>0</v>
      </c>
      <c r="D500" s="340">
        <f>'Input summary'!D500</f>
        <v>0</v>
      </c>
      <c r="E500" s="340">
        <f>'Input summary'!E500</f>
        <v>0</v>
      </c>
      <c r="F500" s="340">
        <f>'Input summary'!F500</f>
        <v>0</v>
      </c>
      <c r="G500" s="407"/>
      <c r="H500" s="322"/>
      <c r="I500" s="442" t="s">
        <v>4</v>
      </c>
      <c r="J500" s="340">
        <f ca="1">'Input summary'!J500</f>
        <v>40.336113584575138</v>
      </c>
      <c r="K500" s="340">
        <f>'Input summary'!K500</f>
        <v>0</v>
      </c>
      <c r="L500" s="340">
        <f>'Input summary'!L500</f>
        <v>0</v>
      </c>
      <c r="M500" s="340">
        <f>'Input summary'!M500</f>
        <v>0</v>
      </c>
      <c r="N500" s="340"/>
    </row>
    <row r="501" spans="2:14" x14ac:dyDescent="0.3">
      <c r="B501" s="313" t="s">
        <v>5</v>
      </c>
      <c r="C501" s="340">
        <f>'Input summary'!C501</f>
        <v>0</v>
      </c>
      <c r="D501" s="340">
        <f>'Input summary'!D501</f>
        <v>0</v>
      </c>
      <c r="E501" s="340">
        <f>'Input summary'!E501</f>
        <v>0</v>
      </c>
      <c r="F501" s="340">
        <f>'Input summary'!F501</f>
        <v>0</v>
      </c>
      <c r="G501" s="407"/>
      <c r="H501" s="322"/>
      <c r="I501" s="442" t="s">
        <v>5</v>
      </c>
      <c r="J501" s="340">
        <f ca="1">'Input summary'!J501</f>
        <v>67.513315687232549</v>
      </c>
      <c r="K501" s="340">
        <f>'Input summary'!K501</f>
        <v>0</v>
      </c>
      <c r="L501" s="340">
        <f>'Input summary'!L501</f>
        <v>0</v>
      </c>
      <c r="M501" s="340">
        <f>'Input summary'!M501</f>
        <v>0</v>
      </c>
      <c r="N501" s="340"/>
    </row>
    <row r="502" spans="2:14" x14ac:dyDescent="0.3">
      <c r="B502" s="313" t="s">
        <v>6</v>
      </c>
      <c r="C502" s="340">
        <f>'Input summary'!C502</f>
        <v>0</v>
      </c>
      <c r="D502" s="340">
        <f>'Input summary'!D502</f>
        <v>0</v>
      </c>
      <c r="E502" s="340">
        <f>'Input summary'!E502</f>
        <v>0</v>
      </c>
      <c r="F502" s="340">
        <f>'Input summary'!F502</f>
        <v>0</v>
      </c>
      <c r="G502" s="407"/>
      <c r="H502" s="322"/>
      <c r="I502" s="442" t="s">
        <v>6</v>
      </c>
      <c r="J502" s="340">
        <f ca="1">'Input summary'!J502</f>
        <v>67.513315687232549</v>
      </c>
      <c r="K502" s="340">
        <f>'Input summary'!K502</f>
        <v>0</v>
      </c>
      <c r="L502" s="340">
        <f>'Input summary'!L502</f>
        <v>0</v>
      </c>
      <c r="M502" s="340">
        <f>'Input summary'!M502</f>
        <v>0</v>
      </c>
      <c r="N502" s="340"/>
    </row>
    <row r="503" spans="2:14" x14ac:dyDescent="0.3">
      <c r="B503" s="313" t="s">
        <v>7</v>
      </c>
      <c r="C503" s="340">
        <f>'Input summary'!C503</f>
        <v>0</v>
      </c>
      <c r="D503" s="340">
        <f>'Input summary'!D503</f>
        <v>0</v>
      </c>
      <c r="E503" s="340">
        <f>'Input summary'!E503</f>
        <v>0</v>
      </c>
      <c r="F503" s="340">
        <f>'Input summary'!F503</f>
        <v>0</v>
      </c>
      <c r="G503" s="407"/>
      <c r="H503" s="322"/>
      <c r="I503" s="442" t="s">
        <v>7</v>
      </c>
      <c r="J503" s="340">
        <f ca="1">'Input summary'!J503</f>
        <v>67.513315687232549</v>
      </c>
      <c r="K503" s="340">
        <f>'Input summary'!K503</f>
        <v>0</v>
      </c>
      <c r="L503" s="340">
        <f>'Input summary'!L503</f>
        <v>0</v>
      </c>
      <c r="M503" s="340">
        <f>'Input summary'!M503</f>
        <v>0</v>
      </c>
      <c r="N503" s="340"/>
    </row>
    <row r="504" spans="2:14" x14ac:dyDescent="0.3">
      <c r="B504" s="313" t="s">
        <v>11</v>
      </c>
      <c r="C504" s="340">
        <f>'Input summary'!C504</f>
        <v>0</v>
      </c>
      <c r="D504" s="340">
        <f>'Input summary'!D504</f>
        <v>0</v>
      </c>
      <c r="E504" s="340">
        <f>'Input summary'!E504</f>
        <v>0</v>
      </c>
      <c r="F504" s="340">
        <f>'Input summary'!F504</f>
        <v>0</v>
      </c>
      <c r="G504" s="407"/>
      <c r="H504" s="322"/>
      <c r="I504" s="442" t="s">
        <v>1469</v>
      </c>
      <c r="J504" s="340">
        <f ca="1">'Input summary'!J504</f>
        <v>67.513315687232549</v>
      </c>
      <c r="K504" s="340">
        <f>'Input summary'!K504</f>
        <v>0</v>
      </c>
      <c r="L504" s="340">
        <f>'Input summary'!L504</f>
        <v>0</v>
      </c>
      <c r="M504" s="340">
        <f>'Input summary'!M504</f>
        <v>0</v>
      </c>
      <c r="N504" s="340"/>
    </row>
    <row r="505" spans="2:14" ht="15" customHeight="1" x14ac:dyDescent="0.3">
      <c r="B505" s="207" t="s">
        <v>227</v>
      </c>
      <c r="C505" s="346"/>
      <c r="D505" s="346"/>
      <c r="E505" s="346"/>
      <c r="F505" s="346"/>
      <c r="G505" s="348"/>
      <c r="I505" s="443" t="s">
        <v>227</v>
      </c>
      <c r="J505" s="346">
        <f>'Input summary'!J505</f>
        <v>0</v>
      </c>
      <c r="K505" s="346">
        <f>'Input summary'!K505</f>
        <v>0</v>
      </c>
      <c r="L505" s="346">
        <f>'Input summary'!L505</f>
        <v>0</v>
      </c>
      <c r="M505" s="348">
        <f>'Input summary'!M505</f>
        <v>0</v>
      </c>
      <c r="N505" s="309"/>
    </row>
    <row r="506" spans="2:14" ht="15" customHeight="1" x14ac:dyDescent="0.3">
      <c r="B506" s="206" t="s">
        <v>1437</v>
      </c>
      <c r="C506" s="340">
        <f>'Input summary'!C506</f>
        <v>0</v>
      </c>
      <c r="D506" s="340">
        <f>'Input summary'!D506</f>
        <v>0</v>
      </c>
      <c r="E506" s="340">
        <f>'Input summary'!E506</f>
        <v>0</v>
      </c>
      <c r="F506" s="340">
        <f>'Input summary'!F506</f>
        <v>0</v>
      </c>
      <c r="G506" s="407"/>
      <c r="I506" s="444" t="s">
        <v>1437</v>
      </c>
      <c r="J506" s="340">
        <f ca="1">'Input summary'!J506</f>
        <v>77.69005593799217</v>
      </c>
      <c r="K506" s="340">
        <f>'Input summary'!K506</f>
        <v>0</v>
      </c>
      <c r="L506" s="340">
        <f>'Input summary'!L506</f>
        <v>0</v>
      </c>
      <c r="M506" s="340">
        <f>'Input summary'!M506</f>
        <v>0</v>
      </c>
      <c r="N506" s="340"/>
    </row>
    <row r="507" spans="2:14" ht="15" customHeight="1" x14ac:dyDescent="0.3">
      <c r="B507" s="206" t="s">
        <v>1438</v>
      </c>
      <c r="C507" s="340">
        <f>'Input summary'!C507</f>
        <v>0</v>
      </c>
      <c r="D507" s="340">
        <f>'Input summary'!D507</f>
        <v>0</v>
      </c>
      <c r="E507" s="340">
        <f>'Input summary'!E507</f>
        <v>0</v>
      </c>
      <c r="F507" s="340">
        <f>'Input summary'!F507</f>
        <v>0</v>
      </c>
      <c r="G507" s="407"/>
      <c r="I507" s="444" t="s">
        <v>1438</v>
      </c>
      <c r="J507" s="340">
        <f ca="1">'Input summary'!J507</f>
        <v>77.69005593799217</v>
      </c>
      <c r="K507" s="340">
        <f>'Input summary'!K507</f>
        <v>0</v>
      </c>
      <c r="L507" s="340">
        <f>'Input summary'!L507</f>
        <v>0</v>
      </c>
      <c r="M507" s="340">
        <f>'Input summary'!M507</f>
        <v>0</v>
      </c>
      <c r="N507" s="340"/>
    </row>
    <row r="508" spans="2:14" ht="15" customHeight="1" x14ac:dyDescent="0.3">
      <c r="B508" s="206" t="s">
        <v>1441</v>
      </c>
      <c r="C508" s="340">
        <f>'Input summary'!C508</f>
        <v>0</v>
      </c>
      <c r="D508" s="340">
        <f>'Input summary'!D508</f>
        <v>0</v>
      </c>
      <c r="E508" s="340">
        <f>'Input summary'!E508</f>
        <v>0</v>
      </c>
      <c r="F508" s="340">
        <f>'Input summary'!F508</f>
        <v>0</v>
      </c>
      <c r="G508" s="407"/>
      <c r="I508" s="444" t="s">
        <v>1441</v>
      </c>
      <c r="J508" s="340">
        <f ca="1">'Input summary'!J508</f>
        <v>77.69005593799217</v>
      </c>
      <c r="K508" s="340">
        <f>'Input summary'!K508</f>
        <v>0</v>
      </c>
      <c r="L508" s="340">
        <f>'Input summary'!L508</f>
        <v>0</v>
      </c>
      <c r="M508" s="340">
        <f>'Input summary'!M508</f>
        <v>0</v>
      </c>
      <c r="N508" s="340"/>
    </row>
    <row r="509" spans="2:14" ht="15" customHeight="1" x14ac:dyDescent="0.3">
      <c r="B509" s="206" t="s">
        <v>1442</v>
      </c>
      <c r="C509" s="340">
        <f>'Input summary'!C509</f>
        <v>0</v>
      </c>
      <c r="D509" s="340">
        <f>'Input summary'!D509</f>
        <v>0</v>
      </c>
      <c r="E509" s="340">
        <f>'Input summary'!E509</f>
        <v>0</v>
      </c>
      <c r="F509" s="340">
        <f>'Input summary'!F509</f>
        <v>0</v>
      </c>
      <c r="G509" s="407"/>
      <c r="I509" s="444" t="s">
        <v>1442</v>
      </c>
      <c r="J509" s="340">
        <f ca="1">'Input summary'!J509</f>
        <v>77.69005593799217</v>
      </c>
      <c r="K509" s="340">
        <f>'Input summary'!K509</f>
        <v>0</v>
      </c>
      <c r="L509" s="340">
        <f>'Input summary'!L509</f>
        <v>0</v>
      </c>
      <c r="M509" s="340">
        <f>'Input summary'!M509</f>
        <v>0</v>
      </c>
      <c r="N509" s="340"/>
    </row>
    <row r="510" spans="2:14" ht="15" customHeight="1" x14ac:dyDescent="0.3">
      <c r="B510" s="207" t="s">
        <v>920</v>
      </c>
      <c r="C510" s="346"/>
      <c r="D510" s="346"/>
      <c r="E510" s="346"/>
      <c r="F510" s="346"/>
      <c r="G510" s="348"/>
      <c r="I510" s="443" t="s">
        <v>920</v>
      </c>
      <c r="J510" s="346">
        <f>'Input summary'!J510</f>
        <v>0</v>
      </c>
      <c r="K510" s="346">
        <f>'Input summary'!K510</f>
        <v>0</v>
      </c>
      <c r="L510" s="346">
        <f>'Input summary'!L510</f>
        <v>0</v>
      </c>
      <c r="M510" s="348">
        <f>'Input summary'!M510</f>
        <v>0</v>
      </c>
      <c r="N510" s="309"/>
    </row>
    <row r="511" spans="2:14" ht="15" customHeight="1" x14ac:dyDescent="0.3">
      <c r="B511" s="206" t="s">
        <v>920</v>
      </c>
      <c r="C511" s="340">
        <f>'Input summary'!C511</f>
        <v>0</v>
      </c>
      <c r="D511" s="340">
        <f>'Input summary'!D511</f>
        <v>0</v>
      </c>
      <c r="E511" s="340">
        <f>'Input summary'!E511</f>
        <v>0</v>
      </c>
      <c r="F511" s="340">
        <f>'Input summary'!F511</f>
        <v>0</v>
      </c>
      <c r="G511" s="407"/>
      <c r="I511" s="444" t="s">
        <v>920</v>
      </c>
      <c r="J511" s="340">
        <f ca="1">'Input summary'!J511</f>
        <v>77.69005593799217</v>
      </c>
      <c r="K511" s="340">
        <f>'Input summary'!K511</f>
        <v>0</v>
      </c>
      <c r="L511" s="340">
        <f>'Input summary'!L511</f>
        <v>0</v>
      </c>
      <c r="M511" s="340">
        <f>'Input summary'!M511</f>
        <v>0</v>
      </c>
      <c r="N511" s="340"/>
    </row>
    <row r="512" spans="2:14" ht="15" customHeight="1" x14ac:dyDescent="0.3">
      <c r="B512" s="206" t="s">
        <v>980</v>
      </c>
      <c r="C512" s="340">
        <f>'Input summary'!C512</f>
        <v>0</v>
      </c>
      <c r="D512" s="340">
        <f>'Input summary'!D512</f>
        <v>0</v>
      </c>
      <c r="E512" s="340">
        <f>'Input summary'!E512</f>
        <v>0</v>
      </c>
      <c r="F512" s="340">
        <f>'Input summary'!F512</f>
        <v>0</v>
      </c>
      <c r="G512" s="407"/>
      <c r="I512" s="444" t="s">
        <v>980</v>
      </c>
      <c r="J512" s="340">
        <f ca="1">'Input summary'!J512</f>
        <v>77.69005593799217</v>
      </c>
      <c r="K512" s="340">
        <f>'Input summary'!K512</f>
        <v>0</v>
      </c>
      <c r="L512" s="340">
        <f>'Input summary'!L512</f>
        <v>0</v>
      </c>
      <c r="M512" s="340">
        <f>'Input summary'!M512</f>
        <v>0</v>
      </c>
      <c r="N512" s="340"/>
    </row>
    <row r="513" spans="2:15" ht="15" customHeight="1" x14ac:dyDescent="0.3">
      <c r="B513" s="306"/>
      <c r="C513" s="306"/>
      <c r="D513" s="306"/>
      <c r="E513" s="306"/>
    </row>
    <row r="514" spans="2:15" ht="15" customHeight="1" x14ac:dyDescent="0.3">
      <c r="B514" s="294" t="s">
        <v>1004</v>
      </c>
      <c r="C514" s="305"/>
      <c r="D514" s="305"/>
      <c r="E514" s="305"/>
      <c r="F514" s="305"/>
      <c r="G514" s="305"/>
    </row>
    <row r="515" spans="2:15" ht="15" customHeight="1" x14ac:dyDescent="0.3">
      <c r="B515" s="17" t="s">
        <v>950</v>
      </c>
      <c r="C515" s="152" t="s">
        <v>724</v>
      </c>
      <c r="D515" s="152" t="s">
        <v>995</v>
      </c>
      <c r="E515" s="152" t="s">
        <v>985</v>
      </c>
      <c r="F515" s="152" t="s">
        <v>986</v>
      </c>
      <c r="G515" s="152"/>
    </row>
    <row r="516" spans="2:15" ht="15" customHeight="1" x14ac:dyDescent="0.3">
      <c r="B516" s="315" t="s">
        <v>1445</v>
      </c>
      <c r="D516" s="306"/>
      <c r="E516" s="306"/>
    </row>
    <row r="517" spans="2:15" ht="15" customHeight="1" x14ac:dyDescent="0.3">
      <c r="B517" s="313" t="s">
        <v>2</v>
      </c>
      <c r="C517" s="340">
        <f ca="1">'Input summary'!C517</f>
        <v>59.341044325555174</v>
      </c>
      <c r="D517" s="340">
        <f>'Input summary'!D517</f>
        <v>65.617391304347819</v>
      </c>
      <c r="E517" s="340">
        <f>'Input summary'!E517</f>
        <v>52.493913043478258</v>
      </c>
      <c r="F517" s="340">
        <f>'Input summary'!F517</f>
        <v>78.74086956521738</v>
      </c>
      <c r="G517" s="407"/>
    </row>
    <row r="518" spans="2:15" ht="15" customHeight="1" x14ac:dyDescent="0.3">
      <c r="B518" s="313" t="s">
        <v>3</v>
      </c>
      <c r="C518" s="340">
        <f ca="1">'Input summary'!C518</f>
        <v>59.341044325555174</v>
      </c>
      <c r="D518" s="340">
        <f>'Input summary'!D518</f>
        <v>65.617391304347819</v>
      </c>
      <c r="E518" s="340">
        <f>'Input summary'!E518</f>
        <v>52.493913043478258</v>
      </c>
      <c r="F518" s="340">
        <f>'Input summary'!F518</f>
        <v>78.74086956521738</v>
      </c>
      <c r="G518" s="407"/>
    </row>
    <row r="519" spans="2:15" ht="15" customHeight="1" x14ac:dyDescent="0.3">
      <c r="B519" s="313" t="s">
        <v>4</v>
      </c>
      <c r="C519" s="340">
        <f ca="1">'Input summary'!C519</f>
        <v>59.341044325555174</v>
      </c>
      <c r="D519" s="340">
        <f>'Input summary'!D519</f>
        <v>65.617391304347819</v>
      </c>
      <c r="E519" s="340">
        <f>'Input summary'!E519</f>
        <v>52.493913043478258</v>
      </c>
      <c r="F519" s="340">
        <f>'Input summary'!F519</f>
        <v>78.74086956521738</v>
      </c>
      <c r="G519" s="407"/>
    </row>
    <row r="520" spans="2:15" ht="15" customHeight="1" x14ac:dyDescent="0.3">
      <c r="B520" s="313" t="s">
        <v>5</v>
      </c>
      <c r="C520" s="340">
        <f ca="1">'Input summary'!C520</f>
        <v>59.341044325555174</v>
      </c>
      <c r="D520" s="340">
        <f>'Input summary'!D520</f>
        <v>65.617391304347819</v>
      </c>
      <c r="E520" s="340">
        <f>'Input summary'!E520</f>
        <v>52.493913043478258</v>
      </c>
      <c r="F520" s="340">
        <f>'Input summary'!F520</f>
        <v>78.74086956521738</v>
      </c>
      <c r="G520" s="407"/>
    </row>
    <row r="521" spans="2:15" ht="15" customHeight="1" x14ac:dyDescent="0.3">
      <c r="B521" s="313" t="s">
        <v>6</v>
      </c>
      <c r="C521" s="340">
        <f ca="1">'Input summary'!C521</f>
        <v>59.341044325555174</v>
      </c>
      <c r="D521" s="340">
        <f>'Input summary'!D521</f>
        <v>65.617391304347819</v>
      </c>
      <c r="E521" s="340">
        <f>'Input summary'!E521</f>
        <v>52.493913043478258</v>
      </c>
      <c r="F521" s="340">
        <f>'Input summary'!F521</f>
        <v>78.74086956521738</v>
      </c>
      <c r="G521" s="407"/>
    </row>
    <row r="522" spans="2:15" ht="15" customHeight="1" x14ac:dyDescent="0.3">
      <c r="B522" s="313" t="s">
        <v>7</v>
      </c>
      <c r="C522" s="340">
        <f ca="1">'Input summary'!C522</f>
        <v>59.341044325555174</v>
      </c>
      <c r="D522" s="340">
        <f>'Input summary'!D522</f>
        <v>65.617391304347819</v>
      </c>
      <c r="E522" s="340">
        <f>'Input summary'!E522</f>
        <v>52.493913043478258</v>
      </c>
      <c r="F522" s="340">
        <f>'Input summary'!F522</f>
        <v>78.74086956521738</v>
      </c>
      <c r="G522" s="407"/>
    </row>
    <row r="523" spans="2:15" ht="15" customHeight="1" x14ac:dyDescent="0.3">
      <c r="B523" s="313" t="s">
        <v>11</v>
      </c>
      <c r="C523" s="340">
        <f ca="1">'Input summary'!C523</f>
        <v>59.341044325555174</v>
      </c>
      <c r="D523" s="340">
        <f>'Input summary'!D523</f>
        <v>65.617391304347819</v>
      </c>
      <c r="E523" s="340">
        <f>'Input summary'!E523</f>
        <v>52.493913043478258</v>
      </c>
      <c r="F523" s="340">
        <f>'Input summary'!F523</f>
        <v>78.74086956521738</v>
      </c>
      <c r="G523" s="407"/>
    </row>
    <row r="524" spans="2:15" x14ac:dyDescent="0.3">
      <c r="B524" s="315" t="s">
        <v>1444</v>
      </c>
      <c r="C524" s="346"/>
      <c r="D524" s="346"/>
      <c r="E524" s="346"/>
      <c r="F524" s="346"/>
      <c r="G524" s="348"/>
      <c r="H524" s="315"/>
      <c r="I524" s="441"/>
    </row>
    <row r="525" spans="2:15" x14ac:dyDescent="0.3">
      <c r="B525" s="313" t="s">
        <v>2</v>
      </c>
      <c r="C525" s="340">
        <f ca="1">'Input summary'!C525</f>
        <v>40.336113584575138</v>
      </c>
      <c r="D525" s="340">
        <f>'Input summary'!D525</f>
        <v>39.37043478260869</v>
      </c>
      <c r="E525" s="340">
        <f>'Input summary'!E525</f>
        <v>52.493913043478258</v>
      </c>
      <c r="F525" s="340">
        <f>'Input summary'!F525</f>
        <v>65.617391304347819</v>
      </c>
      <c r="G525" s="407"/>
      <c r="H525" s="297"/>
      <c r="I525" s="448"/>
      <c r="J525" s="382"/>
      <c r="K525" s="382"/>
      <c r="L525" s="382"/>
      <c r="M525" s="382"/>
      <c r="N525" s="382"/>
      <c r="O525" s="382"/>
    </row>
    <row r="526" spans="2:15" x14ac:dyDescent="0.3">
      <c r="B526" s="313" t="s">
        <v>3</v>
      </c>
      <c r="C526" s="340">
        <f ca="1">'Input summary'!C526</f>
        <v>40.336113584575138</v>
      </c>
      <c r="D526" s="340">
        <f>'Input summary'!D526</f>
        <v>39.37043478260869</v>
      </c>
      <c r="E526" s="340">
        <f>'Input summary'!E526</f>
        <v>52.493913043478258</v>
      </c>
      <c r="F526" s="340">
        <f>'Input summary'!F526</f>
        <v>65.617391304347819</v>
      </c>
      <c r="G526" s="407"/>
      <c r="H526" s="297"/>
      <c r="I526" s="448"/>
      <c r="J526" s="382"/>
      <c r="K526" s="382"/>
      <c r="L526" s="382"/>
      <c r="M526" s="382"/>
      <c r="N526" s="382"/>
      <c r="O526" s="382"/>
    </row>
    <row r="527" spans="2:15" x14ac:dyDescent="0.3">
      <c r="B527" s="313" t="s">
        <v>4</v>
      </c>
      <c r="C527" s="340">
        <f ca="1">'Input summary'!C527</f>
        <v>40.336113584575138</v>
      </c>
      <c r="D527" s="340">
        <f>'Input summary'!D527</f>
        <v>39.37043478260869</v>
      </c>
      <c r="E527" s="340">
        <f>'Input summary'!E527</f>
        <v>52.493913043478258</v>
      </c>
      <c r="F527" s="340">
        <f>'Input summary'!F527</f>
        <v>65.617391304347819</v>
      </c>
      <c r="G527" s="407"/>
      <c r="H527" s="297"/>
      <c r="I527" s="448"/>
      <c r="J527" s="382"/>
      <c r="K527" s="382"/>
      <c r="L527" s="382"/>
      <c r="M527" s="382"/>
      <c r="N527" s="382"/>
      <c r="O527" s="382"/>
    </row>
    <row r="528" spans="2:15" x14ac:dyDescent="0.3">
      <c r="B528" s="313" t="s">
        <v>5</v>
      </c>
      <c r="C528" s="340">
        <f ca="1">'Input summary'!C528</f>
        <v>67.513315687232549</v>
      </c>
      <c r="D528" s="340">
        <f>'Input summary'!D528</f>
        <v>65.617391304347819</v>
      </c>
      <c r="E528" s="340">
        <f>'Input summary'!E528</f>
        <v>52.493913043478258</v>
      </c>
      <c r="F528" s="340">
        <f>'Input summary'!F528</f>
        <v>78.74086956521738</v>
      </c>
      <c r="G528" s="407"/>
      <c r="H528" s="297"/>
      <c r="I528" s="448"/>
      <c r="J528" s="382"/>
      <c r="K528" s="382"/>
      <c r="L528" s="382"/>
      <c r="M528" s="382"/>
      <c r="N528" s="382"/>
      <c r="O528" s="382"/>
    </row>
    <row r="529" spans="2:15" x14ac:dyDescent="0.3">
      <c r="B529" s="313" t="s">
        <v>6</v>
      </c>
      <c r="C529" s="340">
        <f ca="1">'Input summary'!C529</f>
        <v>67.513315687232549</v>
      </c>
      <c r="D529" s="340">
        <f>'Input summary'!D529</f>
        <v>65.617391304347819</v>
      </c>
      <c r="E529" s="340">
        <f>'Input summary'!E529</f>
        <v>52.493913043478258</v>
      </c>
      <c r="F529" s="340">
        <f>'Input summary'!F529</f>
        <v>78.74086956521738</v>
      </c>
      <c r="G529" s="407"/>
      <c r="H529" s="297"/>
      <c r="I529" s="448"/>
      <c r="J529" s="382"/>
      <c r="K529" s="382"/>
      <c r="L529" s="382"/>
      <c r="M529" s="382"/>
      <c r="N529" s="382"/>
      <c r="O529" s="382"/>
    </row>
    <row r="530" spans="2:15" x14ac:dyDescent="0.3">
      <c r="B530" s="313" t="s">
        <v>7</v>
      </c>
      <c r="C530" s="340">
        <f ca="1">'Input summary'!C530</f>
        <v>67.513315687232549</v>
      </c>
      <c r="D530" s="340">
        <f>'Input summary'!D530</f>
        <v>65.617391304347819</v>
      </c>
      <c r="E530" s="340">
        <f>'Input summary'!E530</f>
        <v>52.493913043478258</v>
      </c>
      <c r="F530" s="340">
        <f>'Input summary'!F530</f>
        <v>78.74086956521738</v>
      </c>
      <c r="G530" s="407"/>
      <c r="H530" s="297"/>
      <c r="I530" s="448"/>
      <c r="J530" s="382"/>
      <c r="K530" s="382"/>
      <c r="L530" s="382"/>
      <c r="M530" s="382"/>
      <c r="N530" s="382"/>
      <c r="O530" s="382"/>
    </row>
    <row r="531" spans="2:15" x14ac:dyDescent="0.3">
      <c r="B531" s="313" t="s">
        <v>11</v>
      </c>
      <c r="C531" s="340">
        <f ca="1">'Input summary'!C531</f>
        <v>67.513315687232549</v>
      </c>
      <c r="D531" s="340">
        <f>'Input summary'!D531</f>
        <v>65.617391304347819</v>
      </c>
      <c r="E531" s="340">
        <f>'Input summary'!E531</f>
        <v>52.493913043478258</v>
      </c>
      <c r="F531" s="340">
        <f>'Input summary'!F531</f>
        <v>78.74086956521738</v>
      </c>
      <c r="G531" s="407"/>
      <c r="H531" s="297"/>
      <c r="I531" s="448"/>
      <c r="J531" s="382"/>
      <c r="K531" s="382"/>
      <c r="L531" s="382"/>
      <c r="M531" s="382"/>
      <c r="N531" s="382"/>
      <c r="O531" s="382"/>
    </row>
    <row r="532" spans="2:15" ht="15" customHeight="1" x14ac:dyDescent="0.3">
      <c r="B532" s="207" t="s">
        <v>227</v>
      </c>
      <c r="C532" s="346"/>
      <c r="D532" s="346"/>
      <c r="E532" s="346"/>
      <c r="F532" s="346"/>
      <c r="G532" s="348"/>
    </row>
    <row r="533" spans="2:15" ht="15" customHeight="1" x14ac:dyDescent="0.3">
      <c r="B533" s="206" t="s">
        <v>1437</v>
      </c>
      <c r="C533" s="340">
        <f ca="1">'Input summary'!C533</f>
        <v>77.69005593799217</v>
      </c>
      <c r="D533" s="340">
        <f>'Input summary'!D533</f>
        <v>65.617391304347819</v>
      </c>
      <c r="E533" s="340">
        <f>'Input summary'!E533</f>
        <v>52.493913043478258</v>
      </c>
      <c r="F533" s="340">
        <f>'Input summary'!F533</f>
        <v>78.74086956521738</v>
      </c>
      <c r="G533" s="407"/>
    </row>
    <row r="534" spans="2:15" ht="15" customHeight="1" x14ac:dyDescent="0.3">
      <c r="B534" s="206" t="s">
        <v>1438</v>
      </c>
      <c r="C534" s="340">
        <f ca="1">'Input summary'!C534</f>
        <v>77.69005593799217</v>
      </c>
      <c r="D534" s="340">
        <f>'Input summary'!D534</f>
        <v>65.617391304347819</v>
      </c>
      <c r="E534" s="340">
        <f>'Input summary'!E534</f>
        <v>52.493913043478258</v>
      </c>
      <c r="F534" s="340">
        <f>'Input summary'!F534</f>
        <v>78.74086956521738</v>
      </c>
      <c r="G534" s="407"/>
    </row>
    <row r="535" spans="2:15" ht="15" customHeight="1" x14ac:dyDescent="0.3">
      <c r="B535" s="206" t="s">
        <v>1441</v>
      </c>
      <c r="C535" s="340">
        <f ca="1">'Input summary'!C535</f>
        <v>77.69005593799217</v>
      </c>
      <c r="D535" s="340">
        <f>'Input summary'!D535</f>
        <v>65.617391304347819</v>
      </c>
      <c r="E535" s="340">
        <f>'Input summary'!E535</f>
        <v>52.493913043478258</v>
      </c>
      <c r="F535" s="340">
        <f>'Input summary'!F535</f>
        <v>78.74086956521738</v>
      </c>
      <c r="G535" s="407"/>
    </row>
    <row r="536" spans="2:15" ht="15" customHeight="1" x14ac:dyDescent="0.3">
      <c r="B536" s="206" t="s">
        <v>1442</v>
      </c>
      <c r="C536" s="340">
        <f ca="1">'Input summary'!C536</f>
        <v>77.69005593799217</v>
      </c>
      <c r="D536" s="340">
        <f>'Input summary'!D536</f>
        <v>65.617391304347819</v>
      </c>
      <c r="E536" s="340">
        <f>'Input summary'!E536</f>
        <v>52.493913043478258</v>
      </c>
      <c r="F536" s="340">
        <f>'Input summary'!F536</f>
        <v>78.74086956521738</v>
      </c>
      <c r="G536" s="407"/>
    </row>
    <row r="537" spans="2:15" ht="15" customHeight="1" x14ac:dyDescent="0.3">
      <c r="B537" s="207" t="s">
        <v>920</v>
      </c>
      <c r="C537" s="346"/>
      <c r="D537" s="346"/>
      <c r="E537" s="346"/>
      <c r="F537" s="346"/>
      <c r="G537" s="348"/>
    </row>
    <row r="538" spans="2:15" ht="15" customHeight="1" x14ac:dyDescent="0.3">
      <c r="B538" s="206" t="s">
        <v>920</v>
      </c>
      <c r="C538" s="340">
        <f ca="1">'Input summary'!C538</f>
        <v>77.69005593799217</v>
      </c>
      <c r="D538" s="340">
        <f>'Input summary'!D538</f>
        <v>65.617391304347819</v>
      </c>
      <c r="E538" s="340">
        <f>'Input summary'!E538</f>
        <v>52.493913043478258</v>
      </c>
      <c r="F538" s="340">
        <f>'Input summary'!F538</f>
        <v>78.74086956521738</v>
      </c>
      <c r="G538" s="407"/>
    </row>
    <row r="539" spans="2:15" ht="15" customHeight="1" x14ac:dyDescent="0.3">
      <c r="B539" s="206" t="s">
        <v>980</v>
      </c>
      <c r="C539" s="340">
        <f ca="1">'Input summary'!C539</f>
        <v>77.69005593799217</v>
      </c>
      <c r="D539" s="340">
        <f>'Input summary'!D539</f>
        <v>65.617391304347819</v>
      </c>
      <c r="E539" s="340">
        <f>'Input summary'!E539</f>
        <v>52.493913043478258</v>
      </c>
      <c r="F539" s="340">
        <f>'Input summary'!F539</f>
        <v>78.74086956521738</v>
      </c>
      <c r="G539" s="407"/>
    </row>
    <row r="540" spans="2:15" ht="15" customHeight="1" x14ac:dyDescent="0.3">
      <c r="B540" s="306"/>
      <c r="C540" s="306"/>
      <c r="D540" s="306"/>
      <c r="E540" s="306"/>
    </row>
    <row r="541" spans="2:15" ht="15" customHeight="1" x14ac:dyDescent="0.3">
      <c r="B541" s="294" t="s">
        <v>1376</v>
      </c>
      <c r="C541" s="305"/>
      <c r="D541" s="305"/>
      <c r="E541" s="305"/>
      <c r="F541" s="305"/>
      <c r="G541" s="305"/>
    </row>
    <row r="542" spans="2:15" ht="15" customHeight="1" x14ac:dyDescent="0.3">
      <c r="B542" s="17" t="s">
        <v>950</v>
      </c>
      <c r="C542" s="152" t="s">
        <v>724</v>
      </c>
      <c r="D542" s="152" t="s">
        <v>995</v>
      </c>
      <c r="E542" s="152" t="s">
        <v>985</v>
      </c>
      <c r="F542" s="152" t="s">
        <v>986</v>
      </c>
      <c r="G542" s="152"/>
    </row>
    <row r="543" spans="2:15" ht="15" customHeight="1" x14ac:dyDescent="0.3">
      <c r="B543" s="315" t="s">
        <v>1445</v>
      </c>
      <c r="D543" s="306"/>
      <c r="E543" s="306"/>
    </row>
    <row r="544" spans="2:15" ht="15" customHeight="1" x14ac:dyDescent="0.3">
      <c r="B544" s="313" t="s">
        <v>2</v>
      </c>
      <c r="C544" s="340">
        <f ca="1">'Input summary'!C544</f>
        <v>47.353715986389595</v>
      </c>
      <c r="D544" s="340">
        <f>'Input summary'!D544</f>
        <v>39.37043478260869</v>
      </c>
      <c r="E544" s="340">
        <f>'Input summary'!E544</f>
        <v>26.246956521739129</v>
      </c>
      <c r="F544" s="340">
        <f>'Input summary'!F544</f>
        <v>52.493913043478258</v>
      </c>
      <c r="G544" s="407"/>
    </row>
    <row r="545" spans="2:15" ht="15" customHeight="1" x14ac:dyDescent="0.3">
      <c r="B545" s="313" t="s">
        <v>3</v>
      </c>
      <c r="C545" s="340">
        <f ca="1">'Input summary'!C545</f>
        <v>47.353715986389595</v>
      </c>
      <c r="D545" s="340">
        <f>'Input summary'!D545</f>
        <v>39.37043478260869</v>
      </c>
      <c r="E545" s="340">
        <f>'Input summary'!E545</f>
        <v>26.246956521739129</v>
      </c>
      <c r="F545" s="340">
        <f>'Input summary'!F545</f>
        <v>52.493913043478258</v>
      </c>
      <c r="G545" s="407"/>
    </row>
    <row r="546" spans="2:15" ht="15" customHeight="1" x14ac:dyDescent="0.3">
      <c r="B546" s="313" t="s">
        <v>4</v>
      </c>
      <c r="C546" s="340">
        <f ca="1">'Input summary'!C546</f>
        <v>47.353715986389595</v>
      </c>
      <c r="D546" s="340">
        <f>'Input summary'!D546</f>
        <v>39.37043478260869</v>
      </c>
      <c r="E546" s="340">
        <f>'Input summary'!E546</f>
        <v>26.246956521739129</v>
      </c>
      <c r="F546" s="340">
        <f>'Input summary'!F546</f>
        <v>52.493913043478258</v>
      </c>
      <c r="G546" s="407"/>
    </row>
    <row r="547" spans="2:15" ht="15" customHeight="1" x14ac:dyDescent="0.3">
      <c r="B547" s="313" t="s">
        <v>5</v>
      </c>
      <c r="C547" s="340">
        <f ca="1">'Input summary'!C547</f>
        <v>47.353715986389595</v>
      </c>
      <c r="D547" s="340">
        <f>'Input summary'!D547</f>
        <v>39.37043478260869</v>
      </c>
      <c r="E547" s="340">
        <f>'Input summary'!E547</f>
        <v>26.246956521739129</v>
      </c>
      <c r="F547" s="340">
        <f>'Input summary'!F547</f>
        <v>52.493913043478258</v>
      </c>
      <c r="G547" s="407"/>
    </row>
    <row r="548" spans="2:15" ht="15" customHeight="1" x14ac:dyDescent="0.3">
      <c r="B548" s="313" t="s">
        <v>6</v>
      </c>
      <c r="C548" s="340">
        <f ca="1">'Input summary'!C548</f>
        <v>47.353715986389595</v>
      </c>
      <c r="D548" s="340">
        <f>'Input summary'!D548</f>
        <v>39.37043478260869</v>
      </c>
      <c r="E548" s="340">
        <f>'Input summary'!E548</f>
        <v>26.246956521739129</v>
      </c>
      <c r="F548" s="340">
        <f>'Input summary'!F548</f>
        <v>52.493913043478258</v>
      </c>
      <c r="G548" s="407"/>
    </row>
    <row r="549" spans="2:15" ht="15" customHeight="1" x14ac:dyDescent="0.3">
      <c r="B549" s="313" t="s">
        <v>7</v>
      </c>
      <c r="C549" s="340">
        <f ca="1">'Input summary'!C549</f>
        <v>47.353715986389595</v>
      </c>
      <c r="D549" s="340">
        <f>'Input summary'!D549</f>
        <v>39.37043478260869</v>
      </c>
      <c r="E549" s="340">
        <f>'Input summary'!E549</f>
        <v>26.246956521739129</v>
      </c>
      <c r="F549" s="340">
        <f>'Input summary'!F549</f>
        <v>52.493913043478258</v>
      </c>
      <c r="G549" s="407"/>
    </row>
    <row r="550" spans="2:15" ht="15" customHeight="1" x14ac:dyDescent="0.3">
      <c r="B550" s="313" t="s">
        <v>11</v>
      </c>
      <c r="C550" s="340">
        <f ca="1">'Input summary'!C550</f>
        <v>47.353715986389595</v>
      </c>
      <c r="D550" s="340">
        <f>'Input summary'!D550</f>
        <v>39.37043478260869</v>
      </c>
      <c r="E550" s="340">
        <f>'Input summary'!E550</f>
        <v>26.246956521739129</v>
      </c>
      <c r="F550" s="340">
        <f>'Input summary'!F550</f>
        <v>52.493913043478258</v>
      </c>
      <c r="G550" s="407"/>
    </row>
    <row r="551" spans="2:15" x14ac:dyDescent="0.3">
      <c r="B551" s="315" t="s">
        <v>1444</v>
      </c>
      <c r="C551" s="346"/>
      <c r="D551" s="346"/>
      <c r="E551" s="346"/>
      <c r="F551" s="346"/>
      <c r="G551" s="348"/>
      <c r="H551" s="315"/>
      <c r="I551" s="441"/>
    </row>
    <row r="552" spans="2:15" x14ac:dyDescent="0.3">
      <c r="B552" s="313" t="s">
        <v>2</v>
      </c>
      <c r="C552" s="340">
        <f ca="1">'Input summary'!C552</f>
        <v>39.481544070828406</v>
      </c>
      <c r="D552" s="340">
        <f>'Input summary'!D552</f>
        <v>39.37043478260869</v>
      </c>
      <c r="E552" s="340">
        <f>'Input summary'!E552</f>
        <v>26.246956521739129</v>
      </c>
      <c r="F552" s="340">
        <f>'Input summary'!F552</f>
        <v>52.493913043478258</v>
      </c>
      <c r="G552" s="407"/>
      <c r="H552" s="297"/>
      <c r="I552" s="448"/>
      <c r="J552" s="382"/>
      <c r="K552" s="382"/>
      <c r="L552" s="382"/>
      <c r="M552" s="382"/>
      <c r="N552" s="382"/>
      <c r="O552" s="382"/>
    </row>
    <row r="553" spans="2:15" x14ac:dyDescent="0.3">
      <c r="B553" s="313" t="s">
        <v>3</v>
      </c>
      <c r="C553" s="340">
        <f ca="1">'Input summary'!C553</f>
        <v>39.481544070828406</v>
      </c>
      <c r="D553" s="340">
        <f>'Input summary'!D553</f>
        <v>39.37043478260869</v>
      </c>
      <c r="E553" s="340">
        <f>'Input summary'!E553</f>
        <v>26.246956521739129</v>
      </c>
      <c r="F553" s="340">
        <f>'Input summary'!F553</f>
        <v>52.493913043478258</v>
      </c>
      <c r="G553" s="407"/>
      <c r="H553" s="297"/>
      <c r="I553" s="448"/>
      <c r="J553" s="382"/>
      <c r="K553" s="382"/>
      <c r="L553" s="382"/>
      <c r="M553" s="382"/>
      <c r="N553" s="382"/>
      <c r="O553" s="382"/>
    </row>
    <row r="554" spans="2:15" x14ac:dyDescent="0.3">
      <c r="B554" s="313" t="s">
        <v>4</v>
      </c>
      <c r="C554" s="340">
        <f ca="1">'Input summary'!C554</f>
        <v>39.481544070828406</v>
      </c>
      <c r="D554" s="340">
        <f>'Input summary'!D554</f>
        <v>39.37043478260869</v>
      </c>
      <c r="E554" s="340">
        <f>'Input summary'!E554</f>
        <v>26.246956521739129</v>
      </c>
      <c r="F554" s="340">
        <f>'Input summary'!F554</f>
        <v>52.493913043478258</v>
      </c>
      <c r="G554" s="407"/>
      <c r="H554" s="297"/>
      <c r="I554" s="448"/>
      <c r="J554" s="382"/>
      <c r="K554" s="382"/>
      <c r="L554" s="382"/>
      <c r="M554" s="382"/>
      <c r="N554" s="382"/>
      <c r="O554" s="382"/>
    </row>
    <row r="555" spans="2:15" x14ac:dyDescent="0.3">
      <c r="B555" s="313" t="s">
        <v>5</v>
      </c>
      <c r="C555" s="340">
        <f ca="1">'Input summary'!C555</f>
        <v>39.481544070828406</v>
      </c>
      <c r="D555" s="340">
        <f>'Input summary'!D555</f>
        <v>39.37043478260869</v>
      </c>
      <c r="E555" s="340">
        <f>'Input summary'!E555</f>
        <v>26.246956521739129</v>
      </c>
      <c r="F555" s="340">
        <f>'Input summary'!F555</f>
        <v>52.493913043478258</v>
      </c>
      <c r="G555" s="407"/>
      <c r="H555" s="297"/>
      <c r="I555" s="448"/>
      <c r="J555" s="382"/>
      <c r="K555" s="382"/>
      <c r="L555" s="382"/>
      <c r="M555" s="382"/>
      <c r="N555" s="382"/>
      <c r="O555" s="382"/>
    </row>
    <row r="556" spans="2:15" x14ac:dyDescent="0.3">
      <c r="B556" s="313" t="s">
        <v>6</v>
      </c>
      <c r="C556" s="340">
        <f ca="1">'Input summary'!C556</f>
        <v>39.481544070828406</v>
      </c>
      <c r="D556" s="340">
        <f>'Input summary'!D556</f>
        <v>39.37043478260869</v>
      </c>
      <c r="E556" s="340">
        <f>'Input summary'!E556</f>
        <v>26.246956521739129</v>
      </c>
      <c r="F556" s="340">
        <f>'Input summary'!F556</f>
        <v>52.493913043478258</v>
      </c>
      <c r="G556" s="407"/>
      <c r="H556" s="297"/>
      <c r="I556" s="448"/>
      <c r="J556" s="382"/>
      <c r="K556" s="382"/>
      <c r="L556" s="382"/>
      <c r="M556" s="382"/>
      <c r="N556" s="382"/>
      <c r="O556" s="382"/>
    </row>
    <row r="557" spans="2:15" x14ac:dyDescent="0.3">
      <c r="B557" s="313" t="s">
        <v>7</v>
      </c>
      <c r="C557" s="340">
        <f ca="1">'Input summary'!C557</f>
        <v>39.481544070828406</v>
      </c>
      <c r="D557" s="340">
        <f>'Input summary'!D557</f>
        <v>39.37043478260869</v>
      </c>
      <c r="E557" s="340">
        <f>'Input summary'!E557</f>
        <v>26.246956521739129</v>
      </c>
      <c r="F557" s="340">
        <f>'Input summary'!F557</f>
        <v>52.493913043478258</v>
      </c>
      <c r="G557" s="407"/>
      <c r="H557" s="297"/>
      <c r="I557" s="448"/>
      <c r="J557" s="382"/>
      <c r="K557" s="382"/>
      <c r="L557" s="382"/>
      <c r="M557" s="382"/>
      <c r="N557" s="382"/>
      <c r="O557" s="382"/>
    </row>
    <row r="558" spans="2:15" x14ac:dyDescent="0.3">
      <c r="B558" s="313" t="s">
        <v>11</v>
      </c>
      <c r="C558" s="340">
        <f ca="1">'Input summary'!C558</f>
        <v>39.481544070828406</v>
      </c>
      <c r="D558" s="340">
        <f>'Input summary'!D558</f>
        <v>39.37043478260869</v>
      </c>
      <c r="E558" s="340">
        <f>'Input summary'!E558</f>
        <v>26.246956521739129</v>
      </c>
      <c r="F558" s="340">
        <f>'Input summary'!F558</f>
        <v>52.493913043478258</v>
      </c>
      <c r="G558" s="407"/>
      <c r="H558" s="297"/>
      <c r="I558" s="448"/>
      <c r="J558" s="382"/>
      <c r="K558" s="382"/>
      <c r="L558" s="382"/>
      <c r="M558" s="382"/>
      <c r="N558" s="382"/>
      <c r="O558" s="382"/>
    </row>
    <row r="559" spans="2:15" ht="15" customHeight="1" x14ac:dyDescent="0.3">
      <c r="B559" s="207" t="s">
        <v>227</v>
      </c>
      <c r="C559" s="346"/>
      <c r="D559" s="346"/>
      <c r="E559" s="346"/>
      <c r="F559" s="346"/>
      <c r="G559" s="348"/>
    </row>
    <row r="560" spans="2:15" ht="15" customHeight="1" x14ac:dyDescent="0.3">
      <c r="B560" s="206" t="s">
        <v>1437</v>
      </c>
      <c r="C560" s="340">
        <f ca="1">'Input summary'!C560</f>
        <v>51.724349550776012</v>
      </c>
      <c r="D560" s="340">
        <f>'Input summary'!D560</f>
        <v>39.37043478260869</v>
      </c>
      <c r="E560" s="340">
        <f>'Input summary'!E560</f>
        <v>26.246956521739129</v>
      </c>
      <c r="F560" s="340">
        <f>'Input summary'!F560</f>
        <v>52.493913043478258</v>
      </c>
      <c r="G560" s="407"/>
    </row>
    <row r="561" spans="2:7" ht="15" customHeight="1" x14ac:dyDescent="0.3">
      <c r="B561" s="206" t="s">
        <v>1438</v>
      </c>
      <c r="C561" s="340">
        <f ca="1">'Input summary'!C561</f>
        <v>51.724349550776012</v>
      </c>
      <c r="D561" s="340">
        <f>'Input summary'!D561</f>
        <v>39.37043478260869</v>
      </c>
      <c r="E561" s="340">
        <f>'Input summary'!E561</f>
        <v>26.246956521739129</v>
      </c>
      <c r="F561" s="340">
        <f>'Input summary'!F561</f>
        <v>52.493913043478258</v>
      </c>
      <c r="G561" s="407"/>
    </row>
    <row r="562" spans="2:7" ht="15" customHeight="1" x14ac:dyDescent="0.3">
      <c r="B562" s="206" t="s">
        <v>1441</v>
      </c>
      <c r="C562" s="340">
        <f ca="1">'Input summary'!C562</f>
        <v>51.724349550776012</v>
      </c>
      <c r="D562" s="340">
        <f>'Input summary'!D562</f>
        <v>39.37043478260869</v>
      </c>
      <c r="E562" s="340">
        <f>'Input summary'!E562</f>
        <v>26.246956521739129</v>
      </c>
      <c r="F562" s="340">
        <f>'Input summary'!F562</f>
        <v>52.493913043478258</v>
      </c>
      <c r="G562" s="407"/>
    </row>
    <row r="563" spans="2:7" ht="15" customHeight="1" x14ac:dyDescent="0.3">
      <c r="B563" s="206" t="s">
        <v>1442</v>
      </c>
      <c r="C563" s="340">
        <f ca="1">'Input summary'!C563</f>
        <v>51.724349550776012</v>
      </c>
      <c r="D563" s="340">
        <f>'Input summary'!D563</f>
        <v>39.37043478260869</v>
      </c>
      <c r="E563" s="340">
        <f>'Input summary'!E563</f>
        <v>26.246956521739129</v>
      </c>
      <c r="F563" s="340">
        <f>'Input summary'!F563</f>
        <v>52.493913043478258</v>
      </c>
      <c r="G563" s="407"/>
    </row>
    <row r="564" spans="2:7" ht="15" customHeight="1" x14ac:dyDescent="0.3">
      <c r="B564" s="207" t="s">
        <v>920</v>
      </c>
      <c r="C564" s="346"/>
      <c r="D564" s="346"/>
      <c r="E564" s="346"/>
      <c r="F564" s="346"/>
      <c r="G564" s="348"/>
    </row>
    <row r="565" spans="2:7" ht="15" customHeight="1" x14ac:dyDescent="0.3">
      <c r="B565" s="206" t="s">
        <v>920</v>
      </c>
      <c r="C565" s="340">
        <f ca="1">'Input summary'!C565</f>
        <v>51.724349550776012</v>
      </c>
      <c r="D565" s="340">
        <f>'Input summary'!D565</f>
        <v>39.37043478260869</v>
      </c>
      <c r="E565" s="340">
        <f>'Input summary'!E565</f>
        <v>26.246956521739129</v>
      </c>
      <c r="F565" s="340">
        <f>'Input summary'!F565</f>
        <v>52.493913043478258</v>
      </c>
      <c r="G565" s="407"/>
    </row>
    <row r="566" spans="2:7" ht="15" customHeight="1" x14ac:dyDescent="0.3">
      <c r="B566" s="206" t="s">
        <v>980</v>
      </c>
      <c r="C566" s="340">
        <f ca="1">'Input summary'!C566</f>
        <v>51.724349550776012</v>
      </c>
      <c r="D566" s="340">
        <f>'Input summary'!D566</f>
        <v>39.37043478260869</v>
      </c>
      <c r="E566" s="340">
        <f>'Input summary'!E566</f>
        <v>26.246956521739129</v>
      </c>
      <c r="F566" s="340">
        <f>'Input summary'!F566</f>
        <v>52.493913043478258</v>
      </c>
      <c r="G566" s="407"/>
    </row>
    <row r="567" spans="2:7" ht="15" customHeight="1" x14ac:dyDescent="0.3">
      <c r="B567" s="306"/>
      <c r="C567" s="306"/>
      <c r="D567" s="306"/>
      <c r="E567" s="306"/>
    </row>
    <row r="568" spans="2:7" ht="15" customHeight="1" x14ac:dyDescent="0.3">
      <c r="B568" s="294" t="s">
        <v>1009</v>
      </c>
      <c r="C568" s="305"/>
      <c r="D568" s="305"/>
      <c r="E568" s="305"/>
      <c r="F568" s="305"/>
      <c r="G568" s="305"/>
    </row>
    <row r="569" spans="2:7" ht="15" customHeight="1" x14ac:dyDescent="0.3">
      <c r="B569" s="17" t="s">
        <v>950</v>
      </c>
      <c r="C569" s="152" t="s">
        <v>724</v>
      </c>
      <c r="D569" s="152" t="s">
        <v>995</v>
      </c>
      <c r="E569" s="152" t="s">
        <v>985</v>
      </c>
      <c r="F569" s="152" t="s">
        <v>986</v>
      </c>
      <c r="G569" s="152" t="s">
        <v>996</v>
      </c>
    </row>
    <row r="570" spans="2:7" ht="15" customHeight="1" x14ac:dyDescent="0.3">
      <c r="B570" s="315" t="s">
        <v>1445</v>
      </c>
      <c r="C570" s="155"/>
      <c r="D570" s="155"/>
      <c r="E570" s="155"/>
      <c r="F570" s="155"/>
      <c r="G570" s="155"/>
    </row>
    <row r="571" spans="2:7" ht="15" customHeight="1" x14ac:dyDescent="0.3">
      <c r="B571" s="313" t="s">
        <v>2</v>
      </c>
      <c r="C571" s="340">
        <f ca="1">'Input summary'!C571</f>
        <v>126.79631474073003</v>
      </c>
      <c r="D571" s="340">
        <f>'Input summary'!D571</f>
        <v>183.72869565217388</v>
      </c>
      <c r="E571" s="340">
        <f>'Input summary'!E571</f>
        <v>118.11130434782608</v>
      </c>
      <c r="F571" s="340">
        <f>'Input summary'!F571</f>
        <v>249.34608695652173</v>
      </c>
      <c r="G571" s="407"/>
    </row>
    <row r="572" spans="2:7" ht="15" customHeight="1" x14ac:dyDescent="0.3">
      <c r="B572" s="313" t="s">
        <v>3</v>
      </c>
      <c r="C572" s="340">
        <f ca="1">'Input summary'!C572</f>
        <v>126.79631474073003</v>
      </c>
      <c r="D572" s="340">
        <f>'Input summary'!D572</f>
        <v>183.72869565217388</v>
      </c>
      <c r="E572" s="340">
        <f>'Input summary'!E572</f>
        <v>118.11130434782608</v>
      </c>
      <c r="F572" s="340">
        <f>'Input summary'!F572</f>
        <v>249.34608695652173</v>
      </c>
      <c r="G572" s="407"/>
    </row>
    <row r="573" spans="2:7" ht="15" customHeight="1" x14ac:dyDescent="0.3">
      <c r="B573" s="313" t="s">
        <v>4</v>
      </c>
      <c r="C573" s="340">
        <f ca="1">'Input summary'!C573</f>
        <v>126.79631474073003</v>
      </c>
      <c r="D573" s="340">
        <f>'Input summary'!D573</f>
        <v>183.72869565217388</v>
      </c>
      <c r="E573" s="340">
        <f>'Input summary'!E573</f>
        <v>118.11130434782608</v>
      </c>
      <c r="F573" s="340">
        <f>'Input summary'!F573</f>
        <v>249.34608695652173</v>
      </c>
      <c r="G573" s="407"/>
    </row>
    <row r="574" spans="2:7" ht="15" customHeight="1" x14ac:dyDescent="0.3">
      <c r="B574" s="313" t="s">
        <v>5</v>
      </c>
      <c r="C574" s="340">
        <f ca="1">'Input summary'!C574</f>
        <v>114.08379294434985</v>
      </c>
      <c r="D574" s="340">
        <f>'Input summary'!D574</f>
        <v>170.60521739130434</v>
      </c>
      <c r="E574" s="340">
        <f>'Input summary'!E574</f>
        <v>104.98782608695652</v>
      </c>
      <c r="F574" s="340">
        <f>'Input summary'!F574</f>
        <v>236.22260869565216</v>
      </c>
      <c r="G574" s="407"/>
    </row>
    <row r="575" spans="2:7" ht="15" customHeight="1" x14ac:dyDescent="0.3">
      <c r="B575" s="313" t="s">
        <v>6</v>
      </c>
      <c r="C575" s="340">
        <f ca="1">'Input summary'!C575</f>
        <v>114.08379294434985</v>
      </c>
      <c r="D575" s="340">
        <f>'Input summary'!D575</f>
        <v>170.60521739130434</v>
      </c>
      <c r="E575" s="340">
        <f>'Input summary'!E575</f>
        <v>104.98782608695652</v>
      </c>
      <c r="F575" s="340">
        <f>'Input summary'!F575</f>
        <v>236.22260869565216</v>
      </c>
      <c r="G575" s="407"/>
    </row>
    <row r="576" spans="2:7" ht="15" customHeight="1" x14ac:dyDescent="0.3">
      <c r="B576" s="313" t="s">
        <v>7</v>
      </c>
      <c r="C576" s="340">
        <f ca="1">'Input summary'!C576</f>
        <v>114.08379294434985</v>
      </c>
      <c r="D576" s="340">
        <f>'Input summary'!D576</f>
        <v>170.60521739130434</v>
      </c>
      <c r="E576" s="340">
        <f>'Input summary'!E576</f>
        <v>104.98782608695652</v>
      </c>
      <c r="F576" s="340">
        <f>'Input summary'!F576</f>
        <v>236.22260869565216</v>
      </c>
      <c r="G576" s="407"/>
    </row>
    <row r="577" spans="2:15" ht="15" customHeight="1" x14ac:dyDescent="0.3">
      <c r="B577" s="313" t="s">
        <v>11</v>
      </c>
      <c r="C577" s="340">
        <f ca="1">'Input summary'!C577</f>
        <v>114.08379294434985</v>
      </c>
      <c r="D577" s="340">
        <f>'Input summary'!D577</f>
        <v>170.60521739130434</v>
      </c>
      <c r="E577" s="340">
        <f>'Input summary'!E577</f>
        <v>104.98782608695652</v>
      </c>
      <c r="F577" s="340">
        <f>'Input summary'!F577</f>
        <v>236.22260869565216</v>
      </c>
      <c r="G577" s="407"/>
    </row>
    <row r="578" spans="2:15" x14ac:dyDescent="0.3">
      <c r="B578" s="315" t="s">
        <v>1444</v>
      </c>
      <c r="C578" s="346"/>
      <c r="D578" s="346"/>
      <c r="E578" s="346"/>
      <c r="F578" s="346"/>
      <c r="G578" s="348"/>
      <c r="H578" s="315"/>
    </row>
    <row r="579" spans="2:15" x14ac:dyDescent="0.3">
      <c r="B579" s="313" t="s">
        <v>2</v>
      </c>
      <c r="C579" s="340">
        <f ca="1">'Input summary'!C579</f>
        <v>168.14211110115235</v>
      </c>
      <c r="D579" s="340">
        <f>'Input summary'!D579</f>
        <v>183.72869565217388</v>
      </c>
      <c r="E579" s="340">
        <f>'Input summary'!E579</f>
        <v>118.11130434782608</v>
      </c>
      <c r="F579" s="340">
        <f>'Input summary'!F579</f>
        <v>249.34608695652173</v>
      </c>
      <c r="G579" s="407"/>
      <c r="H579" s="297"/>
      <c r="I579" s="449"/>
      <c r="J579" s="382"/>
      <c r="K579" s="382"/>
      <c r="L579" s="382"/>
      <c r="M579" s="382"/>
      <c r="N579" s="382"/>
      <c r="O579" s="382"/>
    </row>
    <row r="580" spans="2:15" x14ac:dyDescent="0.3">
      <c r="B580" s="313" t="s">
        <v>3</v>
      </c>
      <c r="C580" s="340">
        <f ca="1">'Input summary'!C580</f>
        <v>168.14211110115235</v>
      </c>
      <c r="D580" s="340">
        <f>'Input summary'!D580</f>
        <v>183.72869565217388</v>
      </c>
      <c r="E580" s="340">
        <f>'Input summary'!E580</f>
        <v>118.11130434782608</v>
      </c>
      <c r="F580" s="340">
        <f>'Input summary'!F580</f>
        <v>249.34608695652173</v>
      </c>
      <c r="G580" s="407"/>
      <c r="H580" s="297"/>
      <c r="I580" s="449"/>
      <c r="J580" s="382"/>
      <c r="K580" s="382"/>
      <c r="L580" s="382"/>
      <c r="M580" s="382"/>
      <c r="N580" s="382"/>
      <c r="O580" s="382"/>
    </row>
    <row r="581" spans="2:15" x14ac:dyDescent="0.3">
      <c r="B581" s="313" t="s">
        <v>4</v>
      </c>
      <c r="C581" s="340">
        <f ca="1">'Input summary'!C581</f>
        <v>168.14211110115235</v>
      </c>
      <c r="D581" s="340">
        <f>'Input summary'!D581</f>
        <v>183.72869565217388</v>
      </c>
      <c r="E581" s="340">
        <f>'Input summary'!E581</f>
        <v>118.11130434782608</v>
      </c>
      <c r="F581" s="340">
        <f>'Input summary'!F581</f>
        <v>249.34608695652173</v>
      </c>
      <c r="G581" s="407"/>
      <c r="H581" s="297"/>
      <c r="I581" s="449"/>
      <c r="J581" s="382"/>
      <c r="K581" s="382"/>
      <c r="L581" s="382"/>
      <c r="M581" s="382"/>
      <c r="N581" s="382"/>
      <c r="O581" s="382"/>
    </row>
    <row r="582" spans="2:15" x14ac:dyDescent="0.3">
      <c r="B582" s="313" t="s">
        <v>5</v>
      </c>
      <c r="C582" s="340">
        <f ca="1">'Input summary'!C582</f>
        <v>154.90463860406908</v>
      </c>
      <c r="D582" s="340">
        <f>'Input summary'!D582</f>
        <v>170.60521739130434</v>
      </c>
      <c r="E582" s="340">
        <f>'Input summary'!E582</f>
        <v>104.98782608695652</v>
      </c>
      <c r="F582" s="340">
        <f>'Input summary'!F582</f>
        <v>236.22260869565216</v>
      </c>
      <c r="G582" s="407"/>
      <c r="H582" s="297"/>
      <c r="I582" s="449"/>
      <c r="J582" s="382"/>
      <c r="K582" s="382"/>
      <c r="L582" s="382"/>
      <c r="M582" s="382"/>
      <c r="N582" s="382"/>
      <c r="O582" s="382"/>
    </row>
    <row r="583" spans="2:15" x14ac:dyDescent="0.3">
      <c r="B583" s="313" t="s">
        <v>6</v>
      </c>
      <c r="C583" s="340">
        <f ca="1">'Input summary'!C583</f>
        <v>154.90463860406908</v>
      </c>
      <c r="D583" s="340">
        <f>'Input summary'!D583</f>
        <v>170.60521739130434</v>
      </c>
      <c r="E583" s="340">
        <f>'Input summary'!E583</f>
        <v>104.98782608695652</v>
      </c>
      <c r="F583" s="340">
        <f>'Input summary'!F583</f>
        <v>236.22260869565216</v>
      </c>
      <c r="G583" s="407"/>
      <c r="H583" s="297"/>
      <c r="I583" s="449"/>
      <c r="J583" s="382"/>
      <c r="K583" s="382"/>
      <c r="L583" s="382"/>
      <c r="M583" s="382"/>
      <c r="N583" s="382"/>
      <c r="O583" s="382"/>
    </row>
    <row r="584" spans="2:15" x14ac:dyDescent="0.3">
      <c r="B584" s="313" t="s">
        <v>7</v>
      </c>
      <c r="C584" s="340">
        <f ca="1">'Input summary'!C584</f>
        <v>154.90463860406908</v>
      </c>
      <c r="D584" s="340">
        <f>'Input summary'!D584</f>
        <v>170.60521739130434</v>
      </c>
      <c r="E584" s="340">
        <f>'Input summary'!E584</f>
        <v>104.98782608695652</v>
      </c>
      <c r="F584" s="340">
        <f>'Input summary'!F584</f>
        <v>236.22260869565216</v>
      </c>
      <c r="G584" s="407"/>
      <c r="H584" s="297"/>
      <c r="I584" s="449"/>
      <c r="J584" s="382"/>
      <c r="K584" s="382"/>
      <c r="L584" s="382"/>
      <c r="M584" s="382"/>
      <c r="N584" s="382"/>
      <c r="O584" s="382"/>
    </row>
    <row r="585" spans="2:15" x14ac:dyDescent="0.3">
      <c r="B585" s="313" t="s">
        <v>11</v>
      </c>
      <c r="C585" s="340">
        <f ca="1">'Input summary'!C585</f>
        <v>154.90463860406908</v>
      </c>
      <c r="D585" s="340">
        <f>'Input summary'!D585</f>
        <v>170.60521739130434</v>
      </c>
      <c r="E585" s="340">
        <f>'Input summary'!E585</f>
        <v>104.98782608695652</v>
      </c>
      <c r="F585" s="340">
        <f>'Input summary'!F585</f>
        <v>236.22260869565216</v>
      </c>
      <c r="G585" s="407"/>
      <c r="H585" s="297"/>
      <c r="I585" s="449"/>
      <c r="J585" s="382"/>
      <c r="K585" s="382"/>
      <c r="L585" s="382"/>
      <c r="M585" s="382"/>
      <c r="N585" s="382"/>
      <c r="O585" s="382"/>
    </row>
    <row r="586" spans="2:15" ht="15" customHeight="1" x14ac:dyDescent="0.3">
      <c r="B586" s="207" t="s">
        <v>227</v>
      </c>
      <c r="C586" s="346"/>
      <c r="D586" s="346"/>
      <c r="E586" s="346"/>
      <c r="F586" s="346"/>
      <c r="G586" s="348"/>
    </row>
    <row r="587" spans="2:15" ht="15" customHeight="1" x14ac:dyDescent="0.3">
      <c r="B587" s="206" t="s">
        <v>1437</v>
      </c>
      <c r="C587" s="340">
        <f ca="1">'Input summary'!C587</f>
        <v>245.74259672715291</v>
      </c>
      <c r="D587" s="340">
        <f>'Input summary'!D587</f>
        <v>183.72869565217388</v>
      </c>
      <c r="E587" s="340">
        <f>'Input summary'!E587</f>
        <v>118.11130434782608</v>
      </c>
      <c r="F587" s="340">
        <f>'Input summary'!F587</f>
        <v>249.34608695652173</v>
      </c>
      <c r="G587" s="407"/>
    </row>
    <row r="588" spans="2:15" ht="15" customHeight="1" x14ac:dyDescent="0.3">
      <c r="B588" s="206" t="s">
        <v>1438</v>
      </c>
      <c r="C588" s="340">
        <f ca="1">'Input summary'!C588</f>
        <v>245.74259672715291</v>
      </c>
      <c r="D588" s="340">
        <f>'Input summary'!D588</f>
        <v>183.72869565217388</v>
      </c>
      <c r="E588" s="340">
        <f>'Input summary'!E588</f>
        <v>118.11130434782608</v>
      </c>
      <c r="F588" s="340">
        <f>'Input summary'!F588</f>
        <v>249.34608695652173</v>
      </c>
      <c r="G588" s="407"/>
    </row>
    <row r="589" spans="2:15" ht="15" customHeight="1" x14ac:dyDescent="0.3">
      <c r="B589" s="206" t="s">
        <v>1441</v>
      </c>
      <c r="C589" s="340">
        <f ca="1">'Input summary'!C589</f>
        <v>245.74259672715291</v>
      </c>
      <c r="D589" s="340">
        <f>'Input summary'!D589</f>
        <v>183.72869565217388</v>
      </c>
      <c r="E589" s="340">
        <f>'Input summary'!E589</f>
        <v>118.11130434782608</v>
      </c>
      <c r="F589" s="340">
        <f>'Input summary'!F589</f>
        <v>249.34608695652173</v>
      </c>
      <c r="G589" s="407"/>
    </row>
    <row r="590" spans="2:15" ht="15" customHeight="1" x14ac:dyDescent="0.3">
      <c r="B590" s="206" t="s">
        <v>1442</v>
      </c>
      <c r="C590" s="340">
        <f ca="1">'Input summary'!C590</f>
        <v>245.74259672715291</v>
      </c>
      <c r="D590" s="340">
        <f>'Input summary'!D590</f>
        <v>183.72869565217388</v>
      </c>
      <c r="E590" s="340">
        <f>'Input summary'!E590</f>
        <v>118.11130434782608</v>
      </c>
      <c r="F590" s="340">
        <f>'Input summary'!F590</f>
        <v>249.34608695652173</v>
      </c>
      <c r="G590" s="407"/>
    </row>
    <row r="591" spans="2:15" ht="15" customHeight="1" x14ac:dyDescent="0.3">
      <c r="B591" s="207" t="s">
        <v>920</v>
      </c>
      <c r="C591" s="346"/>
      <c r="D591" s="346"/>
      <c r="E591" s="346"/>
      <c r="F591" s="346"/>
      <c r="G591" s="348"/>
    </row>
    <row r="592" spans="2:15" ht="15" customHeight="1" x14ac:dyDescent="0.3">
      <c r="B592" s="206" t="s">
        <v>920</v>
      </c>
      <c r="C592" s="340">
        <f ca="1">'Input summary'!C592</f>
        <v>232.89844234193288</v>
      </c>
      <c r="D592" s="340">
        <f>'Input summary'!D592</f>
        <v>170.60521739130434</v>
      </c>
      <c r="E592" s="340">
        <f>'Input summary'!E592</f>
        <v>104.98782608695652</v>
      </c>
      <c r="F592" s="340">
        <f>'Input summary'!F592</f>
        <v>236.22260869565216</v>
      </c>
      <c r="G592" s="407"/>
    </row>
    <row r="593" spans="2:15" ht="15" customHeight="1" x14ac:dyDescent="0.3">
      <c r="B593" s="206" t="s">
        <v>980</v>
      </c>
      <c r="C593" s="340">
        <f ca="1">'Input summary'!C593</f>
        <v>232.89844234193288</v>
      </c>
      <c r="D593" s="340">
        <f>'Input summary'!D593</f>
        <v>170.60521739130434</v>
      </c>
      <c r="E593" s="340">
        <f>'Input summary'!E593</f>
        <v>104.98782608695652</v>
      </c>
      <c r="F593" s="340">
        <f>'Input summary'!F593</f>
        <v>236.22260869565216</v>
      </c>
      <c r="G593" s="407"/>
    </row>
    <row r="594" spans="2:15" ht="15" customHeight="1" x14ac:dyDescent="0.3">
      <c r="B594" s="306"/>
      <c r="C594" s="306"/>
      <c r="D594" s="306"/>
      <c r="E594" s="306"/>
    </row>
    <row r="595" spans="2:15" ht="15" customHeight="1" x14ac:dyDescent="0.3">
      <c r="B595" s="349" t="s">
        <v>10</v>
      </c>
      <c r="C595" s="342"/>
      <c r="D595" s="342"/>
      <c r="E595" s="342"/>
      <c r="F595" s="343"/>
      <c r="G595" s="344"/>
      <c r="H595" s="411"/>
      <c r="I595" s="447"/>
      <c r="J595" s="344"/>
      <c r="K595" s="343"/>
      <c r="L595" s="343"/>
      <c r="M595" s="343"/>
      <c r="N595" s="343"/>
      <c r="O595" s="343"/>
    </row>
    <row r="596" spans="2:15" ht="15" customHeight="1" x14ac:dyDescent="0.3">
      <c r="B596" s="306"/>
      <c r="C596" s="306"/>
      <c r="D596" s="306"/>
      <c r="E596" s="306"/>
    </row>
    <row r="597" spans="2:15" ht="15" customHeight="1" x14ac:dyDescent="0.3">
      <c r="B597" s="294" t="s">
        <v>938</v>
      </c>
      <c r="C597" s="305"/>
      <c r="D597" s="305"/>
      <c r="E597" s="305"/>
      <c r="F597" s="305"/>
      <c r="G597" s="305"/>
      <c r="I597" s="438" t="s">
        <v>938</v>
      </c>
      <c r="J597" s="305"/>
      <c r="K597" s="305"/>
      <c r="L597" s="305"/>
      <c r="M597" s="305"/>
      <c r="N597" s="305"/>
    </row>
    <row r="598" spans="2:15" ht="15" customHeight="1" x14ac:dyDescent="0.3">
      <c r="B598" s="339" t="s">
        <v>552</v>
      </c>
      <c r="C598" s="301"/>
      <c r="D598" s="301"/>
      <c r="E598" s="301"/>
      <c r="F598" s="301"/>
      <c r="G598" s="301"/>
      <c r="I598" s="439" t="s">
        <v>553</v>
      </c>
      <c r="J598" s="301"/>
      <c r="K598" s="301"/>
      <c r="L598" s="301"/>
      <c r="M598" s="301"/>
      <c r="N598" s="301"/>
    </row>
    <row r="599" spans="2:15" ht="15" customHeight="1" x14ac:dyDescent="0.3">
      <c r="B599" s="17" t="s">
        <v>950</v>
      </c>
      <c r="C599" s="152" t="s">
        <v>724</v>
      </c>
      <c r="D599" s="152" t="s">
        <v>995</v>
      </c>
      <c r="E599" s="152" t="s">
        <v>985</v>
      </c>
      <c r="F599" s="152" t="s">
        <v>986</v>
      </c>
      <c r="G599" s="152"/>
      <c r="I599" s="440" t="s">
        <v>950</v>
      </c>
      <c r="J599" s="152" t="s">
        <v>724</v>
      </c>
      <c r="K599" s="152" t="s">
        <v>995</v>
      </c>
      <c r="L599" s="152" t="s">
        <v>985</v>
      </c>
      <c r="M599" s="152" t="s">
        <v>986</v>
      </c>
      <c r="N599" s="152"/>
    </row>
    <row r="600" spans="2:15" ht="15" customHeight="1" x14ac:dyDescent="0.3">
      <c r="B600" s="315" t="s">
        <v>1445</v>
      </c>
      <c r="D600" s="306"/>
      <c r="E600" s="306"/>
      <c r="I600" s="441" t="s">
        <v>988</v>
      </c>
    </row>
    <row r="601" spans="2:15" ht="15" customHeight="1" x14ac:dyDescent="0.3">
      <c r="B601" s="313" t="s">
        <v>2</v>
      </c>
      <c r="C601" s="340">
        <f ca="1">'Input summary'!C601</f>
        <v>0</v>
      </c>
      <c r="D601" s="340">
        <f>'Input summary'!D601</f>
        <v>0</v>
      </c>
      <c r="E601" s="340">
        <f>'Input summary'!E601</f>
        <v>0</v>
      </c>
      <c r="F601" s="340">
        <f>'Input summary'!F601</f>
        <v>0</v>
      </c>
      <c r="G601" s="407"/>
      <c r="I601" s="442" t="s">
        <v>2</v>
      </c>
      <c r="J601" s="340">
        <f ca="1">'Input summary'!J601</f>
        <v>0</v>
      </c>
      <c r="K601" s="340">
        <f>'Input summary'!K601</f>
        <v>0</v>
      </c>
      <c r="L601" s="340">
        <f>'Input summary'!L601</f>
        <v>0</v>
      </c>
      <c r="M601" s="340">
        <f>'Input summary'!M601</f>
        <v>0</v>
      </c>
      <c r="N601" s="340"/>
    </row>
    <row r="602" spans="2:15" ht="15" customHeight="1" x14ac:dyDescent="0.3">
      <c r="B602" s="313" t="s">
        <v>3</v>
      </c>
      <c r="C602" s="340">
        <f ca="1">'Input summary'!C602</f>
        <v>0</v>
      </c>
      <c r="D602" s="340">
        <f>'Input summary'!D602</f>
        <v>0</v>
      </c>
      <c r="E602" s="340">
        <f>'Input summary'!E602</f>
        <v>0</v>
      </c>
      <c r="F602" s="340">
        <f>'Input summary'!F602</f>
        <v>0</v>
      </c>
      <c r="G602" s="407"/>
      <c r="I602" s="442" t="s">
        <v>3</v>
      </c>
      <c r="J602" s="340">
        <f ca="1">'Input summary'!J602</f>
        <v>0</v>
      </c>
      <c r="K602" s="340">
        <f>'Input summary'!K602</f>
        <v>0</v>
      </c>
      <c r="L602" s="340">
        <f>'Input summary'!L602</f>
        <v>0</v>
      </c>
      <c r="M602" s="340">
        <f>'Input summary'!M602</f>
        <v>0</v>
      </c>
      <c r="N602" s="340"/>
    </row>
    <row r="603" spans="2:15" ht="15" customHeight="1" x14ac:dyDescent="0.3">
      <c r="B603" s="313" t="s">
        <v>4</v>
      </c>
      <c r="C603" s="340">
        <f ca="1">'Input summary'!C603</f>
        <v>0</v>
      </c>
      <c r="D603" s="340">
        <f>'Input summary'!D603</f>
        <v>0</v>
      </c>
      <c r="E603" s="340">
        <f>'Input summary'!E603</f>
        <v>0</v>
      </c>
      <c r="F603" s="340">
        <f>'Input summary'!F603</f>
        <v>0</v>
      </c>
      <c r="G603" s="407"/>
      <c r="I603" s="442" t="s">
        <v>4</v>
      </c>
      <c r="J603" s="340">
        <f ca="1">'Input summary'!J603</f>
        <v>0</v>
      </c>
      <c r="K603" s="340">
        <f>'Input summary'!K603</f>
        <v>0</v>
      </c>
      <c r="L603" s="340">
        <f>'Input summary'!L603</f>
        <v>0</v>
      </c>
      <c r="M603" s="340">
        <f>'Input summary'!M603</f>
        <v>0</v>
      </c>
      <c r="N603" s="340"/>
    </row>
    <row r="604" spans="2:15" ht="15" customHeight="1" x14ac:dyDescent="0.3">
      <c r="B604" s="313" t="s">
        <v>5</v>
      </c>
      <c r="C604" s="340">
        <f ca="1">'Input summary'!C604</f>
        <v>0</v>
      </c>
      <c r="D604" s="340">
        <f>'Input summary'!D604</f>
        <v>0</v>
      </c>
      <c r="E604" s="340">
        <f>'Input summary'!E604</f>
        <v>0</v>
      </c>
      <c r="F604" s="340">
        <f>'Input summary'!F604</f>
        <v>0</v>
      </c>
      <c r="G604" s="407"/>
      <c r="I604" s="442" t="s">
        <v>5</v>
      </c>
      <c r="J604" s="340">
        <f ca="1">'Input summary'!J604</f>
        <v>0</v>
      </c>
      <c r="K604" s="340">
        <f>'Input summary'!K604</f>
        <v>0</v>
      </c>
      <c r="L604" s="340">
        <f>'Input summary'!L604</f>
        <v>0</v>
      </c>
      <c r="M604" s="340">
        <f>'Input summary'!M604</f>
        <v>0</v>
      </c>
      <c r="N604" s="340"/>
    </row>
    <row r="605" spans="2:15" ht="15" customHeight="1" x14ac:dyDescent="0.3">
      <c r="B605" s="313" t="s">
        <v>6</v>
      </c>
      <c r="C605" s="340">
        <f ca="1">'Input summary'!C605</f>
        <v>0</v>
      </c>
      <c r="D605" s="340">
        <f>'Input summary'!D605</f>
        <v>0</v>
      </c>
      <c r="E605" s="340">
        <f>'Input summary'!E605</f>
        <v>0</v>
      </c>
      <c r="F605" s="340">
        <f>'Input summary'!F605</f>
        <v>0</v>
      </c>
      <c r="G605" s="407"/>
      <c r="I605" s="442" t="s">
        <v>6</v>
      </c>
      <c r="J605" s="340">
        <f ca="1">'Input summary'!J605</f>
        <v>0</v>
      </c>
      <c r="K605" s="340">
        <f>'Input summary'!K605</f>
        <v>0</v>
      </c>
      <c r="L605" s="340">
        <f>'Input summary'!L605</f>
        <v>0</v>
      </c>
      <c r="M605" s="340">
        <f>'Input summary'!M605</f>
        <v>0</v>
      </c>
      <c r="N605" s="340"/>
    </row>
    <row r="606" spans="2:15" ht="15" customHeight="1" x14ac:dyDescent="0.3">
      <c r="B606" s="313" t="s">
        <v>7</v>
      </c>
      <c r="C606" s="340">
        <f ca="1">'Input summary'!C606</f>
        <v>0</v>
      </c>
      <c r="D606" s="340">
        <f>'Input summary'!D606</f>
        <v>0</v>
      </c>
      <c r="E606" s="340">
        <f>'Input summary'!E606</f>
        <v>0</v>
      </c>
      <c r="F606" s="340">
        <f>'Input summary'!F606</f>
        <v>0</v>
      </c>
      <c r="G606" s="407"/>
      <c r="I606" s="442" t="s">
        <v>7</v>
      </c>
      <c r="J606" s="340">
        <f ca="1">'Input summary'!J606</f>
        <v>0</v>
      </c>
      <c r="K606" s="340">
        <f>'Input summary'!K606</f>
        <v>0</v>
      </c>
      <c r="L606" s="340">
        <f>'Input summary'!L606</f>
        <v>0</v>
      </c>
      <c r="M606" s="340">
        <f>'Input summary'!M606</f>
        <v>0</v>
      </c>
      <c r="N606" s="340"/>
    </row>
    <row r="607" spans="2:15" ht="15" customHeight="1" x14ac:dyDescent="0.3">
      <c r="B607" s="313" t="s">
        <v>11</v>
      </c>
      <c r="C607" s="340">
        <f ca="1">'Input summary'!C607</f>
        <v>0</v>
      </c>
      <c r="D607" s="340">
        <f>'Input summary'!D607</f>
        <v>0</v>
      </c>
      <c r="E607" s="340">
        <f>'Input summary'!E607</f>
        <v>0</v>
      </c>
      <c r="F607" s="340">
        <f>'Input summary'!F607</f>
        <v>0</v>
      </c>
      <c r="G607" s="407"/>
      <c r="I607" s="442" t="s">
        <v>1469</v>
      </c>
      <c r="J607" s="340">
        <f ca="1">'Input summary'!J607</f>
        <v>0</v>
      </c>
      <c r="K607" s="340">
        <f>'Input summary'!K607</f>
        <v>0</v>
      </c>
      <c r="L607" s="340">
        <f>'Input summary'!L607</f>
        <v>0</v>
      </c>
      <c r="M607" s="340">
        <f>'Input summary'!M607</f>
        <v>0</v>
      </c>
      <c r="N607" s="340"/>
    </row>
    <row r="608" spans="2:15" x14ac:dyDescent="0.3">
      <c r="B608" s="315" t="s">
        <v>1444</v>
      </c>
      <c r="C608" s="345"/>
      <c r="D608" s="345"/>
      <c r="E608" s="345"/>
      <c r="F608" s="345"/>
      <c r="G608" s="345"/>
      <c r="H608" s="322"/>
      <c r="I608" s="441" t="s">
        <v>988</v>
      </c>
      <c r="J608" s="345"/>
      <c r="K608" s="345"/>
      <c r="L608" s="345"/>
      <c r="M608" s="345"/>
      <c r="N608" s="422"/>
    </row>
    <row r="609" spans="2:14" x14ac:dyDescent="0.3">
      <c r="B609" s="313" t="s">
        <v>2</v>
      </c>
      <c r="C609" s="340">
        <f ca="1">'Input summary'!C609</f>
        <v>0</v>
      </c>
      <c r="D609" s="340">
        <f>'Input summary'!D609</f>
        <v>0</v>
      </c>
      <c r="E609" s="340">
        <f>'Input summary'!E609</f>
        <v>0</v>
      </c>
      <c r="F609" s="340">
        <f>'Input summary'!F609</f>
        <v>0</v>
      </c>
      <c r="G609" s="407"/>
      <c r="H609" s="322"/>
      <c r="I609" s="442" t="s">
        <v>2</v>
      </c>
      <c r="J609" s="340">
        <f ca="1">'Input summary'!J609</f>
        <v>0</v>
      </c>
      <c r="K609" s="340">
        <f>'Input summary'!K609</f>
        <v>0</v>
      </c>
      <c r="L609" s="340">
        <f>'Input summary'!L609</f>
        <v>0</v>
      </c>
      <c r="M609" s="340">
        <f>'Input summary'!M609</f>
        <v>0</v>
      </c>
      <c r="N609" s="340"/>
    </row>
    <row r="610" spans="2:14" x14ac:dyDescent="0.3">
      <c r="B610" s="313" t="s">
        <v>3</v>
      </c>
      <c r="C610" s="340">
        <f ca="1">'Input summary'!C610</f>
        <v>0</v>
      </c>
      <c r="D610" s="340">
        <f>'Input summary'!D610</f>
        <v>0</v>
      </c>
      <c r="E610" s="340">
        <f>'Input summary'!E610</f>
        <v>0</v>
      </c>
      <c r="F610" s="340">
        <f>'Input summary'!F610</f>
        <v>0</v>
      </c>
      <c r="G610" s="407"/>
      <c r="H610" s="322"/>
      <c r="I610" s="442" t="s">
        <v>3</v>
      </c>
      <c r="J610" s="340">
        <f ca="1">'Input summary'!J610</f>
        <v>0</v>
      </c>
      <c r="K610" s="340">
        <f>'Input summary'!K610</f>
        <v>0</v>
      </c>
      <c r="L610" s="340">
        <f>'Input summary'!L610</f>
        <v>0</v>
      </c>
      <c r="M610" s="340">
        <f>'Input summary'!M610</f>
        <v>0</v>
      </c>
      <c r="N610" s="340"/>
    </row>
    <row r="611" spans="2:14" x14ac:dyDescent="0.3">
      <c r="B611" s="313" t="s">
        <v>4</v>
      </c>
      <c r="C611" s="340">
        <f ca="1">'Input summary'!C611</f>
        <v>0</v>
      </c>
      <c r="D611" s="340">
        <f>'Input summary'!D611</f>
        <v>0</v>
      </c>
      <c r="E611" s="340">
        <f>'Input summary'!E611</f>
        <v>0</v>
      </c>
      <c r="F611" s="340">
        <f>'Input summary'!F611</f>
        <v>0</v>
      </c>
      <c r="G611" s="407"/>
      <c r="H611" s="322"/>
      <c r="I611" s="442" t="s">
        <v>4</v>
      </c>
      <c r="J611" s="340">
        <f ca="1">'Input summary'!J611</f>
        <v>0</v>
      </c>
      <c r="K611" s="340">
        <f>'Input summary'!K611</f>
        <v>0</v>
      </c>
      <c r="L611" s="340">
        <f>'Input summary'!L611</f>
        <v>0</v>
      </c>
      <c r="M611" s="340">
        <f>'Input summary'!M611</f>
        <v>0</v>
      </c>
      <c r="N611" s="340"/>
    </row>
    <row r="612" spans="2:14" x14ac:dyDescent="0.3">
      <c r="B612" s="313" t="s">
        <v>5</v>
      </c>
      <c r="C612" s="340">
        <f ca="1">'Input summary'!C612</f>
        <v>0</v>
      </c>
      <c r="D612" s="340">
        <f>'Input summary'!D612</f>
        <v>0</v>
      </c>
      <c r="E612" s="340">
        <f>'Input summary'!E612</f>
        <v>0</v>
      </c>
      <c r="F612" s="340">
        <f>'Input summary'!F612</f>
        <v>0</v>
      </c>
      <c r="G612" s="407"/>
      <c r="H612" s="322"/>
      <c r="I612" s="442" t="s">
        <v>5</v>
      </c>
      <c r="J612" s="340">
        <f ca="1">'Input summary'!J612</f>
        <v>0</v>
      </c>
      <c r="K612" s="340">
        <f>'Input summary'!K612</f>
        <v>0</v>
      </c>
      <c r="L612" s="340">
        <f>'Input summary'!L612</f>
        <v>0</v>
      </c>
      <c r="M612" s="340">
        <f>'Input summary'!M612</f>
        <v>0</v>
      </c>
      <c r="N612" s="340"/>
    </row>
    <row r="613" spans="2:14" x14ac:dyDescent="0.3">
      <c r="B613" s="313" t="s">
        <v>6</v>
      </c>
      <c r="C613" s="340">
        <f ca="1">'Input summary'!C613</f>
        <v>0</v>
      </c>
      <c r="D613" s="340">
        <f>'Input summary'!D613</f>
        <v>0</v>
      </c>
      <c r="E613" s="340">
        <f>'Input summary'!E613</f>
        <v>0</v>
      </c>
      <c r="F613" s="340">
        <f>'Input summary'!F613</f>
        <v>0</v>
      </c>
      <c r="G613" s="407"/>
      <c r="H613" s="322"/>
      <c r="I613" s="442" t="s">
        <v>6</v>
      </c>
      <c r="J613" s="340">
        <f ca="1">'Input summary'!J613</f>
        <v>0</v>
      </c>
      <c r="K613" s="340">
        <f>'Input summary'!K613</f>
        <v>0</v>
      </c>
      <c r="L613" s="340">
        <f>'Input summary'!L613</f>
        <v>0</v>
      </c>
      <c r="M613" s="340">
        <f>'Input summary'!M613</f>
        <v>0</v>
      </c>
      <c r="N613" s="340"/>
    </row>
    <row r="614" spans="2:14" x14ac:dyDescent="0.3">
      <c r="B614" s="313" t="s">
        <v>7</v>
      </c>
      <c r="C614" s="340">
        <f ca="1">'Input summary'!C614</f>
        <v>0</v>
      </c>
      <c r="D614" s="340">
        <f>'Input summary'!D614</f>
        <v>0</v>
      </c>
      <c r="E614" s="340">
        <f>'Input summary'!E614</f>
        <v>0</v>
      </c>
      <c r="F614" s="340">
        <f>'Input summary'!F614</f>
        <v>0</v>
      </c>
      <c r="G614" s="407"/>
      <c r="H614" s="322"/>
      <c r="I614" s="442" t="s">
        <v>7</v>
      </c>
      <c r="J614" s="340">
        <f ca="1">'Input summary'!J614</f>
        <v>0</v>
      </c>
      <c r="K614" s="340">
        <f>'Input summary'!K614</f>
        <v>0</v>
      </c>
      <c r="L614" s="340">
        <f>'Input summary'!L614</f>
        <v>0</v>
      </c>
      <c r="M614" s="340">
        <f>'Input summary'!M614</f>
        <v>0</v>
      </c>
      <c r="N614" s="340"/>
    </row>
    <row r="615" spans="2:14" x14ac:dyDescent="0.3">
      <c r="B615" s="313" t="s">
        <v>11</v>
      </c>
      <c r="C615" s="340">
        <f ca="1">'Input summary'!C615</f>
        <v>0</v>
      </c>
      <c r="D615" s="340">
        <f>'Input summary'!D615</f>
        <v>0</v>
      </c>
      <c r="E615" s="340">
        <f>'Input summary'!E615</f>
        <v>0</v>
      </c>
      <c r="F615" s="340">
        <f>'Input summary'!F615</f>
        <v>0</v>
      </c>
      <c r="G615" s="407"/>
      <c r="H615" s="322"/>
      <c r="I615" s="442" t="s">
        <v>1469</v>
      </c>
      <c r="J615" s="340">
        <f ca="1">'Input summary'!J615</f>
        <v>0</v>
      </c>
      <c r="K615" s="340">
        <f>'Input summary'!K615</f>
        <v>0</v>
      </c>
      <c r="L615" s="340">
        <f>'Input summary'!L615</f>
        <v>0</v>
      </c>
      <c r="M615" s="340">
        <f>'Input summary'!M615</f>
        <v>0</v>
      </c>
      <c r="N615" s="340"/>
    </row>
    <row r="616" spans="2:14" ht="15" customHeight="1" x14ac:dyDescent="0.3">
      <c r="B616" s="207" t="s">
        <v>227</v>
      </c>
      <c r="C616" s="345"/>
      <c r="D616" s="345"/>
      <c r="E616" s="345"/>
      <c r="F616" s="345"/>
      <c r="G616" s="345"/>
      <c r="I616" s="443" t="s">
        <v>227</v>
      </c>
      <c r="J616" s="345"/>
      <c r="K616" s="345"/>
      <c r="L616" s="345"/>
      <c r="M616" s="345"/>
      <c r="N616" s="422"/>
    </row>
    <row r="617" spans="2:14" ht="15" customHeight="1" x14ac:dyDescent="0.3">
      <c r="B617" s="206" t="s">
        <v>1437</v>
      </c>
      <c r="C617" s="340">
        <f ca="1">'Input summary'!C617</f>
        <v>0</v>
      </c>
      <c r="D617" s="340">
        <f>'Input summary'!D617</f>
        <v>0</v>
      </c>
      <c r="E617" s="340">
        <f>'Input summary'!E617</f>
        <v>0</v>
      </c>
      <c r="F617" s="340">
        <f>'Input summary'!F617</f>
        <v>0</v>
      </c>
      <c r="G617" s="407"/>
      <c r="I617" s="444" t="s">
        <v>1437</v>
      </c>
      <c r="J617" s="340">
        <f ca="1">'Input summary'!J617</f>
        <v>0</v>
      </c>
      <c r="K617" s="340">
        <f>'Input summary'!K617</f>
        <v>0</v>
      </c>
      <c r="L617" s="340">
        <f>'Input summary'!L617</f>
        <v>0</v>
      </c>
      <c r="M617" s="340">
        <f>'Input summary'!M617</f>
        <v>0</v>
      </c>
      <c r="N617" s="340"/>
    </row>
    <row r="618" spans="2:14" ht="15" customHeight="1" x14ac:dyDescent="0.3">
      <c r="B618" s="206" t="s">
        <v>1438</v>
      </c>
      <c r="C618" s="340">
        <f ca="1">'Input summary'!C618</f>
        <v>0</v>
      </c>
      <c r="D618" s="340">
        <f>'Input summary'!D618</f>
        <v>0</v>
      </c>
      <c r="E618" s="340">
        <f>'Input summary'!E618</f>
        <v>0</v>
      </c>
      <c r="F618" s="340">
        <f>'Input summary'!F618</f>
        <v>0</v>
      </c>
      <c r="G618" s="407"/>
      <c r="I618" s="444" t="s">
        <v>1438</v>
      </c>
      <c r="J618" s="340">
        <f ca="1">'Input summary'!J618</f>
        <v>0</v>
      </c>
      <c r="K618" s="340">
        <f>'Input summary'!K618</f>
        <v>0</v>
      </c>
      <c r="L618" s="340">
        <f>'Input summary'!L618</f>
        <v>0</v>
      </c>
      <c r="M618" s="340">
        <f>'Input summary'!M618</f>
        <v>0</v>
      </c>
      <c r="N618" s="340"/>
    </row>
    <row r="619" spans="2:14" ht="15" customHeight="1" x14ac:dyDescent="0.3">
      <c r="B619" s="206" t="s">
        <v>1441</v>
      </c>
      <c r="C619" s="340">
        <f ca="1">'Input summary'!C619</f>
        <v>0</v>
      </c>
      <c r="D619" s="340">
        <f>'Input summary'!D619</f>
        <v>0</v>
      </c>
      <c r="E619" s="340">
        <f>'Input summary'!E619</f>
        <v>0</v>
      </c>
      <c r="F619" s="340">
        <f>'Input summary'!F619</f>
        <v>0</v>
      </c>
      <c r="G619" s="407"/>
      <c r="I619" s="444" t="s">
        <v>1441</v>
      </c>
      <c r="J619" s="340">
        <f ca="1">'Input summary'!J619</f>
        <v>0</v>
      </c>
      <c r="K619" s="340">
        <f>'Input summary'!K619</f>
        <v>0</v>
      </c>
      <c r="L619" s="340">
        <f>'Input summary'!L619</f>
        <v>0</v>
      </c>
      <c r="M619" s="340">
        <f>'Input summary'!M619</f>
        <v>0</v>
      </c>
      <c r="N619" s="340"/>
    </row>
    <row r="620" spans="2:14" ht="15" customHeight="1" x14ac:dyDescent="0.3">
      <c r="B620" s="206" t="s">
        <v>1442</v>
      </c>
      <c r="C620" s="340">
        <f ca="1">'Input summary'!C620</f>
        <v>0</v>
      </c>
      <c r="D620" s="340">
        <f>'Input summary'!D620</f>
        <v>0</v>
      </c>
      <c r="E620" s="340">
        <f>'Input summary'!E620</f>
        <v>0</v>
      </c>
      <c r="F620" s="340">
        <f>'Input summary'!F620</f>
        <v>0</v>
      </c>
      <c r="G620" s="407"/>
      <c r="I620" s="444" t="s">
        <v>1442</v>
      </c>
      <c r="J620" s="340">
        <f ca="1">'Input summary'!J620</f>
        <v>0</v>
      </c>
      <c r="K620" s="340">
        <f>'Input summary'!K620</f>
        <v>0</v>
      </c>
      <c r="L620" s="340">
        <f>'Input summary'!L620</f>
        <v>0</v>
      </c>
      <c r="M620" s="340">
        <f>'Input summary'!M620</f>
        <v>0</v>
      </c>
      <c r="N620" s="340"/>
    </row>
    <row r="621" spans="2:14" ht="15" customHeight="1" x14ac:dyDescent="0.3">
      <c r="B621" s="207" t="s">
        <v>920</v>
      </c>
      <c r="C621" s="345"/>
      <c r="D621" s="345"/>
      <c r="E621" s="345"/>
      <c r="F621" s="345"/>
      <c r="G621" s="345"/>
      <c r="I621" s="443" t="s">
        <v>920</v>
      </c>
      <c r="J621" s="345"/>
      <c r="K621" s="345"/>
      <c r="L621" s="345"/>
      <c r="M621" s="345"/>
      <c r="N621" s="422"/>
    </row>
    <row r="622" spans="2:14" ht="15" customHeight="1" x14ac:dyDescent="0.3">
      <c r="B622" s="206" t="s">
        <v>920</v>
      </c>
      <c r="C622" s="340">
        <f ca="1">'Input summary'!C622</f>
        <v>0</v>
      </c>
      <c r="D622" s="340">
        <f>'Input summary'!D622</f>
        <v>0</v>
      </c>
      <c r="E622" s="340">
        <f>'Input summary'!E622</f>
        <v>0</v>
      </c>
      <c r="F622" s="340">
        <f>'Input summary'!F622</f>
        <v>0</v>
      </c>
      <c r="G622" s="407"/>
      <c r="I622" s="444" t="s">
        <v>920</v>
      </c>
      <c r="J622" s="340">
        <f ca="1">'Input summary'!J622</f>
        <v>0</v>
      </c>
      <c r="K622" s="340">
        <f>'Input summary'!K622</f>
        <v>0</v>
      </c>
      <c r="L622" s="340">
        <f>'Input summary'!L622</f>
        <v>0</v>
      </c>
      <c r="M622" s="340">
        <f>'Input summary'!M622</f>
        <v>0</v>
      </c>
      <c r="N622" s="340"/>
    </row>
    <row r="623" spans="2:14" ht="15" customHeight="1" x14ac:dyDescent="0.3">
      <c r="B623" s="206" t="s">
        <v>980</v>
      </c>
      <c r="C623" s="340">
        <f ca="1">'Input summary'!C623</f>
        <v>0</v>
      </c>
      <c r="D623" s="340">
        <f>'Input summary'!D623</f>
        <v>0</v>
      </c>
      <c r="E623" s="340">
        <f>'Input summary'!E623</f>
        <v>0</v>
      </c>
      <c r="F623" s="340">
        <f>'Input summary'!F623</f>
        <v>0</v>
      </c>
      <c r="G623" s="407"/>
      <c r="I623" s="444" t="s">
        <v>980</v>
      </c>
      <c r="J623" s="340">
        <f ca="1">'Input summary'!J623</f>
        <v>0</v>
      </c>
      <c r="K623" s="340">
        <f>'Input summary'!K623</f>
        <v>0</v>
      </c>
      <c r="L623" s="340">
        <f>'Input summary'!L623</f>
        <v>0</v>
      </c>
      <c r="M623" s="340">
        <f>'Input summary'!M623</f>
        <v>0</v>
      </c>
      <c r="N623" s="340"/>
    </row>
    <row r="624" spans="2:14" ht="15" customHeight="1" x14ac:dyDescent="0.3">
      <c r="B624" s="306"/>
      <c r="C624" s="306"/>
      <c r="D624" s="306"/>
      <c r="E624" s="306"/>
    </row>
    <row r="625" spans="2:15" ht="15" customHeight="1" x14ac:dyDescent="0.3">
      <c r="B625" s="294" t="s">
        <v>1407</v>
      </c>
      <c r="C625" s="305"/>
      <c r="D625" s="305"/>
      <c r="E625" s="305"/>
      <c r="F625" s="305"/>
      <c r="G625" s="305"/>
    </row>
    <row r="626" spans="2:15" ht="15" customHeight="1" x14ac:dyDescent="0.3">
      <c r="B626" s="17" t="s">
        <v>950</v>
      </c>
      <c r="C626" s="152" t="s">
        <v>724</v>
      </c>
      <c r="D626" s="152" t="s">
        <v>995</v>
      </c>
      <c r="E626" s="152" t="s">
        <v>985</v>
      </c>
      <c r="F626" s="152" t="s">
        <v>986</v>
      </c>
      <c r="G626" s="152"/>
    </row>
    <row r="627" spans="2:15" ht="15" customHeight="1" x14ac:dyDescent="0.3">
      <c r="B627" s="315" t="s">
        <v>1445</v>
      </c>
      <c r="D627" s="306"/>
      <c r="E627" s="306"/>
    </row>
    <row r="628" spans="2:15" ht="15" customHeight="1" x14ac:dyDescent="0.3">
      <c r="B628" s="313" t="s">
        <v>2</v>
      </c>
      <c r="C628" s="325">
        <f ca="1">'Input summary'!C628</f>
        <v>144.5320605871604</v>
      </c>
      <c r="D628" s="325">
        <f>'Input summary'!D628</f>
        <v>144.33201391304348</v>
      </c>
      <c r="E628" s="325">
        <f>'Input summary'!E628</f>
        <v>49.961081739130442</v>
      </c>
      <c r="F628" s="325">
        <f>'Input summary'!F628</f>
        <v>233.15171478260874</v>
      </c>
      <c r="G628" s="407"/>
    </row>
    <row r="629" spans="2:15" ht="15" customHeight="1" x14ac:dyDescent="0.3">
      <c r="B629" s="313" t="s">
        <v>3</v>
      </c>
      <c r="C629" s="325">
        <f ca="1">'Input summary'!C629</f>
        <v>144.5320605871604</v>
      </c>
      <c r="D629" s="325">
        <f>'Input summary'!D629</f>
        <v>144.33201391304348</v>
      </c>
      <c r="E629" s="325">
        <f>'Input summary'!E629</f>
        <v>49.961081739130442</v>
      </c>
      <c r="F629" s="325">
        <f>'Input summary'!F629</f>
        <v>233.15171478260874</v>
      </c>
      <c r="G629" s="407"/>
    </row>
    <row r="630" spans="2:15" ht="15" customHeight="1" x14ac:dyDescent="0.3">
      <c r="B630" s="313" t="s">
        <v>4</v>
      </c>
      <c r="C630" s="325">
        <f ca="1">'Input summary'!C630</f>
        <v>144.5320605871604</v>
      </c>
      <c r="D630" s="325">
        <f>'Input summary'!D630</f>
        <v>144.33201391304348</v>
      </c>
      <c r="E630" s="325">
        <f>'Input summary'!E630</f>
        <v>49.961081739130442</v>
      </c>
      <c r="F630" s="325">
        <f>'Input summary'!F630</f>
        <v>233.15171478260874</v>
      </c>
      <c r="G630" s="407"/>
    </row>
    <row r="631" spans="2:15" ht="15" customHeight="1" x14ac:dyDescent="0.3">
      <c r="B631" s="313" t="s">
        <v>5</v>
      </c>
      <c r="C631" s="325">
        <f ca="1">'Input summary'!C631</f>
        <v>119.53102233587697</v>
      </c>
      <c r="D631" s="325">
        <f>'Input summary'!D631</f>
        <v>116.64147478260868</v>
      </c>
      <c r="E631" s="325">
        <f>'Input summary'!E631</f>
        <v>32.805414782608693</v>
      </c>
      <c r="F631" s="325">
        <f>'Input summary'!F631</f>
        <v>233.28294956521736</v>
      </c>
      <c r="G631" s="407"/>
    </row>
    <row r="632" spans="2:15" ht="15" customHeight="1" x14ac:dyDescent="0.3">
      <c r="B632" s="313" t="s">
        <v>6</v>
      </c>
      <c r="C632" s="325">
        <f ca="1">'Input summary'!C632</f>
        <v>119.53102233587697</v>
      </c>
      <c r="D632" s="325">
        <f>'Input summary'!D632</f>
        <v>116.64147478260868</v>
      </c>
      <c r="E632" s="325">
        <f>'Input summary'!E632</f>
        <v>32.805414782608693</v>
      </c>
      <c r="F632" s="325">
        <f>'Input summary'!F632</f>
        <v>233.28294956521736</v>
      </c>
      <c r="G632" s="407"/>
    </row>
    <row r="633" spans="2:15" ht="15" customHeight="1" x14ac:dyDescent="0.3">
      <c r="B633" s="313" t="s">
        <v>7</v>
      </c>
      <c r="C633" s="325">
        <f ca="1">'Input summary'!C633</f>
        <v>119.53102233587697</v>
      </c>
      <c r="D633" s="325">
        <f>'Input summary'!D633</f>
        <v>116.64147478260868</v>
      </c>
      <c r="E633" s="325">
        <f>'Input summary'!E633</f>
        <v>32.805414782608693</v>
      </c>
      <c r="F633" s="325">
        <f>'Input summary'!F633</f>
        <v>233.28294956521736</v>
      </c>
      <c r="G633" s="407"/>
    </row>
    <row r="634" spans="2:15" ht="15" customHeight="1" x14ac:dyDescent="0.3">
      <c r="B634" s="313" t="s">
        <v>11</v>
      </c>
      <c r="C634" s="325">
        <f ca="1">'Input summary'!C634</f>
        <v>41.840065331970784</v>
      </c>
      <c r="D634" s="325">
        <f>'Input summary'!D634</f>
        <v>41.99513043478261</v>
      </c>
      <c r="E634" s="325">
        <f>'Input summary'!E634</f>
        <v>15.74817391304348</v>
      </c>
      <c r="F634" s="325">
        <f>'Input summary'!F634</f>
        <v>188.97808695652174</v>
      </c>
      <c r="G634" s="407"/>
    </row>
    <row r="635" spans="2:15" x14ac:dyDescent="0.3">
      <c r="B635" s="315" t="s">
        <v>1444</v>
      </c>
      <c r="C635" s="582"/>
      <c r="D635" s="582"/>
      <c r="E635" s="582"/>
      <c r="F635" s="582"/>
      <c r="G635" s="297"/>
      <c r="H635" s="315"/>
      <c r="I635" s="441"/>
    </row>
    <row r="636" spans="2:15" x14ac:dyDescent="0.3">
      <c r="B636" s="313" t="s">
        <v>2</v>
      </c>
      <c r="C636" s="325">
        <f ca="1">'Input summary'!C636</f>
        <v>78.813877716336549</v>
      </c>
      <c r="D636" s="325">
        <f>'Input summary'!D636</f>
        <v>144.33201391304348</v>
      </c>
      <c r="E636" s="325">
        <f>'Input summary'!E636</f>
        <v>49.961081739130442</v>
      </c>
      <c r="F636" s="325">
        <f>'Input summary'!F636</f>
        <v>233.15171478260874</v>
      </c>
      <c r="G636" s="407"/>
      <c r="H636" s="297"/>
      <c r="I636" s="448"/>
      <c r="J636" s="382"/>
      <c r="K636" s="382"/>
      <c r="L636" s="382"/>
      <c r="M636" s="382"/>
      <c r="N636" s="382"/>
      <c r="O636" s="382"/>
    </row>
    <row r="637" spans="2:15" x14ac:dyDescent="0.3">
      <c r="B637" s="313" t="s">
        <v>3</v>
      </c>
      <c r="C637" s="325">
        <f ca="1">'Input summary'!C637</f>
        <v>78.813877716336549</v>
      </c>
      <c r="D637" s="325">
        <f>'Input summary'!D637</f>
        <v>144.33201391304348</v>
      </c>
      <c r="E637" s="325">
        <f>'Input summary'!E637</f>
        <v>49.961081739130442</v>
      </c>
      <c r="F637" s="325">
        <f>'Input summary'!F637</f>
        <v>233.15171478260874</v>
      </c>
      <c r="G637" s="407"/>
      <c r="H637" s="297"/>
      <c r="I637" s="448"/>
      <c r="J637" s="382"/>
      <c r="K637" s="382"/>
      <c r="L637" s="382"/>
      <c r="M637" s="382"/>
      <c r="N637" s="382"/>
      <c r="O637" s="382"/>
    </row>
    <row r="638" spans="2:15" x14ac:dyDescent="0.3">
      <c r="B638" s="313" t="s">
        <v>4</v>
      </c>
      <c r="C638" s="325">
        <f ca="1">'Input summary'!C638</f>
        <v>78.813877716336549</v>
      </c>
      <c r="D638" s="325">
        <f>'Input summary'!D638</f>
        <v>144.33201391304348</v>
      </c>
      <c r="E638" s="325">
        <f>'Input summary'!E638</f>
        <v>49.961081739130442</v>
      </c>
      <c r="F638" s="325">
        <f>'Input summary'!F638</f>
        <v>233.15171478260874</v>
      </c>
      <c r="G638" s="407"/>
      <c r="H638" s="297"/>
      <c r="I638" s="448"/>
      <c r="J638" s="382"/>
      <c r="K638" s="382"/>
      <c r="L638" s="382"/>
      <c r="M638" s="382"/>
      <c r="N638" s="382"/>
      <c r="O638" s="382"/>
    </row>
    <row r="639" spans="2:15" x14ac:dyDescent="0.3">
      <c r="B639" s="313" t="s">
        <v>5</v>
      </c>
      <c r="C639" s="325">
        <f ca="1">'Input summary'!C639</f>
        <v>56.577865004325176</v>
      </c>
      <c r="D639" s="325">
        <f>'Input summary'!D639</f>
        <v>131.22165913043477</v>
      </c>
      <c r="E639" s="325">
        <f>'Input summary'!E639</f>
        <v>43.740553043478258</v>
      </c>
      <c r="F639" s="325">
        <f>'Input summary'!F639</f>
        <v>262.44331826086955</v>
      </c>
      <c r="G639" s="407"/>
      <c r="H639" s="297"/>
      <c r="I639" s="448"/>
      <c r="J639" s="382"/>
      <c r="K639" s="382"/>
      <c r="L639" s="382"/>
      <c r="M639" s="382"/>
      <c r="N639" s="382"/>
      <c r="O639" s="382"/>
    </row>
    <row r="640" spans="2:15" x14ac:dyDescent="0.3">
      <c r="B640" s="313" t="s">
        <v>6</v>
      </c>
      <c r="C640" s="325">
        <f ca="1">'Input summary'!C640</f>
        <v>56.577865004325176</v>
      </c>
      <c r="D640" s="325">
        <f>'Input summary'!D640</f>
        <v>131.22165913043477</v>
      </c>
      <c r="E640" s="325">
        <f>'Input summary'!E640</f>
        <v>43.740553043478258</v>
      </c>
      <c r="F640" s="325">
        <f>'Input summary'!F640</f>
        <v>262.44331826086955</v>
      </c>
      <c r="G640" s="407"/>
      <c r="H640" s="297"/>
      <c r="I640" s="448"/>
      <c r="J640" s="382"/>
      <c r="K640" s="382"/>
      <c r="L640" s="382"/>
      <c r="M640" s="382"/>
      <c r="N640" s="382"/>
      <c r="O640" s="382"/>
    </row>
    <row r="641" spans="2:15" x14ac:dyDescent="0.3">
      <c r="B641" s="313" t="s">
        <v>7</v>
      </c>
      <c r="C641" s="325">
        <f ca="1">'Input summary'!C641</f>
        <v>56.577865004325176</v>
      </c>
      <c r="D641" s="325">
        <f>'Input summary'!D641</f>
        <v>131.22165913043477</v>
      </c>
      <c r="E641" s="325">
        <f>'Input summary'!E641</f>
        <v>43.740553043478258</v>
      </c>
      <c r="F641" s="325">
        <f>'Input summary'!F641</f>
        <v>262.44331826086955</v>
      </c>
      <c r="G641" s="407"/>
      <c r="H641" s="297"/>
      <c r="I641" s="448"/>
      <c r="J641" s="382"/>
      <c r="K641" s="382"/>
      <c r="L641" s="382"/>
      <c r="M641" s="382"/>
      <c r="N641" s="382"/>
      <c r="O641" s="382"/>
    </row>
    <row r="642" spans="2:15" x14ac:dyDescent="0.3">
      <c r="B642" s="313" t="s">
        <v>11</v>
      </c>
      <c r="C642" s="325">
        <f ca="1">'Input summary'!C642</f>
        <v>1.9525207500870256</v>
      </c>
      <c r="D642" s="325">
        <f>'Input summary'!D642</f>
        <v>41.99513043478261</v>
      </c>
      <c r="E642" s="325">
        <f>'Input summary'!E642</f>
        <v>15.74817391304348</v>
      </c>
      <c r="F642" s="325">
        <f>'Input summary'!F642</f>
        <v>188.97808695652174</v>
      </c>
      <c r="G642" s="407"/>
      <c r="H642" s="297"/>
      <c r="I642" s="448"/>
      <c r="J642" s="382"/>
      <c r="K642" s="382"/>
      <c r="L642" s="382"/>
      <c r="M642" s="382"/>
      <c r="N642" s="382"/>
      <c r="O642" s="382"/>
    </row>
    <row r="643" spans="2:15" ht="15" customHeight="1" x14ac:dyDescent="0.3">
      <c r="B643" s="207" t="s">
        <v>227</v>
      </c>
      <c r="C643" s="582"/>
      <c r="D643" s="582"/>
      <c r="E643" s="582"/>
      <c r="F643" s="582"/>
      <c r="G643" s="298"/>
    </row>
    <row r="644" spans="2:15" ht="15" customHeight="1" x14ac:dyDescent="0.3">
      <c r="B644" s="206" t="s">
        <v>1437</v>
      </c>
      <c r="C644" s="325">
        <f ca="1">'Input summary'!C644</f>
        <v>157.66717533347514</v>
      </c>
      <c r="D644" s="325">
        <f>'Input summary'!D644</f>
        <v>83.465321739130431</v>
      </c>
      <c r="E644" s="325">
        <f>'Input summary'!E644</f>
        <v>37.559394782608692</v>
      </c>
      <c r="F644" s="325">
        <f>'Input summary'!F644</f>
        <v>166.93064347826086</v>
      </c>
      <c r="G644" s="407"/>
    </row>
    <row r="645" spans="2:15" ht="15" customHeight="1" x14ac:dyDescent="0.3">
      <c r="B645" s="206" t="s">
        <v>1438</v>
      </c>
      <c r="C645" s="325">
        <f ca="1">'Input summary'!C645</f>
        <v>157.66717533347514</v>
      </c>
      <c r="D645" s="325">
        <f>'Input summary'!D645</f>
        <v>83.465321739130431</v>
      </c>
      <c r="E645" s="325">
        <f>'Input summary'!E645</f>
        <v>37.559394782608692</v>
      </c>
      <c r="F645" s="325">
        <f>'Input summary'!F645</f>
        <v>166.93064347826086</v>
      </c>
      <c r="G645" s="407"/>
    </row>
    <row r="646" spans="2:15" ht="15" customHeight="1" x14ac:dyDescent="0.3">
      <c r="B646" s="206" t="s">
        <v>1441</v>
      </c>
      <c r="C646" s="325">
        <f ca="1">'Input summary'!C646</f>
        <v>261.31017186542306</v>
      </c>
      <c r="D646" s="325">
        <f>'Input summary'!D646</f>
        <v>146.20867130434783</v>
      </c>
      <c r="E646" s="325">
        <f>'Input summary'!E646</f>
        <v>59.045809565217382</v>
      </c>
      <c r="F646" s="325">
        <f>'Input summary'!F646</f>
        <v>258.67687999999998</v>
      </c>
      <c r="G646" s="407"/>
    </row>
    <row r="647" spans="2:15" ht="15" customHeight="1" x14ac:dyDescent="0.3">
      <c r="B647" s="206" t="s">
        <v>1442</v>
      </c>
      <c r="C647" s="325">
        <f ca="1">'Input summary'!C647</f>
        <v>257.95613231989262</v>
      </c>
      <c r="D647" s="325">
        <f>'Input summary'!D647</f>
        <v>144.33201391304348</v>
      </c>
      <c r="E647" s="325">
        <f>'Input summary'!E647</f>
        <v>58.287928695652177</v>
      </c>
      <c r="F647" s="325">
        <f>'Input summary'!F647</f>
        <v>255.35664</v>
      </c>
      <c r="G647" s="407"/>
    </row>
    <row r="648" spans="2:15" ht="15" customHeight="1" x14ac:dyDescent="0.3">
      <c r="B648" s="207" t="s">
        <v>920</v>
      </c>
      <c r="C648" s="582"/>
      <c r="D648" s="582"/>
      <c r="E648" s="582"/>
      <c r="F648" s="582"/>
      <c r="G648" s="298"/>
    </row>
    <row r="649" spans="2:15" ht="15" customHeight="1" x14ac:dyDescent="0.3">
      <c r="B649" s="206" t="s">
        <v>920</v>
      </c>
      <c r="C649" s="325">
        <f ca="1">'Input summary'!C649</f>
        <v>180.05004599652179</v>
      </c>
      <c r="D649" s="325">
        <f>'Input summary'!D649</f>
        <v>88.819700869565224</v>
      </c>
      <c r="E649" s="325">
        <f>'Input summary'!E649</f>
        <v>24.980540869565221</v>
      </c>
      <c r="F649" s="325">
        <f>'Input summary'!F649</f>
        <v>177.63940173913045</v>
      </c>
      <c r="G649" s="407"/>
    </row>
    <row r="650" spans="2:15" ht="15" customHeight="1" x14ac:dyDescent="0.3">
      <c r="B650" s="206" t="s">
        <v>980</v>
      </c>
      <c r="C650" s="325">
        <f ca="1">'Input summary'!C650</f>
        <v>180.05004599652179</v>
      </c>
      <c r="D650" s="325">
        <f>'Input summary'!D650</f>
        <v>88.819700869565224</v>
      </c>
      <c r="E650" s="325">
        <f>'Input summary'!E650</f>
        <v>24.980540869565221</v>
      </c>
      <c r="F650" s="325">
        <f>'Input summary'!F650</f>
        <v>177.63940173913045</v>
      </c>
      <c r="G650" s="407"/>
    </row>
    <row r="651" spans="2:15" ht="15" customHeight="1" x14ac:dyDescent="0.3">
      <c r="B651" s="297"/>
      <c r="C651" s="381"/>
      <c r="D651" s="381"/>
      <c r="E651" s="381"/>
      <c r="F651" s="381"/>
      <c r="G651" s="381"/>
    </row>
    <row r="652" spans="2:15" ht="15" customHeight="1" x14ac:dyDescent="0.3">
      <c r="B652" s="294" t="s">
        <v>1406</v>
      </c>
      <c r="C652" s="305"/>
      <c r="D652" s="305"/>
      <c r="E652" s="305"/>
      <c r="F652" s="305"/>
      <c r="G652" s="305"/>
    </row>
    <row r="653" spans="2:15" ht="15" customHeight="1" x14ac:dyDescent="0.3">
      <c r="B653" s="17" t="s">
        <v>950</v>
      </c>
      <c r="C653" s="152" t="s">
        <v>724</v>
      </c>
      <c r="D653" s="152" t="s">
        <v>995</v>
      </c>
      <c r="E653" s="152" t="s">
        <v>985</v>
      </c>
      <c r="F653" s="152" t="s">
        <v>986</v>
      </c>
      <c r="G653" s="152"/>
    </row>
    <row r="654" spans="2:15" ht="15" customHeight="1" x14ac:dyDescent="0.3">
      <c r="B654" s="315" t="s">
        <v>1445</v>
      </c>
      <c r="D654" s="306"/>
      <c r="E654" s="306"/>
    </row>
    <row r="655" spans="2:15" ht="15" customHeight="1" x14ac:dyDescent="0.3">
      <c r="B655" s="313" t="s">
        <v>2</v>
      </c>
      <c r="C655" s="325">
        <f ca="1">'Input summary'!C655</f>
        <v>180.34171120003927</v>
      </c>
      <c r="D655" s="325">
        <f>'Input summary'!D655</f>
        <v>155.43447652173913</v>
      </c>
      <c r="E655" s="325">
        <f>'Input summary'!E655</f>
        <v>66.614775652173918</v>
      </c>
      <c r="F655" s="325">
        <f>'Input summary'!F655</f>
        <v>299.76649043478267</v>
      </c>
      <c r="G655" s="407"/>
    </row>
    <row r="656" spans="2:15" ht="15" customHeight="1" x14ac:dyDescent="0.3">
      <c r="B656" s="313" t="s">
        <v>3</v>
      </c>
      <c r="C656" s="325">
        <f ca="1">'Input summary'!C656</f>
        <v>180.34171120003927</v>
      </c>
      <c r="D656" s="325">
        <f>'Input summary'!D656</f>
        <v>155.43447652173913</v>
      </c>
      <c r="E656" s="325">
        <f>'Input summary'!E656</f>
        <v>66.614775652173918</v>
      </c>
      <c r="F656" s="325">
        <f>'Input summary'!F656</f>
        <v>299.76649043478267</v>
      </c>
      <c r="G656" s="407"/>
    </row>
    <row r="657" spans="2:15" ht="15" customHeight="1" x14ac:dyDescent="0.3">
      <c r="B657" s="313" t="s">
        <v>4</v>
      </c>
      <c r="C657" s="325">
        <f ca="1">'Input summary'!C657</f>
        <v>180.34171120003927</v>
      </c>
      <c r="D657" s="325">
        <f>'Input summary'!D657</f>
        <v>155.43447652173913</v>
      </c>
      <c r="E657" s="325">
        <f>'Input summary'!E657</f>
        <v>66.614775652173918</v>
      </c>
      <c r="F657" s="325">
        <f>'Input summary'!F657</f>
        <v>299.76649043478267</v>
      </c>
      <c r="G657" s="407"/>
    </row>
    <row r="658" spans="2:15" ht="15" customHeight="1" x14ac:dyDescent="0.3">
      <c r="B658" s="313" t="s">
        <v>5</v>
      </c>
      <c r="C658" s="325">
        <f ca="1">'Input summary'!C658</f>
        <v>156.60517869085953</v>
      </c>
      <c r="D658" s="325">
        <f>'Input summary'!D658</f>
        <v>131.22165913043477</v>
      </c>
      <c r="E658" s="325">
        <f>'Input summary'!E658</f>
        <v>54.675691304347822</v>
      </c>
      <c r="F658" s="325">
        <f>'Input summary'!F658</f>
        <v>277.02350260869559</v>
      </c>
      <c r="G658" s="407"/>
    </row>
    <row r="659" spans="2:15" ht="15" customHeight="1" x14ac:dyDescent="0.3">
      <c r="B659" s="313" t="s">
        <v>6</v>
      </c>
      <c r="C659" s="325">
        <f ca="1">'Input summary'!C659</f>
        <v>156.60517869085953</v>
      </c>
      <c r="D659" s="325">
        <f>'Input summary'!D659</f>
        <v>131.22165913043477</v>
      </c>
      <c r="E659" s="325">
        <f>'Input summary'!E659</f>
        <v>54.675691304347822</v>
      </c>
      <c r="F659" s="325">
        <f>'Input summary'!F659</f>
        <v>277.02350260869559</v>
      </c>
      <c r="G659" s="407"/>
    </row>
    <row r="660" spans="2:15" ht="15" customHeight="1" x14ac:dyDescent="0.3">
      <c r="B660" s="313" t="s">
        <v>7</v>
      </c>
      <c r="C660" s="325">
        <f ca="1">'Input summary'!C660</f>
        <v>156.60517869085953</v>
      </c>
      <c r="D660" s="325">
        <f>'Input summary'!D660</f>
        <v>131.22165913043477</v>
      </c>
      <c r="E660" s="325">
        <f>'Input summary'!E660</f>
        <v>54.675691304347822</v>
      </c>
      <c r="F660" s="325">
        <f>'Input summary'!F660</f>
        <v>277.02350260869559</v>
      </c>
      <c r="G660" s="407"/>
    </row>
    <row r="661" spans="2:15" ht="15" customHeight="1" x14ac:dyDescent="0.3">
      <c r="B661" s="313" t="s">
        <v>11</v>
      </c>
      <c r="C661" s="325">
        <f ca="1">'Input summary'!C661</f>
        <v>59.483762297125757</v>
      </c>
      <c r="D661" s="325">
        <f>'Input summary'!D661</f>
        <v>52.493913043478258</v>
      </c>
      <c r="E661" s="325">
        <f>'Input summary'!E661</f>
        <v>15.74817391304348</v>
      </c>
      <c r="F661" s="325">
        <f>'Input summary'!F661</f>
        <v>83.990260869565219</v>
      </c>
      <c r="G661" s="407"/>
    </row>
    <row r="662" spans="2:15" x14ac:dyDescent="0.3">
      <c r="B662" s="315" t="s">
        <v>1444</v>
      </c>
      <c r="C662" s="582"/>
      <c r="D662" s="582"/>
      <c r="E662" s="582"/>
      <c r="F662" s="582"/>
      <c r="G662" s="297"/>
      <c r="H662" s="315"/>
      <c r="I662" s="441"/>
    </row>
    <row r="663" spans="2:15" x14ac:dyDescent="0.3">
      <c r="B663" s="313" t="s">
        <v>2</v>
      </c>
      <c r="C663" s="325">
        <f ca="1">'Input summary'!C663</f>
        <v>141.67934005945162</v>
      </c>
      <c r="D663" s="325">
        <f>'Input summary'!D663</f>
        <v>155.43447652173913</v>
      </c>
      <c r="E663" s="325">
        <f>'Input summary'!E663</f>
        <v>66.614775652173918</v>
      </c>
      <c r="F663" s="325">
        <f>'Input summary'!F663</f>
        <v>299.76649043478267</v>
      </c>
      <c r="G663" s="407"/>
      <c r="H663" s="297"/>
      <c r="I663" s="448"/>
      <c r="J663" s="382"/>
      <c r="K663" s="382"/>
      <c r="L663" s="382"/>
      <c r="M663" s="382"/>
      <c r="N663" s="382"/>
      <c r="O663" s="382"/>
    </row>
    <row r="664" spans="2:15" x14ac:dyDescent="0.3">
      <c r="B664" s="313" t="s">
        <v>3</v>
      </c>
      <c r="C664" s="325">
        <f ca="1">'Input summary'!C664</f>
        <v>141.67934005945162</v>
      </c>
      <c r="D664" s="325">
        <f>'Input summary'!D664</f>
        <v>155.43447652173913</v>
      </c>
      <c r="E664" s="325">
        <f>'Input summary'!E664</f>
        <v>66.614775652173918</v>
      </c>
      <c r="F664" s="325">
        <f>'Input summary'!F664</f>
        <v>299.76649043478267</v>
      </c>
      <c r="G664" s="407"/>
      <c r="H664" s="297"/>
      <c r="I664" s="448"/>
      <c r="J664" s="382"/>
      <c r="K664" s="382"/>
      <c r="L664" s="382"/>
      <c r="M664" s="382"/>
      <c r="N664" s="382"/>
      <c r="O664" s="382"/>
    </row>
    <row r="665" spans="2:15" x14ac:dyDescent="0.3">
      <c r="B665" s="313" t="s">
        <v>4</v>
      </c>
      <c r="C665" s="325">
        <f ca="1">'Input summary'!C665</f>
        <v>141.67934005945162</v>
      </c>
      <c r="D665" s="325">
        <f>'Input summary'!D665</f>
        <v>155.43447652173913</v>
      </c>
      <c r="E665" s="325">
        <f>'Input summary'!E665</f>
        <v>66.614775652173918</v>
      </c>
      <c r="F665" s="325">
        <f>'Input summary'!F665</f>
        <v>299.76649043478267</v>
      </c>
      <c r="G665" s="407"/>
      <c r="H665" s="297"/>
      <c r="I665" s="448"/>
      <c r="J665" s="382"/>
      <c r="K665" s="382"/>
      <c r="L665" s="382"/>
      <c r="M665" s="382"/>
      <c r="N665" s="382"/>
      <c r="O665" s="382"/>
    </row>
    <row r="666" spans="2:15" x14ac:dyDescent="0.3">
      <c r="B666" s="313" t="s">
        <v>5</v>
      </c>
      <c r="C666" s="325">
        <f ca="1">'Input summary'!C666</f>
        <v>118.06657804501923</v>
      </c>
      <c r="D666" s="325">
        <f>'Input summary'!D666</f>
        <v>131.22165913043477</v>
      </c>
      <c r="E666" s="325">
        <f>'Input summary'!E666</f>
        <v>54.675691304347822</v>
      </c>
      <c r="F666" s="325">
        <f>'Input summary'!F666</f>
        <v>277.02350260869559</v>
      </c>
      <c r="G666" s="407"/>
      <c r="H666" s="297"/>
      <c r="I666" s="448"/>
      <c r="J666" s="382"/>
      <c r="K666" s="382"/>
      <c r="L666" s="382"/>
      <c r="M666" s="382"/>
      <c r="N666" s="382"/>
      <c r="O666" s="382"/>
    </row>
    <row r="667" spans="2:15" x14ac:dyDescent="0.3">
      <c r="B667" s="313" t="s">
        <v>6</v>
      </c>
      <c r="C667" s="325">
        <f ca="1">'Input summary'!C667</f>
        <v>118.06657804501923</v>
      </c>
      <c r="D667" s="325">
        <f>'Input summary'!D667</f>
        <v>131.22165913043477</v>
      </c>
      <c r="E667" s="325">
        <f>'Input summary'!E667</f>
        <v>54.675691304347822</v>
      </c>
      <c r="F667" s="325">
        <f>'Input summary'!F667</f>
        <v>277.02350260869559</v>
      </c>
      <c r="G667" s="407"/>
      <c r="H667" s="297"/>
      <c r="I667" s="448"/>
      <c r="J667" s="382"/>
      <c r="K667" s="382"/>
      <c r="L667" s="382"/>
      <c r="M667" s="382"/>
      <c r="N667" s="382"/>
      <c r="O667" s="382"/>
    </row>
    <row r="668" spans="2:15" x14ac:dyDescent="0.3">
      <c r="B668" s="313" t="s">
        <v>7</v>
      </c>
      <c r="C668" s="325">
        <f ca="1">'Input summary'!C668</f>
        <v>118.06657804501923</v>
      </c>
      <c r="D668" s="325">
        <f>'Input summary'!D668</f>
        <v>131.22165913043477</v>
      </c>
      <c r="E668" s="325">
        <f>'Input summary'!E668</f>
        <v>54.675691304347822</v>
      </c>
      <c r="F668" s="325">
        <f>'Input summary'!F668</f>
        <v>277.02350260869559</v>
      </c>
      <c r="G668" s="407"/>
      <c r="H668" s="297"/>
      <c r="I668" s="448"/>
      <c r="J668" s="382"/>
      <c r="K668" s="382"/>
      <c r="L668" s="382"/>
      <c r="M668" s="382"/>
      <c r="N668" s="382"/>
      <c r="O668" s="382"/>
    </row>
    <row r="669" spans="2:15" x14ac:dyDescent="0.3">
      <c r="B669" s="313" t="s">
        <v>11</v>
      </c>
      <c r="C669" s="325">
        <f ca="1">'Input summary'!C669</f>
        <v>48.279810039202985</v>
      </c>
      <c r="D669" s="325">
        <f>'Input summary'!D669</f>
        <v>52.493913043478258</v>
      </c>
      <c r="E669" s="325">
        <f>'Input summary'!E669</f>
        <v>15.74817391304348</v>
      </c>
      <c r="F669" s="325">
        <f>'Input summary'!F669</f>
        <v>83.990260869565219</v>
      </c>
      <c r="G669" s="407"/>
      <c r="H669" s="297"/>
      <c r="I669" s="448"/>
      <c r="J669" s="382"/>
      <c r="K669" s="382"/>
      <c r="L669" s="382"/>
      <c r="M669" s="382"/>
      <c r="N669" s="382"/>
      <c r="O669" s="382"/>
    </row>
    <row r="670" spans="2:15" ht="15" customHeight="1" x14ac:dyDescent="0.3">
      <c r="B670" s="207" t="s">
        <v>227</v>
      </c>
      <c r="C670" s="582"/>
      <c r="D670" s="582"/>
      <c r="E670" s="582"/>
      <c r="F670" s="582"/>
      <c r="G670" s="298"/>
    </row>
    <row r="671" spans="2:15" ht="15" customHeight="1" x14ac:dyDescent="0.3">
      <c r="B671" s="206" t="s">
        <v>1437</v>
      </c>
      <c r="C671" s="325">
        <f ca="1">'Input summary'!C671</f>
        <v>170.28585889204808</v>
      </c>
      <c r="D671" s="325">
        <f>'Input summary'!D671</f>
        <v>100.15838608695651</v>
      </c>
      <c r="E671" s="325">
        <f>'Input summary'!E671</f>
        <v>50.079193043478256</v>
      </c>
      <c r="F671" s="325">
        <f>'Input summary'!F671</f>
        <v>175.27717565217392</v>
      </c>
      <c r="G671" s="407"/>
    </row>
    <row r="672" spans="2:15" ht="15" customHeight="1" x14ac:dyDescent="0.3">
      <c r="B672" s="206" t="s">
        <v>1438</v>
      </c>
      <c r="C672" s="325">
        <f ca="1">'Input summary'!C672</f>
        <v>170.28585889204808</v>
      </c>
      <c r="D672" s="325">
        <f>'Input summary'!D672</f>
        <v>100.15838608695651</v>
      </c>
      <c r="E672" s="325">
        <f>'Input summary'!E672</f>
        <v>50.079193043478256</v>
      </c>
      <c r="F672" s="325">
        <f>'Input summary'!F672</f>
        <v>175.27717565217392</v>
      </c>
      <c r="G672" s="407"/>
    </row>
    <row r="673" spans="2:7" ht="15" customHeight="1" x14ac:dyDescent="0.3">
      <c r="B673" s="206" t="s">
        <v>1441</v>
      </c>
      <c r="C673" s="325">
        <f ca="1">'Input summary'!C673</f>
        <v>318.68105957733064</v>
      </c>
      <c r="D673" s="325">
        <f>'Input summary'!D673</f>
        <v>168.70231304347826</v>
      </c>
      <c r="E673" s="325">
        <f>'Input summary'!E673</f>
        <v>67.480925217391302</v>
      </c>
      <c r="F673" s="325">
        <f>'Input summary'!F673</f>
        <v>326.15780521739129</v>
      </c>
      <c r="G673" s="407"/>
    </row>
    <row r="674" spans="2:7" ht="15" customHeight="1" x14ac:dyDescent="0.3">
      <c r="B674" s="206" t="s">
        <v>1442</v>
      </c>
      <c r="C674" s="325">
        <f ca="1">'Input summary'!C674</f>
        <v>314.59063757575473</v>
      </c>
      <c r="D674" s="325">
        <f>'Input summary'!D674</f>
        <v>166.5369391304348</v>
      </c>
      <c r="E674" s="325">
        <f>'Input summary'!E674</f>
        <v>66.614775652173918</v>
      </c>
      <c r="F674" s="325">
        <f>'Input summary'!F674</f>
        <v>321.9714156521739</v>
      </c>
      <c r="G674" s="407"/>
    </row>
    <row r="675" spans="2:7" ht="15" customHeight="1" x14ac:dyDescent="0.3">
      <c r="B675" s="207" t="s">
        <v>920</v>
      </c>
      <c r="C675" s="582"/>
      <c r="D675" s="582"/>
      <c r="E675" s="582"/>
      <c r="F675" s="582"/>
      <c r="G675" s="298"/>
    </row>
    <row r="676" spans="2:7" ht="15" customHeight="1" x14ac:dyDescent="0.3">
      <c r="B676" s="206" t="s">
        <v>920</v>
      </c>
      <c r="C676" s="325">
        <f ca="1">'Input summary'!C676</f>
        <v>609.20074456171778</v>
      </c>
      <c r="D676" s="325">
        <f>'Input summary'!D676</f>
        <v>444.09850434782612</v>
      </c>
      <c r="E676" s="325">
        <f>'Input summary'!E676</f>
        <v>249.8054086956522</v>
      </c>
      <c r="F676" s="325">
        <f>'Input summary'!F676</f>
        <v>555.12313043478264</v>
      </c>
      <c r="G676" s="407"/>
    </row>
    <row r="677" spans="2:7" ht="15" customHeight="1" x14ac:dyDescent="0.3">
      <c r="B677" s="206" t="s">
        <v>980</v>
      </c>
      <c r="C677" s="325">
        <f ca="1">'Input summary'!C677</f>
        <v>0</v>
      </c>
      <c r="D677" s="325">
        <f>'Input summary'!D677</f>
        <v>0</v>
      </c>
      <c r="E677" s="325">
        <f>'Input summary'!E677</f>
        <v>0</v>
      </c>
      <c r="F677" s="325">
        <f>'Input summary'!F677</f>
        <v>0</v>
      </c>
      <c r="G677" s="407"/>
    </row>
    <row r="678" spans="2:7" ht="15" customHeight="1" x14ac:dyDescent="0.3">
      <c r="B678" s="306"/>
      <c r="C678" s="306"/>
      <c r="D678" s="306"/>
      <c r="E678" s="306"/>
    </row>
    <row r="679" spans="2:7" ht="15" customHeight="1" x14ac:dyDescent="0.3">
      <c r="B679" s="294" t="s">
        <v>1005</v>
      </c>
      <c r="C679" s="305"/>
      <c r="D679" s="305"/>
      <c r="E679" s="305"/>
      <c r="F679" s="305"/>
      <c r="G679" s="305"/>
    </row>
    <row r="680" spans="2:7" ht="15" customHeight="1" x14ac:dyDescent="0.3">
      <c r="B680" s="17" t="s">
        <v>950</v>
      </c>
      <c r="C680" s="152" t="s">
        <v>724</v>
      </c>
      <c r="D680" s="152" t="s">
        <v>995</v>
      </c>
      <c r="E680" s="152" t="s">
        <v>985</v>
      </c>
      <c r="F680" s="152" t="s">
        <v>986</v>
      </c>
      <c r="G680" s="152"/>
    </row>
    <row r="681" spans="2:7" ht="15" customHeight="1" x14ac:dyDescent="0.3">
      <c r="B681" s="315" t="s">
        <v>1445</v>
      </c>
      <c r="D681" s="306"/>
      <c r="E681" s="306"/>
    </row>
    <row r="682" spans="2:7" ht="15" customHeight="1" x14ac:dyDescent="0.3">
      <c r="B682" s="313" t="s">
        <v>2</v>
      </c>
      <c r="C682" s="325">
        <f ca="1">'Input summary'!C682</f>
        <v>110.9005790578879</v>
      </c>
      <c r="D682" s="325">
        <f>'Input summary'!D682</f>
        <v>177.63940173913045</v>
      </c>
      <c r="E682" s="325">
        <f>'Input summary'!E682</f>
        <v>66.614775652173918</v>
      </c>
      <c r="F682" s="325">
        <f>'Input summary'!F682</f>
        <v>310.86895304347826</v>
      </c>
      <c r="G682" s="407"/>
    </row>
    <row r="683" spans="2:7" ht="15" customHeight="1" x14ac:dyDescent="0.3">
      <c r="B683" s="313" t="s">
        <v>3</v>
      </c>
      <c r="C683" s="325">
        <f ca="1">'Input summary'!C683</f>
        <v>110.9005790578879</v>
      </c>
      <c r="D683" s="325">
        <f>'Input summary'!D683</f>
        <v>177.63940173913045</v>
      </c>
      <c r="E683" s="325">
        <f>'Input summary'!E683</f>
        <v>66.614775652173918</v>
      </c>
      <c r="F683" s="325">
        <f>'Input summary'!F683</f>
        <v>310.86895304347826</v>
      </c>
      <c r="G683" s="407"/>
    </row>
    <row r="684" spans="2:7" ht="15" customHeight="1" x14ac:dyDescent="0.3">
      <c r="B684" s="313" t="s">
        <v>4</v>
      </c>
      <c r="C684" s="325">
        <f ca="1">'Input summary'!C684</f>
        <v>110.9005790578879</v>
      </c>
      <c r="D684" s="325">
        <f>'Input summary'!D684</f>
        <v>177.63940173913045</v>
      </c>
      <c r="E684" s="325">
        <f>'Input summary'!E684</f>
        <v>66.614775652173918</v>
      </c>
      <c r="F684" s="325">
        <f>'Input summary'!F684</f>
        <v>310.86895304347826</v>
      </c>
      <c r="G684" s="407"/>
    </row>
    <row r="685" spans="2:7" ht="15" customHeight="1" x14ac:dyDescent="0.3">
      <c r="B685" s="313" t="s">
        <v>5</v>
      </c>
      <c r="C685" s="325">
        <f ca="1">'Input summary'!C685</f>
        <v>456.44347736236085</v>
      </c>
      <c r="D685" s="325">
        <f>'Input summary'!D685</f>
        <v>714.42903304347817</v>
      </c>
      <c r="E685" s="325">
        <f>'Input summary'!E685</f>
        <v>262.44331826086955</v>
      </c>
      <c r="F685" s="325">
        <f>'Input summary'!F685</f>
        <v>1195.5751165217389</v>
      </c>
      <c r="G685" s="407"/>
    </row>
    <row r="686" spans="2:7" x14ac:dyDescent="0.3">
      <c r="B686" s="313" t="s">
        <v>6</v>
      </c>
      <c r="C686" s="325">
        <f ca="1">'Input summary'!C686</f>
        <v>456.44347736236085</v>
      </c>
      <c r="D686" s="325">
        <f>'Input summary'!D686</f>
        <v>714.42903304347817</v>
      </c>
      <c r="E686" s="325">
        <f>'Input summary'!E686</f>
        <v>262.44331826086955</v>
      </c>
      <c r="F686" s="325">
        <f>'Input summary'!F686</f>
        <v>1195.5751165217389</v>
      </c>
      <c r="G686" s="407"/>
    </row>
    <row r="687" spans="2:7" ht="15" customHeight="1" x14ac:dyDescent="0.3">
      <c r="B687" s="313" t="s">
        <v>7</v>
      </c>
      <c r="C687" s="325">
        <f ca="1">'Input summary'!C687</f>
        <v>456.44347736236085</v>
      </c>
      <c r="D687" s="325">
        <f>'Input summary'!D687</f>
        <v>714.42903304347817</v>
      </c>
      <c r="E687" s="325">
        <f>'Input summary'!E687</f>
        <v>262.44331826086955</v>
      </c>
      <c r="F687" s="325">
        <f>'Input summary'!F687</f>
        <v>1195.5751165217389</v>
      </c>
      <c r="G687" s="407"/>
    </row>
    <row r="688" spans="2:7" x14ac:dyDescent="0.3">
      <c r="B688" s="313" t="s">
        <v>11</v>
      </c>
      <c r="C688" s="325">
        <f ca="1">'Input summary'!C688</f>
        <v>52.311644197882224</v>
      </c>
      <c r="D688" s="325">
        <f>'Input summary'!D688</f>
        <v>73.491478260869556</v>
      </c>
      <c r="E688" s="325">
        <f>'Input summary'!E688</f>
        <v>23.622260869565217</v>
      </c>
      <c r="F688" s="325">
        <f>'Input summary'!F688</f>
        <v>94.489043478260868</v>
      </c>
      <c r="G688" s="407"/>
    </row>
    <row r="689" spans="2:15" x14ac:dyDescent="0.3">
      <c r="B689" s="315" t="s">
        <v>1444</v>
      </c>
      <c r="C689" s="346"/>
      <c r="D689" s="346"/>
      <c r="E689" s="346"/>
      <c r="F689" s="346"/>
      <c r="G689" s="346"/>
      <c r="H689" s="315"/>
    </row>
    <row r="690" spans="2:15" x14ac:dyDescent="0.3">
      <c r="B690" s="313" t="s">
        <v>2</v>
      </c>
      <c r="C690" s="325">
        <f ca="1">'Input summary'!C690</f>
        <v>152.63879284679504</v>
      </c>
      <c r="D690" s="325">
        <f>'Input summary'!D690</f>
        <v>177.63940173913045</v>
      </c>
      <c r="E690" s="325">
        <f>'Input summary'!E690</f>
        <v>66.614775652173918</v>
      </c>
      <c r="F690" s="325">
        <f>'Input summary'!F690</f>
        <v>310.86895304347826</v>
      </c>
      <c r="G690" s="407"/>
      <c r="H690" s="297"/>
      <c r="I690" s="449"/>
      <c r="J690" s="382"/>
      <c r="K690" s="382"/>
      <c r="L690" s="382"/>
      <c r="M690" s="382"/>
      <c r="N690" s="382"/>
      <c r="O690" s="382"/>
    </row>
    <row r="691" spans="2:15" x14ac:dyDescent="0.3">
      <c r="B691" s="313" t="s">
        <v>3</v>
      </c>
      <c r="C691" s="325">
        <f ca="1">'Input summary'!C691</f>
        <v>152.63879284679504</v>
      </c>
      <c r="D691" s="325">
        <f>'Input summary'!D691</f>
        <v>177.63940173913045</v>
      </c>
      <c r="E691" s="325">
        <f>'Input summary'!E691</f>
        <v>66.614775652173918</v>
      </c>
      <c r="F691" s="325">
        <f>'Input summary'!F691</f>
        <v>310.86895304347826</v>
      </c>
      <c r="G691" s="407"/>
      <c r="H691" s="297"/>
      <c r="I691" s="449"/>
      <c r="J691" s="382"/>
      <c r="K691" s="382"/>
      <c r="L691" s="382"/>
      <c r="M691" s="382"/>
      <c r="N691" s="382"/>
      <c r="O691" s="382"/>
    </row>
    <row r="692" spans="2:15" x14ac:dyDescent="0.3">
      <c r="B692" s="313" t="s">
        <v>4</v>
      </c>
      <c r="C692" s="325">
        <f ca="1">'Input summary'!C692</f>
        <v>152.63879284679504</v>
      </c>
      <c r="D692" s="325">
        <f>'Input summary'!D692</f>
        <v>177.63940173913045</v>
      </c>
      <c r="E692" s="325">
        <f>'Input summary'!E692</f>
        <v>66.614775652173918</v>
      </c>
      <c r="F692" s="325">
        <f>'Input summary'!F692</f>
        <v>310.86895304347826</v>
      </c>
      <c r="G692" s="407"/>
      <c r="H692" s="297"/>
      <c r="I692" s="449"/>
      <c r="J692" s="382"/>
      <c r="K692" s="382"/>
      <c r="L692" s="382"/>
      <c r="M692" s="382"/>
      <c r="N692" s="382"/>
      <c r="O692" s="382"/>
    </row>
    <row r="693" spans="2:15" x14ac:dyDescent="0.3">
      <c r="B693" s="313" t="s">
        <v>5</v>
      </c>
      <c r="C693" s="325">
        <f ca="1">'Input summary'!C693</f>
        <v>618.31056695647351</v>
      </c>
      <c r="D693" s="325">
        <f>'Input summary'!D693</f>
        <v>714.42903304347817</v>
      </c>
      <c r="E693" s="325">
        <f>'Input summary'!E693</f>
        <v>262.44331826086955</v>
      </c>
      <c r="F693" s="325">
        <f>'Input summary'!F693</f>
        <v>1195.5751165217389</v>
      </c>
      <c r="G693" s="407"/>
      <c r="H693" s="297"/>
      <c r="I693" s="449"/>
      <c r="J693" s="382"/>
      <c r="K693" s="382"/>
      <c r="L693" s="382"/>
      <c r="M693" s="382"/>
      <c r="N693" s="382"/>
      <c r="O693" s="382"/>
    </row>
    <row r="694" spans="2:15" x14ac:dyDescent="0.3">
      <c r="B694" s="313" t="s">
        <v>6</v>
      </c>
      <c r="C694" s="325">
        <f ca="1">'Input summary'!C694</f>
        <v>618.31056695647351</v>
      </c>
      <c r="D694" s="325">
        <f>'Input summary'!D694</f>
        <v>714.42903304347817</v>
      </c>
      <c r="E694" s="325">
        <f>'Input summary'!E694</f>
        <v>262.44331826086955</v>
      </c>
      <c r="F694" s="325">
        <f>'Input summary'!F694</f>
        <v>1195.5751165217389</v>
      </c>
      <c r="G694" s="407"/>
      <c r="H694" s="297"/>
      <c r="I694" s="449"/>
      <c r="J694" s="382"/>
      <c r="K694" s="382"/>
      <c r="L694" s="382"/>
      <c r="M694" s="382"/>
      <c r="N694" s="382"/>
      <c r="O694" s="382"/>
    </row>
    <row r="695" spans="2:15" x14ac:dyDescent="0.3">
      <c r="B695" s="313" t="s">
        <v>7</v>
      </c>
      <c r="C695" s="325">
        <f ca="1">'Input summary'!C695</f>
        <v>618.31056695647351</v>
      </c>
      <c r="D695" s="325">
        <f>'Input summary'!D695</f>
        <v>714.42903304347817</v>
      </c>
      <c r="E695" s="325">
        <f>'Input summary'!E695</f>
        <v>262.44331826086955</v>
      </c>
      <c r="F695" s="325">
        <f>'Input summary'!F695</f>
        <v>1195.5751165217389</v>
      </c>
      <c r="G695" s="407"/>
      <c r="H695" s="297"/>
      <c r="I695" s="449"/>
      <c r="J695" s="382"/>
      <c r="K695" s="382"/>
      <c r="L695" s="382"/>
      <c r="M695" s="382"/>
      <c r="N695" s="382"/>
      <c r="O695" s="382"/>
    </row>
    <row r="696" spans="2:15" x14ac:dyDescent="0.3">
      <c r="B696" s="313" t="s">
        <v>11</v>
      </c>
      <c r="C696" s="325">
        <f ca="1">'Input summary'!C696</f>
        <v>65.685545750234397</v>
      </c>
      <c r="D696" s="325">
        <f>'Input summary'!D696</f>
        <v>73.491478260869556</v>
      </c>
      <c r="E696" s="325">
        <f>'Input summary'!E696</f>
        <v>23.622260869565217</v>
      </c>
      <c r="F696" s="325">
        <f>'Input summary'!F696</f>
        <v>94.489043478260868</v>
      </c>
      <c r="G696" s="407"/>
      <c r="H696" s="297"/>
      <c r="I696" s="449"/>
      <c r="J696" s="382"/>
      <c r="K696" s="382"/>
      <c r="L696" s="382"/>
      <c r="M696" s="382"/>
      <c r="N696" s="382"/>
      <c r="O696" s="382"/>
    </row>
    <row r="697" spans="2:15" x14ac:dyDescent="0.3">
      <c r="B697" s="207" t="s">
        <v>227</v>
      </c>
      <c r="C697" s="346"/>
      <c r="D697" s="346"/>
      <c r="E697" s="346"/>
      <c r="F697" s="346"/>
      <c r="G697" s="346"/>
      <c r="H697" s="347"/>
    </row>
    <row r="698" spans="2:15" x14ac:dyDescent="0.3">
      <c r="B698" s="206" t="s">
        <v>1437</v>
      </c>
      <c r="C698" s="325">
        <f ca="1">'Input summary'!C698</f>
        <v>738.22726225137558</v>
      </c>
      <c r="D698" s="325">
        <f>'Input summary'!D698</f>
        <v>417.32660869565217</v>
      </c>
      <c r="E698" s="325">
        <f>'Input summary'!E698</f>
        <v>150.23757913043477</v>
      </c>
      <c r="F698" s="325">
        <f>'Input summary'!F698</f>
        <v>701.10870260869569</v>
      </c>
      <c r="G698" s="407"/>
      <c r="H698" s="347"/>
    </row>
    <row r="699" spans="2:15" x14ac:dyDescent="0.3">
      <c r="B699" s="206" t="s">
        <v>1438</v>
      </c>
      <c r="C699" s="325">
        <f ca="1">'Input summary'!C699</f>
        <v>738.22726225137558</v>
      </c>
      <c r="D699" s="325">
        <f>'Input summary'!D699</f>
        <v>417.32660869565217</v>
      </c>
      <c r="E699" s="325">
        <f>'Input summary'!E699</f>
        <v>150.23757913043477</v>
      </c>
      <c r="F699" s="325">
        <f>'Input summary'!F699</f>
        <v>701.10870260869569</v>
      </c>
      <c r="G699" s="407"/>
      <c r="H699" s="347"/>
    </row>
    <row r="700" spans="2:15" x14ac:dyDescent="0.3">
      <c r="B700" s="206" t="s">
        <v>1441</v>
      </c>
      <c r="C700" s="325">
        <f ca="1">'Input summary'!C700</f>
        <v>391.24313821877581</v>
      </c>
      <c r="D700" s="325">
        <f>'Input summary'!D700</f>
        <v>224.93641739130433</v>
      </c>
      <c r="E700" s="325">
        <f>'Input summary'!E700</f>
        <v>84.351156521739128</v>
      </c>
      <c r="F700" s="325">
        <f>'Input summary'!F700</f>
        <v>371.14508869565213</v>
      </c>
      <c r="G700" s="407"/>
      <c r="H700" s="347"/>
    </row>
    <row r="701" spans="2:15" x14ac:dyDescent="0.3">
      <c r="B701" s="206" t="s">
        <v>1442</v>
      </c>
      <c r="C701" s="325">
        <f ca="1">'Input summary'!C701</f>
        <v>386.22134764653964</v>
      </c>
      <c r="D701" s="325">
        <f>'Input summary'!D701</f>
        <v>222.04925217391306</v>
      </c>
      <c r="E701" s="325">
        <f>'Input summary'!E701</f>
        <v>83.268469565217401</v>
      </c>
      <c r="F701" s="325">
        <f>'Input summary'!F701</f>
        <v>366.38126608695654</v>
      </c>
      <c r="G701" s="407"/>
      <c r="H701" s="347"/>
    </row>
    <row r="702" spans="2:15" x14ac:dyDescent="0.3">
      <c r="B702" s="207" t="s">
        <v>920</v>
      </c>
      <c r="C702" s="346"/>
      <c r="D702" s="346"/>
      <c r="E702" s="346"/>
      <c r="F702" s="346"/>
      <c r="G702" s="346"/>
      <c r="H702" s="347"/>
    </row>
    <row r="703" spans="2:15" x14ac:dyDescent="0.3">
      <c r="B703" s="206" t="s">
        <v>920</v>
      </c>
      <c r="C703" s="325">
        <f ca="1">'Input summary'!C703</f>
        <v>883.34107961449081</v>
      </c>
      <c r="D703" s="325">
        <f>'Input summary'!D703</f>
        <v>643.94283130434781</v>
      </c>
      <c r="E703" s="325">
        <f>'Input summary'!E703</f>
        <v>362.21784260869566</v>
      </c>
      <c r="F703" s="325">
        <f>'Input summary'!F703</f>
        <v>804.92853913043484</v>
      </c>
      <c r="G703" s="407"/>
      <c r="H703" s="347"/>
    </row>
    <row r="704" spans="2:15" x14ac:dyDescent="0.3">
      <c r="B704" s="206" t="s">
        <v>980</v>
      </c>
      <c r="C704" s="325">
        <f ca="1">'Input summary'!C704</f>
        <v>0</v>
      </c>
      <c r="D704" s="325">
        <f>'Input summary'!D704</f>
        <v>0</v>
      </c>
      <c r="E704" s="325">
        <f>'Input summary'!E704</f>
        <v>0</v>
      </c>
      <c r="F704" s="325">
        <f>'Input summary'!F704</f>
        <v>0</v>
      </c>
      <c r="G704" s="407"/>
    </row>
    <row r="705" spans="2:15" x14ac:dyDescent="0.3">
      <c r="B705" s="297"/>
      <c r="C705" s="350"/>
      <c r="D705" s="350"/>
      <c r="E705" s="300"/>
      <c r="F705" s="351"/>
      <c r="G705" s="351"/>
    </row>
    <row r="706" spans="2:15" x14ac:dyDescent="0.3">
      <c r="B706" s="294" t="s">
        <v>1013</v>
      </c>
      <c r="C706" s="305"/>
      <c r="D706" s="305"/>
      <c r="E706" s="305"/>
      <c r="F706" s="305"/>
      <c r="G706" s="305"/>
    </row>
    <row r="707" spans="2:15" ht="14.4" x14ac:dyDescent="0.3">
      <c r="B707" s="17" t="s">
        <v>950</v>
      </c>
      <c r="C707" s="152" t="s">
        <v>724</v>
      </c>
      <c r="D707" s="152" t="s">
        <v>995</v>
      </c>
      <c r="E707" s="152" t="s">
        <v>985</v>
      </c>
      <c r="F707" s="152" t="s">
        <v>986</v>
      </c>
      <c r="G707" s="152" t="s">
        <v>996</v>
      </c>
      <c r="H707" s="794"/>
      <c r="I707" s="794"/>
      <c r="J707" s="794"/>
    </row>
    <row r="708" spans="2:15" x14ac:dyDescent="0.3">
      <c r="B708" s="315" t="s">
        <v>1445</v>
      </c>
      <c r="C708" s="350"/>
      <c r="D708" s="350"/>
      <c r="E708" s="300"/>
      <c r="F708" s="351"/>
      <c r="G708" s="351"/>
      <c r="H708" s="579"/>
      <c r="J708" s="579"/>
    </row>
    <row r="709" spans="2:15" x14ac:dyDescent="0.3">
      <c r="B709" s="313" t="s">
        <v>2</v>
      </c>
      <c r="C709" s="325">
        <f ca="1">'Input summary'!C709</f>
        <v>495067.26733485155</v>
      </c>
      <c r="D709" s="325">
        <f>'Input summary'!D709</f>
        <v>553541.13826982363</v>
      </c>
      <c r="E709" s="325">
        <f>'Input summary'!E709</f>
        <v>311366.89027677575</v>
      </c>
      <c r="F709" s="325">
        <f>'Input summary'!F709</f>
        <v>553541.13826982363</v>
      </c>
      <c r="G709" s="407"/>
      <c r="H709" s="304"/>
    </row>
    <row r="710" spans="2:15" x14ac:dyDescent="0.3">
      <c r="B710" s="313" t="s">
        <v>3</v>
      </c>
      <c r="C710" s="325">
        <f ca="1">'Input summary'!C710</f>
        <v>499549.32615710062</v>
      </c>
      <c r="D710" s="325">
        <f>'Input summary'!D710</f>
        <v>558552.586422347</v>
      </c>
      <c r="E710" s="325">
        <f>'Input summary'!E710</f>
        <v>314185.82986257016</v>
      </c>
      <c r="F710" s="325">
        <f>'Input summary'!F710</f>
        <v>558552.586422347</v>
      </c>
      <c r="G710" s="407"/>
      <c r="H710" s="304"/>
    </row>
    <row r="711" spans="2:15" x14ac:dyDescent="0.3">
      <c r="B711" s="313" t="s">
        <v>4</v>
      </c>
      <c r="C711" s="325">
        <f ca="1">'Input summary'!C711</f>
        <v>498209.94233481673</v>
      </c>
      <c r="D711" s="325">
        <f>'Input summary'!D711</f>
        <v>557055.00398358353</v>
      </c>
      <c r="E711" s="325">
        <f>'Input summary'!E711</f>
        <v>313343.43974076578</v>
      </c>
      <c r="F711" s="325">
        <f>'Input summary'!F711</f>
        <v>557055.00398358353</v>
      </c>
      <c r="G711" s="407"/>
      <c r="H711" s="304"/>
    </row>
    <row r="712" spans="2:15" x14ac:dyDescent="0.3">
      <c r="B712" s="313" t="s">
        <v>5</v>
      </c>
      <c r="C712" s="325">
        <f ca="1">'Input summary'!C712</f>
        <v>639425.79853975296</v>
      </c>
      <c r="D712" s="325">
        <f>'Input summary'!D712</f>
        <v>714950.28598484083</v>
      </c>
      <c r="E712" s="325">
        <f>'Input summary'!E712</f>
        <v>402159.53586647304</v>
      </c>
      <c r="F712" s="325">
        <f>'Input summary'!F712</f>
        <v>714950.28598484083</v>
      </c>
      <c r="G712" s="407"/>
      <c r="H712" s="304"/>
    </row>
    <row r="713" spans="2:15" x14ac:dyDescent="0.3">
      <c r="B713" s="313" t="s">
        <v>6</v>
      </c>
      <c r="C713" s="325">
        <f ca="1">'Input summary'!C713</f>
        <v>507675.12037824962</v>
      </c>
      <c r="D713" s="325">
        <f>'Input summary'!D713</f>
        <v>567638.14242514153</v>
      </c>
      <c r="E713" s="325">
        <f>'Input summary'!E713</f>
        <v>319296.4551141421</v>
      </c>
      <c r="F713" s="325">
        <f>'Input summary'!F713</f>
        <v>567638.14242514153</v>
      </c>
      <c r="G713" s="407"/>
      <c r="H713" s="304"/>
    </row>
    <row r="714" spans="2:15" x14ac:dyDescent="0.3">
      <c r="B714" s="313" t="s">
        <v>7</v>
      </c>
      <c r="C714" s="325">
        <f ca="1">'Input summary'!C714</f>
        <v>232492.96314129949</v>
      </c>
      <c r="D714" s="325">
        <f>'Input summary'!D714</f>
        <v>259953.40017079594</v>
      </c>
      <c r="E714" s="325">
        <f>'Input summary'!E714</f>
        <v>146223.78759607274</v>
      </c>
      <c r="F714" s="325">
        <f>'Input summary'!F714</f>
        <v>259953.40017079594</v>
      </c>
      <c r="G714" s="407"/>
    </row>
    <row r="715" spans="2:15" x14ac:dyDescent="0.3">
      <c r="B715" s="313" t="s">
        <v>11</v>
      </c>
      <c r="C715" s="325">
        <f ca="1">'Input summary'!C715</f>
        <v>0</v>
      </c>
      <c r="D715" s="325">
        <f>'Input summary'!D715</f>
        <v>0</v>
      </c>
      <c r="E715" s="325">
        <f>'Input summary'!E715</f>
        <v>0</v>
      </c>
      <c r="F715" s="325">
        <f>'Input summary'!F715</f>
        <v>0</v>
      </c>
      <c r="G715" s="407"/>
      <c r="H715" s="315"/>
    </row>
    <row r="716" spans="2:15" x14ac:dyDescent="0.3">
      <c r="B716" s="315" t="s">
        <v>1444</v>
      </c>
      <c r="C716" s="346"/>
      <c r="D716" s="346"/>
      <c r="E716" s="346"/>
      <c r="F716" s="346"/>
      <c r="G716" s="346"/>
      <c r="H716" s="297"/>
      <c r="I716" s="449"/>
      <c r="J716" s="382"/>
      <c r="K716" s="382"/>
      <c r="L716" s="382"/>
      <c r="M716" s="382"/>
      <c r="N716" s="382"/>
    </row>
    <row r="717" spans="2:15" x14ac:dyDescent="0.3">
      <c r="B717" s="313" t="s">
        <v>2</v>
      </c>
      <c r="C717" s="325">
        <f ca="1">'Input summary'!C717</f>
        <v>428260.04378018598</v>
      </c>
      <c r="D717" s="325">
        <f>'Input summary'!D717</f>
        <v>442832.9106158588</v>
      </c>
      <c r="E717" s="325">
        <f>'Input summary'!E717</f>
        <v>249093.51222142059</v>
      </c>
      <c r="F717" s="325">
        <f>'Input summary'!F717</f>
        <v>442832.9106158588</v>
      </c>
      <c r="G717" s="407"/>
      <c r="H717" s="297"/>
      <c r="I717" s="449"/>
      <c r="J717" s="382"/>
      <c r="K717" s="382"/>
      <c r="L717" s="382"/>
      <c r="M717" s="382"/>
      <c r="N717" s="382"/>
      <c r="O717" s="382"/>
    </row>
    <row r="718" spans="2:15" x14ac:dyDescent="0.3">
      <c r="B718" s="313" t="s">
        <v>3</v>
      </c>
      <c r="C718" s="325">
        <f ca="1">'Input summary'!C718</f>
        <v>432137.26781435637</v>
      </c>
      <c r="D718" s="325">
        <f>'Input summary'!D718</f>
        <v>446842.06913787761</v>
      </c>
      <c r="E718" s="325">
        <f>'Input summary'!E718</f>
        <v>251348.66389005617</v>
      </c>
      <c r="F718" s="325">
        <f>'Input summary'!F718</f>
        <v>446842.06913787761</v>
      </c>
      <c r="G718" s="407"/>
      <c r="H718" s="297"/>
      <c r="I718" s="449"/>
      <c r="J718" s="382"/>
      <c r="K718" s="382"/>
      <c r="L718" s="382"/>
      <c r="M718" s="382"/>
      <c r="N718" s="382"/>
      <c r="O718" s="382"/>
    </row>
    <row r="719" spans="2:15" x14ac:dyDescent="0.3">
      <c r="B719" s="313" t="s">
        <v>4</v>
      </c>
      <c r="C719" s="325">
        <f ca="1">'Input summary'!C719</f>
        <v>430978.62814613979</v>
      </c>
      <c r="D719" s="325">
        <f>'Input summary'!D719</f>
        <v>445644.00318686693</v>
      </c>
      <c r="E719" s="325">
        <f>'Input summary'!E719</f>
        <v>250674.75179261263</v>
      </c>
      <c r="F719" s="325">
        <f>'Input summary'!F719</f>
        <v>445644.00318686693</v>
      </c>
      <c r="G719" s="407"/>
      <c r="H719" s="315"/>
      <c r="O719" s="382"/>
    </row>
    <row r="720" spans="2:15" x14ac:dyDescent="0.3">
      <c r="B720" s="313" t="s">
        <v>5</v>
      </c>
      <c r="C720" s="325">
        <f ca="1">'Input summary'!C720</f>
        <v>553138.00476248388</v>
      </c>
      <c r="D720" s="325">
        <f>'Input summary'!D720</f>
        <v>571960.22878787259</v>
      </c>
      <c r="E720" s="325">
        <f>'Input summary'!E720</f>
        <v>321727.62869317841</v>
      </c>
      <c r="F720" s="325">
        <f>'Input summary'!F720</f>
        <v>571960.22878787259</v>
      </c>
      <c r="G720" s="407"/>
      <c r="H720" s="297"/>
      <c r="I720" s="449"/>
      <c r="J720" s="382"/>
      <c r="K720" s="382"/>
      <c r="L720" s="382"/>
      <c r="M720" s="382"/>
      <c r="N720" s="382"/>
      <c r="O720" s="382"/>
    </row>
    <row r="721" spans="2:15" x14ac:dyDescent="0.3">
      <c r="B721" s="313" t="s">
        <v>6</v>
      </c>
      <c r="C721" s="325">
        <f ca="1">'Input summary'!C721</f>
        <v>439166.52064222377</v>
      </c>
      <c r="D721" s="325">
        <f>'Input summary'!D721</f>
        <v>454110.51394011313</v>
      </c>
      <c r="E721" s="325">
        <f>'Input summary'!E721</f>
        <v>255437.16409131361</v>
      </c>
      <c r="F721" s="325">
        <f>'Input summary'!F721</f>
        <v>454110.51394011313</v>
      </c>
      <c r="G721" s="407"/>
      <c r="H721" s="297"/>
      <c r="I721" s="449"/>
      <c r="J721" s="382"/>
      <c r="K721" s="382"/>
      <c r="L721" s="382"/>
      <c r="M721" s="382"/>
      <c r="N721" s="382"/>
      <c r="O721" s="382"/>
    </row>
    <row r="722" spans="2:15" x14ac:dyDescent="0.3">
      <c r="B722" s="313" t="s">
        <v>7</v>
      </c>
      <c r="C722" s="325">
        <f ca="1">'Input summary'!C722</f>
        <v>251398.78240559646</v>
      </c>
      <c r="D722" s="325">
        <f>'Input summary'!D722</f>
        <v>259953.40017079594</v>
      </c>
      <c r="E722" s="325">
        <f>'Input summary'!E722</f>
        <v>146223.78759607274</v>
      </c>
      <c r="F722" s="325">
        <f>'Input summary'!F722</f>
        <v>259953.40017079594</v>
      </c>
      <c r="G722" s="407"/>
      <c r="H722" s="297"/>
      <c r="I722" s="449"/>
      <c r="J722" s="382"/>
      <c r="K722" s="382"/>
      <c r="L722" s="382"/>
      <c r="M722" s="382"/>
      <c r="N722" s="382"/>
      <c r="O722" s="382"/>
    </row>
    <row r="723" spans="2:15" x14ac:dyDescent="0.3">
      <c r="B723" s="313" t="s">
        <v>11</v>
      </c>
      <c r="C723" s="325">
        <f ca="1">'Input summary'!C723</f>
        <v>0</v>
      </c>
      <c r="D723" s="325">
        <f>'Input summary'!D723</f>
        <v>0</v>
      </c>
      <c r="E723" s="325">
        <f>'Input summary'!E723</f>
        <v>0</v>
      </c>
      <c r="F723" s="325">
        <f>'Input summary'!F723</f>
        <v>0</v>
      </c>
      <c r="G723" s="407"/>
      <c r="H723" s="297"/>
      <c r="I723" s="449"/>
      <c r="J723" s="382"/>
      <c r="K723" s="382"/>
      <c r="L723" s="382"/>
      <c r="M723" s="382"/>
      <c r="N723" s="382"/>
      <c r="O723" s="382"/>
    </row>
    <row r="724" spans="2:15" x14ac:dyDescent="0.3">
      <c r="B724" s="207" t="s">
        <v>227</v>
      </c>
      <c r="C724" s="346"/>
      <c r="D724" s="346"/>
      <c r="E724" s="346"/>
      <c r="F724" s="346"/>
      <c r="G724" s="346"/>
      <c r="H724" s="297"/>
      <c r="I724" s="449"/>
      <c r="J724" s="382"/>
      <c r="K724" s="382"/>
      <c r="L724" s="382"/>
      <c r="M724" s="382"/>
      <c r="N724" s="382"/>
    </row>
    <row r="725" spans="2:15" x14ac:dyDescent="0.3">
      <c r="B725" s="206" t="s">
        <v>1437</v>
      </c>
      <c r="C725" s="325">
        <f ca="1">'Input summary'!C725</f>
        <v>322278.5430795892</v>
      </c>
      <c r="D725" s="325">
        <f>'Input summary'!D725</f>
        <v>259958.85406472723</v>
      </c>
      <c r="E725" s="325">
        <f>'Input summary'!E725</f>
        <v>146226.85541140905</v>
      </c>
      <c r="F725" s="325">
        <f>'Input summary'!F725</f>
        <v>259958.85406472723</v>
      </c>
      <c r="G725" s="407"/>
      <c r="H725" s="297"/>
      <c r="I725" s="449"/>
      <c r="J725" s="382"/>
      <c r="K725" s="382"/>
      <c r="L725" s="382"/>
      <c r="M725" s="382"/>
      <c r="N725" s="382"/>
    </row>
    <row r="726" spans="2:15" x14ac:dyDescent="0.3">
      <c r="B726" s="206" t="s">
        <v>1438</v>
      </c>
      <c r="C726" s="325">
        <f ca="1">'Input summary'!C726</f>
        <v>184486.81654324758</v>
      </c>
      <c r="D726" s="325">
        <f>'Input summary'!D726</f>
        <v>148812.20747851147</v>
      </c>
      <c r="E726" s="325">
        <f>'Input summary'!E726</f>
        <v>83706.866706662695</v>
      </c>
      <c r="F726" s="325">
        <f>'Input summary'!F726</f>
        <v>148812.20747851147</v>
      </c>
      <c r="G726" s="407"/>
      <c r="H726" s="297"/>
      <c r="I726" s="449"/>
      <c r="J726" s="382"/>
      <c r="K726" s="382"/>
      <c r="L726" s="382"/>
      <c r="M726" s="382"/>
      <c r="N726" s="382"/>
    </row>
    <row r="727" spans="2:15" x14ac:dyDescent="0.3">
      <c r="B727" s="206" t="s">
        <v>1441</v>
      </c>
      <c r="C727" s="325">
        <f ca="1">'Input summary'!C727</f>
        <v>699763.30605553067</v>
      </c>
      <c r="D727" s="325">
        <f>'Input summary'!D727</f>
        <v>564448.58357764396</v>
      </c>
      <c r="E727" s="325">
        <f>'Input summary'!E727</f>
        <v>317502.32826242474</v>
      </c>
      <c r="F727" s="325">
        <f>'Input summary'!F727</f>
        <v>564448.58357764396</v>
      </c>
      <c r="G727" s="407"/>
    </row>
    <row r="728" spans="2:15" x14ac:dyDescent="0.3">
      <c r="B728" s="206" t="s">
        <v>1442</v>
      </c>
      <c r="C728" s="325">
        <f ca="1">'Input summary'!C728</f>
        <v>686241.02925072005</v>
      </c>
      <c r="D728" s="325">
        <f>'Input summary'!D728</f>
        <v>553541.13826982363</v>
      </c>
      <c r="E728" s="325">
        <f>'Input summary'!E728</f>
        <v>311366.89027677575</v>
      </c>
      <c r="F728" s="325">
        <f>'Input summary'!F728</f>
        <v>553541.13826982363</v>
      </c>
      <c r="G728" s="407"/>
    </row>
    <row r="729" spans="2:15" x14ac:dyDescent="0.3">
      <c r="B729" s="207" t="s">
        <v>920</v>
      </c>
      <c r="C729" s="346"/>
      <c r="D729" s="346"/>
      <c r="E729" s="346"/>
      <c r="F729" s="346"/>
      <c r="G729" s="346"/>
    </row>
    <row r="730" spans="2:15" x14ac:dyDescent="0.3">
      <c r="B730" s="206" t="s">
        <v>920</v>
      </c>
      <c r="C730" s="325">
        <f ca="1">'Input summary'!C730</f>
        <v>535864.08696016611</v>
      </c>
      <c r="D730" s="325">
        <f>'Input summary'!D730</f>
        <v>432242.90593309613</v>
      </c>
      <c r="E730" s="325">
        <f>'Input summary'!E730</f>
        <v>243136.63458736657</v>
      </c>
      <c r="F730" s="325">
        <f>'Input summary'!F730</f>
        <v>432242.90593309613</v>
      </c>
      <c r="G730" s="407"/>
    </row>
    <row r="731" spans="2:15" x14ac:dyDescent="0.3">
      <c r="B731" s="206" t="s">
        <v>980</v>
      </c>
      <c r="C731" s="325">
        <f ca="1">'Input summary'!C731</f>
        <v>245402.27483582936</v>
      </c>
      <c r="D731" s="325">
        <f>'Input summary'!D731</f>
        <v>197948.3137214162</v>
      </c>
      <c r="E731" s="325">
        <f>'Input summary'!E731</f>
        <v>111345.92646829663</v>
      </c>
      <c r="F731" s="325">
        <f>'Input summary'!F731</f>
        <v>197948.3137214162</v>
      </c>
      <c r="G731" s="408"/>
    </row>
    <row r="732" spans="2:15" x14ac:dyDescent="0.3"/>
    <row r="733" spans="2:15" ht="21" x14ac:dyDescent="0.3">
      <c r="B733" s="793" t="s">
        <v>559</v>
      </c>
      <c r="C733" s="793"/>
      <c r="D733" s="793"/>
      <c r="E733" s="303"/>
    </row>
    <row r="734" spans="2:15" x14ac:dyDescent="0.3"/>
    <row r="735" spans="2:15" ht="21" x14ac:dyDescent="0.3">
      <c r="B735" s="352" t="s">
        <v>549</v>
      </c>
      <c r="C735" s="310"/>
      <c r="D735" s="295"/>
      <c r="E735" s="311"/>
      <c r="F735" s="295"/>
      <c r="G735" s="295"/>
      <c r="H735" s="455" t="s">
        <v>1468</v>
      </c>
    </row>
    <row r="736" spans="2:15" ht="21" x14ac:dyDescent="0.3">
      <c r="B736" s="17" t="s">
        <v>950</v>
      </c>
      <c r="C736" s="152" t="s">
        <v>724</v>
      </c>
      <c r="D736" s="152" t="s">
        <v>995</v>
      </c>
      <c r="E736" s="152" t="s">
        <v>985</v>
      </c>
      <c r="F736" s="152" t="s">
        <v>986</v>
      </c>
      <c r="G736" s="152"/>
      <c r="H736" s="455">
        <f>'SA Results'!$AC$2</f>
        <v>1</v>
      </c>
    </row>
    <row r="737" spans="2:15" x14ac:dyDescent="0.3">
      <c r="B737" s="315" t="s">
        <v>1445</v>
      </c>
    </row>
    <row r="738" spans="2:15" x14ac:dyDescent="0.3">
      <c r="B738" s="313" t="s">
        <v>2</v>
      </c>
      <c r="C738" s="399">
        <f>IF($H$736=3,F738,IF($H$736=2,E738,D738))</f>
        <v>8.9999999999999993E-3</v>
      </c>
      <c r="D738" s="399">
        <f>'Input summary'!D738</f>
        <v>8.9999999999999993E-3</v>
      </c>
      <c r="E738" s="399">
        <f>'Input summary'!E738</f>
        <v>7.0000000000000001E-3</v>
      </c>
      <c r="F738" s="399">
        <f>'Input summary'!F738</f>
        <v>1.0999999999999999E-2</v>
      </c>
      <c r="G738" s="409"/>
    </row>
    <row r="739" spans="2:15" x14ac:dyDescent="0.3">
      <c r="B739" s="313" t="s">
        <v>3</v>
      </c>
      <c r="C739" s="399">
        <f t="shared" ref="C739:C760" si="138">IF($H$736=3,F739,IF($H$736=2,E739,D739))</f>
        <v>8.9999999999999993E-3</v>
      </c>
      <c r="D739" s="399">
        <f>'Input summary'!D739</f>
        <v>8.9999999999999993E-3</v>
      </c>
      <c r="E739" s="399">
        <f>'Input summary'!E739</f>
        <v>7.0000000000000001E-3</v>
      </c>
      <c r="F739" s="399">
        <f>'Input summary'!F739</f>
        <v>1.0999999999999999E-2</v>
      </c>
      <c r="G739" s="409"/>
    </row>
    <row r="740" spans="2:15" x14ac:dyDescent="0.3">
      <c r="B740" s="313" t="s">
        <v>4</v>
      </c>
      <c r="C740" s="399">
        <f t="shared" si="138"/>
        <v>8.9999999999999993E-3</v>
      </c>
      <c r="D740" s="399">
        <f>'Input summary'!D740</f>
        <v>8.9999999999999993E-3</v>
      </c>
      <c r="E740" s="399">
        <f>'Input summary'!E740</f>
        <v>7.0000000000000001E-3</v>
      </c>
      <c r="F740" s="399">
        <f>'Input summary'!F740</f>
        <v>1.0999999999999999E-2</v>
      </c>
      <c r="G740" s="409"/>
    </row>
    <row r="741" spans="2:15" x14ac:dyDescent="0.3">
      <c r="B741" s="313" t="s">
        <v>5</v>
      </c>
      <c r="C741" s="399">
        <f t="shared" si="138"/>
        <v>8.9999999999999993E-3</v>
      </c>
      <c r="D741" s="399">
        <f>'Input summary'!D741</f>
        <v>8.9999999999999993E-3</v>
      </c>
      <c r="E741" s="399">
        <f>'Input summary'!E741</f>
        <v>7.0000000000000001E-3</v>
      </c>
      <c r="F741" s="399">
        <f>'Input summary'!F741</f>
        <v>1.0999999999999999E-2</v>
      </c>
      <c r="G741" s="409"/>
    </row>
    <row r="742" spans="2:15" x14ac:dyDescent="0.3">
      <c r="B742" s="313" t="s">
        <v>6</v>
      </c>
      <c r="C742" s="399">
        <f t="shared" si="138"/>
        <v>8.9999999999999993E-3</v>
      </c>
      <c r="D742" s="399">
        <f>'Input summary'!D742</f>
        <v>8.9999999999999993E-3</v>
      </c>
      <c r="E742" s="399">
        <f>'Input summary'!E742</f>
        <v>7.0000000000000001E-3</v>
      </c>
      <c r="F742" s="399">
        <f>'Input summary'!F742</f>
        <v>1.0999999999999999E-2</v>
      </c>
      <c r="G742" s="409"/>
    </row>
    <row r="743" spans="2:15" x14ac:dyDescent="0.3">
      <c r="B743" s="313" t="s">
        <v>7</v>
      </c>
      <c r="C743" s="399">
        <f t="shared" si="138"/>
        <v>8.9999999999999993E-3</v>
      </c>
      <c r="D743" s="399">
        <f>'Input summary'!D743</f>
        <v>8.9999999999999993E-3</v>
      </c>
      <c r="E743" s="399">
        <f>'Input summary'!E743</f>
        <v>7.0000000000000001E-3</v>
      </c>
      <c r="F743" s="399">
        <f>'Input summary'!F743</f>
        <v>1.0999999999999999E-2</v>
      </c>
      <c r="G743" s="409"/>
    </row>
    <row r="744" spans="2:15" x14ac:dyDescent="0.3">
      <c r="B744" s="313" t="s">
        <v>11</v>
      </c>
      <c r="C744" s="399">
        <f t="shared" si="138"/>
        <v>8.9999999999999993E-3</v>
      </c>
      <c r="D744" s="399">
        <f>'Input summary'!D744</f>
        <v>8.9999999999999993E-3</v>
      </c>
      <c r="E744" s="399">
        <f>'Input summary'!E744</f>
        <v>7.0000000000000001E-3</v>
      </c>
      <c r="F744" s="399">
        <f>'Input summary'!F744</f>
        <v>1.0999999999999999E-2</v>
      </c>
      <c r="G744" s="409"/>
    </row>
    <row r="745" spans="2:15" x14ac:dyDescent="0.3">
      <c r="B745" s="315" t="s">
        <v>1444</v>
      </c>
      <c r="C745" s="456"/>
      <c r="D745" s="346"/>
      <c r="E745" s="346"/>
      <c r="F745" s="346"/>
      <c r="G745" s="346"/>
      <c r="H745" s="315"/>
    </row>
    <row r="746" spans="2:15" x14ac:dyDescent="0.3">
      <c r="B746" s="313" t="s">
        <v>2</v>
      </c>
      <c r="C746" s="399">
        <f t="shared" si="138"/>
        <v>8.9999999999999993E-3</v>
      </c>
      <c r="D746" s="399">
        <f>'Input summary'!D746</f>
        <v>8.9999999999999993E-3</v>
      </c>
      <c r="E746" s="399">
        <f>'Input summary'!E746</f>
        <v>7.0000000000000001E-3</v>
      </c>
      <c r="F746" s="399">
        <f>'Input summary'!F746</f>
        <v>1.0999999999999999E-2</v>
      </c>
      <c r="G746" s="409"/>
      <c r="H746" s="297"/>
      <c r="I746" s="449"/>
      <c r="J746" s="382"/>
      <c r="K746" s="382"/>
      <c r="L746" s="382"/>
      <c r="M746" s="382"/>
      <c r="N746" s="382"/>
      <c r="O746" s="382"/>
    </row>
    <row r="747" spans="2:15" x14ac:dyDescent="0.3">
      <c r="B747" s="313" t="s">
        <v>3</v>
      </c>
      <c r="C747" s="399">
        <f t="shared" si="138"/>
        <v>8.9999999999999993E-3</v>
      </c>
      <c r="D747" s="399">
        <f>'Input summary'!D747</f>
        <v>8.9999999999999993E-3</v>
      </c>
      <c r="E747" s="399">
        <f>'Input summary'!E747</f>
        <v>7.0000000000000001E-3</v>
      </c>
      <c r="F747" s="399">
        <f>'Input summary'!F747</f>
        <v>1.0999999999999999E-2</v>
      </c>
      <c r="G747" s="409"/>
      <c r="H747" s="297"/>
      <c r="I747" s="449"/>
      <c r="J747" s="382"/>
      <c r="K747" s="382"/>
      <c r="L747" s="382"/>
      <c r="M747" s="382"/>
      <c r="N747" s="382"/>
      <c r="O747" s="382"/>
    </row>
    <row r="748" spans="2:15" x14ac:dyDescent="0.3">
      <c r="B748" s="313" t="s">
        <v>4</v>
      </c>
      <c r="C748" s="399">
        <f t="shared" si="138"/>
        <v>8.9999999999999993E-3</v>
      </c>
      <c r="D748" s="399">
        <f>'Input summary'!D748</f>
        <v>8.9999999999999993E-3</v>
      </c>
      <c r="E748" s="399">
        <f>'Input summary'!E748</f>
        <v>7.0000000000000001E-3</v>
      </c>
      <c r="F748" s="399">
        <f>'Input summary'!F748</f>
        <v>1.0999999999999999E-2</v>
      </c>
      <c r="G748" s="409"/>
      <c r="H748" s="297"/>
      <c r="I748" s="449"/>
      <c r="J748" s="382"/>
      <c r="K748" s="382"/>
      <c r="L748" s="382"/>
      <c r="M748" s="382"/>
      <c r="N748" s="382"/>
      <c r="O748" s="382"/>
    </row>
    <row r="749" spans="2:15" x14ac:dyDescent="0.3">
      <c r="B749" s="313" t="s">
        <v>5</v>
      </c>
      <c r="C749" s="399">
        <f t="shared" si="138"/>
        <v>8.9999999999999993E-3</v>
      </c>
      <c r="D749" s="399">
        <f>'Input summary'!D749</f>
        <v>8.9999999999999993E-3</v>
      </c>
      <c r="E749" s="399">
        <f>'Input summary'!E749</f>
        <v>7.0000000000000001E-3</v>
      </c>
      <c r="F749" s="399">
        <f>'Input summary'!F749</f>
        <v>1.0999999999999999E-2</v>
      </c>
      <c r="G749" s="409"/>
      <c r="H749" s="297"/>
      <c r="I749" s="449"/>
      <c r="J749" s="382"/>
      <c r="K749" s="382"/>
      <c r="L749" s="382"/>
      <c r="M749" s="382"/>
      <c r="N749" s="382"/>
      <c r="O749" s="382"/>
    </row>
    <row r="750" spans="2:15" x14ac:dyDescent="0.3">
      <c r="B750" s="313" t="s">
        <v>6</v>
      </c>
      <c r="C750" s="399">
        <f t="shared" si="138"/>
        <v>8.9999999999999993E-3</v>
      </c>
      <c r="D750" s="399">
        <f>'Input summary'!D750</f>
        <v>8.9999999999999993E-3</v>
      </c>
      <c r="E750" s="399">
        <f>'Input summary'!E750</f>
        <v>7.0000000000000001E-3</v>
      </c>
      <c r="F750" s="399">
        <f>'Input summary'!F750</f>
        <v>1.0999999999999999E-2</v>
      </c>
      <c r="G750" s="409"/>
      <c r="H750" s="297"/>
      <c r="I750" s="449"/>
      <c r="J750" s="382"/>
      <c r="K750" s="382"/>
      <c r="L750" s="382"/>
      <c r="M750" s="382"/>
      <c r="N750" s="382"/>
      <c r="O750" s="382"/>
    </row>
    <row r="751" spans="2:15" x14ac:dyDescent="0.3">
      <c r="B751" s="313" t="s">
        <v>7</v>
      </c>
      <c r="C751" s="399">
        <f t="shared" si="138"/>
        <v>8.9999999999999993E-3</v>
      </c>
      <c r="D751" s="399">
        <f>'Input summary'!D751</f>
        <v>8.9999999999999993E-3</v>
      </c>
      <c r="E751" s="399">
        <f>'Input summary'!E751</f>
        <v>7.0000000000000001E-3</v>
      </c>
      <c r="F751" s="399">
        <f>'Input summary'!F751</f>
        <v>1.0999999999999999E-2</v>
      </c>
      <c r="G751" s="409"/>
      <c r="H751" s="297"/>
      <c r="I751" s="449"/>
      <c r="J751" s="382"/>
      <c r="K751" s="382"/>
      <c r="L751" s="382"/>
      <c r="M751" s="382"/>
      <c r="N751" s="382"/>
      <c r="O751" s="382"/>
    </row>
    <row r="752" spans="2:15" x14ac:dyDescent="0.3">
      <c r="B752" s="313" t="s">
        <v>11</v>
      </c>
      <c r="C752" s="399">
        <f t="shared" si="138"/>
        <v>8.9999999999999993E-3</v>
      </c>
      <c r="D752" s="399">
        <f>'Input summary'!D752</f>
        <v>8.9999999999999993E-3</v>
      </c>
      <c r="E752" s="399">
        <f>'Input summary'!E752</f>
        <v>7.0000000000000001E-3</v>
      </c>
      <c r="F752" s="399">
        <f>'Input summary'!F752</f>
        <v>1.0999999999999999E-2</v>
      </c>
      <c r="G752" s="409"/>
      <c r="H752" s="297"/>
      <c r="I752" s="449"/>
      <c r="J752" s="382"/>
      <c r="K752" s="382"/>
      <c r="L752" s="382"/>
      <c r="M752" s="382"/>
      <c r="N752" s="382"/>
      <c r="O752" s="382"/>
    </row>
    <row r="753" spans="2:10" x14ac:dyDescent="0.3">
      <c r="B753" s="207" t="s">
        <v>227</v>
      </c>
      <c r="C753" s="456"/>
      <c r="D753" s="346"/>
      <c r="E753" s="346"/>
      <c r="F753" s="346"/>
      <c r="G753" s="346"/>
    </row>
    <row r="754" spans="2:10" x14ac:dyDescent="0.3">
      <c r="B754" s="206" t="s">
        <v>1437</v>
      </c>
      <c r="C754" s="399">
        <f t="shared" si="138"/>
        <v>8.9999999999999993E-3</v>
      </c>
      <c r="D754" s="399">
        <f>'Input summary'!D754</f>
        <v>8.9999999999999993E-3</v>
      </c>
      <c r="E754" s="399">
        <f>'Input summary'!E754</f>
        <v>7.0000000000000001E-3</v>
      </c>
      <c r="F754" s="399">
        <f>'Input summary'!F754</f>
        <v>1.0999999999999999E-2</v>
      </c>
      <c r="G754" s="409"/>
    </row>
    <row r="755" spans="2:10" x14ac:dyDescent="0.3">
      <c r="B755" s="206" t="s">
        <v>1438</v>
      </c>
      <c r="C755" s="399">
        <f t="shared" si="138"/>
        <v>8.9999999999999993E-3</v>
      </c>
      <c r="D755" s="399">
        <f>'Input summary'!D755</f>
        <v>8.9999999999999993E-3</v>
      </c>
      <c r="E755" s="399">
        <f>'Input summary'!E755</f>
        <v>7.0000000000000001E-3</v>
      </c>
      <c r="F755" s="399">
        <f>'Input summary'!F755</f>
        <v>1.0999999999999999E-2</v>
      </c>
      <c r="G755" s="409"/>
    </row>
    <row r="756" spans="2:10" x14ac:dyDescent="0.3">
      <c r="B756" s="206" t="s">
        <v>1441</v>
      </c>
      <c r="C756" s="399">
        <f t="shared" si="138"/>
        <v>8.9999999999999993E-3</v>
      </c>
      <c r="D756" s="399">
        <f>'Input summary'!D756</f>
        <v>8.9999999999999993E-3</v>
      </c>
      <c r="E756" s="399">
        <f>'Input summary'!E756</f>
        <v>7.0000000000000001E-3</v>
      </c>
      <c r="F756" s="399">
        <f>'Input summary'!F756</f>
        <v>1.0999999999999999E-2</v>
      </c>
      <c r="G756" s="409"/>
      <c r="I756" s="450"/>
      <c r="J756" s="353"/>
    </row>
    <row r="757" spans="2:10" x14ac:dyDescent="0.3">
      <c r="B757" s="206" t="s">
        <v>1442</v>
      </c>
      <c r="C757" s="399">
        <f t="shared" si="138"/>
        <v>8.9999999999999993E-3</v>
      </c>
      <c r="D757" s="399">
        <f>'Input summary'!D757</f>
        <v>8.9999999999999993E-3</v>
      </c>
      <c r="E757" s="399">
        <f>'Input summary'!E757</f>
        <v>7.0000000000000001E-3</v>
      </c>
      <c r="F757" s="399">
        <f>'Input summary'!F757</f>
        <v>1.0999999999999999E-2</v>
      </c>
      <c r="G757" s="409"/>
      <c r="I757" s="450"/>
      <c r="J757" s="353"/>
    </row>
    <row r="758" spans="2:10" x14ac:dyDescent="0.3">
      <c r="B758" s="207" t="s">
        <v>920</v>
      </c>
      <c r="C758" s="456"/>
      <c r="D758" s="346"/>
      <c r="E758" s="346"/>
      <c r="F758" s="346"/>
      <c r="G758" s="346"/>
      <c r="I758" s="450"/>
      <c r="J758" s="353"/>
    </row>
    <row r="759" spans="2:10" x14ac:dyDescent="0.3">
      <c r="B759" s="206" t="s">
        <v>920</v>
      </c>
      <c r="C759" s="399">
        <f t="shared" si="138"/>
        <v>8.9999999999999993E-3</v>
      </c>
      <c r="D759" s="399">
        <f>'Input summary'!D759</f>
        <v>8.9999999999999993E-3</v>
      </c>
      <c r="E759" s="399">
        <f>'Input summary'!E759</f>
        <v>7.0000000000000001E-3</v>
      </c>
      <c r="F759" s="399">
        <f>'Input summary'!F759</f>
        <v>1.0999999999999999E-2</v>
      </c>
      <c r="G759" s="409"/>
      <c r="I759" s="450"/>
      <c r="J759" s="353"/>
    </row>
    <row r="760" spans="2:10" x14ac:dyDescent="0.3">
      <c r="B760" s="206" t="s">
        <v>980</v>
      </c>
      <c r="C760" s="399">
        <f t="shared" si="138"/>
        <v>8.9999999999999993E-3</v>
      </c>
      <c r="D760" s="399">
        <f>'Input summary'!D760</f>
        <v>8.9999999999999993E-3</v>
      </c>
      <c r="E760" s="399">
        <f>'Input summary'!E760</f>
        <v>7.0000000000000001E-3</v>
      </c>
      <c r="F760" s="399">
        <f>'Input summary'!F760</f>
        <v>1.0999999999999999E-2</v>
      </c>
      <c r="G760" s="409"/>
      <c r="I760" s="450"/>
      <c r="J760" s="353"/>
    </row>
    <row r="761" spans="2:10" x14ac:dyDescent="0.3">
      <c r="G761" s="304"/>
    </row>
    <row r="762" spans="2:10" ht="21" x14ac:dyDescent="0.3">
      <c r="B762" s="352" t="s">
        <v>550</v>
      </c>
      <c r="C762" s="295"/>
      <c r="D762" s="295"/>
      <c r="E762" s="295"/>
      <c r="F762" s="295"/>
      <c r="G762" s="153"/>
      <c r="H762" s="455" t="s">
        <v>1468</v>
      </c>
    </row>
    <row r="763" spans="2:10" ht="21" x14ac:dyDescent="0.3">
      <c r="B763" s="17" t="s">
        <v>950</v>
      </c>
      <c r="C763" s="152" t="s">
        <v>724</v>
      </c>
      <c r="D763" s="152" t="s">
        <v>995</v>
      </c>
      <c r="E763" s="152" t="s">
        <v>985</v>
      </c>
      <c r="F763" s="152" t="s">
        <v>986</v>
      </c>
      <c r="G763" s="152"/>
      <c r="H763" s="455">
        <f>'SA Results'!$AE$2</f>
        <v>1</v>
      </c>
    </row>
    <row r="764" spans="2:10" x14ac:dyDescent="0.3">
      <c r="B764" s="315" t="s">
        <v>1445</v>
      </c>
      <c r="G764" s="304"/>
    </row>
    <row r="765" spans="2:10" x14ac:dyDescent="0.3">
      <c r="B765" s="313" t="s">
        <v>2</v>
      </c>
      <c r="C765" s="399">
        <f>IF($H$763=3,F765,IF($H$763=2,E765,D765))</f>
        <v>3.1E-2</v>
      </c>
      <c r="D765" s="399">
        <f>'Input summary'!D765</f>
        <v>3.1E-2</v>
      </c>
      <c r="E765" s="399">
        <f>'Input summary'!E765</f>
        <v>2.5000000000000001E-2</v>
      </c>
      <c r="F765" s="399">
        <f>'Input summary'!F765</f>
        <v>3.6999999999999998E-2</v>
      </c>
      <c r="G765" s="409"/>
      <c r="I765" s="451" t="s">
        <v>909</v>
      </c>
    </row>
    <row r="766" spans="2:10" x14ac:dyDescent="0.3">
      <c r="B766" s="313" t="s">
        <v>3</v>
      </c>
      <c r="C766" s="399">
        <f t="shared" ref="C766:C787" si="139">IF($H$763=3,F766,IF($H$763=2,E766,D766))</f>
        <v>3.1E-2</v>
      </c>
      <c r="D766" s="399">
        <f>'Input summary'!D766</f>
        <v>3.1E-2</v>
      </c>
      <c r="E766" s="399">
        <f>'Input summary'!E766</f>
        <v>2.5000000000000001E-2</v>
      </c>
      <c r="F766" s="399">
        <f>'Input summary'!F766</f>
        <v>3.6999999999999998E-2</v>
      </c>
      <c r="G766" s="409"/>
      <c r="I766" s="452" t="s">
        <v>908</v>
      </c>
    </row>
    <row r="767" spans="2:10" x14ac:dyDescent="0.3">
      <c r="B767" s="313" t="s">
        <v>4</v>
      </c>
      <c r="C767" s="399">
        <f t="shared" si="139"/>
        <v>3.1E-2</v>
      </c>
      <c r="D767" s="399">
        <f>'Input summary'!D767</f>
        <v>3.1E-2</v>
      </c>
      <c r="E767" s="399">
        <f>'Input summary'!E767</f>
        <v>2.5000000000000001E-2</v>
      </c>
      <c r="F767" s="399">
        <f>'Input summary'!F767</f>
        <v>3.6999999999999998E-2</v>
      </c>
      <c r="G767" s="409"/>
      <c r="H767" s="304"/>
    </row>
    <row r="768" spans="2:10" x14ac:dyDescent="0.3">
      <c r="B768" s="313" t="s">
        <v>5</v>
      </c>
      <c r="C768" s="399">
        <f t="shared" si="139"/>
        <v>3.1E-2</v>
      </c>
      <c r="D768" s="399">
        <f>'Input summary'!D768</f>
        <v>3.1E-2</v>
      </c>
      <c r="E768" s="399">
        <f>'Input summary'!E768</f>
        <v>2.5000000000000001E-2</v>
      </c>
      <c r="F768" s="399">
        <f>'Input summary'!F768</f>
        <v>3.6999999999999998E-2</v>
      </c>
      <c r="G768" s="409"/>
      <c r="H768" s="304"/>
    </row>
    <row r="769" spans="2:15" x14ac:dyDescent="0.3">
      <c r="B769" s="313" t="s">
        <v>6</v>
      </c>
      <c r="C769" s="399">
        <f t="shared" si="139"/>
        <v>3.1E-2</v>
      </c>
      <c r="D769" s="399">
        <f>'Input summary'!D769</f>
        <v>3.1E-2</v>
      </c>
      <c r="E769" s="399">
        <f>'Input summary'!E769</f>
        <v>2.5000000000000001E-2</v>
      </c>
      <c r="F769" s="399">
        <f>'Input summary'!F769</f>
        <v>3.6999999999999998E-2</v>
      </c>
      <c r="G769" s="409"/>
      <c r="H769" s="304"/>
    </row>
    <row r="770" spans="2:15" x14ac:dyDescent="0.3">
      <c r="B770" s="313" t="s">
        <v>7</v>
      </c>
      <c r="C770" s="399">
        <f t="shared" si="139"/>
        <v>3.1E-2</v>
      </c>
      <c r="D770" s="399">
        <f>'Input summary'!D770</f>
        <v>3.1E-2</v>
      </c>
      <c r="E770" s="399">
        <f>'Input summary'!E770</f>
        <v>2.5000000000000001E-2</v>
      </c>
      <c r="F770" s="399">
        <f>'Input summary'!F770</f>
        <v>3.6999999999999998E-2</v>
      </c>
      <c r="G770" s="409"/>
      <c r="H770" s="304"/>
    </row>
    <row r="771" spans="2:15" x14ac:dyDescent="0.3">
      <c r="B771" s="313" t="s">
        <v>11</v>
      </c>
      <c r="C771" s="399">
        <f t="shared" si="139"/>
        <v>3.1E-2</v>
      </c>
      <c r="D771" s="399">
        <f>'Input summary'!D771</f>
        <v>3.1E-2</v>
      </c>
      <c r="E771" s="399">
        <f>'Input summary'!E771</f>
        <v>2.5000000000000001E-2</v>
      </c>
      <c r="F771" s="399">
        <f>'Input summary'!F771</f>
        <v>3.6999999999999998E-2</v>
      </c>
      <c r="G771" s="409"/>
      <c r="H771" s="304"/>
    </row>
    <row r="772" spans="2:15" x14ac:dyDescent="0.3">
      <c r="B772" s="315" t="s">
        <v>1444</v>
      </c>
      <c r="C772" s="456"/>
      <c r="D772" s="346"/>
      <c r="E772" s="346"/>
      <c r="F772" s="346"/>
      <c r="G772" s="346"/>
      <c r="H772" s="322"/>
      <c r="I772" s="441"/>
    </row>
    <row r="773" spans="2:15" x14ac:dyDescent="0.3">
      <c r="B773" s="313" t="s">
        <v>2</v>
      </c>
      <c r="C773" s="399">
        <f t="shared" si="139"/>
        <v>3.1E-2</v>
      </c>
      <c r="D773" s="399">
        <f>'Input summary'!D773</f>
        <v>3.1E-2</v>
      </c>
      <c r="E773" s="399">
        <f>'Input summary'!E773</f>
        <v>2.5000000000000001E-2</v>
      </c>
      <c r="F773" s="399">
        <f>'Input summary'!F773</f>
        <v>3.6999999999999998E-2</v>
      </c>
      <c r="G773" s="407"/>
      <c r="H773" s="322"/>
      <c r="I773" s="448"/>
      <c r="J773" s="382"/>
      <c r="K773" s="382"/>
      <c r="L773" s="382"/>
      <c r="M773" s="382"/>
      <c r="N773" s="382"/>
      <c r="O773" s="382"/>
    </row>
    <row r="774" spans="2:15" x14ac:dyDescent="0.3">
      <c r="B774" s="313" t="s">
        <v>3</v>
      </c>
      <c r="C774" s="399">
        <f t="shared" si="139"/>
        <v>3.1E-2</v>
      </c>
      <c r="D774" s="399">
        <f>'Input summary'!D774</f>
        <v>3.1E-2</v>
      </c>
      <c r="E774" s="399">
        <f>'Input summary'!E774</f>
        <v>2.5000000000000001E-2</v>
      </c>
      <c r="F774" s="399">
        <f>'Input summary'!F774</f>
        <v>3.6999999999999998E-2</v>
      </c>
      <c r="G774" s="407"/>
      <c r="H774" s="322"/>
      <c r="I774" s="448"/>
      <c r="J774" s="382"/>
      <c r="K774" s="382"/>
      <c r="L774" s="382"/>
      <c r="M774" s="382"/>
      <c r="N774" s="382"/>
      <c r="O774" s="382"/>
    </row>
    <row r="775" spans="2:15" x14ac:dyDescent="0.3">
      <c r="B775" s="313" t="s">
        <v>4</v>
      </c>
      <c r="C775" s="399">
        <f t="shared" si="139"/>
        <v>3.1E-2</v>
      </c>
      <c r="D775" s="399">
        <f>'Input summary'!D775</f>
        <v>3.1E-2</v>
      </c>
      <c r="E775" s="399">
        <f>'Input summary'!E775</f>
        <v>2.5000000000000001E-2</v>
      </c>
      <c r="F775" s="399">
        <f>'Input summary'!F775</f>
        <v>3.6999999999999998E-2</v>
      </c>
      <c r="G775" s="407"/>
      <c r="H775" s="322"/>
      <c r="I775" s="448"/>
      <c r="J775" s="382"/>
      <c r="K775" s="382"/>
      <c r="L775" s="382"/>
      <c r="M775" s="382"/>
      <c r="N775" s="382"/>
      <c r="O775" s="382"/>
    </row>
    <row r="776" spans="2:15" x14ac:dyDescent="0.3">
      <c r="B776" s="313" t="s">
        <v>5</v>
      </c>
      <c r="C776" s="399">
        <f t="shared" si="139"/>
        <v>3.1E-2</v>
      </c>
      <c r="D776" s="399">
        <f>'Input summary'!D776</f>
        <v>3.1E-2</v>
      </c>
      <c r="E776" s="399">
        <f>'Input summary'!E776</f>
        <v>2.5000000000000001E-2</v>
      </c>
      <c r="F776" s="399">
        <f>'Input summary'!F776</f>
        <v>3.6999999999999998E-2</v>
      </c>
      <c r="G776" s="407"/>
      <c r="H776" s="322"/>
      <c r="I776" s="448"/>
      <c r="J776" s="382"/>
      <c r="K776" s="382"/>
      <c r="L776" s="382"/>
      <c r="M776" s="382"/>
      <c r="N776" s="382"/>
      <c r="O776" s="382"/>
    </row>
    <row r="777" spans="2:15" x14ac:dyDescent="0.3">
      <c r="B777" s="313" t="s">
        <v>6</v>
      </c>
      <c r="C777" s="399">
        <f t="shared" si="139"/>
        <v>3.1E-2</v>
      </c>
      <c r="D777" s="399">
        <f>'Input summary'!D777</f>
        <v>3.1E-2</v>
      </c>
      <c r="E777" s="399">
        <f>'Input summary'!E777</f>
        <v>2.5000000000000001E-2</v>
      </c>
      <c r="F777" s="399">
        <f>'Input summary'!F777</f>
        <v>3.6999999999999998E-2</v>
      </c>
      <c r="G777" s="407"/>
      <c r="H777" s="322"/>
      <c r="I777" s="448"/>
      <c r="J777" s="382"/>
      <c r="K777" s="382"/>
      <c r="L777" s="382"/>
      <c r="M777" s="382"/>
      <c r="N777" s="382"/>
      <c r="O777" s="382"/>
    </row>
    <row r="778" spans="2:15" x14ac:dyDescent="0.3">
      <c r="B778" s="313" t="s">
        <v>7</v>
      </c>
      <c r="C778" s="399">
        <f t="shared" si="139"/>
        <v>3.1E-2</v>
      </c>
      <c r="D778" s="399">
        <f>'Input summary'!D778</f>
        <v>3.1E-2</v>
      </c>
      <c r="E778" s="399">
        <f>'Input summary'!E778</f>
        <v>2.5000000000000001E-2</v>
      </c>
      <c r="F778" s="399">
        <f>'Input summary'!F778</f>
        <v>3.6999999999999998E-2</v>
      </c>
      <c r="G778" s="407"/>
      <c r="H778" s="322"/>
      <c r="I778" s="448"/>
      <c r="J778" s="382"/>
      <c r="K778" s="382"/>
      <c r="L778" s="382"/>
      <c r="M778" s="382"/>
      <c r="N778" s="382"/>
      <c r="O778" s="382"/>
    </row>
    <row r="779" spans="2:15" x14ac:dyDescent="0.3">
      <c r="B779" s="313" t="s">
        <v>11</v>
      </c>
      <c r="C779" s="399">
        <f t="shared" si="139"/>
        <v>3.1E-2</v>
      </c>
      <c r="D779" s="399">
        <f>'Input summary'!D779</f>
        <v>3.1E-2</v>
      </c>
      <c r="E779" s="399">
        <f>'Input summary'!E779</f>
        <v>2.5000000000000001E-2</v>
      </c>
      <c r="F779" s="399">
        <f>'Input summary'!F779</f>
        <v>3.6999999999999998E-2</v>
      </c>
      <c r="G779" s="407"/>
      <c r="H779" s="322"/>
      <c r="I779" s="448"/>
      <c r="J779" s="382"/>
      <c r="K779" s="382"/>
      <c r="L779" s="382"/>
      <c r="M779" s="382"/>
      <c r="N779" s="382"/>
      <c r="O779" s="382"/>
    </row>
    <row r="780" spans="2:15" x14ac:dyDescent="0.3">
      <c r="B780" s="207" t="s">
        <v>227</v>
      </c>
      <c r="C780" s="456"/>
      <c r="D780" s="346"/>
      <c r="E780" s="346"/>
      <c r="F780" s="346"/>
      <c r="G780" s="346"/>
      <c r="H780" s="304"/>
    </row>
    <row r="781" spans="2:15" x14ac:dyDescent="0.3">
      <c r="B781" s="206" t="s">
        <v>1437</v>
      </c>
      <c r="C781" s="399">
        <f t="shared" si="139"/>
        <v>3.1E-2</v>
      </c>
      <c r="D781" s="399">
        <f>'Input summary'!D781</f>
        <v>3.1E-2</v>
      </c>
      <c r="E781" s="399">
        <f>'Input summary'!E781</f>
        <v>2.5000000000000001E-2</v>
      </c>
      <c r="F781" s="399">
        <f>'Input summary'!F781</f>
        <v>3.6999999999999998E-2</v>
      </c>
      <c r="G781" s="409"/>
      <c r="H781" s="304"/>
    </row>
    <row r="782" spans="2:15" x14ac:dyDescent="0.3">
      <c r="B782" s="206" t="s">
        <v>1438</v>
      </c>
      <c r="C782" s="399">
        <f t="shared" si="139"/>
        <v>3.1E-2</v>
      </c>
      <c r="D782" s="399">
        <f>'Input summary'!D782</f>
        <v>3.1E-2</v>
      </c>
      <c r="E782" s="399">
        <f>'Input summary'!E782</f>
        <v>2.5000000000000001E-2</v>
      </c>
      <c r="F782" s="399">
        <f>'Input summary'!F782</f>
        <v>3.6999999999999998E-2</v>
      </c>
      <c r="G782" s="409"/>
      <c r="H782" s="304"/>
    </row>
    <row r="783" spans="2:15" x14ac:dyDescent="0.3">
      <c r="B783" s="206" t="s">
        <v>1441</v>
      </c>
      <c r="C783" s="399">
        <f t="shared" si="139"/>
        <v>3.1E-2</v>
      </c>
      <c r="D783" s="399">
        <f>'Input summary'!D783</f>
        <v>3.1E-2</v>
      </c>
      <c r="E783" s="399">
        <f>'Input summary'!E783</f>
        <v>2.5000000000000001E-2</v>
      </c>
      <c r="F783" s="399">
        <f>'Input summary'!F783</f>
        <v>3.6999999999999998E-2</v>
      </c>
      <c r="G783" s="409"/>
      <c r="H783" s="304"/>
    </row>
    <row r="784" spans="2:15" x14ac:dyDescent="0.3">
      <c r="B784" s="206" t="s">
        <v>1442</v>
      </c>
      <c r="C784" s="399">
        <f t="shared" si="139"/>
        <v>3.1E-2</v>
      </c>
      <c r="D784" s="399">
        <f>'Input summary'!D784</f>
        <v>3.1E-2</v>
      </c>
      <c r="E784" s="399">
        <f>'Input summary'!E784</f>
        <v>2.5000000000000001E-2</v>
      </c>
      <c r="F784" s="399">
        <f>'Input summary'!F784</f>
        <v>3.6999999999999998E-2</v>
      </c>
      <c r="G784" s="409"/>
      <c r="H784" s="304"/>
    </row>
    <row r="785" spans="2:14" x14ac:dyDescent="0.3">
      <c r="B785" s="207" t="s">
        <v>920</v>
      </c>
      <c r="C785" s="456"/>
      <c r="D785" s="346"/>
      <c r="E785" s="346"/>
      <c r="F785" s="346"/>
      <c r="G785" s="346"/>
      <c r="H785" s="304"/>
    </row>
    <row r="786" spans="2:14" x14ac:dyDescent="0.3">
      <c r="B786" s="206" t="s">
        <v>920</v>
      </c>
      <c r="C786" s="399">
        <f t="shared" si="139"/>
        <v>3.1E-2</v>
      </c>
      <c r="D786" s="399">
        <f>'Input summary'!D786</f>
        <v>3.1E-2</v>
      </c>
      <c r="E786" s="399">
        <f>'Input summary'!E786</f>
        <v>2.5000000000000001E-2</v>
      </c>
      <c r="F786" s="399">
        <f>'Input summary'!F786</f>
        <v>3.6999999999999998E-2</v>
      </c>
      <c r="G786" s="409"/>
      <c r="H786" s="304"/>
    </row>
    <row r="787" spans="2:14" x14ac:dyDescent="0.3">
      <c r="B787" s="206" t="s">
        <v>980</v>
      </c>
      <c r="C787" s="399">
        <f t="shared" si="139"/>
        <v>3.1E-2</v>
      </c>
      <c r="D787" s="399">
        <f>'Input summary'!D787</f>
        <v>3.1E-2</v>
      </c>
      <c r="E787" s="399">
        <f>'Input summary'!E787</f>
        <v>2.5000000000000001E-2</v>
      </c>
      <c r="F787" s="399">
        <f>'Input summary'!F787</f>
        <v>3.6999999999999998E-2</v>
      </c>
      <c r="G787" s="409"/>
      <c r="H787" s="304"/>
    </row>
    <row r="788" spans="2:14" x14ac:dyDescent="0.3">
      <c r="B788" s="206"/>
      <c r="C788" s="681"/>
      <c r="D788" s="681"/>
      <c r="E788" s="681"/>
      <c r="F788" s="681"/>
      <c r="G788" s="681"/>
      <c r="H788" s="304"/>
    </row>
    <row r="789" spans="2:14" s="481" customFormat="1" ht="21" x14ac:dyDescent="0.3">
      <c r="B789" s="543" t="s">
        <v>1545</v>
      </c>
      <c r="C789" s="483"/>
      <c r="D789" s="483"/>
      <c r="E789" s="483"/>
      <c r="F789" s="483"/>
      <c r="G789" s="483"/>
      <c r="H789" s="455" t="s">
        <v>1468</v>
      </c>
      <c r="I789" s="543" t="s">
        <v>1546</v>
      </c>
      <c r="J789" s="519"/>
      <c r="K789" s="519"/>
      <c r="L789" s="519"/>
      <c r="M789" s="519"/>
      <c r="N789" s="519"/>
    </row>
    <row r="790" spans="2:14" s="481" customFormat="1" ht="21" x14ac:dyDescent="0.3">
      <c r="B790" s="484" t="s">
        <v>950</v>
      </c>
      <c r="C790" s="485" t="s">
        <v>724</v>
      </c>
      <c r="D790" s="484" t="s">
        <v>995</v>
      </c>
      <c r="E790" s="485" t="s">
        <v>985</v>
      </c>
      <c r="F790" s="485" t="s">
        <v>986</v>
      </c>
      <c r="G790" s="485" t="s">
        <v>996</v>
      </c>
      <c r="H790" s="455">
        <f>'SA Results'!AK2</f>
        <v>1</v>
      </c>
      <c r="I790" s="484" t="s">
        <v>950</v>
      </c>
      <c r="J790" s="485" t="s">
        <v>724</v>
      </c>
      <c r="K790" s="484" t="s">
        <v>995</v>
      </c>
      <c r="L790" s="485" t="s">
        <v>985</v>
      </c>
      <c r="M790" s="485" t="s">
        <v>986</v>
      </c>
      <c r="N790" s="485" t="s">
        <v>996</v>
      </c>
    </row>
    <row r="791" spans="2:14" s="481" customFormat="1" x14ac:dyDescent="0.3">
      <c r="B791" s="487" t="s">
        <v>1445</v>
      </c>
      <c r="I791" s="487" t="s">
        <v>988</v>
      </c>
    </row>
    <row r="792" spans="2:14" s="481" customFormat="1" x14ac:dyDescent="0.3">
      <c r="B792" s="493" t="s">
        <v>2</v>
      </c>
      <c r="C792" s="399">
        <f>IF($H$790=3,F792,IF($H$790=2,E792,D792))</f>
        <v>0</v>
      </c>
      <c r="D792" s="522">
        <f>'Input summary'!D792</f>
        <v>0</v>
      </c>
      <c r="E792" s="522">
        <f>'Input summary'!E792</f>
        <v>0</v>
      </c>
      <c r="F792" s="522">
        <f>'Input summary'!F792</f>
        <v>0</v>
      </c>
      <c r="G792" s="545"/>
      <c r="I792" s="529" t="s">
        <v>2</v>
      </c>
      <c r="J792" s="522">
        <f>C792</f>
        <v>0</v>
      </c>
      <c r="K792" s="522">
        <f t="shared" ref="K792:K814" si="140">D792</f>
        <v>0</v>
      </c>
      <c r="L792" s="522">
        <f t="shared" ref="L792:L814" si="141">E792</f>
        <v>0</v>
      </c>
      <c r="M792" s="522">
        <f t="shared" ref="M792:M814" si="142">F792</f>
        <v>0</v>
      </c>
      <c r="N792" s="545"/>
    </row>
    <row r="793" spans="2:14" s="481" customFormat="1" x14ac:dyDescent="0.3">
      <c r="B793" s="493" t="s">
        <v>3</v>
      </c>
      <c r="C793" s="522">
        <f t="shared" ref="C793:C814" si="143">IF($H$790=3,F793,IF($H$790=2,E793,D793))</f>
        <v>0</v>
      </c>
      <c r="D793" s="522">
        <f>'Input summary'!D793</f>
        <v>0</v>
      </c>
      <c r="E793" s="522">
        <f>'Input summary'!E793</f>
        <v>0</v>
      </c>
      <c r="F793" s="522">
        <f>'Input summary'!F793</f>
        <v>0</v>
      </c>
      <c r="G793" s="545"/>
      <c r="I793" s="529" t="s">
        <v>3</v>
      </c>
      <c r="J793" s="522">
        <f t="shared" ref="J793:J814" si="144">C793</f>
        <v>0</v>
      </c>
      <c r="K793" s="522">
        <f t="shared" si="140"/>
        <v>0</v>
      </c>
      <c r="L793" s="522">
        <f t="shared" si="141"/>
        <v>0</v>
      </c>
      <c r="M793" s="522">
        <f t="shared" si="142"/>
        <v>0</v>
      </c>
      <c r="N793" s="545"/>
    </row>
    <row r="794" spans="2:14" s="481" customFormat="1" x14ac:dyDescent="0.3">
      <c r="B794" s="493" t="s">
        <v>4</v>
      </c>
      <c r="C794" s="522">
        <f t="shared" si="143"/>
        <v>0</v>
      </c>
      <c r="D794" s="522">
        <f>'Input summary'!D794</f>
        <v>0</v>
      </c>
      <c r="E794" s="522">
        <f>'Input summary'!E794</f>
        <v>0</v>
      </c>
      <c r="F794" s="522">
        <f>'Input summary'!F794</f>
        <v>0</v>
      </c>
      <c r="G794" s="545"/>
      <c r="I794" s="529" t="s">
        <v>4</v>
      </c>
      <c r="J794" s="522">
        <f t="shared" si="144"/>
        <v>0</v>
      </c>
      <c r="K794" s="522">
        <f t="shared" si="140"/>
        <v>0</v>
      </c>
      <c r="L794" s="522">
        <f t="shared" si="141"/>
        <v>0</v>
      </c>
      <c r="M794" s="522">
        <f t="shared" si="142"/>
        <v>0</v>
      </c>
      <c r="N794" s="545"/>
    </row>
    <row r="795" spans="2:14" s="481" customFormat="1" x14ac:dyDescent="0.3">
      <c r="B795" s="493" t="s">
        <v>5</v>
      </c>
      <c r="C795" s="522">
        <f t="shared" si="143"/>
        <v>0</v>
      </c>
      <c r="D795" s="522">
        <f>'Input summary'!D795</f>
        <v>0</v>
      </c>
      <c r="E795" s="522">
        <f>'Input summary'!E795</f>
        <v>0</v>
      </c>
      <c r="F795" s="522">
        <f>'Input summary'!F795</f>
        <v>0</v>
      </c>
      <c r="G795" s="545"/>
      <c r="I795" s="529" t="s">
        <v>5</v>
      </c>
      <c r="J795" s="522">
        <f t="shared" si="144"/>
        <v>0</v>
      </c>
      <c r="K795" s="522">
        <f t="shared" si="140"/>
        <v>0</v>
      </c>
      <c r="L795" s="522">
        <f t="shared" si="141"/>
        <v>0</v>
      </c>
      <c r="M795" s="522">
        <f t="shared" si="142"/>
        <v>0</v>
      </c>
      <c r="N795" s="545"/>
    </row>
    <row r="796" spans="2:14" s="481" customFormat="1" x14ac:dyDescent="0.3">
      <c r="B796" s="493" t="s">
        <v>6</v>
      </c>
      <c r="C796" s="522">
        <f t="shared" si="143"/>
        <v>0</v>
      </c>
      <c r="D796" s="522">
        <f>'Input summary'!D796</f>
        <v>0</v>
      </c>
      <c r="E796" s="522">
        <f>'Input summary'!E796</f>
        <v>0</v>
      </c>
      <c r="F796" s="522">
        <f>'Input summary'!F796</f>
        <v>0</v>
      </c>
      <c r="G796" s="545"/>
      <c r="I796" s="529" t="s">
        <v>6</v>
      </c>
      <c r="J796" s="522">
        <f t="shared" si="144"/>
        <v>0</v>
      </c>
      <c r="K796" s="522">
        <f t="shared" si="140"/>
        <v>0</v>
      </c>
      <c r="L796" s="522">
        <f t="shared" si="141"/>
        <v>0</v>
      </c>
      <c r="M796" s="522">
        <f t="shared" si="142"/>
        <v>0</v>
      </c>
      <c r="N796" s="545"/>
    </row>
    <row r="797" spans="2:14" s="481" customFormat="1" x14ac:dyDescent="0.3">
      <c r="B797" s="493" t="s">
        <v>7</v>
      </c>
      <c r="C797" s="522">
        <f t="shared" si="143"/>
        <v>0</v>
      </c>
      <c r="D797" s="522">
        <f>'Input summary'!D797</f>
        <v>0</v>
      </c>
      <c r="E797" s="522">
        <f>'Input summary'!E797</f>
        <v>0</v>
      </c>
      <c r="F797" s="522">
        <f>'Input summary'!F797</f>
        <v>0</v>
      </c>
      <c r="G797" s="545"/>
      <c r="I797" s="529" t="s">
        <v>7</v>
      </c>
      <c r="J797" s="522">
        <f t="shared" si="144"/>
        <v>0</v>
      </c>
      <c r="K797" s="522">
        <f t="shared" si="140"/>
        <v>0</v>
      </c>
      <c r="L797" s="522">
        <f t="shared" si="141"/>
        <v>0</v>
      </c>
      <c r="M797" s="522">
        <f t="shared" si="142"/>
        <v>0</v>
      </c>
      <c r="N797" s="545"/>
    </row>
    <row r="798" spans="2:14" s="481" customFormat="1" x14ac:dyDescent="0.3">
      <c r="B798" s="493" t="s">
        <v>1469</v>
      </c>
      <c r="C798" s="522">
        <f t="shared" si="143"/>
        <v>0</v>
      </c>
      <c r="D798" s="522">
        <f>'Input summary'!D798</f>
        <v>0</v>
      </c>
      <c r="E798" s="522">
        <f>'Input summary'!E798</f>
        <v>0</v>
      </c>
      <c r="F798" s="522">
        <f>'Input summary'!F798</f>
        <v>0</v>
      </c>
      <c r="G798" s="545"/>
      <c r="I798" s="529" t="s">
        <v>1469</v>
      </c>
      <c r="J798" s="522">
        <f t="shared" si="144"/>
        <v>0</v>
      </c>
      <c r="K798" s="522">
        <f t="shared" si="140"/>
        <v>0</v>
      </c>
      <c r="L798" s="522">
        <f t="shared" si="141"/>
        <v>0</v>
      </c>
      <c r="M798" s="522">
        <f t="shared" si="142"/>
        <v>0</v>
      </c>
      <c r="N798" s="545"/>
    </row>
    <row r="799" spans="2:14" s="481" customFormat="1" x14ac:dyDescent="0.3">
      <c r="B799" s="487" t="s">
        <v>1444</v>
      </c>
      <c r="C799" s="496"/>
      <c r="D799" s="496">
        <f>'Input summary'!D799</f>
        <v>0</v>
      </c>
      <c r="E799" s="496">
        <f>'Input summary'!E799</f>
        <v>0</v>
      </c>
      <c r="F799" s="496">
        <f>'Input summary'!F799</f>
        <v>0</v>
      </c>
      <c r="G799" s="496"/>
      <c r="H799" s="517"/>
      <c r="I799" s="532" t="s">
        <v>988</v>
      </c>
      <c r="J799" s="598"/>
      <c r="K799" s="598"/>
      <c r="L799" s="598"/>
      <c r="M799" s="598"/>
      <c r="N799" s="496"/>
    </row>
    <row r="800" spans="2:14" s="481" customFormat="1" x14ac:dyDescent="0.3">
      <c r="B800" s="493" t="s">
        <v>2</v>
      </c>
      <c r="C800" s="522">
        <f t="shared" si="143"/>
        <v>0</v>
      </c>
      <c r="D800" s="522">
        <f>'Input summary'!D800</f>
        <v>0</v>
      </c>
      <c r="E800" s="522">
        <f>'Input summary'!E800</f>
        <v>0</v>
      </c>
      <c r="F800" s="522">
        <f>'Input summary'!F800</f>
        <v>0</v>
      </c>
      <c r="G800" s="514"/>
      <c r="H800" s="517"/>
      <c r="I800" s="529" t="s">
        <v>2</v>
      </c>
      <c r="J800" s="522">
        <f t="shared" si="144"/>
        <v>0</v>
      </c>
      <c r="K800" s="522">
        <f t="shared" si="140"/>
        <v>0</v>
      </c>
      <c r="L800" s="522">
        <f t="shared" si="141"/>
        <v>0</v>
      </c>
      <c r="M800" s="522">
        <f t="shared" si="142"/>
        <v>0</v>
      </c>
      <c r="N800" s="514"/>
    </row>
    <row r="801" spans="2:14" s="481" customFormat="1" x14ac:dyDescent="0.3">
      <c r="B801" s="493" t="s">
        <v>3</v>
      </c>
      <c r="C801" s="522">
        <f t="shared" si="143"/>
        <v>0</v>
      </c>
      <c r="D801" s="522">
        <f>'Input summary'!D801</f>
        <v>0</v>
      </c>
      <c r="E801" s="522">
        <f>'Input summary'!E801</f>
        <v>0</v>
      </c>
      <c r="F801" s="522">
        <f>'Input summary'!F801</f>
        <v>0</v>
      </c>
      <c r="G801" s="514"/>
      <c r="H801" s="517"/>
      <c r="I801" s="529" t="s">
        <v>3</v>
      </c>
      <c r="J801" s="522">
        <f t="shared" si="144"/>
        <v>0</v>
      </c>
      <c r="K801" s="522">
        <f t="shared" si="140"/>
        <v>0</v>
      </c>
      <c r="L801" s="522">
        <f t="shared" si="141"/>
        <v>0</v>
      </c>
      <c r="M801" s="522">
        <f t="shared" si="142"/>
        <v>0</v>
      </c>
      <c r="N801" s="514"/>
    </row>
    <row r="802" spans="2:14" s="481" customFormat="1" x14ac:dyDescent="0.3">
      <c r="B802" s="493" t="s">
        <v>4</v>
      </c>
      <c r="C802" s="522">
        <f t="shared" si="143"/>
        <v>0</v>
      </c>
      <c r="D802" s="522">
        <f>'Input summary'!D802</f>
        <v>0</v>
      </c>
      <c r="E802" s="522">
        <f>'Input summary'!E802</f>
        <v>0</v>
      </c>
      <c r="F802" s="522">
        <f>'Input summary'!F802</f>
        <v>0</v>
      </c>
      <c r="G802" s="514"/>
      <c r="H802" s="517"/>
      <c r="I802" s="529" t="s">
        <v>4</v>
      </c>
      <c r="J802" s="522">
        <f t="shared" si="144"/>
        <v>0</v>
      </c>
      <c r="K802" s="522">
        <f t="shared" si="140"/>
        <v>0</v>
      </c>
      <c r="L802" s="522">
        <f t="shared" si="141"/>
        <v>0</v>
      </c>
      <c r="M802" s="522">
        <f t="shared" si="142"/>
        <v>0</v>
      </c>
      <c r="N802" s="514"/>
    </row>
    <row r="803" spans="2:14" s="481" customFormat="1" x14ac:dyDescent="0.3">
      <c r="B803" s="493" t="s">
        <v>5</v>
      </c>
      <c r="C803" s="522">
        <f t="shared" si="143"/>
        <v>0</v>
      </c>
      <c r="D803" s="522">
        <f>'Input summary'!D803</f>
        <v>0</v>
      </c>
      <c r="E803" s="522">
        <f>'Input summary'!E803</f>
        <v>0</v>
      </c>
      <c r="F803" s="522">
        <f>'Input summary'!F803</f>
        <v>0</v>
      </c>
      <c r="G803" s="514"/>
      <c r="H803" s="517"/>
      <c r="I803" s="529" t="s">
        <v>5</v>
      </c>
      <c r="J803" s="522">
        <f t="shared" si="144"/>
        <v>0</v>
      </c>
      <c r="K803" s="522">
        <f t="shared" si="140"/>
        <v>0</v>
      </c>
      <c r="L803" s="522">
        <f t="shared" si="141"/>
        <v>0</v>
      </c>
      <c r="M803" s="522">
        <f t="shared" si="142"/>
        <v>0</v>
      </c>
      <c r="N803" s="514"/>
    </row>
    <row r="804" spans="2:14" s="481" customFormat="1" x14ac:dyDescent="0.3">
      <c r="B804" s="493" t="s">
        <v>6</v>
      </c>
      <c r="C804" s="522">
        <f t="shared" si="143"/>
        <v>0</v>
      </c>
      <c r="D804" s="522">
        <f>'Input summary'!D804</f>
        <v>0</v>
      </c>
      <c r="E804" s="522">
        <f>'Input summary'!E804</f>
        <v>0</v>
      </c>
      <c r="F804" s="522">
        <f>'Input summary'!F804</f>
        <v>0</v>
      </c>
      <c r="G804" s="514"/>
      <c r="H804" s="517"/>
      <c r="I804" s="529" t="s">
        <v>6</v>
      </c>
      <c r="J804" s="522">
        <f t="shared" si="144"/>
        <v>0</v>
      </c>
      <c r="K804" s="522">
        <f t="shared" si="140"/>
        <v>0</v>
      </c>
      <c r="L804" s="522">
        <f t="shared" si="141"/>
        <v>0</v>
      </c>
      <c r="M804" s="522">
        <f t="shared" si="142"/>
        <v>0</v>
      </c>
      <c r="N804" s="514"/>
    </row>
    <row r="805" spans="2:14" s="481" customFormat="1" x14ac:dyDescent="0.3">
      <c r="B805" s="493" t="s">
        <v>7</v>
      </c>
      <c r="C805" s="522">
        <f t="shared" si="143"/>
        <v>0</v>
      </c>
      <c r="D805" s="522">
        <f>'Input summary'!D805</f>
        <v>0</v>
      </c>
      <c r="E805" s="522">
        <f>'Input summary'!E805</f>
        <v>0</v>
      </c>
      <c r="F805" s="522">
        <f>'Input summary'!F805</f>
        <v>0</v>
      </c>
      <c r="G805" s="514"/>
      <c r="H805" s="517"/>
      <c r="I805" s="529" t="s">
        <v>7</v>
      </c>
      <c r="J805" s="522">
        <f t="shared" si="144"/>
        <v>0</v>
      </c>
      <c r="K805" s="522">
        <f t="shared" si="140"/>
        <v>0</v>
      </c>
      <c r="L805" s="522">
        <f t="shared" si="141"/>
        <v>0</v>
      </c>
      <c r="M805" s="522">
        <f t="shared" si="142"/>
        <v>0</v>
      </c>
      <c r="N805" s="514"/>
    </row>
    <row r="806" spans="2:14" s="481" customFormat="1" x14ac:dyDescent="0.3">
      <c r="B806" s="493" t="s">
        <v>1469</v>
      </c>
      <c r="C806" s="522">
        <f t="shared" si="143"/>
        <v>0</v>
      </c>
      <c r="D806" s="522">
        <f>'Input summary'!D806</f>
        <v>0</v>
      </c>
      <c r="E806" s="522">
        <f>'Input summary'!E806</f>
        <v>0</v>
      </c>
      <c r="F806" s="522">
        <f>'Input summary'!F806</f>
        <v>0</v>
      </c>
      <c r="G806" s="514"/>
      <c r="H806" s="517"/>
      <c r="I806" s="529" t="s">
        <v>1469</v>
      </c>
      <c r="J806" s="522">
        <f t="shared" si="144"/>
        <v>0</v>
      </c>
      <c r="K806" s="522">
        <f t="shared" si="140"/>
        <v>0</v>
      </c>
      <c r="L806" s="522">
        <f t="shared" si="141"/>
        <v>0</v>
      </c>
      <c r="M806" s="522">
        <f t="shared" si="142"/>
        <v>0</v>
      </c>
      <c r="N806" s="514"/>
    </row>
    <row r="807" spans="2:14" s="481" customFormat="1" x14ac:dyDescent="0.3">
      <c r="B807" s="498" t="s">
        <v>227</v>
      </c>
      <c r="C807" s="496"/>
      <c r="D807" s="496">
        <f>'Input summary'!D807</f>
        <v>0</v>
      </c>
      <c r="E807" s="496">
        <f>'Input summary'!E807</f>
        <v>0</v>
      </c>
      <c r="F807" s="496">
        <f>'Input summary'!F807</f>
        <v>0</v>
      </c>
      <c r="G807" s="496"/>
      <c r="I807" s="534" t="s">
        <v>227</v>
      </c>
      <c r="J807" s="598"/>
      <c r="K807" s="598"/>
      <c r="L807" s="598"/>
      <c r="M807" s="598"/>
      <c r="N807" s="496"/>
    </row>
    <row r="808" spans="2:14" s="481" customFormat="1" x14ac:dyDescent="0.3">
      <c r="B808" s="490" t="s">
        <v>1437</v>
      </c>
      <c r="C808" s="522">
        <f t="shared" si="143"/>
        <v>0</v>
      </c>
      <c r="D808" s="522">
        <f>'Input summary'!D808</f>
        <v>0</v>
      </c>
      <c r="E808" s="522">
        <f>'Input summary'!E808</f>
        <v>0</v>
      </c>
      <c r="F808" s="522">
        <f>'Input summary'!F808</f>
        <v>0</v>
      </c>
      <c r="G808" s="545"/>
      <c r="I808" s="535" t="s">
        <v>1437</v>
      </c>
      <c r="J808" s="522">
        <f t="shared" si="144"/>
        <v>0</v>
      </c>
      <c r="K808" s="522">
        <f t="shared" si="140"/>
        <v>0</v>
      </c>
      <c r="L808" s="522">
        <f t="shared" si="141"/>
        <v>0</v>
      </c>
      <c r="M808" s="522">
        <f t="shared" si="142"/>
        <v>0</v>
      </c>
      <c r="N808" s="545"/>
    </row>
    <row r="809" spans="2:14" s="481" customFormat="1" x14ac:dyDescent="0.3">
      <c r="B809" s="490" t="s">
        <v>1438</v>
      </c>
      <c r="C809" s="522">
        <f t="shared" si="143"/>
        <v>0</v>
      </c>
      <c r="D809" s="522">
        <f>'Input summary'!D809</f>
        <v>0</v>
      </c>
      <c r="E809" s="522">
        <f>'Input summary'!E809</f>
        <v>0</v>
      </c>
      <c r="F809" s="522">
        <f>'Input summary'!F809</f>
        <v>0</v>
      </c>
      <c r="G809" s="545"/>
      <c r="I809" s="535" t="s">
        <v>1438</v>
      </c>
      <c r="J809" s="522">
        <f t="shared" si="144"/>
        <v>0</v>
      </c>
      <c r="K809" s="522">
        <f t="shared" si="140"/>
        <v>0</v>
      </c>
      <c r="L809" s="522">
        <f t="shared" si="141"/>
        <v>0</v>
      </c>
      <c r="M809" s="522">
        <f t="shared" si="142"/>
        <v>0</v>
      </c>
      <c r="N809" s="545"/>
    </row>
    <row r="810" spans="2:14" s="481" customFormat="1" x14ac:dyDescent="0.3">
      <c r="B810" s="490" t="s">
        <v>1441</v>
      </c>
      <c r="C810" s="522">
        <f t="shared" si="143"/>
        <v>0</v>
      </c>
      <c r="D810" s="522">
        <f>'Input summary'!D810</f>
        <v>0</v>
      </c>
      <c r="E810" s="522">
        <f>'Input summary'!E810</f>
        <v>0</v>
      </c>
      <c r="F810" s="522">
        <f>'Input summary'!F810</f>
        <v>0</v>
      </c>
      <c r="G810" s="545"/>
      <c r="I810" s="535" t="s">
        <v>1441</v>
      </c>
      <c r="J810" s="522">
        <f t="shared" si="144"/>
        <v>0</v>
      </c>
      <c r="K810" s="522">
        <f t="shared" si="140"/>
        <v>0</v>
      </c>
      <c r="L810" s="522">
        <f t="shared" si="141"/>
        <v>0</v>
      </c>
      <c r="M810" s="522">
        <f t="shared" si="142"/>
        <v>0</v>
      </c>
      <c r="N810" s="545"/>
    </row>
    <row r="811" spans="2:14" s="481" customFormat="1" x14ac:dyDescent="0.3">
      <c r="B811" s="490" t="s">
        <v>1442</v>
      </c>
      <c r="C811" s="522">
        <f t="shared" si="143"/>
        <v>0</v>
      </c>
      <c r="D811" s="522">
        <f>'Input summary'!D811</f>
        <v>0</v>
      </c>
      <c r="E811" s="522">
        <f>'Input summary'!E811</f>
        <v>0</v>
      </c>
      <c r="F811" s="522">
        <f>'Input summary'!F811</f>
        <v>0</v>
      </c>
      <c r="G811" s="545"/>
      <c r="I811" s="535" t="s">
        <v>1442</v>
      </c>
      <c r="J811" s="522">
        <f t="shared" si="144"/>
        <v>0</v>
      </c>
      <c r="K811" s="522">
        <f t="shared" si="140"/>
        <v>0</v>
      </c>
      <c r="L811" s="522">
        <f t="shared" si="141"/>
        <v>0</v>
      </c>
      <c r="M811" s="522">
        <f t="shared" si="142"/>
        <v>0</v>
      </c>
      <c r="N811" s="545"/>
    </row>
    <row r="812" spans="2:14" s="481" customFormat="1" x14ac:dyDescent="0.3">
      <c r="B812" s="498" t="s">
        <v>920</v>
      </c>
      <c r="C812" s="496"/>
      <c r="D812" s="496">
        <f>'Input summary'!D812</f>
        <v>0</v>
      </c>
      <c r="E812" s="496">
        <f>'Input summary'!E812</f>
        <v>0</v>
      </c>
      <c r="F812" s="496">
        <f>'Input summary'!F812</f>
        <v>0</v>
      </c>
      <c r="G812" s="496"/>
      <c r="I812" s="534" t="s">
        <v>920</v>
      </c>
      <c r="J812" s="598"/>
      <c r="K812" s="598"/>
      <c r="L812" s="598"/>
      <c r="M812" s="598"/>
      <c r="N812" s="496"/>
    </row>
    <row r="813" spans="2:14" s="481" customFormat="1" x14ac:dyDescent="0.3">
      <c r="B813" s="490" t="s">
        <v>920</v>
      </c>
      <c r="C813" s="522">
        <f t="shared" si="143"/>
        <v>0</v>
      </c>
      <c r="D813" s="522">
        <f>'Input summary'!D813</f>
        <v>0</v>
      </c>
      <c r="E813" s="522">
        <f>'Input summary'!E813</f>
        <v>0</v>
      </c>
      <c r="F813" s="522">
        <f>'Input summary'!F813</f>
        <v>0</v>
      </c>
      <c r="G813" s="545"/>
      <c r="I813" s="535" t="s">
        <v>920</v>
      </c>
      <c r="J813" s="522">
        <f t="shared" si="144"/>
        <v>0</v>
      </c>
      <c r="K813" s="522">
        <f t="shared" si="140"/>
        <v>0</v>
      </c>
      <c r="L813" s="522">
        <f t="shared" si="141"/>
        <v>0</v>
      </c>
      <c r="M813" s="522">
        <f t="shared" si="142"/>
        <v>0</v>
      </c>
      <c r="N813" s="545"/>
    </row>
    <row r="814" spans="2:14" s="481" customFormat="1" x14ac:dyDescent="0.3">
      <c r="B814" s="490" t="s">
        <v>980</v>
      </c>
      <c r="C814" s="522">
        <f t="shared" si="143"/>
        <v>0</v>
      </c>
      <c r="D814" s="522">
        <f>'Input summary'!D814</f>
        <v>0</v>
      </c>
      <c r="E814" s="522">
        <f>'Input summary'!E814</f>
        <v>0</v>
      </c>
      <c r="F814" s="522">
        <f>'Input summary'!F814</f>
        <v>0</v>
      </c>
      <c r="G814" s="545"/>
      <c r="I814" s="535" t="s">
        <v>980</v>
      </c>
      <c r="J814" s="522">
        <f t="shared" si="144"/>
        <v>0</v>
      </c>
      <c r="K814" s="522">
        <f t="shared" si="140"/>
        <v>0</v>
      </c>
      <c r="L814" s="522">
        <f t="shared" si="141"/>
        <v>0</v>
      </c>
      <c r="M814" s="522">
        <f t="shared" si="142"/>
        <v>0</v>
      </c>
      <c r="N814" s="545"/>
    </row>
    <row r="815" spans="2:14" s="481" customFormat="1" x14ac:dyDescent="0.3">
      <c r="B815" s="547"/>
    </row>
    <row r="816" spans="2:14" s="481" customFormat="1" x14ac:dyDescent="0.3">
      <c r="B816" s="543" t="s">
        <v>1547</v>
      </c>
      <c r="C816" s="483"/>
      <c r="D816" s="483"/>
      <c r="E816" s="483"/>
      <c r="F816" s="483"/>
      <c r="G816" s="483"/>
      <c r="I816" s="543" t="s">
        <v>1548</v>
      </c>
      <c r="J816" s="519"/>
      <c r="K816" s="519"/>
      <c r="L816" s="519"/>
      <c r="M816" s="519"/>
      <c r="N816" s="519"/>
    </row>
    <row r="817" spans="2:14" s="481" customFormat="1" x14ac:dyDescent="0.3">
      <c r="B817" s="484" t="s">
        <v>950</v>
      </c>
      <c r="C817" s="485" t="s">
        <v>724</v>
      </c>
      <c r="D817" s="485" t="s">
        <v>995</v>
      </c>
      <c r="E817" s="485" t="s">
        <v>985</v>
      </c>
      <c r="F817" s="485" t="s">
        <v>986</v>
      </c>
      <c r="G817" s="485" t="s">
        <v>996</v>
      </c>
      <c r="I817" s="484" t="s">
        <v>950</v>
      </c>
      <c r="J817" s="485" t="s">
        <v>724</v>
      </c>
      <c r="K817" s="484" t="s">
        <v>995</v>
      </c>
      <c r="L817" s="485" t="s">
        <v>985</v>
      </c>
      <c r="M817" s="485" t="s">
        <v>986</v>
      </c>
      <c r="N817" s="485" t="s">
        <v>996</v>
      </c>
    </row>
    <row r="818" spans="2:14" s="481" customFormat="1" x14ac:dyDescent="0.3">
      <c r="B818" s="487" t="s">
        <v>1445</v>
      </c>
      <c r="I818" s="487" t="s">
        <v>988</v>
      </c>
    </row>
    <row r="819" spans="2:14" s="481" customFormat="1" x14ac:dyDescent="0.3">
      <c r="B819" s="493" t="s">
        <v>2</v>
      </c>
      <c r="C819" s="522">
        <f>IF(AND('PSA inputs'!$I$867=1,'PSA inputs'!$I$919=1),G819,D819)</f>
        <v>0</v>
      </c>
      <c r="D819" s="522">
        <f>'Input summary'!D819</f>
        <v>0</v>
      </c>
      <c r="E819" s="522">
        <f>'Input summary'!E819</f>
        <v>0</v>
      </c>
      <c r="F819" s="522">
        <f>'Input summary'!F819</f>
        <v>0</v>
      </c>
      <c r="G819" s="545"/>
      <c r="I819" s="529" t="s">
        <v>2</v>
      </c>
      <c r="J819" s="522">
        <f>C819</f>
        <v>0</v>
      </c>
      <c r="K819" s="522">
        <f t="shared" ref="K819:K825" si="145">D819</f>
        <v>0</v>
      </c>
      <c r="L819" s="522">
        <f t="shared" ref="L819:L825" si="146">E819</f>
        <v>0</v>
      </c>
      <c r="M819" s="522">
        <f t="shared" ref="M819:M825" si="147">F819</f>
        <v>0</v>
      </c>
      <c r="N819" s="545"/>
    </row>
    <row r="820" spans="2:14" s="481" customFormat="1" x14ac:dyDescent="0.3">
      <c r="B820" s="493" t="s">
        <v>3</v>
      </c>
      <c r="C820" s="522">
        <f>IF(AND('PSA inputs'!$I$867=1,'PSA inputs'!$I$919=1),G820,D820)</f>
        <v>0</v>
      </c>
      <c r="D820" s="522">
        <f>'Input summary'!D820</f>
        <v>0</v>
      </c>
      <c r="E820" s="522">
        <f>'Input summary'!E820</f>
        <v>0</v>
      </c>
      <c r="F820" s="522">
        <f>'Input summary'!F820</f>
        <v>0</v>
      </c>
      <c r="G820" s="545"/>
      <c r="I820" s="529" t="s">
        <v>3</v>
      </c>
      <c r="J820" s="522">
        <f t="shared" ref="J820:J825" si="148">C820</f>
        <v>0</v>
      </c>
      <c r="K820" s="522">
        <f t="shared" si="145"/>
        <v>0</v>
      </c>
      <c r="L820" s="522">
        <f t="shared" si="146"/>
        <v>0</v>
      </c>
      <c r="M820" s="522">
        <f t="shared" si="147"/>
        <v>0</v>
      </c>
      <c r="N820" s="545"/>
    </row>
    <row r="821" spans="2:14" s="481" customFormat="1" x14ac:dyDescent="0.3">
      <c r="B821" s="493" t="s">
        <v>4</v>
      </c>
      <c r="C821" s="522">
        <f>IF(AND('PSA inputs'!$I$867=1,'PSA inputs'!$I$919=1),G821,D821)</f>
        <v>0</v>
      </c>
      <c r="D821" s="522">
        <f>'Input summary'!D821</f>
        <v>0</v>
      </c>
      <c r="E821" s="522">
        <f>'Input summary'!E821</f>
        <v>0</v>
      </c>
      <c r="F821" s="522">
        <f>'Input summary'!F821</f>
        <v>0</v>
      </c>
      <c r="G821" s="545"/>
      <c r="I821" s="529" t="s">
        <v>4</v>
      </c>
      <c r="J821" s="522">
        <f t="shared" si="148"/>
        <v>0</v>
      </c>
      <c r="K821" s="522">
        <f t="shared" si="145"/>
        <v>0</v>
      </c>
      <c r="L821" s="522">
        <f t="shared" si="146"/>
        <v>0</v>
      </c>
      <c r="M821" s="522">
        <f t="shared" si="147"/>
        <v>0</v>
      </c>
      <c r="N821" s="545"/>
    </row>
    <row r="822" spans="2:14" s="481" customFormat="1" x14ac:dyDescent="0.3">
      <c r="B822" s="493" t="s">
        <v>5</v>
      </c>
      <c r="C822" s="522">
        <f>IF(AND('PSA inputs'!$I$867=1,'PSA inputs'!$I$919=1),G822,D822)</f>
        <v>0</v>
      </c>
      <c r="D822" s="522">
        <f>'Input summary'!D822</f>
        <v>0</v>
      </c>
      <c r="E822" s="522">
        <f>'Input summary'!E822</f>
        <v>0</v>
      </c>
      <c r="F822" s="522">
        <f>'Input summary'!F822</f>
        <v>0</v>
      </c>
      <c r="G822" s="545"/>
      <c r="I822" s="529" t="s">
        <v>5</v>
      </c>
      <c r="J822" s="522">
        <f t="shared" si="148"/>
        <v>0</v>
      </c>
      <c r="K822" s="522">
        <f t="shared" si="145"/>
        <v>0</v>
      </c>
      <c r="L822" s="522">
        <f t="shared" si="146"/>
        <v>0</v>
      </c>
      <c r="M822" s="522">
        <f t="shared" si="147"/>
        <v>0</v>
      </c>
      <c r="N822" s="545"/>
    </row>
    <row r="823" spans="2:14" s="481" customFormat="1" x14ac:dyDescent="0.3">
      <c r="B823" s="493" t="s">
        <v>6</v>
      </c>
      <c r="C823" s="522">
        <f>IF(AND('PSA inputs'!$I$867=1,'PSA inputs'!$I$919=1),G823,D823)</f>
        <v>0</v>
      </c>
      <c r="D823" s="522">
        <f>'Input summary'!D823</f>
        <v>0</v>
      </c>
      <c r="E823" s="522">
        <f>'Input summary'!E823</f>
        <v>0</v>
      </c>
      <c r="F823" s="522">
        <f>'Input summary'!F823</f>
        <v>0</v>
      </c>
      <c r="G823" s="545"/>
      <c r="I823" s="529" t="s">
        <v>6</v>
      </c>
      <c r="J823" s="522">
        <f t="shared" si="148"/>
        <v>0</v>
      </c>
      <c r="K823" s="522">
        <f t="shared" si="145"/>
        <v>0</v>
      </c>
      <c r="L823" s="522">
        <f t="shared" si="146"/>
        <v>0</v>
      </c>
      <c r="M823" s="522">
        <f t="shared" si="147"/>
        <v>0</v>
      </c>
      <c r="N823" s="545"/>
    </row>
    <row r="824" spans="2:14" s="481" customFormat="1" x14ac:dyDescent="0.3">
      <c r="B824" s="493" t="s">
        <v>7</v>
      </c>
      <c r="C824" s="522">
        <f>IF(AND('PSA inputs'!$I$867=1,'PSA inputs'!$I$919=1),G824,D824)</f>
        <v>0</v>
      </c>
      <c r="D824" s="522">
        <f>'Input summary'!D824</f>
        <v>0</v>
      </c>
      <c r="E824" s="522">
        <f>'Input summary'!E824</f>
        <v>0</v>
      </c>
      <c r="F824" s="522">
        <f>'Input summary'!F824</f>
        <v>0</v>
      </c>
      <c r="G824" s="545"/>
      <c r="I824" s="529" t="s">
        <v>7</v>
      </c>
      <c r="J824" s="522">
        <f t="shared" si="148"/>
        <v>0</v>
      </c>
      <c r="K824" s="522">
        <f t="shared" si="145"/>
        <v>0</v>
      </c>
      <c r="L824" s="522">
        <f t="shared" si="146"/>
        <v>0</v>
      </c>
      <c r="M824" s="522">
        <f t="shared" si="147"/>
        <v>0</v>
      </c>
      <c r="N824" s="545"/>
    </row>
    <row r="825" spans="2:14" s="481" customFormat="1" x14ac:dyDescent="0.3">
      <c r="B825" s="493" t="s">
        <v>1469</v>
      </c>
      <c r="C825" s="522">
        <f>IF(AND('PSA inputs'!$I$867=1,'PSA inputs'!$I$919=1),G825,D825)</f>
        <v>0</v>
      </c>
      <c r="D825" s="522">
        <f>'Input summary'!D825</f>
        <v>0</v>
      </c>
      <c r="E825" s="522">
        <f>'Input summary'!E825</f>
        <v>0</v>
      </c>
      <c r="F825" s="522">
        <f>'Input summary'!F825</f>
        <v>0</v>
      </c>
      <c r="G825" s="545"/>
      <c r="I825" s="529" t="s">
        <v>1469</v>
      </c>
      <c r="J825" s="522">
        <f t="shared" si="148"/>
        <v>0</v>
      </c>
      <c r="K825" s="522">
        <f t="shared" si="145"/>
        <v>0</v>
      </c>
      <c r="L825" s="522">
        <f t="shared" si="146"/>
        <v>0</v>
      </c>
      <c r="M825" s="522">
        <f t="shared" si="147"/>
        <v>0</v>
      </c>
      <c r="N825" s="545"/>
    </row>
    <row r="826" spans="2:14" s="481" customFormat="1" x14ac:dyDescent="0.3">
      <c r="B826" s="487" t="s">
        <v>1444</v>
      </c>
      <c r="C826" s="496"/>
      <c r="D826" s="496"/>
      <c r="E826" s="496"/>
      <c r="F826" s="496"/>
      <c r="G826" s="496"/>
      <c r="H826" s="517"/>
      <c r="I826" s="532" t="s">
        <v>988</v>
      </c>
      <c r="J826" s="598"/>
      <c r="K826" s="598"/>
      <c r="L826" s="598"/>
      <c r="M826" s="598"/>
      <c r="N826" s="496"/>
    </row>
    <row r="827" spans="2:14" s="481" customFormat="1" x14ac:dyDescent="0.3">
      <c r="B827" s="493" t="s">
        <v>2</v>
      </c>
      <c r="C827" s="522">
        <f>IF(AND('PSA inputs'!$I$867=1,'PSA inputs'!$I$919=1),G827,D827)</f>
        <v>0</v>
      </c>
      <c r="D827" s="522">
        <f>'Input summary'!D827</f>
        <v>0</v>
      </c>
      <c r="E827" s="522">
        <f>'Input summary'!E827</f>
        <v>0</v>
      </c>
      <c r="F827" s="522">
        <f>'Input summary'!F827</f>
        <v>0</v>
      </c>
      <c r="G827" s="514"/>
      <c r="H827" s="517"/>
      <c r="I827" s="529" t="s">
        <v>2</v>
      </c>
      <c r="J827" s="522">
        <f t="shared" ref="J827:J833" si="149">C827</f>
        <v>0</v>
      </c>
      <c r="K827" s="522">
        <f t="shared" ref="K827:K833" si="150">D827</f>
        <v>0</v>
      </c>
      <c r="L827" s="522">
        <f t="shared" ref="L827:L833" si="151">E827</f>
        <v>0</v>
      </c>
      <c r="M827" s="522">
        <f t="shared" ref="M827:M833" si="152">F827</f>
        <v>0</v>
      </c>
      <c r="N827" s="514"/>
    </row>
    <row r="828" spans="2:14" s="481" customFormat="1" x14ac:dyDescent="0.3">
      <c r="B828" s="493" t="s">
        <v>3</v>
      </c>
      <c r="C828" s="522">
        <f>IF(AND('PSA inputs'!$I$867=1,'PSA inputs'!$I$919=1),G828,D828)</f>
        <v>0</v>
      </c>
      <c r="D828" s="522">
        <f>'Input summary'!D828</f>
        <v>0</v>
      </c>
      <c r="E828" s="522">
        <f>'Input summary'!E828</f>
        <v>0</v>
      </c>
      <c r="F828" s="522">
        <f>'Input summary'!F828</f>
        <v>0</v>
      </c>
      <c r="G828" s="514"/>
      <c r="H828" s="517"/>
      <c r="I828" s="529" t="s">
        <v>3</v>
      </c>
      <c r="J828" s="522">
        <f t="shared" si="149"/>
        <v>0</v>
      </c>
      <c r="K828" s="522">
        <f t="shared" si="150"/>
        <v>0</v>
      </c>
      <c r="L828" s="522">
        <f t="shared" si="151"/>
        <v>0</v>
      </c>
      <c r="M828" s="522">
        <f t="shared" si="152"/>
        <v>0</v>
      </c>
      <c r="N828" s="514"/>
    </row>
    <row r="829" spans="2:14" s="481" customFormat="1" x14ac:dyDescent="0.3">
      <c r="B829" s="493" t="s">
        <v>4</v>
      </c>
      <c r="C829" s="522">
        <f>IF(AND('PSA inputs'!$I$867=1,'PSA inputs'!$I$919=1),G829,D829)</f>
        <v>0</v>
      </c>
      <c r="D829" s="522">
        <f>'Input summary'!D829</f>
        <v>0</v>
      </c>
      <c r="E829" s="522">
        <f>'Input summary'!E829</f>
        <v>0</v>
      </c>
      <c r="F829" s="522">
        <f>'Input summary'!F829</f>
        <v>0</v>
      </c>
      <c r="G829" s="514"/>
      <c r="H829" s="517"/>
      <c r="I829" s="529" t="s">
        <v>4</v>
      </c>
      <c r="J829" s="522">
        <f t="shared" si="149"/>
        <v>0</v>
      </c>
      <c r="K829" s="522">
        <f t="shared" si="150"/>
        <v>0</v>
      </c>
      <c r="L829" s="522">
        <f t="shared" si="151"/>
        <v>0</v>
      </c>
      <c r="M829" s="522">
        <f t="shared" si="152"/>
        <v>0</v>
      </c>
      <c r="N829" s="514"/>
    </row>
    <row r="830" spans="2:14" s="481" customFormat="1" x14ac:dyDescent="0.3">
      <c r="B830" s="493" t="s">
        <v>5</v>
      </c>
      <c r="C830" s="522">
        <f>IF(AND('PSA inputs'!$I$867=1,'PSA inputs'!$I$919=1),G830,D830)</f>
        <v>0</v>
      </c>
      <c r="D830" s="522">
        <f>'Input summary'!D830</f>
        <v>0</v>
      </c>
      <c r="E830" s="522">
        <f>'Input summary'!E830</f>
        <v>0</v>
      </c>
      <c r="F830" s="522">
        <f>'Input summary'!F830</f>
        <v>0</v>
      </c>
      <c r="G830" s="514"/>
      <c r="H830" s="517"/>
      <c r="I830" s="529" t="s">
        <v>5</v>
      </c>
      <c r="J830" s="522">
        <f t="shared" si="149"/>
        <v>0</v>
      </c>
      <c r="K830" s="522">
        <f t="shared" si="150"/>
        <v>0</v>
      </c>
      <c r="L830" s="522">
        <f t="shared" si="151"/>
        <v>0</v>
      </c>
      <c r="M830" s="522">
        <f t="shared" si="152"/>
        <v>0</v>
      </c>
      <c r="N830" s="514"/>
    </row>
    <row r="831" spans="2:14" s="481" customFormat="1" x14ac:dyDescent="0.3">
      <c r="B831" s="493" t="s">
        <v>6</v>
      </c>
      <c r="C831" s="522">
        <f>IF(AND('PSA inputs'!$I$867=1,'PSA inputs'!$I$919=1),G831,D831)</f>
        <v>0</v>
      </c>
      <c r="D831" s="522">
        <f>'Input summary'!D831</f>
        <v>0</v>
      </c>
      <c r="E831" s="522">
        <f>'Input summary'!E831</f>
        <v>0</v>
      </c>
      <c r="F831" s="522">
        <f>'Input summary'!F831</f>
        <v>0</v>
      </c>
      <c r="G831" s="514"/>
      <c r="H831" s="517"/>
      <c r="I831" s="529" t="s">
        <v>6</v>
      </c>
      <c r="J831" s="522">
        <f t="shared" si="149"/>
        <v>0</v>
      </c>
      <c r="K831" s="522">
        <f t="shared" si="150"/>
        <v>0</v>
      </c>
      <c r="L831" s="522">
        <f t="shared" si="151"/>
        <v>0</v>
      </c>
      <c r="M831" s="522">
        <f t="shared" si="152"/>
        <v>0</v>
      </c>
      <c r="N831" s="514"/>
    </row>
    <row r="832" spans="2:14" s="481" customFormat="1" x14ac:dyDescent="0.3">
      <c r="B832" s="493" t="s">
        <v>7</v>
      </c>
      <c r="C832" s="522">
        <f>IF(AND('PSA inputs'!$I$867=1,'PSA inputs'!$I$919=1),G832,D832)</f>
        <v>0</v>
      </c>
      <c r="D832" s="522">
        <f>'Input summary'!D832</f>
        <v>0</v>
      </c>
      <c r="E832" s="522">
        <f>'Input summary'!E832</f>
        <v>0</v>
      </c>
      <c r="F832" s="522">
        <f>'Input summary'!F832</f>
        <v>0</v>
      </c>
      <c r="G832" s="514"/>
      <c r="H832" s="517"/>
      <c r="I832" s="529" t="s">
        <v>7</v>
      </c>
      <c r="J832" s="522">
        <f t="shared" si="149"/>
        <v>0</v>
      </c>
      <c r="K832" s="522">
        <f t="shared" si="150"/>
        <v>0</v>
      </c>
      <c r="L832" s="522">
        <f t="shared" si="151"/>
        <v>0</v>
      </c>
      <c r="M832" s="522">
        <f t="shared" si="152"/>
        <v>0</v>
      </c>
      <c r="N832" s="514"/>
    </row>
    <row r="833" spans="2:14" s="481" customFormat="1" x14ac:dyDescent="0.3">
      <c r="B833" s="493" t="s">
        <v>1469</v>
      </c>
      <c r="C833" s="522">
        <f>IF(AND('PSA inputs'!$I$867=1,'PSA inputs'!$I$919=1),G833,D833)</f>
        <v>0</v>
      </c>
      <c r="D833" s="522">
        <f>'Input summary'!D833</f>
        <v>0</v>
      </c>
      <c r="E833" s="522">
        <f>'Input summary'!E833</f>
        <v>0</v>
      </c>
      <c r="F833" s="522">
        <f>'Input summary'!F833</f>
        <v>0</v>
      </c>
      <c r="G833" s="514"/>
      <c r="H833" s="517"/>
      <c r="I833" s="529" t="s">
        <v>1469</v>
      </c>
      <c r="J833" s="522">
        <f t="shared" si="149"/>
        <v>0</v>
      </c>
      <c r="K833" s="522">
        <f t="shared" si="150"/>
        <v>0</v>
      </c>
      <c r="L833" s="522">
        <f t="shared" si="151"/>
        <v>0</v>
      </c>
      <c r="M833" s="522">
        <f t="shared" si="152"/>
        <v>0</v>
      </c>
      <c r="N833" s="514"/>
    </row>
    <row r="834" spans="2:14" s="481" customFormat="1" x14ac:dyDescent="0.3">
      <c r="B834" s="498" t="s">
        <v>227</v>
      </c>
      <c r="C834" s="496"/>
      <c r="D834" s="496"/>
      <c r="E834" s="496"/>
      <c r="F834" s="496"/>
      <c r="G834" s="496"/>
      <c r="I834" s="534" t="s">
        <v>227</v>
      </c>
      <c r="J834" s="598"/>
      <c r="K834" s="598"/>
      <c r="L834" s="598"/>
      <c r="M834" s="598"/>
      <c r="N834" s="496"/>
    </row>
    <row r="835" spans="2:14" s="481" customFormat="1" x14ac:dyDescent="0.3">
      <c r="B835" s="490" t="s">
        <v>1437</v>
      </c>
      <c r="C835" s="522">
        <f>IF(AND('PSA inputs'!$I$867=1,'PSA inputs'!$I$919=1),G835,D835)</f>
        <v>0</v>
      </c>
      <c r="D835" s="522">
        <f>'Input summary'!D835</f>
        <v>0</v>
      </c>
      <c r="E835" s="522">
        <f>'Input summary'!E835</f>
        <v>0</v>
      </c>
      <c r="F835" s="522">
        <f>'Input summary'!F835</f>
        <v>0</v>
      </c>
      <c r="G835" s="545"/>
      <c r="I835" s="535" t="s">
        <v>1437</v>
      </c>
      <c r="J835" s="522">
        <f t="shared" ref="J835:J838" si="153">C835</f>
        <v>0</v>
      </c>
      <c r="K835" s="522">
        <f t="shared" ref="K835:K838" si="154">D835</f>
        <v>0</v>
      </c>
      <c r="L835" s="522">
        <f t="shared" ref="L835:L838" si="155">E835</f>
        <v>0</v>
      </c>
      <c r="M835" s="522">
        <f t="shared" ref="M835:M838" si="156">F835</f>
        <v>0</v>
      </c>
      <c r="N835" s="545"/>
    </row>
    <row r="836" spans="2:14" s="481" customFormat="1" x14ac:dyDescent="0.3">
      <c r="B836" s="490" t="s">
        <v>1438</v>
      </c>
      <c r="C836" s="522">
        <f>IF(AND('PSA inputs'!$I$867=1,'PSA inputs'!$I$919=1),G836,D836)</f>
        <v>0</v>
      </c>
      <c r="D836" s="522">
        <f>'Input summary'!D836</f>
        <v>0</v>
      </c>
      <c r="E836" s="522">
        <f>'Input summary'!E836</f>
        <v>0</v>
      </c>
      <c r="F836" s="522">
        <f>'Input summary'!F836</f>
        <v>0</v>
      </c>
      <c r="G836" s="545"/>
      <c r="I836" s="535" t="s">
        <v>1438</v>
      </c>
      <c r="J836" s="522">
        <f t="shared" si="153"/>
        <v>0</v>
      </c>
      <c r="K836" s="522">
        <f t="shared" si="154"/>
        <v>0</v>
      </c>
      <c r="L836" s="522">
        <f t="shared" si="155"/>
        <v>0</v>
      </c>
      <c r="M836" s="522">
        <f t="shared" si="156"/>
        <v>0</v>
      </c>
      <c r="N836" s="545"/>
    </row>
    <row r="837" spans="2:14" s="481" customFormat="1" x14ac:dyDescent="0.3">
      <c r="B837" s="490" t="s">
        <v>1441</v>
      </c>
      <c r="C837" s="522">
        <f>IF(AND('PSA inputs'!$I$867=1,'PSA inputs'!$I$919=1),G837,D837)</f>
        <v>0</v>
      </c>
      <c r="D837" s="522">
        <f>'Input summary'!D837</f>
        <v>0</v>
      </c>
      <c r="E837" s="522">
        <f>'Input summary'!E837</f>
        <v>0</v>
      </c>
      <c r="F837" s="522">
        <f>'Input summary'!F837</f>
        <v>0</v>
      </c>
      <c r="G837" s="545"/>
      <c r="I837" s="535" t="s">
        <v>1441</v>
      </c>
      <c r="J837" s="522">
        <f t="shared" si="153"/>
        <v>0</v>
      </c>
      <c r="K837" s="522">
        <f t="shared" si="154"/>
        <v>0</v>
      </c>
      <c r="L837" s="522">
        <f t="shared" si="155"/>
        <v>0</v>
      </c>
      <c r="M837" s="522">
        <f t="shared" si="156"/>
        <v>0</v>
      </c>
      <c r="N837" s="545"/>
    </row>
    <row r="838" spans="2:14" s="481" customFormat="1" x14ac:dyDescent="0.3">
      <c r="B838" s="490" t="s">
        <v>1442</v>
      </c>
      <c r="C838" s="522">
        <f>IF(AND('PSA inputs'!$I$867=1,'PSA inputs'!$I$919=1),G838,D838)</f>
        <v>0</v>
      </c>
      <c r="D838" s="522">
        <f>'Input summary'!D838</f>
        <v>0</v>
      </c>
      <c r="E838" s="522">
        <f>'Input summary'!E838</f>
        <v>0</v>
      </c>
      <c r="F838" s="522">
        <f>'Input summary'!F838</f>
        <v>0</v>
      </c>
      <c r="G838" s="545"/>
      <c r="I838" s="535" t="s">
        <v>1442</v>
      </c>
      <c r="J838" s="522">
        <f t="shared" si="153"/>
        <v>0</v>
      </c>
      <c r="K838" s="522">
        <f t="shared" si="154"/>
        <v>0</v>
      </c>
      <c r="L838" s="522">
        <f t="shared" si="155"/>
        <v>0</v>
      </c>
      <c r="M838" s="522">
        <f t="shared" si="156"/>
        <v>0</v>
      </c>
      <c r="N838" s="545"/>
    </row>
    <row r="839" spans="2:14" s="481" customFormat="1" x14ac:dyDescent="0.3">
      <c r="B839" s="498" t="s">
        <v>920</v>
      </c>
      <c r="C839" s="496"/>
      <c r="D839" s="496"/>
      <c r="E839" s="496"/>
      <c r="F839" s="496"/>
      <c r="G839" s="496"/>
      <c r="I839" s="534" t="s">
        <v>920</v>
      </c>
      <c r="J839" s="598"/>
      <c r="K839" s="598"/>
      <c r="L839" s="598"/>
      <c r="M839" s="598"/>
      <c r="N839" s="496"/>
    </row>
    <row r="840" spans="2:14" s="481" customFormat="1" x14ac:dyDescent="0.3">
      <c r="B840" s="490" t="s">
        <v>920</v>
      </c>
      <c r="C840" s="522">
        <f>IF(AND('PSA inputs'!$I$867=1,'PSA inputs'!$I$919=1),G840,D840)</f>
        <v>0</v>
      </c>
      <c r="D840" s="522">
        <f>'Input summary'!D840</f>
        <v>0</v>
      </c>
      <c r="E840" s="522">
        <f>'Input summary'!E840</f>
        <v>0</v>
      </c>
      <c r="F840" s="522">
        <f>'Input summary'!F840</f>
        <v>0</v>
      </c>
      <c r="G840" s="545"/>
      <c r="I840" s="535" t="s">
        <v>920</v>
      </c>
      <c r="J840" s="522">
        <f t="shared" ref="J840:J841" si="157">C840</f>
        <v>0</v>
      </c>
      <c r="K840" s="522">
        <f t="shared" ref="K840:K841" si="158">D840</f>
        <v>0</v>
      </c>
      <c r="L840" s="522">
        <f t="shared" ref="L840:L841" si="159">E840</f>
        <v>0</v>
      </c>
      <c r="M840" s="522">
        <f t="shared" ref="M840:M841" si="160">F840</f>
        <v>0</v>
      </c>
      <c r="N840" s="545"/>
    </row>
    <row r="841" spans="2:14" s="481" customFormat="1" x14ac:dyDescent="0.3">
      <c r="B841" s="490" t="s">
        <v>980</v>
      </c>
      <c r="C841" s="522">
        <f>IF(AND('PSA inputs'!$I$867=1,'PSA inputs'!$I$919=1),G841,D841)</f>
        <v>0</v>
      </c>
      <c r="D841" s="522">
        <f>'Input summary'!D841</f>
        <v>0</v>
      </c>
      <c r="E841" s="522">
        <f>'Input summary'!E841</f>
        <v>0</v>
      </c>
      <c r="F841" s="522">
        <f>'Input summary'!F841</f>
        <v>0</v>
      </c>
      <c r="G841" s="545"/>
      <c r="I841" s="535" t="s">
        <v>980</v>
      </c>
      <c r="J841" s="522">
        <f t="shared" si="157"/>
        <v>0</v>
      </c>
      <c r="K841" s="522">
        <f t="shared" si="158"/>
        <v>0</v>
      </c>
      <c r="L841" s="522">
        <f t="shared" si="159"/>
        <v>0</v>
      </c>
      <c r="M841" s="522">
        <f t="shared" si="160"/>
        <v>0</v>
      </c>
      <c r="N841" s="545"/>
    </row>
    <row r="842" spans="2:14" s="481" customFormat="1" x14ac:dyDescent="0.3">
      <c r="B842" s="547"/>
    </row>
    <row r="843" spans="2:14" ht="21" x14ac:dyDescent="0.3">
      <c r="B843" s="307" t="s">
        <v>973</v>
      </c>
      <c r="C843" s="302"/>
      <c r="D843" s="302"/>
      <c r="E843" s="302"/>
      <c r="F843" s="302"/>
      <c r="G843" s="356"/>
    </row>
    <row r="844" spans="2:14" x14ac:dyDescent="0.3">
      <c r="B844" s="17" t="s">
        <v>1</v>
      </c>
      <c r="C844" s="684" t="s">
        <v>248</v>
      </c>
      <c r="D844" s="684" t="s">
        <v>544</v>
      </c>
      <c r="E844" s="684" t="s">
        <v>246</v>
      </c>
      <c r="F844" s="684" t="s">
        <v>545</v>
      </c>
      <c r="G844" s="684" t="s">
        <v>546</v>
      </c>
    </row>
    <row r="845" spans="2:14" x14ac:dyDescent="0.3">
      <c r="B845" s="315" t="s">
        <v>1445</v>
      </c>
      <c r="I845" s="451" t="s">
        <v>680</v>
      </c>
    </row>
    <row r="846" spans="2:14" x14ac:dyDescent="0.3">
      <c r="B846" s="313" t="s">
        <v>2</v>
      </c>
      <c r="C846" s="340">
        <f>'Input summary'!C846</f>
        <v>0.75</v>
      </c>
      <c r="D846" s="340">
        <f>'Input summary'!D846</f>
        <v>63.242588803029129</v>
      </c>
      <c r="E846" s="340">
        <f>'Input summary'!E846</f>
        <v>19.175965306051872</v>
      </c>
      <c r="F846" s="340">
        <f>'Input summary'!F846</f>
        <v>44.260797126739924</v>
      </c>
      <c r="G846" s="340">
        <f>'Input summary'!G846</f>
        <v>14.943566765073864</v>
      </c>
      <c r="I846" s="452" t="s">
        <v>681</v>
      </c>
    </row>
    <row r="847" spans="2:14" x14ac:dyDescent="0.3">
      <c r="B847" s="313" t="s">
        <v>3</v>
      </c>
      <c r="C847" s="340">
        <f>'Input summary'!C847</f>
        <v>1.5</v>
      </c>
      <c r="D847" s="340">
        <f>'Input summary'!D847</f>
        <v>62.924657046299728</v>
      </c>
      <c r="E847" s="340">
        <f>'Input summary'!E847</f>
        <v>19.349573642021696</v>
      </c>
      <c r="F847" s="340">
        <f>'Input summary'!F847</f>
        <v>43.852403461945975</v>
      </c>
      <c r="G847" s="340">
        <f>'Input summary'!G847</f>
        <v>14.988303607074638</v>
      </c>
    </row>
    <row r="848" spans="2:14" x14ac:dyDescent="0.3">
      <c r="B848" s="313" t="s">
        <v>4</v>
      </c>
      <c r="C848" s="340">
        <f>'Input summary'!C848</f>
        <v>3</v>
      </c>
      <c r="D848" s="340">
        <f>'Input summary'!D848</f>
        <v>61.656636902696874</v>
      </c>
      <c r="E848" s="340">
        <f>'Input summary'!E848</f>
        <v>19.297693868499458</v>
      </c>
      <c r="F848" s="340">
        <f>'Input summary'!F848</f>
        <v>42.742762947974903</v>
      </c>
      <c r="G848" s="340">
        <f>'Input summary'!G848</f>
        <v>14.832675725498362</v>
      </c>
    </row>
    <row r="849" spans="2:15" x14ac:dyDescent="0.3">
      <c r="B849" s="313" t="s">
        <v>5</v>
      </c>
      <c r="C849" s="340">
        <f>'Input summary'!C849</f>
        <v>9.5</v>
      </c>
      <c r="D849" s="340">
        <f>'Input summary'!D849</f>
        <v>55.670967444057503</v>
      </c>
      <c r="E849" s="340">
        <f>'Input summary'!E849</f>
        <v>18.859904145583634</v>
      </c>
      <c r="F849" s="340">
        <f>'Input summary'!F849</f>
        <v>37.724750020024487</v>
      </c>
      <c r="G849" s="340">
        <f>'Input summary'!G849</f>
        <v>14.033613467272861</v>
      </c>
    </row>
    <row r="850" spans="2:15" x14ac:dyDescent="0.3">
      <c r="B850" s="313" t="s">
        <v>6</v>
      </c>
      <c r="C850" s="340">
        <f>'Input summary'!C850</f>
        <v>38.036343947054299</v>
      </c>
      <c r="D850" s="340">
        <f>'Input summary'!D850</f>
        <v>30.332301348908373</v>
      </c>
      <c r="E850" s="340">
        <f>'Input summary'!E850</f>
        <v>14.973909606551734</v>
      </c>
      <c r="F850" s="340">
        <f>'Input summary'!F850</f>
        <v>18.283688511859314</v>
      </c>
      <c r="G850" s="340">
        <f>'Input summary'!G850</f>
        <v>9.448589975775521</v>
      </c>
    </row>
    <row r="851" spans="2:15" x14ac:dyDescent="0.3">
      <c r="B851" s="313" t="s">
        <v>7</v>
      </c>
      <c r="C851" s="340">
        <f>'Input summary'!C851</f>
        <v>58.142605429150485</v>
      </c>
      <c r="D851" s="340">
        <f>'Input summary'!D851</f>
        <v>16.663657932552432</v>
      </c>
      <c r="E851" s="340">
        <f>'Input summary'!E851</f>
        <v>10.737128352021761</v>
      </c>
      <c r="F851" s="340">
        <f>'Input summary'!F851</f>
        <v>9.2012352414126983</v>
      </c>
      <c r="G851" s="340">
        <f>'Input summary'!G851</f>
        <v>6.0480472719114662</v>
      </c>
    </row>
    <row r="852" spans="2:15" x14ac:dyDescent="0.3">
      <c r="B852" s="313" t="s">
        <v>11</v>
      </c>
      <c r="C852" s="340">
        <f>'Input summary'!C852</f>
        <v>77.803092976258668</v>
      </c>
      <c r="D852" s="340">
        <f>'Input summary'!D852</f>
        <v>7.6709164280651745</v>
      </c>
      <c r="E852" s="340">
        <f>'Input summary'!E852</f>
        <v>6.1187281366196951</v>
      </c>
      <c r="F852" s="340">
        <f>'Input summary'!F852</f>
        <v>4.0109687819067172</v>
      </c>
      <c r="G852" s="340">
        <f>'Input summary'!G852</f>
        <v>3.1993605680757051</v>
      </c>
    </row>
    <row r="853" spans="2:15" x14ac:dyDescent="0.3">
      <c r="B853" s="315" t="s">
        <v>1444</v>
      </c>
      <c r="C853" s="456"/>
      <c r="D853" s="346"/>
      <c r="E853" s="346"/>
      <c r="F853" s="346"/>
      <c r="G853" s="346"/>
      <c r="H853" s="322"/>
      <c r="I853" s="441"/>
    </row>
    <row r="854" spans="2:15" x14ac:dyDescent="0.3">
      <c r="B854" s="313" t="s">
        <v>2</v>
      </c>
      <c r="C854" s="340">
        <f>'Input summary'!C854</f>
        <v>0.75</v>
      </c>
      <c r="D854" s="340">
        <f>'Input summary'!D854</f>
        <v>50.594071042423309</v>
      </c>
      <c r="E854" s="340">
        <f>'Input summary'!E854</f>
        <v>15.340772244841498</v>
      </c>
      <c r="F854" s="340">
        <f>'Input summary'!F854</f>
        <v>35.408637701391939</v>
      </c>
      <c r="G854" s="340">
        <f>'Input summary'!G854</f>
        <v>11.954853412059093</v>
      </c>
      <c r="H854" s="322"/>
      <c r="I854" s="448"/>
      <c r="J854" s="382"/>
      <c r="K854" s="382"/>
      <c r="L854" s="382"/>
      <c r="M854" s="382"/>
      <c r="N854" s="382"/>
      <c r="O854" s="382"/>
    </row>
    <row r="855" spans="2:15" x14ac:dyDescent="0.3">
      <c r="B855" s="313" t="s">
        <v>3</v>
      </c>
      <c r="C855" s="340">
        <f>'Input summary'!C855</f>
        <v>1.5</v>
      </c>
      <c r="D855" s="340">
        <f>'Input summary'!D855</f>
        <v>50.339725637039784</v>
      </c>
      <c r="E855" s="340">
        <f>'Input summary'!E855</f>
        <v>15.479658913617357</v>
      </c>
      <c r="F855" s="340">
        <f>'Input summary'!F855</f>
        <v>35.081922769556783</v>
      </c>
      <c r="G855" s="340">
        <f>'Input summary'!G855</f>
        <v>11.99064288565971</v>
      </c>
      <c r="H855" s="322"/>
      <c r="I855" s="448"/>
      <c r="J855" s="382"/>
      <c r="K855" s="382"/>
      <c r="L855" s="382"/>
      <c r="M855" s="382"/>
      <c r="N855" s="382"/>
      <c r="O855" s="382"/>
    </row>
    <row r="856" spans="2:15" x14ac:dyDescent="0.3">
      <c r="B856" s="313" t="s">
        <v>4</v>
      </c>
      <c r="C856" s="340">
        <f>'Input summary'!C856</f>
        <v>3</v>
      </c>
      <c r="D856" s="340">
        <f>'Input summary'!D856</f>
        <v>49.325309522157504</v>
      </c>
      <c r="E856" s="340">
        <f>'Input summary'!E856</f>
        <v>15.438155094799567</v>
      </c>
      <c r="F856" s="340">
        <f>'Input summary'!F856</f>
        <v>34.194210358379927</v>
      </c>
      <c r="G856" s="340">
        <f>'Input summary'!G856</f>
        <v>11.866140580398691</v>
      </c>
      <c r="H856" s="322"/>
      <c r="I856" s="448"/>
      <c r="J856" s="382"/>
      <c r="K856" s="382"/>
      <c r="L856" s="382"/>
      <c r="M856" s="382"/>
      <c r="N856" s="382"/>
      <c r="O856" s="382"/>
    </row>
    <row r="857" spans="2:15" x14ac:dyDescent="0.3">
      <c r="B857" s="313" t="s">
        <v>5</v>
      </c>
      <c r="C857" s="340">
        <f>'Input summary'!C857</f>
        <v>9.5</v>
      </c>
      <c r="D857" s="340">
        <f>'Input summary'!D857</f>
        <v>44.536773955246005</v>
      </c>
      <c r="E857" s="340">
        <f>'Input summary'!E857</f>
        <v>15.087923316466908</v>
      </c>
      <c r="F857" s="340">
        <f>'Input summary'!F857</f>
        <v>30.179800016019591</v>
      </c>
      <c r="G857" s="340">
        <f>'Input summary'!G857</f>
        <v>11.22689077381829</v>
      </c>
      <c r="H857" s="322"/>
      <c r="I857" s="448"/>
      <c r="J857" s="382"/>
      <c r="K857" s="382"/>
      <c r="L857" s="382"/>
      <c r="M857" s="382"/>
      <c r="N857" s="382"/>
      <c r="O857" s="382"/>
    </row>
    <row r="858" spans="2:15" x14ac:dyDescent="0.3">
      <c r="B858" s="313" t="s">
        <v>6</v>
      </c>
      <c r="C858" s="340">
        <f>'Input summary'!C858</f>
        <v>38.036343947054299</v>
      </c>
      <c r="D858" s="340">
        <f>'Input summary'!D858</f>
        <v>24.265841079126702</v>
      </c>
      <c r="E858" s="340">
        <f>'Input summary'!E858</f>
        <v>11.979127685241387</v>
      </c>
      <c r="F858" s="340">
        <f>'Input summary'!F858</f>
        <v>14.626950809487452</v>
      </c>
      <c r="G858" s="340">
        <f>'Input summary'!G858</f>
        <v>7.5588719806204168</v>
      </c>
      <c r="H858" s="322"/>
      <c r="I858" s="448"/>
      <c r="J858" s="382"/>
      <c r="K858" s="382"/>
      <c r="L858" s="382"/>
      <c r="M858" s="382"/>
      <c r="N858" s="382"/>
      <c r="O858" s="382"/>
    </row>
    <row r="859" spans="2:15" x14ac:dyDescent="0.3">
      <c r="B859" s="313" t="s">
        <v>7</v>
      </c>
      <c r="C859" s="340">
        <f>'Input summary'!C859</f>
        <v>58.142605429150485</v>
      </c>
      <c r="D859" s="340">
        <f>'Input summary'!D859</f>
        <v>13.330926346041947</v>
      </c>
      <c r="E859" s="340">
        <f>'Input summary'!E859</f>
        <v>8.5897026816174087</v>
      </c>
      <c r="F859" s="340">
        <f>'Input summary'!F859</f>
        <v>7.3609881931301588</v>
      </c>
      <c r="G859" s="340">
        <f>'Input summary'!G859</f>
        <v>4.8384378175291731</v>
      </c>
      <c r="H859" s="322"/>
      <c r="I859" s="448"/>
      <c r="J859" s="382"/>
      <c r="K859" s="382"/>
      <c r="L859" s="382"/>
      <c r="M859" s="382"/>
      <c r="N859" s="382"/>
      <c r="O859" s="382"/>
    </row>
    <row r="860" spans="2:15" x14ac:dyDescent="0.3">
      <c r="B860" s="313" t="s">
        <v>11</v>
      </c>
      <c r="C860" s="340">
        <f>'Input summary'!C860</f>
        <v>77.803092976258668</v>
      </c>
      <c r="D860" s="340">
        <f>'Input summary'!D860</f>
        <v>6.1367331424521403</v>
      </c>
      <c r="E860" s="340">
        <f>'Input summary'!E860</f>
        <v>4.8949825092957564</v>
      </c>
      <c r="F860" s="340">
        <f>'Input summary'!F860</f>
        <v>3.208775025525374</v>
      </c>
      <c r="G860" s="340">
        <f>'Input summary'!G860</f>
        <v>0</v>
      </c>
      <c r="H860" s="322"/>
      <c r="I860" s="448"/>
      <c r="J860" s="382"/>
      <c r="K860" s="382"/>
      <c r="L860" s="382"/>
      <c r="M860" s="382"/>
      <c r="N860" s="382"/>
      <c r="O860" s="382"/>
    </row>
    <row r="861" spans="2:15" x14ac:dyDescent="0.3">
      <c r="B861" s="207" t="s">
        <v>227</v>
      </c>
      <c r="C861" s="456"/>
      <c r="D861" s="346"/>
      <c r="E861" s="346"/>
      <c r="F861" s="346"/>
      <c r="G861" s="346"/>
    </row>
    <row r="862" spans="2:15" x14ac:dyDescent="0.3">
      <c r="B862" s="206" t="s">
        <v>1437</v>
      </c>
      <c r="C862" s="340">
        <f>'Input summary'!C862</f>
        <v>38.036343947054299</v>
      </c>
      <c r="D862" s="340">
        <f>'Input summary'!D862</f>
        <v>24.265841079126702</v>
      </c>
      <c r="E862" s="340">
        <f>'Input summary'!E862</f>
        <v>11.979127685241387</v>
      </c>
      <c r="F862" s="340">
        <f>'Input summary'!F862</f>
        <v>14.626950809487452</v>
      </c>
      <c r="G862" s="340">
        <f>'Input summary'!G862</f>
        <v>7.5588719806204168</v>
      </c>
    </row>
    <row r="863" spans="2:15" x14ac:dyDescent="0.3">
      <c r="B863" s="206" t="s">
        <v>1438</v>
      </c>
      <c r="C863" s="340">
        <f>'Input summary'!C863</f>
        <v>58.142605429150485</v>
      </c>
      <c r="D863" s="340">
        <f>'Input summary'!D863</f>
        <v>24.265841079126702</v>
      </c>
      <c r="E863" s="340">
        <f>'Input summary'!E863</f>
        <v>11.979127685241387</v>
      </c>
      <c r="F863" s="340">
        <f>'Input summary'!F863</f>
        <v>14.626950809487452</v>
      </c>
      <c r="G863" s="340">
        <f>'Input summary'!G863</f>
        <v>7.5588719806204168</v>
      </c>
    </row>
    <row r="864" spans="2:15" x14ac:dyDescent="0.3">
      <c r="B864" s="206" t="s">
        <v>1441</v>
      </c>
      <c r="C864" s="340">
        <f>'Input summary'!C864</f>
        <v>0.25</v>
      </c>
      <c r="D864" s="340">
        <f>'Input summary'!D864</f>
        <v>63.311947111431628</v>
      </c>
      <c r="E864" s="340">
        <f>'Input summary'!E864</f>
        <v>19.302842250809064</v>
      </c>
      <c r="F864" s="340">
        <f>'Input summary'!F864</f>
        <v>44.23471065784166</v>
      </c>
      <c r="G864" s="340">
        <f>'Input summary'!G864</f>
        <v>15.006803032905966</v>
      </c>
    </row>
    <row r="865" spans="2:7" x14ac:dyDescent="0.3">
      <c r="B865" s="206" t="s">
        <v>1442</v>
      </c>
      <c r="C865" s="340">
        <f>'Input summary'!C865</f>
        <v>0.75</v>
      </c>
      <c r="D865" s="340">
        <f>'Input summary'!D865</f>
        <v>63.242588803029129</v>
      </c>
      <c r="E865" s="340">
        <f>'Input summary'!E865</f>
        <v>19.175965306051872</v>
      </c>
      <c r="F865" s="340">
        <f>'Input summary'!F865</f>
        <v>44.260797126739924</v>
      </c>
      <c r="G865" s="340">
        <f>'Input summary'!G865</f>
        <v>14.943566765073864</v>
      </c>
    </row>
    <row r="866" spans="2:7" x14ac:dyDescent="0.3">
      <c r="B866" s="207" t="s">
        <v>920</v>
      </c>
      <c r="C866" s="456"/>
      <c r="D866" s="346"/>
      <c r="E866" s="346"/>
      <c r="F866" s="346"/>
      <c r="G866" s="346"/>
    </row>
    <row r="867" spans="2:7" x14ac:dyDescent="0.3">
      <c r="B867" s="206" t="s">
        <v>920</v>
      </c>
      <c r="C867" s="340">
        <f>'Input summary'!C867</f>
        <v>38.036343947054299</v>
      </c>
      <c r="D867" s="340">
        <f>'Input summary'!D867</f>
        <v>30.332301348908373</v>
      </c>
      <c r="E867" s="340">
        <f>'Input summary'!E867</f>
        <v>14.973909606551734</v>
      </c>
      <c r="F867" s="340">
        <f>'Input summary'!F867</f>
        <v>18.283688511859314</v>
      </c>
      <c r="G867" s="340">
        <f>'Input summary'!G867</f>
        <v>9.448589975775521</v>
      </c>
    </row>
    <row r="868" spans="2:7" x14ac:dyDescent="0.3">
      <c r="B868" s="206" t="s">
        <v>980</v>
      </c>
      <c r="C868" s="340">
        <f>'Input summary'!C868</f>
        <v>58.142605429150485</v>
      </c>
      <c r="D868" s="340">
        <f>'Input summary'!D868</f>
        <v>16.663657932552432</v>
      </c>
      <c r="E868" s="340">
        <f>'Input summary'!E868</f>
        <v>10.737128352021761</v>
      </c>
      <c r="F868" s="340">
        <f>'Input summary'!F868</f>
        <v>9.2012352414126983</v>
      </c>
      <c r="G868" s="340">
        <f>'Input summary'!G868</f>
        <v>6.0480472719114662</v>
      </c>
    </row>
    <row r="869" spans="2:7" x14ac:dyDescent="0.3">
      <c r="B869" s="354"/>
      <c r="D869" s="382"/>
    </row>
    <row r="870" spans="2:7" x14ac:dyDescent="0.3">
      <c r="B870" s="354"/>
      <c r="D870" s="382"/>
    </row>
    <row r="871" spans="2:7" hidden="1" x14ac:dyDescent="0.3">
      <c r="B871" s="354"/>
      <c r="D871" s="382"/>
    </row>
    <row r="872" spans="2:7" hidden="1" x14ac:dyDescent="0.3">
      <c r="B872" s="354"/>
      <c r="D872" s="382"/>
    </row>
    <row r="873" spans="2:7" hidden="1" x14ac:dyDescent="0.3">
      <c r="B873" s="354"/>
      <c r="D873" s="382"/>
    </row>
    <row r="874" spans="2:7" hidden="1" x14ac:dyDescent="0.3">
      <c r="B874" s="354"/>
      <c r="D874" s="382"/>
    </row>
    <row r="875" spans="2:7" hidden="1" x14ac:dyDescent="0.3">
      <c r="B875" s="354"/>
      <c r="D875" s="382"/>
    </row>
    <row r="876" spans="2:7" hidden="1" x14ac:dyDescent="0.3">
      <c r="B876" s="354"/>
      <c r="D876" s="382"/>
    </row>
    <row r="877" spans="2:7" hidden="1" x14ac:dyDescent="0.3">
      <c r="B877" s="355"/>
      <c r="D877" s="351"/>
    </row>
    <row r="889" x14ac:dyDescent="0.3"/>
    <row r="890" x14ac:dyDescent="0.3"/>
  </sheetData>
  <mergeCells count="4">
    <mergeCell ref="B172:G172"/>
    <mergeCell ref="Q436:S436"/>
    <mergeCell ref="H707:J707"/>
    <mergeCell ref="B733:D733"/>
  </mergeCells>
  <hyperlinks>
    <hyperlink ref="I846" location="'Life table'!A1" display="'Life table'!A1" xr:uid="{00000000-0004-0000-0B00-000000000000}"/>
    <hyperlink ref="Q433" location="'Cost input'!A1" display="'Cost input'!A1" xr:uid="{00000000-0004-0000-0B00-000001000000}"/>
    <hyperlink ref="Q460" location="'Cost input'!A1" display="'Cost input'!A1" xr:uid="{00000000-0004-0000-0B00-000002000000}"/>
    <hyperlink ref="I766" location="'QoL input'!A1" display="'QoL input'!A1" xr:uid="{00000000-0004-0000-0B00-000003000000}"/>
    <hyperlink ref="O61" location="'QoL lists'!A1" display="'QoL lists'!A1" xr:uid="{00000000-0004-0000-0B00-000004000000}"/>
    <hyperlink ref="O86" location="'QoL lists'!A1" display="'QoL lists'!A1" xr:uid="{00000000-0004-0000-0B00-000005000000}"/>
    <hyperlink ref="O8" location="'QoL lists'!A1" display="'QoL lists'!A1" xr:uid="{00000000-0004-0000-0B00-000006000000}"/>
    <hyperlink ref="O35" location="'QoL lists'!A1" display="'QoL lists'!A1" xr:uid="{00000000-0004-0000-0B00-000007000000}"/>
    <hyperlink ref="O16" location="'QoL lists'!A1" display="'QoL lists'!A1" xr:uid="{00000000-0004-0000-0B00-000008000000}"/>
    <hyperlink ref="O43" location="'QoL lists'!A1" display="'QoL lists'!A1" xr:uid="{00000000-0004-0000-0B00-000009000000}"/>
    <hyperlink ref="O69" location="'QoL lists'!A1" display="'QoL lists'!A1" xr:uid="{00000000-0004-0000-0B00-00000A000000}"/>
    <hyperlink ref="O113" location="'QoL lists'!A1" display="'QoL lists'!A1" xr:uid="{00000000-0004-0000-0B00-00000B000000}"/>
    <hyperlink ref="O140" location="'QoL lists'!A1" display="'QoL lists'!A1" xr:uid="{00000000-0004-0000-0B00-00000C000000}"/>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FF0000"/>
    <pageSetUpPr fitToPage="1"/>
  </sheetPr>
  <dimension ref="A1:AF141"/>
  <sheetViews>
    <sheetView topLeftCell="X57" zoomScale="60" zoomScaleNormal="60" workbookViewId="0">
      <selection activeCell="C55" sqref="C55"/>
    </sheetView>
  </sheetViews>
  <sheetFormatPr defaultColWidth="9.109375" defaultRowHeight="14.4" x14ac:dyDescent="0.3"/>
  <cols>
    <col min="2" max="2" width="43.33203125" customWidth="1"/>
    <col min="3" max="3" width="16.5546875" customWidth="1"/>
    <col min="4" max="4" width="18.88671875" customWidth="1"/>
    <col min="5" max="5" width="21.109375" customWidth="1"/>
    <col min="6" max="6" width="20.6640625" customWidth="1"/>
    <col min="7" max="7" width="21.88671875" customWidth="1"/>
    <col min="8" max="8" width="17" customWidth="1"/>
    <col min="9" max="9" width="7.109375" customWidth="1"/>
    <col min="10" max="10" width="22.88671875" bestFit="1" customWidth="1"/>
    <col min="11" max="13" width="22.88671875" customWidth="1"/>
    <col min="14" max="14" width="24.33203125" bestFit="1" customWidth="1"/>
    <col min="15" max="21" width="24.33203125" customWidth="1"/>
    <col min="22" max="22" width="24.109375" bestFit="1" customWidth="1"/>
    <col min="23" max="23" width="24.109375" customWidth="1"/>
    <col min="24" max="24" width="7.33203125" customWidth="1"/>
    <col min="25" max="25" width="24.44140625" bestFit="1" customWidth="1"/>
    <col min="26" max="26" width="24.44140625" customWidth="1"/>
    <col min="27" max="27" width="30.44140625" customWidth="1"/>
    <col min="28" max="28" width="23" customWidth="1"/>
    <col min="29" max="29" width="27.88671875" customWidth="1"/>
    <col min="30" max="30" width="26.44140625" customWidth="1"/>
    <col min="31" max="31" width="21.44140625" bestFit="1" customWidth="1"/>
    <col min="32" max="32" width="7.109375" bestFit="1" customWidth="1"/>
    <col min="33" max="33" width="18.88671875" bestFit="1" customWidth="1"/>
    <col min="34" max="34" width="20.44140625" bestFit="1" customWidth="1"/>
    <col min="35" max="35" width="22.88671875" bestFit="1" customWidth="1"/>
    <col min="36" max="36" width="15" customWidth="1"/>
    <col min="37" max="37" width="7.44140625" bestFit="1" customWidth="1"/>
    <col min="38" max="38" width="10.109375" bestFit="1" customWidth="1"/>
    <col min="40" max="40" width="14.5546875" bestFit="1" customWidth="1"/>
    <col min="41" max="41" width="24.6640625" bestFit="1" customWidth="1"/>
    <col min="42" max="42" width="21.44140625" bestFit="1" customWidth="1"/>
    <col min="43" max="43" width="7.109375" bestFit="1" customWidth="1"/>
    <col min="44" max="44" width="18.88671875" bestFit="1" customWidth="1"/>
    <col min="45" max="45" width="20.44140625" bestFit="1" customWidth="1"/>
    <col min="46" max="46" width="22.88671875" bestFit="1" customWidth="1"/>
    <col min="47" max="47" width="7.44140625" bestFit="1" customWidth="1"/>
    <col min="48" max="48" width="10.109375" bestFit="1" customWidth="1"/>
  </cols>
  <sheetData>
    <row r="1" spans="1:32" ht="23.4" x14ac:dyDescent="0.45">
      <c r="A1" s="639"/>
      <c r="B1" s="656" t="s">
        <v>1399</v>
      </c>
      <c r="C1" s="656"/>
      <c r="D1" s="641"/>
      <c r="E1" s="641"/>
      <c r="F1" s="641"/>
      <c r="G1" s="641"/>
      <c r="H1" s="641"/>
      <c r="I1" s="641"/>
      <c r="J1" s="641"/>
      <c r="K1" s="641"/>
      <c r="L1" s="641"/>
      <c r="M1" s="641"/>
      <c r="N1" s="657"/>
      <c r="O1" s="657"/>
      <c r="P1" s="657"/>
      <c r="Q1" s="657"/>
      <c r="R1" s="657"/>
      <c r="S1" s="657"/>
      <c r="T1" s="657"/>
      <c r="U1" s="657"/>
      <c r="V1" s="657"/>
      <c r="W1" s="641"/>
      <c r="X1" s="657"/>
      <c r="Y1" s="641"/>
      <c r="Z1" s="641"/>
      <c r="AA1" s="641"/>
      <c r="AB1" s="641"/>
      <c r="AC1" s="641"/>
      <c r="AD1" s="642"/>
    </row>
    <row r="3" spans="1:32" ht="23.4" x14ac:dyDescent="0.45">
      <c r="A3" s="639"/>
      <c r="B3" s="643" t="s">
        <v>562</v>
      </c>
      <c r="C3" s="640"/>
      <c r="D3" s="641"/>
      <c r="E3" s="641"/>
      <c r="F3" s="641"/>
      <c r="G3" s="641"/>
      <c r="H3" s="642"/>
      <c r="J3" s="644" t="s">
        <v>563</v>
      </c>
      <c r="K3" s="640"/>
      <c r="L3" s="640"/>
      <c r="M3" s="640"/>
      <c r="N3" s="641"/>
      <c r="O3" s="641"/>
      <c r="P3" s="641"/>
      <c r="Q3" s="641"/>
      <c r="R3" s="641"/>
      <c r="S3" s="641"/>
      <c r="T3" s="641"/>
      <c r="U3" s="641"/>
      <c r="V3" s="641"/>
      <c r="W3" s="642"/>
      <c r="Y3" s="644" t="s">
        <v>564</v>
      </c>
      <c r="Z3" s="643" t="s">
        <v>1576</v>
      </c>
      <c r="AA3" s="640"/>
      <c r="AB3" s="640"/>
      <c r="AC3" s="640"/>
      <c r="AD3" s="642"/>
    </row>
    <row r="4" spans="1:32" x14ac:dyDescent="0.3">
      <c r="Z4" s="719"/>
    </row>
    <row r="5" spans="1:32" ht="18" x14ac:dyDescent="0.35">
      <c r="A5" s="634"/>
      <c r="B5" s="635" t="s">
        <v>552</v>
      </c>
      <c r="C5" s="635"/>
      <c r="D5" s="636"/>
      <c r="E5" s="637"/>
      <c r="F5" s="637"/>
      <c r="G5" s="636"/>
      <c r="H5" s="638"/>
      <c r="J5" s="645" t="s">
        <v>552</v>
      </c>
      <c r="K5" s="646"/>
      <c r="L5" s="646"/>
      <c r="M5" s="646"/>
      <c r="N5" s="647"/>
      <c r="O5" s="648"/>
      <c r="P5" s="646"/>
      <c r="Q5" s="646"/>
      <c r="R5" s="647"/>
      <c r="S5" s="646"/>
      <c r="T5" s="646"/>
      <c r="U5" s="646"/>
      <c r="V5" s="646"/>
      <c r="W5" s="647"/>
      <c r="Y5" s="645" t="s">
        <v>552</v>
      </c>
      <c r="Z5" s="659"/>
      <c r="AA5" s="646"/>
      <c r="AB5" s="646"/>
      <c r="AC5" s="646"/>
      <c r="AD5" s="647"/>
      <c r="AF5" s="1"/>
    </row>
    <row r="6" spans="1:32" ht="18" x14ac:dyDescent="0.35">
      <c r="A6" s="629"/>
      <c r="B6" s="630" t="s">
        <v>983</v>
      </c>
      <c r="C6" s="630"/>
      <c r="D6" s="631"/>
      <c r="E6" s="632"/>
      <c r="F6" s="632"/>
      <c r="G6" s="631"/>
      <c r="H6" s="633"/>
      <c r="J6" s="629" t="s">
        <v>1024</v>
      </c>
      <c r="K6" s="631"/>
      <c r="L6" s="631"/>
      <c r="M6" s="631"/>
      <c r="N6" s="633"/>
      <c r="O6" s="654" t="s">
        <v>1026</v>
      </c>
      <c r="P6" s="655"/>
      <c r="Q6" s="655"/>
      <c r="R6" s="633"/>
      <c r="S6" s="655" t="s">
        <v>10</v>
      </c>
      <c r="T6" s="655"/>
      <c r="U6" s="655"/>
      <c r="V6" s="631"/>
      <c r="W6" s="633"/>
      <c r="Y6" s="654" t="s">
        <v>564</v>
      </c>
      <c r="Z6" s="655"/>
      <c r="AA6" s="631"/>
      <c r="AB6" s="631"/>
      <c r="AC6" s="631"/>
      <c r="AD6" s="633"/>
      <c r="AF6" s="1"/>
    </row>
    <row r="7" spans="1:32" x14ac:dyDescent="0.3">
      <c r="A7" s="626"/>
      <c r="B7" s="627" t="s">
        <v>950</v>
      </c>
      <c r="C7" s="627" t="s">
        <v>1033</v>
      </c>
      <c r="D7" s="627" t="s">
        <v>878</v>
      </c>
      <c r="E7" s="627" t="s">
        <v>1554</v>
      </c>
      <c r="F7" s="627" t="s">
        <v>1377</v>
      </c>
      <c r="G7" s="627" t="s">
        <v>877</v>
      </c>
      <c r="H7" s="628" t="s">
        <v>225</v>
      </c>
      <c r="J7" s="651" t="s">
        <v>981</v>
      </c>
      <c r="K7" s="652" t="s">
        <v>982</v>
      </c>
      <c r="L7" s="652" t="s">
        <v>1025</v>
      </c>
      <c r="M7" s="652" t="s">
        <v>1493</v>
      </c>
      <c r="N7" s="653" t="s">
        <v>905</v>
      </c>
      <c r="O7" s="651" t="s">
        <v>938</v>
      </c>
      <c r="P7" s="652" t="s">
        <v>1554</v>
      </c>
      <c r="Q7" s="652" t="s">
        <v>1377</v>
      </c>
      <c r="R7" s="653" t="s">
        <v>1028</v>
      </c>
      <c r="S7" s="652" t="s">
        <v>938</v>
      </c>
      <c r="T7" s="652" t="s">
        <v>1392</v>
      </c>
      <c r="U7" s="652" t="s">
        <v>1025</v>
      </c>
      <c r="V7" s="652" t="s">
        <v>1028</v>
      </c>
      <c r="W7" s="653" t="s">
        <v>225</v>
      </c>
      <c r="Y7" s="651" t="s">
        <v>1575</v>
      </c>
      <c r="Z7" s="652" t="s">
        <v>1555</v>
      </c>
      <c r="AA7" s="652" t="s">
        <v>1030</v>
      </c>
      <c r="AB7" s="652" t="s">
        <v>1031</v>
      </c>
      <c r="AC7" s="652" t="s">
        <v>1511</v>
      </c>
      <c r="AD7" s="653" t="s">
        <v>1032</v>
      </c>
    </row>
    <row r="8" spans="1:32" x14ac:dyDescent="0.3">
      <c r="A8" s="667"/>
      <c r="B8" s="671" t="s">
        <v>1445</v>
      </c>
      <c r="C8" s="672"/>
      <c r="D8" s="668"/>
      <c r="E8" s="668"/>
      <c r="F8" s="668"/>
      <c r="G8" s="668"/>
      <c r="H8" s="669"/>
      <c r="J8" s="667"/>
      <c r="K8" s="668"/>
      <c r="L8" s="668"/>
      <c r="M8" s="668"/>
      <c r="N8" s="669"/>
      <c r="O8" s="667"/>
      <c r="P8" s="668"/>
      <c r="Q8" s="668"/>
      <c r="R8" s="669"/>
      <c r="S8" s="668"/>
      <c r="T8" s="668"/>
      <c r="U8" s="668"/>
      <c r="V8" s="668"/>
      <c r="W8" s="669"/>
      <c r="Y8" s="667"/>
      <c r="Z8" s="668"/>
      <c r="AA8" s="668"/>
      <c r="AB8" s="668"/>
      <c r="AC8" s="668"/>
      <c r="AD8" s="669"/>
    </row>
    <row r="9" spans="1:32" ht="17.399999999999999" customHeight="1" x14ac:dyDescent="0.3">
      <c r="A9" s="198"/>
      <c r="B9" s="31" t="s">
        <v>1082</v>
      </c>
      <c r="C9" s="29">
        <f>'General input'!H57</f>
        <v>578203</v>
      </c>
      <c r="D9" s="29">
        <f>'General input'!C87*'General input'!H57</f>
        <v>0</v>
      </c>
      <c r="E9" s="29">
        <f ca="1">('Input summary'!K7/'Input summary'!$C$167)*(C9-D9)+('Input summary'!K7/'Input summary'!$C$167)*D9*(1-'Input summary'!C178)</f>
        <v>113078.14547305387</v>
      </c>
      <c r="F9" s="29">
        <f ca="1">('Input summary'!K34/'Input summary'!$C$168)*(C9-D9)+D9*(1-'Input summary'!C206)*('Input summary'!K34/'Input summary'!$C$169)</f>
        <v>27522.215253396829</v>
      </c>
      <c r="G9" s="29">
        <f ca="1">('Input summary'!K61/'Input summary'!$C$169)*(C9-D9)+D9*(1-'Input summary'!C206)*('Input summary'!K61/'Input summary'!$C$169)</f>
        <v>994.36554600345926</v>
      </c>
      <c r="H9" s="602">
        <f ca="1">('Input summary'!K88/'Input summary'!$C$170)*(C9-D9)+D9*(1-'Input summary'!C234)*('Input summary'!K88/'Input summary'!$C$170)</f>
        <v>117.89821911534503</v>
      </c>
      <c r="I9" s="29"/>
      <c r="J9" s="609">
        <f ca="1">$D9*'Input summary'!C322</f>
        <v>0</v>
      </c>
      <c r="K9" s="29">
        <f ca="1">D9*'Input summary'!C350</f>
        <v>0</v>
      </c>
      <c r="L9" s="29">
        <f ca="1">F9*'Input summary'!C433</f>
        <v>7680677.6453963807</v>
      </c>
      <c r="M9" s="29">
        <f ca="1">$D9*(('Input summary'!C262/'Input summary'!$C$167)*'Input summary'!C378+('Input summary'!C289/'Input summary'!$C$167)*'Input summary'!C406)</f>
        <v>0</v>
      </c>
      <c r="N9" s="602">
        <f ca="1">G9*'Input summary'!C460</f>
        <v>5204274.5629673181</v>
      </c>
      <c r="O9" s="609">
        <f>D9*'Input summary'!C490</f>
        <v>0</v>
      </c>
      <c r="P9" s="29">
        <f ca="1">E9*'Input summary'!C517</f>
        <v>6710175.242768066</v>
      </c>
      <c r="Q9" s="29">
        <f ca="1">F9*'Input summary'!C544</f>
        <v>1303279.1644256329</v>
      </c>
      <c r="R9" s="602">
        <f ca="1">G9*'Input summary'!C571</f>
        <v>126081.88673839248</v>
      </c>
      <c r="S9" s="29">
        <f ca="1">D9*'Input summary'!C601</f>
        <v>0</v>
      </c>
      <c r="T9" s="29">
        <f ca="1">(E9)*'Input summary'!C628</f>
        <v>16343417.372595159</v>
      </c>
      <c r="U9" s="29">
        <f ca="1">(F9)*'Input summary'!C655</f>
        <v>4963403.3948134063</v>
      </c>
      <c r="V9" s="29">
        <f ca="1">G9*'Input summary'!C682</f>
        <v>110275.7148469965</v>
      </c>
      <c r="W9" s="602">
        <f ca="1">H9*'Input summary'!C709</f>
        <v>58367549.161079422</v>
      </c>
      <c r="X9" s="29"/>
      <c r="Y9" s="609">
        <f ca="1">(E9)*'Input summary'!C738*'Input summary'!C115+(E9)*'Input summary'!C765*(1-'Input summary'!C115)</f>
        <v>1010.6169728746038</v>
      </c>
      <c r="Z9" s="29">
        <f ca="1">(F9-G9*'Input summary'!C142)*'Input summary'!C738</f>
        <v>230.24707809344929</v>
      </c>
      <c r="AA9" s="29">
        <f ca="1">G9*('Input summary'!C765)</f>
        <v>34.717088063011715</v>
      </c>
      <c r="AB9" s="29">
        <f ca="1">H9*'Input summary'!G846</f>
        <v>1761.8199088334661</v>
      </c>
      <c r="AC9" s="29">
        <f ca="1">$D9*(('Input summary'!C262/'Input summary'!$C$167)*'Input summary'!C792+('Input summary'!C289/'Input summary'!$C$167)*'Input summary'!C819)</f>
        <v>0</v>
      </c>
      <c r="AD9" s="602">
        <f ca="1">H9*'Input summary'!E846</f>
        <v>2260.8121594011577</v>
      </c>
    </row>
    <row r="10" spans="1:32" x14ac:dyDescent="0.3">
      <c r="A10" s="198"/>
      <c r="B10" s="31" t="s">
        <v>1083</v>
      </c>
      <c r="C10" s="29">
        <f>'General input'!H58</f>
        <v>1156405</v>
      </c>
      <c r="D10" s="29">
        <f>'General input'!C88*'General input'!H58</f>
        <v>0</v>
      </c>
      <c r="E10" s="29">
        <f ca="1">('Input summary'!K8/'Input summary'!$C$167)*(C10-D10)+('Input summary'!K8/'Input summary'!$C$167)*D10*(1-'Input summary'!C179)</f>
        <v>226156.09537786359</v>
      </c>
      <c r="F10" s="29">
        <f ca="1">('Input summary'!K35/'Input summary'!$C$168)*(C10-D10)+D10*(1-'Input summary'!C207)*('Input summary'!K35/'Input summary'!$C$169)</f>
        <v>55044.382907221792</v>
      </c>
      <c r="G10" s="29">
        <f ca="1">('Input summary'!K62/'Input summary'!$C$169)*(C10-D10)+D10*(1-'Input summary'!C207)*('Input summary'!K62/'Input summary'!$C$169)</f>
        <v>1988.7293722552984</v>
      </c>
      <c r="H10" s="602">
        <f ca="1">('Input summary'!K89/'Input summary'!$C$170)*(C10-D10)+D10*(1-'Input summary'!C235)*('Input summary'!K89/'Input summary'!$C$170)</f>
        <v>235.79623432614596</v>
      </c>
      <c r="I10" s="29"/>
      <c r="J10" s="609">
        <f ca="1">$D10*'Input summary'!C323</f>
        <v>0</v>
      </c>
      <c r="K10" s="29">
        <f ca="1">D10*'Input summary'!C351</f>
        <v>0</v>
      </c>
      <c r="L10" s="29">
        <f ca="1">F10*'Input summary'!C434</f>
        <v>15361342.007088516</v>
      </c>
      <c r="M10" s="29">
        <f ca="1">$D10*(('Input summary'!C263/'Input summary'!$C$167)*'Input summary'!C379+('Input summary'!C290/'Input summary'!$C$167)*'Input summary'!C407)</f>
        <v>0</v>
      </c>
      <c r="N10" s="602">
        <f ca="1">G10*'Input summary'!C461</f>
        <v>10408540.125160577</v>
      </c>
      <c r="O10" s="609">
        <f>D10*'Input summary'!C491</f>
        <v>0</v>
      </c>
      <c r="P10" s="29">
        <f ca="1">E10*'Input summary'!C518</f>
        <v>13420338.880312286</v>
      </c>
      <c r="Q10" s="29">
        <f ca="1">F10*'Input summary'!C545</f>
        <v>2606556.0748346588</v>
      </c>
      <c r="R10" s="602">
        <f ca="1">G10*'Input summary'!C572</f>
        <v>252163.55541861727</v>
      </c>
      <c r="S10" s="29">
        <f ca="1">D10*'Input summary'!C602</f>
        <v>0</v>
      </c>
      <c r="T10" s="29">
        <f ca="1">(E10)*'Input summary'!C629</f>
        <v>32686806.479309008</v>
      </c>
      <c r="U10" s="29">
        <f ca="1">(F10)*'Input summary'!C656</f>
        <v>9926798.2054385711</v>
      </c>
      <c r="V10" s="29">
        <f ca="1">G10*'Input summary'!C683</f>
        <v>220551.23897254249</v>
      </c>
      <c r="W10" s="602">
        <f ca="1">H10*'Input summary'!C710</f>
        <v>117791849.96800801</v>
      </c>
      <c r="X10" s="29"/>
      <c r="Y10" s="609">
        <f ca="1">(E10)*'Input summary'!C739*'Input summary'!C116+(E10)*'Input summary'!C766*(1-'Input summary'!C116)</f>
        <v>2021.2321978908033</v>
      </c>
      <c r="Z10" s="29">
        <f ca="1">(F10-G10*'Input summary'!C143)*'Input summary'!C739</f>
        <v>462.80638884567418</v>
      </c>
      <c r="AA10" s="29">
        <f ca="1">G10*('Input summary'!C766)</f>
        <v>69.434116082945025</v>
      </c>
      <c r="AB10" s="29">
        <f ca="1">H10*'Input summary'!G847</f>
        <v>3534.1855494851902</v>
      </c>
      <c r="AC10" s="29">
        <f ca="1">$D10*(('Input summary'!C263/'Input summary'!$C$167)*'Input summary'!C793+('Input summary'!C290/'Input summary'!$C$167)*'Input summary'!C820)</f>
        <v>0</v>
      </c>
      <c r="AD10" s="602">
        <f ca="1">H10*'Input summary'!E847</f>
        <v>4562.5566006051649</v>
      </c>
    </row>
    <row r="11" spans="1:32" x14ac:dyDescent="0.3">
      <c r="A11" s="198"/>
      <c r="B11" s="31" t="s">
        <v>1084</v>
      </c>
      <c r="C11" s="29">
        <f>'General input'!H59</f>
        <v>3469216</v>
      </c>
      <c r="D11" s="29">
        <f>'General input'!C89*'General input'!H59</f>
        <v>0</v>
      </c>
      <c r="E11" s="29">
        <f ca="1">('Input summary'!K9/'Input summary'!$C$167)*(C11-D11)+('Input summary'!K9/'Input summary'!$C$167)*D11*(1-'Input summary'!C180)</f>
        <v>678468.48170183494</v>
      </c>
      <c r="F11" s="29">
        <f ca="1">('Input summary'!K36/'Input summary'!$C$168)*(C11-D11)+D11*(1-'Input summary'!C208)*('Input summary'!K36/'Input summary'!$C$169)</f>
        <v>165133.19632123725</v>
      </c>
      <c r="G11" s="29">
        <f ca="1">('Input summary'!K63/'Input summary'!$C$169)*(C11-D11)+D11*(1-'Input summary'!C208)*('Input summary'!K63/'Input summary'!$C$169)</f>
        <v>5966.1898365175157</v>
      </c>
      <c r="H11" s="602">
        <f ca="1">('Input summary'!K90/'Input summary'!$C$170)*(C11-D11)+D11*(1-'Input summary'!C236)*('Input summary'!K90/'Input summary'!$C$170)</f>
        <v>707.38890688298193</v>
      </c>
      <c r="I11" s="29"/>
      <c r="J11" s="609">
        <f ca="1">$D11*'Input summary'!C324</f>
        <v>0</v>
      </c>
      <c r="K11" s="29">
        <f ca="1">D11*'Input summary'!C352</f>
        <v>0</v>
      </c>
      <c r="L11" s="29">
        <f ca="1">F11*'Input summary'!C435</f>
        <v>46084039.304969795</v>
      </c>
      <c r="M11" s="29">
        <f ca="1">$D11*(('Input summary'!C264/'Input summary'!$C$167)*'Input summary'!C380+('Input summary'!C291/'Input summary'!$C$167)*'Input summary'!C408)</f>
        <v>0</v>
      </c>
      <c r="N11" s="602">
        <f ca="1">G11*'Input summary'!C462</f>
        <v>31225629.376255792</v>
      </c>
      <c r="O11" s="609">
        <f>D11*'Input summary'!C492</f>
        <v>0</v>
      </c>
      <c r="P11" s="29">
        <f ca="1">E11*'Input summary'!C519</f>
        <v>40261028.246160708</v>
      </c>
      <c r="Q11" s="29">
        <f ca="1">F11*'Input summary'!C546</f>
        <v>7819670.4785205843</v>
      </c>
      <c r="R11" s="602">
        <f ca="1">G11*'Input summary'!C573</f>
        <v>756490.88431401958</v>
      </c>
      <c r="S11" s="29">
        <f ca="1">D11*'Input summary'!C603</f>
        <v>0</v>
      </c>
      <c r="T11" s="29">
        <f ca="1">(E11)*'Input summary'!C630</f>
        <v>98060447.703808337</v>
      </c>
      <c r="U11" s="29">
        <f ca="1">(F11)*'Input summary'!C657</f>
        <v>29780403.200503957</v>
      </c>
      <c r="V11" s="29">
        <f ca="1">G11*'Input summary'!C684</f>
        <v>661653.90763907798</v>
      </c>
      <c r="W11" s="602">
        <f ca="1">H11*'Input summary'!C711</f>
        <v>352428186.50645947</v>
      </c>
      <c r="X11" s="29"/>
      <c r="Y11" s="609">
        <f ca="1">(E11)*'Input summary'!C740*'Input summary'!C117+(E11)*'Input summary'!C767*(1-'Input summary'!C117)</f>
        <v>6063.6983415308141</v>
      </c>
      <c r="Z11" s="29">
        <f ca="1">(F11-G11*'Input summary'!C144)*'Input summary'!C740</f>
        <v>1388.4195667483575</v>
      </c>
      <c r="AA11" s="29">
        <f ca="1">G11*('Input summary'!C767)</f>
        <v>208.30240829191348</v>
      </c>
      <c r="AB11" s="29">
        <f ca="1">H11*'Input summary'!G848</f>
        <v>10492.470267610028</v>
      </c>
      <c r="AC11" s="29">
        <f ca="1">$D11*(('Input summary'!C264/'Input summary'!$C$167)*'Input summary'!C794+('Input summary'!C291/'Input summary'!$C$167)*'Input summary'!C821)</f>
        <v>0</v>
      </c>
      <c r="AD11" s="602">
        <f ca="1">H11*'Input summary'!E848</f>
        <v>13650.974571000253</v>
      </c>
    </row>
    <row r="12" spans="1:32" x14ac:dyDescent="0.3">
      <c r="A12" s="198"/>
      <c r="B12" s="31" t="s">
        <v>1085</v>
      </c>
      <c r="C12" s="29">
        <f>'General input'!H60</f>
        <v>0</v>
      </c>
      <c r="D12" s="29">
        <f>'General input'!C90*'General input'!H60</f>
        <v>0</v>
      </c>
      <c r="E12" s="29">
        <f ca="1">('Input summary'!K10/'Input summary'!$C$167)*(C12-D12)+('Input summary'!K10/'Input summary'!$C$167)*D12*(1-'Input summary'!C181)</f>
        <v>0</v>
      </c>
      <c r="F12" s="29">
        <f ca="1">('Input summary'!K37/'Input summary'!$C$168)*(C12-D12)+D12*(1-'Input summary'!C209)*('Input summary'!K37/'Input summary'!$C$169)</f>
        <v>0</v>
      </c>
      <c r="G12" s="29">
        <f ca="1">('Input summary'!K64/'Input summary'!$C$169)*(C12-D12)+D12*(1-'Input summary'!C209)*('Input summary'!K64/'Input summary'!$C$169)</f>
        <v>0</v>
      </c>
      <c r="H12" s="602">
        <f ca="1">('Input summary'!K91/'Input summary'!$C$170)*(C12-D12)+D12*(1-'Input summary'!C237)*('Input summary'!K91/'Input summary'!$C$170)</f>
        <v>0</v>
      </c>
      <c r="I12" s="29"/>
      <c r="J12" s="609">
        <f ca="1">$D12*'Input summary'!C325</f>
        <v>0</v>
      </c>
      <c r="K12" s="29">
        <f ca="1">D12*'Input summary'!C353</f>
        <v>0</v>
      </c>
      <c r="L12" s="29">
        <f ca="1">F12*'Input summary'!C436</f>
        <v>0</v>
      </c>
      <c r="M12" s="29">
        <f ca="1">$D12*(('Input summary'!C265/'Input summary'!$C$167)*'Input summary'!C381+('Input summary'!C292/'Input summary'!$C$167)*'Input summary'!C409)</f>
        <v>0</v>
      </c>
      <c r="N12" s="602">
        <f ca="1">G12*'Input summary'!C463</f>
        <v>0</v>
      </c>
      <c r="O12" s="609">
        <f>D12*'Input summary'!C493</f>
        <v>0</v>
      </c>
      <c r="P12" s="29">
        <f ca="1">E12*'Input summary'!C520</f>
        <v>0</v>
      </c>
      <c r="Q12" s="29">
        <f ca="1">F12*'Input summary'!C547</f>
        <v>0</v>
      </c>
      <c r="R12" s="602">
        <f ca="1">G12*'Input summary'!C574</f>
        <v>0</v>
      </c>
      <c r="S12" s="29">
        <f ca="1">D12*'Input summary'!C604</f>
        <v>0</v>
      </c>
      <c r="T12" s="29">
        <f ca="1">(E12)*'Input summary'!C631</f>
        <v>0</v>
      </c>
      <c r="U12" s="29">
        <f ca="1">(F12)*'Input summary'!C658</f>
        <v>0</v>
      </c>
      <c r="V12" s="29">
        <f ca="1">G12*'Input summary'!C685</f>
        <v>0</v>
      </c>
      <c r="W12" s="602">
        <f ca="1">H12*'Input summary'!C712</f>
        <v>0</v>
      </c>
      <c r="X12" s="29"/>
      <c r="Y12" s="609">
        <f ca="1">(E12)*'Input summary'!C741*'Input summary'!C118+(E12)*'Input summary'!C768*(1-'Input summary'!C118)</f>
        <v>0</v>
      </c>
      <c r="Z12" s="29">
        <f ca="1">(F12-G12*'Input summary'!C145)*'Input summary'!C741</f>
        <v>0</v>
      </c>
      <c r="AA12" s="29">
        <f ca="1">G12*('Input summary'!C768)</f>
        <v>0</v>
      </c>
      <c r="AB12" s="29">
        <f ca="1">H12*'Input summary'!G849</f>
        <v>0</v>
      </c>
      <c r="AC12" s="29">
        <f ca="1">$D12*(('Input summary'!C265/'Input summary'!$C$167)*'Input summary'!C795+('Input summary'!C292/'Input summary'!$C$167)*'Input summary'!C822)</f>
        <v>0</v>
      </c>
      <c r="AD12" s="602">
        <f ca="1">H12*'Input summary'!E849</f>
        <v>0</v>
      </c>
    </row>
    <row r="13" spans="1:32" x14ac:dyDescent="0.3">
      <c r="A13" s="198"/>
      <c r="B13" s="31" t="s">
        <v>1086</v>
      </c>
      <c r="C13" s="29">
        <f>'General input'!H61</f>
        <v>0</v>
      </c>
      <c r="D13" s="29">
        <f>'General input'!C91*'General input'!H61</f>
        <v>0</v>
      </c>
      <c r="E13" s="29">
        <f ca="1">('Input summary'!K11/'Input summary'!$C$167)*(C13-D13)+('Input summary'!K11/'Input summary'!$C$167)*D13*(1-'Input summary'!C182)</f>
        <v>0</v>
      </c>
      <c r="F13" s="29">
        <f ca="1">('Input summary'!K38/'Input summary'!$C$168)*(C13-D13)+D13*(1-'Input summary'!C210)*('Input summary'!K38/'Input summary'!$C$169)</f>
        <v>0</v>
      </c>
      <c r="G13" s="29">
        <f ca="1">('Input summary'!K65/'Input summary'!$C$169)*(C13-D13)+D13*(1-'Input summary'!C210)*('Input summary'!K65/'Input summary'!$C$169)</f>
        <v>0</v>
      </c>
      <c r="H13" s="602">
        <f ca="1">('Input summary'!K92/'Input summary'!$C$170)*(C13-D13)+D13*(1-'Input summary'!C238)*('Input summary'!K92/'Input summary'!$C$170)</f>
        <v>0</v>
      </c>
      <c r="I13" s="29"/>
      <c r="J13" s="609">
        <f ca="1">$D13*'Input summary'!C326</f>
        <v>0</v>
      </c>
      <c r="K13" s="29">
        <f ca="1">D13*'Input summary'!C354</f>
        <v>0</v>
      </c>
      <c r="L13" s="29">
        <f ca="1">F13*'Input summary'!C437</f>
        <v>0</v>
      </c>
      <c r="M13" s="29">
        <f ca="1">$D13*(('Input summary'!C266/'Input summary'!$C$167)*'Input summary'!C382+('Input summary'!C293/'Input summary'!$C$167)*'Input summary'!C410)</f>
        <v>0</v>
      </c>
      <c r="N13" s="602">
        <f ca="1">G13*'Input summary'!C464</f>
        <v>0</v>
      </c>
      <c r="O13" s="609">
        <f>D13*'Input summary'!C494</f>
        <v>0</v>
      </c>
      <c r="P13" s="29">
        <f ca="1">E13*'Input summary'!C521</f>
        <v>0</v>
      </c>
      <c r="Q13" s="29">
        <f ca="1">F13*'Input summary'!C548</f>
        <v>0</v>
      </c>
      <c r="R13" s="602">
        <f ca="1">G13*'Input summary'!C575</f>
        <v>0</v>
      </c>
      <c r="S13" s="29">
        <f ca="1">D13*'Input summary'!C605</f>
        <v>0</v>
      </c>
      <c r="T13" s="29">
        <f ca="1">(E13)*'Input summary'!C632</f>
        <v>0</v>
      </c>
      <c r="U13" s="29">
        <f ca="1">(F13)*'Input summary'!C659</f>
        <v>0</v>
      </c>
      <c r="V13" s="29">
        <f ca="1">G13*'Input summary'!C686</f>
        <v>0</v>
      </c>
      <c r="W13" s="602">
        <f ca="1">H13*'Input summary'!C713</f>
        <v>0</v>
      </c>
      <c r="X13" s="29"/>
      <c r="Y13" s="609">
        <f ca="1">(E13)*'Input summary'!C742*'Input summary'!C119+(E13)*'Input summary'!C769*(1-'Input summary'!C119)</f>
        <v>0</v>
      </c>
      <c r="Z13" s="29">
        <f ca="1">(F13-G13*'Input summary'!C146)*'Input summary'!C742</f>
        <v>0</v>
      </c>
      <c r="AA13" s="29">
        <f ca="1">G13*('Input summary'!C769)</f>
        <v>0</v>
      </c>
      <c r="AB13" s="29">
        <f ca="1">H13*'Input summary'!G850</f>
        <v>0</v>
      </c>
      <c r="AC13" s="29">
        <f ca="1">$D13*(('Input summary'!C266/'Input summary'!$C$167)*'Input summary'!C796+('Input summary'!C293/'Input summary'!$C$167)*'Input summary'!C823)</f>
        <v>0</v>
      </c>
      <c r="AD13" s="602">
        <f ca="1">H13*'Input summary'!E850</f>
        <v>0</v>
      </c>
    </row>
    <row r="14" spans="1:32" x14ac:dyDescent="0.3">
      <c r="A14" s="198"/>
      <c r="B14" s="31" t="s">
        <v>1087</v>
      </c>
      <c r="C14" s="29">
        <f>'General input'!H62</f>
        <v>0</v>
      </c>
      <c r="D14" s="29">
        <f>'General input'!C92*'General input'!H62</f>
        <v>0</v>
      </c>
      <c r="E14" s="29">
        <f ca="1">('Input summary'!K12/'Input summary'!$C$167)*(C14-D14)+('Input summary'!K12/'Input summary'!$C$167)*D14*(1-'Input summary'!C183)</f>
        <v>0</v>
      </c>
      <c r="F14" s="29">
        <f ca="1">('Input summary'!K39/'Input summary'!$C$168)*(C14-D14)+D14*(1-'Input summary'!C211)*('Input summary'!K39/'Input summary'!$C$169)</f>
        <v>0</v>
      </c>
      <c r="G14" s="29">
        <f ca="1">('Input summary'!K66/'Input summary'!$C$169)*(C14-D14)+D14*(1-'Input summary'!C211)*('Input summary'!K66/'Input summary'!$C$169)</f>
        <v>0</v>
      </c>
      <c r="H14" s="602">
        <f ca="1">('Input summary'!K93/'Input summary'!$C$170)*(C14-D14)+D14*(1-'Input summary'!C239)*('Input summary'!K93/'Input summary'!$C$170)</f>
        <v>0</v>
      </c>
      <c r="I14" s="29"/>
      <c r="J14" s="609">
        <f ca="1">$D14*'Input summary'!C327</f>
        <v>0</v>
      </c>
      <c r="K14" s="29">
        <f ca="1">D14*'Input summary'!C355</f>
        <v>0</v>
      </c>
      <c r="L14" s="29">
        <f ca="1">F14*'Input summary'!C438</f>
        <v>0</v>
      </c>
      <c r="M14" s="29">
        <f ca="1">$D14*(('Input summary'!C267/'Input summary'!$C$167)*'Input summary'!C383+('Input summary'!C294/'Input summary'!$C$167)*'Input summary'!C411)</f>
        <v>0</v>
      </c>
      <c r="N14" s="602">
        <f ca="1">G14*'Input summary'!C465</f>
        <v>0</v>
      </c>
      <c r="O14" s="609">
        <f>D14*'Input summary'!C495</f>
        <v>0</v>
      </c>
      <c r="P14" s="29">
        <f ca="1">E14*'Input summary'!C522</f>
        <v>0</v>
      </c>
      <c r="Q14" s="29">
        <f ca="1">F14*'Input summary'!C549</f>
        <v>0</v>
      </c>
      <c r="R14" s="602">
        <f ca="1">G14*'Input summary'!C576</f>
        <v>0</v>
      </c>
      <c r="S14" s="29">
        <f ca="1">D14*'Input summary'!C606</f>
        <v>0</v>
      </c>
      <c r="T14" s="29">
        <f ca="1">(E14)*'Input summary'!C633</f>
        <v>0</v>
      </c>
      <c r="U14" s="29">
        <f ca="1">(F14)*'Input summary'!C660</f>
        <v>0</v>
      </c>
      <c r="V14" s="29">
        <f ca="1">G14*'Input summary'!C687</f>
        <v>0</v>
      </c>
      <c r="W14" s="602">
        <f ca="1">H14*'Input summary'!C714</f>
        <v>0</v>
      </c>
      <c r="X14" s="29"/>
      <c r="Y14" s="609">
        <f ca="1">(E14)*'Input summary'!C743*'Input summary'!C120+(E14)*'Input summary'!C770*(1-'Input summary'!C120)</f>
        <v>0</v>
      </c>
      <c r="Z14" s="29">
        <f ca="1">(F14-G14*'Input summary'!C147)*'Input summary'!C743</f>
        <v>0</v>
      </c>
      <c r="AA14" s="29">
        <f ca="1">G14*('Input summary'!C770)</f>
        <v>0</v>
      </c>
      <c r="AB14" s="29">
        <f ca="1">H14*'Input summary'!G851</f>
        <v>0</v>
      </c>
      <c r="AC14" s="29">
        <f ca="1">$D14*(('Input summary'!C267/'Input summary'!$C$167)*'Input summary'!C797+('Input summary'!C294/'Input summary'!$C$167)*'Input summary'!C824)</f>
        <v>0</v>
      </c>
      <c r="AD14" s="602">
        <f ca="1">H14*'Input summary'!E851</f>
        <v>0</v>
      </c>
    </row>
    <row r="15" spans="1:32" x14ac:dyDescent="0.3">
      <c r="A15" s="198"/>
      <c r="B15" s="31" t="s">
        <v>1443</v>
      </c>
      <c r="C15" s="29">
        <f>'General input'!H63</f>
        <v>0</v>
      </c>
      <c r="D15" s="29">
        <f>'General input'!C93*'General input'!H63</f>
        <v>0</v>
      </c>
      <c r="E15" s="29">
        <f ca="1">('Input summary'!K13/'Input summary'!$C$167)*(C15-D15)+('Input summary'!K13/'Input summary'!$C$167)*D15*(1-'Input summary'!C184)</f>
        <v>0</v>
      </c>
      <c r="F15" s="29">
        <f ca="1">('Input summary'!K40/'Input summary'!$C$168)*(C15-D15)+D15*(1-'Input summary'!C212)*('Input summary'!K40/'Input summary'!$C$169)</f>
        <v>0</v>
      </c>
      <c r="G15" s="29">
        <f ca="1">('Input summary'!K67/'Input summary'!$C$169)*(C15-D15)+D15*(1-'Input summary'!C212)*('Input summary'!K67/'Input summary'!$C$169)</f>
        <v>0</v>
      </c>
      <c r="H15" s="602">
        <f ca="1">('Input summary'!K94/'Input summary'!$C$170)*(C15-D15)+D15*(1-'Input summary'!C240)*('Input summary'!K94/'Input summary'!$C$170)</f>
        <v>0</v>
      </c>
      <c r="I15" s="29"/>
      <c r="J15" s="609">
        <f ca="1">$D15*'Input summary'!C328</f>
        <v>0</v>
      </c>
      <c r="K15" s="29">
        <f ca="1">D15*'Input summary'!C356</f>
        <v>0</v>
      </c>
      <c r="L15" s="29">
        <f ca="1">F15*'Input summary'!C439</f>
        <v>0</v>
      </c>
      <c r="M15" s="29">
        <f ca="1">$D15*(('Input summary'!C268/'Input summary'!$C$167)*'Input summary'!C384+('Input summary'!C295/'Input summary'!$C$167)*'Input summary'!C412)</f>
        <v>0</v>
      </c>
      <c r="N15" s="602">
        <f ca="1">G15*'Input summary'!C466</f>
        <v>0</v>
      </c>
      <c r="O15" s="609">
        <f>D15*'Input summary'!C496</f>
        <v>0</v>
      </c>
      <c r="P15" s="29">
        <f ca="1">E15*'Input summary'!C523</f>
        <v>0</v>
      </c>
      <c r="Q15" s="29">
        <f ca="1">F15*'Input summary'!C550</f>
        <v>0</v>
      </c>
      <c r="R15" s="602">
        <f ca="1">G15*'Input summary'!C577</f>
        <v>0</v>
      </c>
      <c r="S15" s="29">
        <f ca="1">D15*'Input summary'!C607</f>
        <v>0</v>
      </c>
      <c r="T15" s="29">
        <f ca="1">(E15)*'Input summary'!C634</f>
        <v>0</v>
      </c>
      <c r="U15" s="29">
        <f ca="1">(F15)*'Input summary'!C661</f>
        <v>0</v>
      </c>
      <c r="V15" s="29">
        <f ca="1">G15*'Input summary'!C688</f>
        <v>0</v>
      </c>
      <c r="W15" s="602">
        <f ca="1">H15*'Input summary'!C715</f>
        <v>0</v>
      </c>
      <c r="X15" s="29"/>
      <c r="Y15" s="609">
        <f ca="1">(E15)*'Input summary'!C744*'Input summary'!C121+(E15)*'Input summary'!C771*(1-'Input summary'!C121)</f>
        <v>0</v>
      </c>
      <c r="Z15" s="29">
        <f ca="1">(F15-G15*'Input summary'!C148)*'Input summary'!C744</f>
        <v>0</v>
      </c>
      <c r="AA15" s="29">
        <f ca="1">G15*('Input summary'!C771)</f>
        <v>0</v>
      </c>
      <c r="AB15" s="29">
        <f ca="1">H15*'Input summary'!G852</f>
        <v>0</v>
      </c>
      <c r="AC15" s="29">
        <f ca="1">$D15*(('Input summary'!C268/'Input summary'!$C$167)*'Input summary'!C798+('Input summary'!C295/'Input summary'!$C$167)*'Input summary'!C825)</f>
        <v>0</v>
      </c>
      <c r="AD15" s="602">
        <f ca="1">H15*'Input summary'!E852</f>
        <v>0</v>
      </c>
    </row>
    <row r="16" spans="1:32" x14ac:dyDescent="0.3">
      <c r="A16" s="198"/>
      <c r="B16" s="315" t="s">
        <v>1444</v>
      </c>
      <c r="C16" s="22"/>
      <c r="H16" s="87"/>
      <c r="J16" s="198"/>
      <c r="N16" s="87"/>
      <c r="O16" s="198"/>
      <c r="R16" s="87"/>
      <c r="W16" s="87"/>
      <c r="Y16" s="198"/>
      <c r="AC16" s="29"/>
      <c r="AD16" s="87"/>
    </row>
    <row r="17" spans="1:30" ht="17.399999999999999" customHeight="1" x14ac:dyDescent="0.3">
      <c r="A17" s="198"/>
      <c r="B17" s="31" t="s">
        <v>1082</v>
      </c>
      <c r="C17" s="29">
        <f>'General input'!H65</f>
        <v>0</v>
      </c>
      <c r="D17" s="29">
        <f>'General input'!C95*'General input'!H65</f>
        <v>0</v>
      </c>
      <c r="E17" s="29">
        <f ca="1">('Input summary'!K15/'Input summary'!$C$167)*(C17-D17)+('Input summary'!K15/'Input summary'!$C$167)*D17*(1-'Input summary'!C186)</f>
        <v>0</v>
      </c>
      <c r="F17" s="29">
        <f ca="1">('Input summary'!K42/'Input summary'!$C$168)*(C17-D17)+D17*(1-'Input summary'!C214)*('Input summary'!K42/'Input summary'!$C$169)</f>
        <v>0</v>
      </c>
      <c r="G17" s="29">
        <f ca="1">('Input summary'!K69/'Input summary'!$C$169)*(C17-D17)+D17*(1-'Input summary'!C214)*('Input summary'!K69/'Input summary'!$C$169)</f>
        <v>0</v>
      </c>
      <c r="H17" s="602">
        <f ca="1">('Input summary'!K96/'Input summary'!$C$170)*(C17-D17)+D17*(1-'Input summary'!C242)*('Input summary'!K96/'Input summary'!$C$170)</f>
        <v>0</v>
      </c>
      <c r="I17" s="29"/>
      <c r="J17" s="609">
        <f ca="1">$D17*'Input summary'!C330</f>
        <v>0</v>
      </c>
      <c r="K17" s="29">
        <f ca="1">D17*'Input summary'!C358</f>
        <v>0</v>
      </c>
      <c r="L17" s="29">
        <f ca="1">F17*'Input summary'!C441</f>
        <v>0</v>
      </c>
      <c r="M17" s="29">
        <f ca="1">$D17*(('Input summary'!C270/'Input summary'!$C$167)*'Input summary'!C386+('Input summary'!C297/'Input summary'!$C$167)*'Input summary'!C414)</f>
        <v>0</v>
      </c>
      <c r="N17" s="602">
        <f ca="1">G17*'Input summary'!C468</f>
        <v>0</v>
      </c>
      <c r="O17" s="609">
        <f>D17*'Input summary'!C493</f>
        <v>0</v>
      </c>
      <c r="P17" s="29">
        <f ca="1">E17*'Input summary'!C525</f>
        <v>0</v>
      </c>
      <c r="Q17" s="29">
        <f ca="1">F17*'Input summary'!C552</f>
        <v>0</v>
      </c>
      <c r="R17" s="602">
        <f ca="1">G17*'Input summary'!C579</f>
        <v>0</v>
      </c>
      <c r="S17" s="29">
        <f ca="1">D17*'Input summary'!C609</f>
        <v>0</v>
      </c>
      <c r="T17" s="29">
        <f ca="1">(E17)*'Input summary'!C636</f>
        <v>0</v>
      </c>
      <c r="U17" s="29">
        <f ca="1">(F17)*'Input summary'!C663</f>
        <v>0</v>
      </c>
      <c r="V17" s="29">
        <f ca="1">G17*'Input summary'!C690</f>
        <v>0</v>
      </c>
      <c r="W17" s="602">
        <f ca="1">H17*'Input summary'!C717</f>
        <v>0</v>
      </c>
      <c r="X17" s="29"/>
      <c r="Y17" s="609">
        <f ca="1">(E17)*'Input summary'!C746*'Input summary'!C123+(E17)*'Input summary'!C773*(1-'Input summary'!C123)</f>
        <v>0</v>
      </c>
      <c r="Z17" s="29">
        <f ca="1">(F17-G17*'Input summary'!C150)*'Input summary'!C746</f>
        <v>0</v>
      </c>
      <c r="AA17" s="29">
        <f ca="1">G17*('Input summary'!C773)</f>
        <v>0</v>
      </c>
      <c r="AB17" s="29">
        <f ca="1">H17*'Input summary'!G854</f>
        <v>0</v>
      </c>
      <c r="AC17" s="29">
        <f ca="1">$D17*(('Input summary'!C270/'Input summary'!$C$167)*'Input summary'!C800+('Input summary'!C297/'Input summary'!$C$167)*'Input summary'!C827)</f>
        <v>0</v>
      </c>
      <c r="AD17" s="602">
        <f ca="1">H17*'Input summary'!E854</f>
        <v>0</v>
      </c>
    </row>
    <row r="18" spans="1:30" x14ac:dyDescent="0.3">
      <c r="A18" s="198"/>
      <c r="B18" s="31" t="s">
        <v>1083</v>
      </c>
      <c r="C18" s="29">
        <f>'General input'!H66</f>
        <v>0</v>
      </c>
      <c r="D18" s="29">
        <f>'General input'!C96*'General input'!H66</f>
        <v>0</v>
      </c>
      <c r="E18" s="29">
        <f ca="1">('Input summary'!K16/'Input summary'!$C$167)*(C18-D18)+('Input summary'!K16/'Input summary'!$C$167)*D18*(1-'Input summary'!C187)</f>
        <v>0</v>
      </c>
      <c r="F18" s="29">
        <f ca="1">('Input summary'!K43/'Input summary'!$C$168)*(C18-D18)+D18*(1-'Input summary'!C215)*('Input summary'!K43/'Input summary'!$C$169)</f>
        <v>0</v>
      </c>
      <c r="G18" s="29">
        <f ca="1">('Input summary'!K70/'Input summary'!$C$169)*(C18-D18)+D18*(1-'Input summary'!C215)*('Input summary'!K70/'Input summary'!$C$169)</f>
        <v>0</v>
      </c>
      <c r="H18" s="602">
        <f ca="1">('Input summary'!K97/'Input summary'!$C$170)*(C18-D18)+D18*(1-'Input summary'!C243)*('Input summary'!K97/'Input summary'!$C$170)</f>
        <v>0</v>
      </c>
      <c r="I18" s="29"/>
      <c r="J18" s="609">
        <f ca="1">$D18*'Input summary'!C331</f>
        <v>0</v>
      </c>
      <c r="K18" s="29">
        <f ca="1">D18*'Input summary'!C359</f>
        <v>0</v>
      </c>
      <c r="L18" s="29">
        <f ca="1">F18*'Input summary'!C442</f>
        <v>0</v>
      </c>
      <c r="M18" s="29">
        <f ca="1">$D18*(('Input summary'!C271/'Input summary'!$C$167)*'Input summary'!C387+('Input summary'!C298/'Input summary'!$C$167)*'Input summary'!C415)</f>
        <v>0</v>
      </c>
      <c r="N18" s="602">
        <f ca="1">G18*'Input summary'!C469</f>
        <v>0</v>
      </c>
      <c r="O18" s="609">
        <f>D18*'Input summary'!C494</f>
        <v>0</v>
      </c>
      <c r="P18" s="29">
        <f ca="1">E18*'Input summary'!C526</f>
        <v>0</v>
      </c>
      <c r="Q18" s="29">
        <f ca="1">F18*'Input summary'!C553</f>
        <v>0</v>
      </c>
      <c r="R18" s="602">
        <f ca="1">G18*'Input summary'!C580</f>
        <v>0</v>
      </c>
      <c r="S18" s="29">
        <f ca="1">D18*'Input summary'!C610</f>
        <v>0</v>
      </c>
      <c r="T18" s="29">
        <f ca="1">(E18)*'Input summary'!C637</f>
        <v>0</v>
      </c>
      <c r="U18" s="29">
        <f ca="1">(F18)*'Input summary'!C664</f>
        <v>0</v>
      </c>
      <c r="V18" s="29">
        <f ca="1">G18*'Input summary'!C691</f>
        <v>0</v>
      </c>
      <c r="W18" s="602">
        <f ca="1">H18*'Input summary'!C718</f>
        <v>0</v>
      </c>
      <c r="X18" s="29"/>
      <c r="Y18" s="609">
        <f ca="1">(E18)*'Input summary'!C747*'Input summary'!C124+(E18)*'Input summary'!C774*(1-'Input summary'!C124)</f>
        <v>0</v>
      </c>
      <c r="Z18" s="29">
        <f ca="1">(F18-G18*'Input summary'!C151)*'Input summary'!C747</f>
        <v>0</v>
      </c>
      <c r="AA18" s="29">
        <f ca="1">G18*('Input summary'!C774)</f>
        <v>0</v>
      </c>
      <c r="AB18" s="29">
        <f ca="1">H18*'Input summary'!G855</f>
        <v>0</v>
      </c>
      <c r="AC18" s="29">
        <f ca="1">$D18*(('Input summary'!C271/'Input summary'!$C$167)*'Input summary'!C801+('Input summary'!C298/'Input summary'!$C$167)*'Input summary'!C828)</f>
        <v>0</v>
      </c>
      <c r="AD18" s="602">
        <f ca="1">H18*'Input summary'!E855</f>
        <v>0</v>
      </c>
    </row>
    <row r="19" spans="1:30" x14ac:dyDescent="0.3">
      <c r="A19" s="198"/>
      <c r="B19" s="31" t="s">
        <v>1084</v>
      </c>
      <c r="C19" s="29">
        <f>'General input'!H67</f>
        <v>0</v>
      </c>
      <c r="D19" s="29">
        <f>'General input'!C97*'General input'!H67</f>
        <v>0</v>
      </c>
      <c r="E19" s="29">
        <f ca="1">('Input summary'!K17/'Input summary'!$C$167)*(C19-D19)+('Input summary'!K17/'Input summary'!$C$167)*D19*(1-'Input summary'!C188)</f>
        <v>0</v>
      </c>
      <c r="F19" s="29">
        <f ca="1">('Input summary'!K44/'Input summary'!$C$168)*(C19-D19)+D19*(1-'Input summary'!C216)*('Input summary'!K44/'Input summary'!$C$169)</f>
        <v>0</v>
      </c>
      <c r="G19" s="29">
        <f ca="1">('Input summary'!K71/'Input summary'!$C$169)*(C19-D19)+D19*(1-'Input summary'!C216)*('Input summary'!K71/'Input summary'!$C$169)</f>
        <v>0</v>
      </c>
      <c r="H19" s="602">
        <f ca="1">('Input summary'!K98/'Input summary'!$C$170)*(C19-D19)+D19*(1-'Input summary'!C244)*('Input summary'!K98/'Input summary'!$C$170)</f>
        <v>0</v>
      </c>
      <c r="I19" s="29"/>
      <c r="J19" s="609">
        <f ca="1">$D19*'Input summary'!C332</f>
        <v>0</v>
      </c>
      <c r="K19" s="29">
        <f ca="1">D19*'Input summary'!C360</f>
        <v>0</v>
      </c>
      <c r="L19" s="29">
        <f ca="1">F19*'Input summary'!C443</f>
        <v>0</v>
      </c>
      <c r="M19" s="29">
        <f ca="1">$D19*(('Input summary'!C272/'Input summary'!$C$167)*'Input summary'!C388+('Input summary'!C299/'Input summary'!$C$167)*'Input summary'!C416)</f>
        <v>0</v>
      </c>
      <c r="N19" s="602">
        <f ca="1">G19*'Input summary'!C470</f>
        <v>0</v>
      </c>
      <c r="O19" s="609">
        <f>D19*'Input summary'!C495</f>
        <v>0</v>
      </c>
      <c r="P19" s="29">
        <f ca="1">E19*'Input summary'!C527</f>
        <v>0</v>
      </c>
      <c r="Q19" s="29">
        <f ca="1">F19*'Input summary'!C554</f>
        <v>0</v>
      </c>
      <c r="R19" s="602">
        <f ca="1">G19*'Input summary'!C581</f>
        <v>0</v>
      </c>
      <c r="S19" s="29">
        <f ca="1">D19*'Input summary'!C611</f>
        <v>0</v>
      </c>
      <c r="T19" s="29">
        <f ca="1">(E19)*'Input summary'!C638</f>
        <v>0</v>
      </c>
      <c r="U19" s="29">
        <f ca="1">(F19)*'Input summary'!C665</f>
        <v>0</v>
      </c>
      <c r="V19" s="29">
        <f ca="1">G19*'Input summary'!C692</f>
        <v>0</v>
      </c>
      <c r="W19" s="602">
        <f ca="1">H19*'Input summary'!C719</f>
        <v>0</v>
      </c>
      <c r="X19" s="29"/>
      <c r="Y19" s="609">
        <f ca="1">(E19)*'Input summary'!C748*'Input summary'!C125+(E19)*'Input summary'!C775*(1-'Input summary'!C125)</f>
        <v>0</v>
      </c>
      <c r="Z19" s="29">
        <f ca="1">(F19-G19*'Input summary'!C152)*'Input summary'!C748</f>
        <v>0</v>
      </c>
      <c r="AA19" s="29">
        <f ca="1">G19*('Input summary'!C775)</f>
        <v>0</v>
      </c>
      <c r="AB19" s="29">
        <f ca="1">H19*'Input summary'!G856</f>
        <v>0</v>
      </c>
      <c r="AC19" s="29">
        <f ca="1">$D19*(('Input summary'!C272/'Input summary'!$C$167)*'Input summary'!C802+('Input summary'!C299/'Input summary'!$C$167)*'Input summary'!C829)</f>
        <v>0</v>
      </c>
      <c r="AD19" s="602">
        <f ca="1">H19*'Input summary'!E856</f>
        <v>0</v>
      </c>
    </row>
    <row r="20" spans="1:30" x14ac:dyDescent="0.3">
      <c r="A20" s="198"/>
      <c r="B20" s="31" t="s">
        <v>1085</v>
      </c>
      <c r="C20" s="29">
        <f>'General input'!H68</f>
        <v>0</v>
      </c>
      <c r="D20" s="29">
        <f>'General input'!C98*'General input'!H68</f>
        <v>0</v>
      </c>
      <c r="E20" s="29">
        <f ca="1">('Input summary'!K18/'Input summary'!$C$167)*(C20-D20)+('Input summary'!K18/'Input summary'!$C$167)*D20*(1-'Input summary'!C189)</f>
        <v>0</v>
      </c>
      <c r="F20" s="29">
        <f ca="1">('Input summary'!K45/'Input summary'!$C$168)*(C20-D20)+D20*(1-'Input summary'!C217)*('Input summary'!K45/'Input summary'!$C$169)</f>
        <v>0</v>
      </c>
      <c r="G20" s="29">
        <f ca="1">('Input summary'!K72/'Input summary'!$C$169)*(C20-D20)+D20*(1-'Input summary'!C217)*('Input summary'!K72/'Input summary'!$C$169)</f>
        <v>0</v>
      </c>
      <c r="H20" s="602">
        <f ca="1">('Input summary'!K99/'Input summary'!$C$170)*(C20-D20)+D20*(1-'Input summary'!C245)*('Input summary'!K99/'Input summary'!$C$170)</f>
        <v>0</v>
      </c>
      <c r="I20" s="29"/>
      <c r="J20" s="609">
        <f ca="1">$D20*'Input summary'!C333</f>
        <v>0</v>
      </c>
      <c r="K20" s="29">
        <f ca="1">D20*'Input summary'!C361</f>
        <v>0</v>
      </c>
      <c r="L20" s="29">
        <f ca="1">F20*'Input summary'!C444</f>
        <v>0</v>
      </c>
      <c r="M20" s="29">
        <f ca="1">$D20*(('Input summary'!C273/'Input summary'!$C$167)*'Input summary'!C389+('Input summary'!C300/'Input summary'!$C$167)*'Input summary'!C417)</f>
        <v>0</v>
      </c>
      <c r="N20" s="602">
        <f ca="1">G20*'Input summary'!C471</f>
        <v>0</v>
      </c>
      <c r="O20" s="609">
        <f>D20*'Input summary'!C501</f>
        <v>0</v>
      </c>
      <c r="P20" s="29">
        <f ca="1">E20*'Input summary'!C528</f>
        <v>0</v>
      </c>
      <c r="Q20" s="29">
        <f ca="1">F20*'Input summary'!C555</f>
        <v>0</v>
      </c>
      <c r="R20" s="602">
        <f ca="1">G20*'Input summary'!C582</f>
        <v>0</v>
      </c>
      <c r="S20" s="29">
        <f ca="1">D20*'Input summary'!C612</f>
        <v>0</v>
      </c>
      <c r="T20" s="29">
        <f ca="1">(E20)*'Input summary'!C639</f>
        <v>0</v>
      </c>
      <c r="U20" s="29">
        <f ca="1">(F20)*'Input summary'!C666</f>
        <v>0</v>
      </c>
      <c r="V20" s="29">
        <f ca="1">G20*'Input summary'!C693</f>
        <v>0</v>
      </c>
      <c r="W20" s="602">
        <f ca="1">H20*'Input summary'!C720</f>
        <v>0</v>
      </c>
      <c r="X20" s="29"/>
      <c r="Y20" s="609">
        <f ca="1">(E20)*'Input summary'!C749*'Input summary'!C126+(E20)*'Input summary'!C776*(1-'Input summary'!C126)</f>
        <v>0</v>
      </c>
      <c r="Z20" s="29">
        <f ca="1">(F20-G20*'Input summary'!C153)*'Input summary'!C749</f>
        <v>0</v>
      </c>
      <c r="AA20" s="29">
        <f ca="1">G20*('Input summary'!C776)</f>
        <v>0</v>
      </c>
      <c r="AB20" s="29">
        <f ca="1">H20*'Input summary'!G857</f>
        <v>0</v>
      </c>
      <c r="AC20" s="29">
        <f ca="1">$D20*(('Input summary'!C273/'Input summary'!$C$167)*'Input summary'!C803+('Input summary'!C300/'Input summary'!$C$167)*'Input summary'!C830)</f>
        <v>0</v>
      </c>
      <c r="AD20" s="602">
        <f ca="1">H20*'Input summary'!E857</f>
        <v>0</v>
      </c>
    </row>
    <row r="21" spans="1:30" x14ac:dyDescent="0.3">
      <c r="A21" s="198"/>
      <c r="B21" s="31" t="s">
        <v>1086</v>
      </c>
      <c r="C21" s="29">
        <f>'General input'!H69</f>
        <v>0</v>
      </c>
      <c r="D21" s="29">
        <f>'General input'!C99*'General input'!H69</f>
        <v>0</v>
      </c>
      <c r="E21" s="29">
        <f ca="1">('Input summary'!K19/'Input summary'!$C$167)*(C21-D21)+('Input summary'!K19/'Input summary'!$C$167)*D21*(1-'Input summary'!C190)</f>
        <v>0</v>
      </c>
      <c r="F21" s="29">
        <f ca="1">('Input summary'!K46/'Input summary'!$C$168)*(C21-D21)+D21*(1-'Input summary'!C218)*('Input summary'!K46/'Input summary'!$C$169)</f>
        <v>0</v>
      </c>
      <c r="G21" s="29">
        <f ca="1">('Input summary'!K73/'Input summary'!$C$169)*(C21-D21)+D21*(1-'Input summary'!C218)*('Input summary'!K73/'Input summary'!$C$169)</f>
        <v>0</v>
      </c>
      <c r="H21" s="602">
        <f ca="1">('Input summary'!K100/'Input summary'!$C$170)*(C21-D21)+D21*(1-'Input summary'!C246)*('Input summary'!K100/'Input summary'!$C$170)</f>
        <v>0</v>
      </c>
      <c r="I21" s="29"/>
      <c r="J21" s="609">
        <f ca="1">$D21*'Input summary'!C334</f>
        <v>0</v>
      </c>
      <c r="K21" s="29">
        <f ca="1">D21*'Input summary'!C362</f>
        <v>0</v>
      </c>
      <c r="L21" s="29">
        <f ca="1">F21*'Input summary'!C445</f>
        <v>0</v>
      </c>
      <c r="M21" s="29">
        <f ca="1">$D21*(('Input summary'!C274/'Input summary'!$C$167)*'Input summary'!C390+('Input summary'!C301/'Input summary'!$C$167)*'Input summary'!C418)</f>
        <v>0</v>
      </c>
      <c r="N21" s="602">
        <f ca="1">G21*'Input summary'!C472</f>
        <v>0</v>
      </c>
      <c r="O21" s="609">
        <f>D21*'Input summary'!C502</f>
        <v>0</v>
      </c>
      <c r="P21" s="29">
        <f ca="1">E21*'Input summary'!C529</f>
        <v>0</v>
      </c>
      <c r="Q21" s="29">
        <f ca="1">F21*'Input summary'!C556</f>
        <v>0</v>
      </c>
      <c r="R21" s="602">
        <f ca="1">G21*'Input summary'!C583</f>
        <v>0</v>
      </c>
      <c r="S21" s="29">
        <f ca="1">D21*'Input summary'!C613</f>
        <v>0</v>
      </c>
      <c r="T21" s="29">
        <f ca="1">(E21)*'Input summary'!C640</f>
        <v>0</v>
      </c>
      <c r="U21" s="29">
        <f ca="1">(F21)*'Input summary'!C667</f>
        <v>0</v>
      </c>
      <c r="V21" s="29">
        <f ca="1">G21*'Input summary'!C694</f>
        <v>0</v>
      </c>
      <c r="W21" s="602">
        <f ca="1">H21*'Input summary'!C721</f>
        <v>0</v>
      </c>
      <c r="X21" s="29"/>
      <c r="Y21" s="609">
        <f ca="1">(E21)*'Input summary'!C750*'Input summary'!C127+(E21)*'Input summary'!C777*(1-'Input summary'!C127)</f>
        <v>0</v>
      </c>
      <c r="Z21" s="29">
        <f ca="1">(F21-G21*'Input summary'!C154)*'Input summary'!C750</f>
        <v>0</v>
      </c>
      <c r="AA21" s="29">
        <f ca="1">G21*('Input summary'!C777)</f>
        <v>0</v>
      </c>
      <c r="AB21" s="29">
        <f ca="1">H21*'Input summary'!G858</f>
        <v>0</v>
      </c>
      <c r="AC21" s="29">
        <f ca="1">$D21*(('Input summary'!C274/'Input summary'!$C$167)*'Input summary'!C804+('Input summary'!C301/'Input summary'!$C$167)*'Input summary'!C831)</f>
        <v>0</v>
      </c>
      <c r="AD21" s="602">
        <f ca="1">H21*'Input summary'!E858</f>
        <v>0</v>
      </c>
    </row>
    <row r="22" spans="1:30" x14ac:dyDescent="0.3">
      <c r="A22" s="198"/>
      <c r="B22" s="31" t="s">
        <v>1087</v>
      </c>
      <c r="C22" s="29">
        <f>'General input'!H70</f>
        <v>0</v>
      </c>
      <c r="D22" s="29">
        <f>'General input'!C100*'General input'!H70</f>
        <v>0</v>
      </c>
      <c r="E22" s="29">
        <f ca="1">('Input summary'!K20/'Input summary'!$C$167)*(C22-D22)+('Input summary'!K20/'Input summary'!$C$167)*D22*(1-'Input summary'!C191)</f>
        <v>0</v>
      </c>
      <c r="F22" s="29">
        <f ca="1">('Input summary'!K47/'Input summary'!$C$168)*(C22-D22)+D22*(1-'Input summary'!C219)*('Input summary'!K47/'Input summary'!$C$169)</f>
        <v>0</v>
      </c>
      <c r="G22" s="29">
        <f ca="1">('Input summary'!K74/'Input summary'!$C$169)*(C22-D22)+D22*(1-'Input summary'!C219)*('Input summary'!K74/'Input summary'!$C$169)</f>
        <v>0</v>
      </c>
      <c r="H22" s="602">
        <f ca="1">('Input summary'!K101/'Input summary'!$C$170)*(C22-D22)+D22*(1-'Input summary'!C247)*('Input summary'!K101/'Input summary'!$C$170)</f>
        <v>0</v>
      </c>
      <c r="I22" s="29"/>
      <c r="J22" s="609">
        <f ca="1">$D22*'Input summary'!C335</f>
        <v>0</v>
      </c>
      <c r="K22" s="29">
        <f ca="1">D22*'Input summary'!C363</f>
        <v>0</v>
      </c>
      <c r="L22" s="29">
        <f ca="1">F22*'Input summary'!C446</f>
        <v>0</v>
      </c>
      <c r="M22" s="29">
        <f ca="1">$D22*(('Input summary'!C275/'Input summary'!$C$167)*'Input summary'!C391+('Input summary'!C302/'Input summary'!$C$167)*'Input summary'!C419)</f>
        <v>0</v>
      </c>
      <c r="N22" s="602">
        <f ca="1">G22*'Input summary'!C473</f>
        <v>0</v>
      </c>
      <c r="O22" s="609">
        <f>D22*'Input summary'!C503</f>
        <v>0</v>
      </c>
      <c r="P22" s="29">
        <f ca="1">E22*'Input summary'!C530</f>
        <v>0</v>
      </c>
      <c r="Q22" s="29">
        <f ca="1">F22*'Input summary'!C557</f>
        <v>0</v>
      </c>
      <c r="R22" s="602">
        <f ca="1">G22*'Input summary'!C584</f>
        <v>0</v>
      </c>
      <c r="S22" s="29">
        <f ca="1">D22*'Input summary'!C614</f>
        <v>0</v>
      </c>
      <c r="T22" s="29">
        <f ca="1">(E22)*'Input summary'!C641</f>
        <v>0</v>
      </c>
      <c r="U22" s="29">
        <f ca="1">(F22)*'Input summary'!C668</f>
        <v>0</v>
      </c>
      <c r="V22" s="29">
        <f ca="1">G22*'Input summary'!C695</f>
        <v>0</v>
      </c>
      <c r="W22" s="602">
        <f ca="1">H22*'Input summary'!C722</f>
        <v>0</v>
      </c>
      <c r="X22" s="29"/>
      <c r="Y22" s="609">
        <f ca="1">(E22)*'Input summary'!C751*'Input summary'!C128+(E22)*'Input summary'!C778*(1-'Input summary'!C128)</f>
        <v>0</v>
      </c>
      <c r="Z22" s="29">
        <f ca="1">(F22-G22*'Input summary'!C155)*'Input summary'!C751</f>
        <v>0</v>
      </c>
      <c r="AA22" s="29">
        <f ca="1">G22*('Input summary'!C778)</f>
        <v>0</v>
      </c>
      <c r="AB22" s="29">
        <f ca="1">H22*'Input summary'!G859</f>
        <v>0</v>
      </c>
      <c r="AC22" s="29">
        <f ca="1">$D22*(('Input summary'!C275/'Input summary'!$C$167)*'Input summary'!C805+('Input summary'!C302/'Input summary'!$C$167)*'Input summary'!C832)</f>
        <v>0</v>
      </c>
      <c r="AD22" s="602">
        <f ca="1">H22*'Input summary'!E859</f>
        <v>0</v>
      </c>
    </row>
    <row r="23" spans="1:30" x14ac:dyDescent="0.3">
      <c r="A23" s="198"/>
      <c r="B23" s="31" t="s">
        <v>1443</v>
      </c>
      <c r="C23" s="29">
        <f>'General input'!H71</f>
        <v>0</v>
      </c>
      <c r="D23" s="29">
        <f>'General input'!C101*'General input'!H71</f>
        <v>0</v>
      </c>
      <c r="E23" s="29">
        <f ca="1">('Input summary'!K21/'Input summary'!$C$167)*(C23-D23)+('Input summary'!K21/'Input summary'!$C$167)*D23*(1-'Input summary'!C192)</f>
        <v>0</v>
      </c>
      <c r="F23" s="29">
        <f ca="1">('Input summary'!K48/'Input summary'!$C$168)*(C23-D23)+D23*(1-'Input summary'!C220)*('Input summary'!K48/'Input summary'!$C$169)</f>
        <v>0</v>
      </c>
      <c r="G23" s="29">
        <f ca="1">('Input summary'!K75/'Input summary'!$C$169)*(C23-D23)+D23*(1-'Input summary'!C220)*('Input summary'!K75/'Input summary'!$C$169)</f>
        <v>0</v>
      </c>
      <c r="H23" s="602">
        <f ca="1">('Input summary'!K102/'Input summary'!$C$170)*(C23-D23)+D23*(1-'Input summary'!C248)*('Input summary'!K102/'Input summary'!$C$170)</f>
        <v>0</v>
      </c>
      <c r="I23" s="29"/>
      <c r="J23" s="609">
        <f ca="1">$D23*'Input summary'!C336</f>
        <v>0</v>
      </c>
      <c r="K23" s="29">
        <f ca="1">D23*'Input summary'!C364</f>
        <v>0</v>
      </c>
      <c r="L23" s="29">
        <f ca="1">F23*'Input summary'!C447</f>
        <v>0</v>
      </c>
      <c r="M23" s="29">
        <f ca="1">$D23*(('Input summary'!C276/'Input summary'!$C$167)*'Input summary'!C392+('Input summary'!C303/'Input summary'!$C$167)*'Input summary'!C420)</f>
        <v>0</v>
      </c>
      <c r="N23" s="602">
        <f ca="1">G23*'Input summary'!C474</f>
        <v>0</v>
      </c>
      <c r="O23" s="609">
        <f>D23*'Input summary'!C504</f>
        <v>0</v>
      </c>
      <c r="P23" s="29">
        <f ca="1">E23*'Input summary'!C531</f>
        <v>0</v>
      </c>
      <c r="Q23" s="29">
        <f ca="1">F23*'Input summary'!C558</f>
        <v>0</v>
      </c>
      <c r="R23" s="602">
        <f ca="1">G23*'Input summary'!C585</f>
        <v>0</v>
      </c>
      <c r="S23" s="29">
        <f ca="1">D23*'Input summary'!C615</f>
        <v>0</v>
      </c>
      <c r="T23" s="29">
        <f ca="1">(E23)*'Input summary'!C642</f>
        <v>0</v>
      </c>
      <c r="U23" s="29">
        <f ca="1">(F23)*'Input summary'!C669</f>
        <v>0</v>
      </c>
      <c r="V23" s="29">
        <f ca="1">G23*'Input summary'!C696</f>
        <v>0</v>
      </c>
      <c r="W23" s="602">
        <f ca="1">H23*'Input summary'!C723</f>
        <v>0</v>
      </c>
      <c r="X23" s="29"/>
      <c r="Y23" s="609">
        <f ca="1">(E23)*'Input summary'!C752*'Input summary'!C129+(E23)*'Input summary'!C779*(1-'Input summary'!C129)</f>
        <v>0</v>
      </c>
      <c r="Z23" s="29">
        <f ca="1">(F23-G23*'Input summary'!C156)*'Input summary'!C752</f>
        <v>0</v>
      </c>
      <c r="AA23" s="29">
        <f ca="1">G23*('Input summary'!C779)</f>
        <v>0</v>
      </c>
      <c r="AB23" s="29">
        <f ca="1">H23*'Input summary'!G860</f>
        <v>0</v>
      </c>
      <c r="AC23" s="29">
        <f ca="1">$D23*(('Input summary'!C276/'Input summary'!$C$167)*'Input summary'!C806+('Input summary'!C303/'Input summary'!$C$167)*'Input summary'!C833)</f>
        <v>0</v>
      </c>
      <c r="AD23" s="602">
        <f ca="1">H23*'Input summary'!E860</f>
        <v>0</v>
      </c>
    </row>
    <row r="24" spans="1:30" x14ac:dyDescent="0.3">
      <c r="A24" s="198"/>
      <c r="B24" s="405" t="s">
        <v>227</v>
      </c>
      <c r="C24" s="29"/>
      <c r="D24" s="29"/>
      <c r="E24" s="29"/>
      <c r="F24" s="29"/>
      <c r="G24" s="29"/>
      <c r="H24" s="602"/>
      <c r="I24" s="29"/>
      <c r="J24" s="609"/>
      <c r="K24" s="29"/>
      <c r="L24" s="29"/>
      <c r="M24" s="29"/>
      <c r="N24" s="602"/>
      <c r="O24" s="609"/>
      <c r="P24" s="29"/>
      <c r="Q24" s="29"/>
      <c r="R24" s="602"/>
      <c r="S24" s="29"/>
      <c r="T24" s="29"/>
      <c r="U24" s="29"/>
      <c r="V24" s="29"/>
      <c r="W24" s="602"/>
      <c r="X24" s="29"/>
      <c r="Y24" s="609"/>
      <c r="Z24" s="29"/>
      <c r="AA24" s="29"/>
      <c r="AB24" s="29"/>
      <c r="AC24" s="29"/>
      <c r="AD24" s="602"/>
    </row>
    <row r="25" spans="1:30" x14ac:dyDescent="0.3">
      <c r="A25" s="198"/>
      <c r="B25" s="31" t="s">
        <v>1437</v>
      </c>
      <c r="C25" s="29">
        <f>'General input'!H73</f>
        <v>0</v>
      </c>
      <c r="D25" s="29">
        <f>'General input'!C103*'General input'!H73</f>
        <v>0</v>
      </c>
      <c r="E25" s="29">
        <f ca="1">('Input summary'!K23/'Input summary'!$C$167)*(C25-D25)+('Input summary'!K23/'Input summary'!$C$167)*D25*(1-'Input summary'!C194)</f>
        <v>0</v>
      </c>
      <c r="F25" s="29">
        <f ca="1">('Input summary'!K50/'Input summary'!$C$168)*(C25-D25)+D25*(1-'Input summary'!C222)*('Input summary'!K50/'Input summary'!$C$169)</f>
        <v>0</v>
      </c>
      <c r="G25" s="29">
        <f ca="1">('Input summary'!K77/'Input summary'!$C$169)*(C25-D25)+D25*(1-'Input summary'!C222)*('Input summary'!K77/'Input summary'!$C$169)</f>
        <v>0</v>
      </c>
      <c r="H25" s="602">
        <f ca="1">('Input summary'!K104/'Input summary'!$C$170)*(C25-D25)+D25*(1-'Input summary'!C250)*('Input summary'!K104/'Input summary'!$C$170)</f>
        <v>0</v>
      </c>
      <c r="I25" s="29"/>
      <c r="J25" s="609">
        <f ca="1">$D25*'Input summary'!C338</f>
        <v>0</v>
      </c>
      <c r="K25" s="29">
        <f ca="1">D25*'Input summary'!C366</f>
        <v>0</v>
      </c>
      <c r="L25" s="29">
        <f ca="1">F25*'Input summary'!C449</f>
        <v>0</v>
      </c>
      <c r="M25" s="29">
        <f ca="1">$D25*(('Input summary'!C278/'Input summary'!$C$167)*'Input summary'!C394+('Input summary'!C305/'Input summary'!$C$167)*'Input summary'!C422)</f>
        <v>0</v>
      </c>
      <c r="N25" s="602">
        <f ca="1">G25*'Input summary'!C476</f>
        <v>0</v>
      </c>
      <c r="O25" s="609">
        <f>D25*'Input summary'!C506</f>
        <v>0</v>
      </c>
      <c r="P25" s="29">
        <f ca="1">E25*'Input summary'!C533</f>
        <v>0</v>
      </c>
      <c r="Q25" s="29">
        <f ca="1">F25*'Input summary'!C560</f>
        <v>0</v>
      </c>
      <c r="R25" s="602">
        <f ca="1">G25*'Input summary'!C587</f>
        <v>0</v>
      </c>
      <c r="S25" s="29">
        <f ca="1">D25*'Input summary'!C617</f>
        <v>0</v>
      </c>
      <c r="T25" s="29">
        <f ca="1">(E25)*'Input summary'!C644</f>
        <v>0</v>
      </c>
      <c r="U25" s="29">
        <f ca="1">(F25)*'Input summary'!C671</f>
        <v>0</v>
      </c>
      <c r="V25" s="29">
        <f ca="1">G25*'Input summary'!C698</f>
        <v>0</v>
      </c>
      <c r="W25" s="602">
        <f ca="1">H25*'Input summary'!C725</f>
        <v>0</v>
      </c>
      <c r="X25" s="29"/>
      <c r="Y25" s="609">
        <f ca="1">(E25)*'Input summary'!C754*'Input summary'!C131+(E25)*'Input summary'!C781*(1-'Input summary'!C131)</f>
        <v>0</v>
      </c>
      <c r="Z25" s="29">
        <f ca="1">(F25-G25*'Input summary'!C158)*'Input summary'!C754</f>
        <v>0</v>
      </c>
      <c r="AA25" s="29">
        <f ca="1">G25*('Input summary'!C781)</f>
        <v>0</v>
      </c>
      <c r="AB25" s="29">
        <f ca="1">H25*'Input summary'!G862</f>
        <v>0</v>
      </c>
      <c r="AC25" s="29">
        <f ca="1">$D25*(('Input summary'!C278/'Input summary'!$C$167)*'Input summary'!C808+('Input summary'!C305/'Input summary'!$C$167)*'Input summary'!C835)</f>
        <v>0</v>
      </c>
      <c r="AD25" s="602">
        <f ca="1">H25*'Input summary'!E862</f>
        <v>0</v>
      </c>
    </row>
    <row r="26" spans="1:30" x14ac:dyDescent="0.3">
      <c r="A26" s="198"/>
      <c r="B26" s="31" t="s">
        <v>1438</v>
      </c>
      <c r="C26" s="29">
        <f>'General input'!H74</f>
        <v>0</v>
      </c>
      <c r="D26" s="29">
        <f>'General input'!C104*'General input'!H74</f>
        <v>0</v>
      </c>
      <c r="E26" s="29">
        <f ca="1">('Input summary'!K24/'Input summary'!$C$167)*(C26-D26)+('Input summary'!K24/'Input summary'!$C$167)*D26*(1-'Input summary'!C195)</f>
        <v>0</v>
      </c>
      <c r="F26" s="29">
        <f ca="1">('Input summary'!K51/'Input summary'!$C$168)*(C26-D26)+D26*(1-'Input summary'!C223)*('Input summary'!K51/'Input summary'!$C$169)</f>
        <v>0</v>
      </c>
      <c r="G26" s="29">
        <f ca="1">('Input summary'!K78/'Input summary'!$C$169)*(C26-D26)+D26*(1-'Input summary'!C223)*('Input summary'!K78/'Input summary'!$C$169)</f>
        <v>0</v>
      </c>
      <c r="H26" s="602">
        <f ca="1">('Input summary'!K105/'Input summary'!$C$170)*(C26-D26)+D26*(1-'Input summary'!C251)*('Input summary'!K105/'Input summary'!$C$170)</f>
        <v>0</v>
      </c>
      <c r="I26" s="29"/>
      <c r="J26" s="609">
        <f ca="1">$D26*'Input summary'!C339</f>
        <v>0</v>
      </c>
      <c r="K26" s="29">
        <f ca="1">D26*'Input summary'!C367</f>
        <v>0</v>
      </c>
      <c r="L26" s="29">
        <f ca="1">F26*'Input summary'!C450</f>
        <v>0</v>
      </c>
      <c r="M26" s="29">
        <f ca="1">$D26*(('Input summary'!C279/'Input summary'!$C$167)*'Input summary'!C395+('Input summary'!C306/'Input summary'!$C$167)*'Input summary'!C423)</f>
        <v>0</v>
      </c>
      <c r="N26" s="602">
        <f ca="1">G26*'Input summary'!C477</f>
        <v>0</v>
      </c>
      <c r="O26" s="609">
        <f>D26*'Input summary'!C507</f>
        <v>0</v>
      </c>
      <c r="P26" s="29">
        <f ca="1">E26*'Input summary'!C534</f>
        <v>0</v>
      </c>
      <c r="Q26" s="29">
        <f ca="1">F26*'Input summary'!C561</f>
        <v>0</v>
      </c>
      <c r="R26" s="602">
        <f ca="1">G26*'Input summary'!C588</f>
        <v>0</v>
      </c>
      <c r="S26" s="29">
        <f ca="1">D26*'Input summary'!C618</f>
        <v>0</v>
      </c>
      <c r="T26" s="29">
        <f ca="1">(E26)*'Input summary'!C645</f>
        <v>0</v>
      </c>
      <c r="U26" s="29">
        <f ca="1">(F26)*'Input summary'!C672</f>
        <v>0</v>
      </c>
      <c r="V26" s="29">
        <f ca="1">G26*'Input summary'!C699</f>
        <v>0</v>
      </c>
      <c r="W26" s="602">
        <f ca="1">H26*'Input summary'!C726</f>
        <v>0</v>
      </c>
      <c r="X26" s="29"/>
      <c r="Y26" s="609">
        <f ca="1">(E26)*'Input summary'!C755*'Input summary'!C132+(E26)*'Input summary'!C782*(1-'Input summary'!C132)</f>
        <v>0</v>
      </c>
      <c r="Z26" s="29">
        <f ca="1">(F26-G26*'Input summary'!C159)*'Input summary'!C755</f>
        <v>0</v>
      </c>
      <c r="AA26" s="29">
        <f ca="1">G26*('Input summary'!C782)</f>
        <v>0</v>
      </c>
      <c r="AB26" s="29">
        <f ca="1">H26*'Input summary'!G863</f>
        <v>0</v>
      </c>
      <c r="AC26" s="29">
        <f ca="1">$D26*(('Input summary'!C279/'Input summary'!$C$167)*'Input summary'!C809+('Input summary'!C306/'Input summary'!$C$167)*'Input summary'!C836)</f>
        <v>0</v>
      </c>
      <c r="AD26" s="602">
        <f ca="1">H26*'Input summary'!E863</f>
        <v>0</v>
      </c>
    </row>
    <row r="27" spans="1:30" x14ac:dyDescent="0.3">
      <c r="A27" s="198"/>
      <c r="B27" s="31" t="s">
        <v>1441</v>
      </c>
      <c r="C27" s="29">
        <f>'General input'!H75</f>
        <v>0</v>
      </c>
      <c r="D27" s="29">
        <f>'General input'!C105*'General input'!H75</f>
        <v>0</v>
      </c>
      <c r="E27" s="29">
        <f ca="1">('Input summary'!K25/'Input summary'!$C$167)*(C27-D27)+('Input summary'!K25/'Input summary'!$C$167)*D27*(1-'Input summary'!C196)</f>
        <v>0</v>
      </c>
      <c r="F27" s="29">
        <f ca="1">('Input summary'!K52/'Input summary'!$C$168)*(C27-D27)+D27*(1-'Input summary'!C224)*('Input summary'!K52/'Input summary'!$C$169)</f>
        <v>0</v>
      </c>
      <c r="G27" s="29">
        <f ca="1">('Input summary'!K79/'Input summary'!$C$169)*(C27-D27)+D27*(1-'Input summary'!C224)*('Input summary'!K79/'Input summary'!$C$169)</f>
        <v>0</v>
      </c>
      <c r="H27" s="602">
        <f ca="1">('Input summary'!K106/'Input summary'!$C$170)*(C27-D27)+D27*(1-'Input summary'!C252)*('Input summary'!K106/'Input summary'!$C$170)</f>
        <v>0</v>
      </c>
      <c r="I27" s="29"/>
      <c r="J27" s="609">
        <f ca="1">$D27*'Input summary'!C340</f>
        <v>0</v>
      </c>
      <c r="K27" s="29">
        <f ca="1">D27*'Input summary'!C368</f>
        <v>0</v>
      </c>
      <c r="L27" s="29">
        <f ca="1">F27*'Input summary'!C451</f>
        <v>0</v>
      </c>
      <c r="M27" s="29">
        <f ca="1">$D27*(('Input summary'!C280/'Input summary'!$C$167)*'Input summary'!C396+('Input summary'!C307/'Input summary'!$C$167)*'Input summary'!C424)</f>
        <v>0</v>
      </c>
      <c r="N27" s="602">
        <f ca="1">G27*'Input summary'!C478</f>
        <v>0</v>
      </c>
      <c r="O27" s="609">
        <f>D27*'Input summary'!C508</f>
        <v>0</v>
      </c>
      <c r="P27" s="29">
        <f ca="1">E27*'Input summary'!C535</f>
        <v>0</v>
      </c>
      <c r="Q27" s="29">
        <f ca="1">F27*'Input summary'!C562</f>
        <v>0</v>
      </c>
      <c r="R27" s="602">
        <f ca="1">G27*'Input summary'!C589</f>
        <v>0</v>
      </c>
      <c r="S27" s="29">
        <f ca="1">D27*'Input summary'!C619</f>
        <v>0</v>
      </c>
      <c r="T27" s="29">
        <f ca="1">(E27)*'Input summary'!C646</f>
        <v>0</v>
      </c>
      <c r="U27" s="29">
        <f ca="1">(F27)*'Input summary'!C673</f>
        <v>0</v>
      </c>
      <c r="V27" s="29">
        <f ca="1">G27*'Input summary'!C700</f>
        <v>0</v>
      </c>
      <c r="W27" s="602">
        <f ca="1">H27*'Input summary'!C727</f>
        <v>0</v>
      </c>
      <c r="X27" s="29"/>
      <c r="Y27" s="609">
        <f ca="1">(E27)*'Input summary'!C756*'Input summary'!C133+(E27)*'Input summary'!C783*(1-'Input summary'!C133)</f>
        <v>0</v>
      </c>
      <c r="Z27" s="29">
        <f ca="1">(F27-G27*'Input summary'!C160)*'Input summary'!C756</f>
        <v>0</v>
      </c>
      <c r="AA27" s="29">
        <f ca="1">G27*('Input summary'!C783)</f>
        <v>0</v>
      </c>
      <c r="AB27" s="29">
        <f ca="1">H27*'Input summary'!G864</f>
        <v>0</v>
      </c>
      <c r="AC27" s="29">
        <f ca="1">$D27*(('Input summary'!C280/'Input summary'!$C$167)*'Input summary'!C810+('Input summary'!C307/'Input summary'!$C$167)*'Input summary'!C837)</f>
        <v>0</v>
      </c>
      <c r="AD27" s="602">
        <f ca="1">H27*'Input summary'!E864</f>
        <v>0</v>
      </c>
    </row>
    <row r="28" spans="1:30" x14ac:dyDescent="0.3">
      <c r="A28" s="198"/>
      <c r="B28" s="31" t="s">
        <v>1442</v>
      </c>
      <c r="C28" s="29">
        <f>'General input'!H76</f>
        <v>0</v>
      </c>
      <c r="D28" s="29">
        <f>'General input'!C106*'General input'!H76</f>
        <v>0</v>
      </c>
      <c r="E28" s="29">
        <f ca="1">('Input summary'!K26/'Input summary'!$C$167)*(C28-D28)+('Input summary'!K26/'Input summary'!$C$167)*D28*(1-'Input summary'!C197)</f>
        <v>0</v>
      </c>
      <c r="F28" s="29">
        <f ca="1">('Input summary'!K53/'Input summary'!$C$168)*(C28-D28)+D28*(1-'Input summary'!C225)*('Input summary'!K53/'Input summary'!$C$169)</f>
        <v>0</v>
      </c>
      <c r="G28" s="29">
        <f ca="1">('Input summary'!K80/'Input summary'!$C$169)*(C28-D28)+D28*(1-'Input summary'!C225)*('Input summary'!K80/'Input summary'!$C$169)</f>
        <v>0</v>
      </c>
      <c r="H28" s="602">
        <f ca="1">('Input summary'!K107/'Input summary'!$C$170)*(C28-D28)+D28*(1-'Input summary'!C253)*('Input summary'!K107/'Input summary'!$C$170)</f>
        <v>0</v>
      </c>
      <c r="I28" s="29"/>
      <c r="J28" s="609">
        <f ca="1">$D28*'Input summary'!C341</f>
        <v>0</v>
      </c>
      <c r="K28" s="29">
        <f ca="1">D28*'Input summary'!C369</f>
        <v>0</v>
      </c>
      <c r="L28" s="29">
        <f ca="1">F28*'Input summary'!C452</f>
        <v>0</v>
      </c>
      <c r="M28" s="29">
        <f ca="1">$D28*(('Input summary'!C281/'Input summary'!$C$167)*'Input summary'!C397+('Input summary'!C308/'Input summary'!$C$167)*'Input summary'!C425)</f>
        <v>0</v>
      </c>
      <c r="N28" s="602">
        <f ca="1">G28*'Input summary'!C479</f>
        <v>0</v>
      </c>
      <c r="O28" s="609">
        <f>D28*'Input summary'!C509</f>
        <v>0</v>
      </c>
      <c r="P28" s="29">
        <f ca="1">E28*'Input summary'!C536</f>
        <v>0</v>
      </c>
      <c r="Q28" s="29">
        <f ca="1">F28*'Input summary'!C563</f>
        <v>0</v>
      </c>
      <c r="R28" s="602">
        <f ca="1">G28*'Input summary'!C590</f>
        <v>0</v>
      </c>
      <c r="S28" s="29">
        <f ca="1">D28*'Input summary'!C620</f>
        <v>0</v>
      </c>
      <c r="T28" s="29">
        <f ca="1">(E28)*'Input summary'!C647</f>
        <v>0</v>
      </c>
      <c r="U28" s="29">
        <f ca="1">(F28)*'Input summary'!C674</f>
        <v>0</v>
      </c>
      <c r="V28" s="29">
        <f ca="1">G28*'Input summary'!C701</f>
        <v>0</v>
      </c>
      <c r="W28" s="602">
        <f ca="1">H28*'Input summary'!C728</f>
        <v>0</v>
      </c>
      <c r="X28" s="29"/>
      <c r="Y28" s="609">
        <f ca="1">(E28)*'Input summary'!C757*'Input summary'!C134+(E28)*'Input summary'!C784*(1-'Input summary'!C134)</f>
        <v>0</v>
      </c>
      <c r="Z28" s="29">
        <f ca="1">(F28-G28*'Input summary'!C161)*'Input summary'!C757</f>
        <v>0</v>
      </c>
      <c r="AA28" s="29">
        <f ca="1">G28*('Input summary'!C784)</f>
        <v>0</v>
      </c>
      <c r="AB28" s="29">
        <f ca="1">H28*'Input summary'!G865</f>
        <v>0</v>
      </c>
      <c r="AC28" s="29">
        <f ca="1">$D28*(('Input summary'!C281/'Input summary'!$C$167)*'Input summary'!C811+('Input summary'!C308/'Input summary'!$C$167)*'Input summary'!C838)</f>
        <v>0</v>
      </c>
      <c r="AD28" s="602">
        <f ca="1">H28*'Input summary'!E865</f>
        <v>0</v>
      </c>
    </row>
    <row r="29" spans="1:30" x14ac:dyDescent="0.3">
      <c r="A29" s="198"/>
      <c r="B29" s="405" t="s">
        <v>920</v>
      </c>
      <c r="C29" s="29"/>
      <c r="D29" s="29"/>
      <c r="E29" s="29"/>
      <c r="F29" s="29"/>
      <c r="G29" s="29"/>
      <c r="H29" s="602"/>
      <c r="I29" s="29"/>
      <c r="J29" s="609"/>
      <c r="K29" s="29"/>
      <c r="L29" s="29"/>
      <c r="M29" s="29"/>
      <c r="N29" s="602"/>
      <c r="O29" s="609"/>
      <c r="P29" s="29"/>
      <c r="Q29" s="29"/>
      <c r="R29" s="602"/>
      <c r="S29" s="29"/>
      <c r="T29" s="29"/>
      <c r="U29" s="29"/>
      <c r="V29" s="29"/>
      <c r="W29" s="602"/>
      <c r="X29" s="29"/>
      <c r="Y29" s="609"/>
      <c r="Z29" s="29"/>
      <c r="AA29" s="29"/>
      <c r="AB29" s="29"/>
      <c r="AC29" s="29"/>
      <c r="AD29" s="602"/>
    </row>
    <row r="30" spans="1:30" x14ac:dyDescent="0.3">
      <c r="A30" s="198"/>
      <c r="B30" s="297" t="s">
        <v>920</v>
      </c>
      <c r="C30" s="29">
        <f>'General input'!H78</f>
        <v>0</v>
      </c>
      <c r="D30" s="29">
        <f>'General input'!C108*'General input'!H78</f>
        <v>0</v>
      </c>
      <c r="E30" s="29">
        <f>('Input summary'!K28/'Input summary'!$C$167)*(C30-D30)+('Input summary'!K28/'Input summary'!$C$167)*D30*(1-'Input summary'!C199)</f>
        <v>0</v>
      </c>
      <c r="F30" s="29">
        <f ca="1">('Input summary'!K55/'Input summary'!$C$168)*(C30-D30)+D30*(1-'Input summary'!C227)*('Input summary'!K55/'Input summary'!$C$169)</f>
        <v>0</v>
      </c>
      <c r="G30" s="29">
        <f ca="1">('Input summary'!K82/'Input summary'!$C$169)*(C30-D30)+D30*(1-'Input summary'!C227)*('Input summary'!K82/'Input summary'!$C$169)</f>
        <v>0</v>
      </c>
      <c r="H30" s="602">
        <f>('Input summary'!K109/'Input summary'!$C$170)*(C30-D30)+D30*(1-'Input summary'!C255)*('Input summary'!K109/'Input summary'!$C$170)</f>
        <v>0</v>
      </c>
      <c r="I30" s="29"/>
      <c r="J30" s="609">
        <f ca="1">$D30*'Input summary'!C343</f>
        <v>0</v>
      </c>
      <c r="K30" s="29">
        <f ca="1">D30*'Input summary'!C371</f>
        <v>0</v>
      </c>
      <c r="L30" s="29">
        <f ca="1">F30*'Input summary'!C454</f>
        <v>0</v>
      </c>
      <c r="M30" s="29">
        <f ca="1">$D30*(('Input summary'!C283/'Input summary'!$C$167)*'Input summary'!C399+('Input summary'!C310/'Input summary'!$C$167)*'Input summary'!C427)</f>
        <v>0</v>
      </c>
      <c r="N30" s="602">
        <f ca="1">G30*'Input summary'!C481</f>
        <v>0</v>
      </c>
      <c r="O30" s="609">
        <f>D30*'Input summary'!C511</f>
        <v>0</v>
      </c>
      <c r="P30" s="29">
        <f ca="1">E30*'Input summary'!C538</f>
        <v>0</v>
      </c>
      <c r="Q30" s="29">
        <f ca="1">F30*'Input summary'!C565</f>
        <v>0</v>
      </c>
      <c r="R30" s="602">
        <f ca="1">G30*'Input summary'!C592</f>
        <v>0</v>
      </c>
      <c r="S30" s="29">
        <f ca="1">D30*'Input summary'!C622</f>
        <v>0</v>
      </c>
      <c r="T30" s="29">
        <f ca="1">(E30)*'Input summary'!C649</f>
        <v>0</v>
      </c>
      <c r="U30" s="29">
        <f ca="1">(F30)*'Input summary'!C676</f>
        <v>0</v>
      </c>
      <c r="V30" s="29">
        <f ca="1">G30*'Input summary'!C703</f>
        <v>0</v>
      </c>
      <c r="W30" s="602">
        <f ca="1">H30*'Input summary'!C730</f>
        <v>0</v>
      </c>
      <c r="X30" s="29"/>
      <c r="Y30" s="609">
        <f ca="1">(E30)*'Input summary'!C759*'Input summary'!C136+(E30)*'Input summary'!C786*(1-'Input summary'!C136)</f>
        <v>0</v>
      </c>
      <c r="Z30" s="29">
        <f ca="1">(F30-G30*'Input summary'!C163)*'Input summary'!C759</f>
        <v>0</v>
      </c>
      <c r="AA30" s="29">
        <f ca="1">G30*('Input summary'!C786)</f>
        <v>0</v>
      </c>
      <c r="AB30" s="29">
        <f>H30*'Input summary'!G867</f>
        <v>0</v>
      </c>
      <c r="AC30" s="29">
        <f ca="1">$D30*(('Input summary'!C283/'Input summary'!$C$167)*'Input summary'!C813+('Input summary'!C310/'Input summary'!$C$167)*'Input summary'!C840)</f>
        <v>0</v>
      </c>
      <c r="AD30" s="602">
        <f>H30*'Input summary'!E867</f>
        <v>0</v>
      </c>
    </row>
    <row r="31" spans="1:30" x14ac:dyDescent="0.3">
      <c r="A31" s="198"/>
      <c r="B31" s="297" t="s">
        <v>980</v>
      </c>
      <c r="C31" s="29">
        <f>'General input'!H79</f>
        <v>0</v>
      </c>
      <c r="D31" s="29">
        <f>'General input'!C109*'General input'!H79</f>
        <v>0</v>
      </c>
      <c r="E31" s="29">
        <f>('Input summary'!K29/'Input summary'!$C$167)*(C31-D31)+('Input summary'!K29/'Input summary'!$C$167)*D31*(1-'Input summary'!C200)</f>
        <v>0</v>
      </c>
      <c r="F31" s="29">
        <f ca="1">('Input summary'!K56/'Input summary'!$C$168)*(C31-D31)+D31*(1-'Input summary'!C228)*('Input summary'!K56/'Input summary'!$C$169)</f>
        <v>0</v>
      </c>
      <c r="G31" s="29">
        <f ca="1">('Input summary'!K83/'Input summary'!$C$169)*(C31-D31)+D31*(1-'Input summary'!C228)*('Input summary'!K83/'Input summary'!$C$169)</f>
        <v>0</v>
      </c>
      <c r="H31" s="602">
        <f>('Input summary'!K110/'Input summary'!$C$170)*(C31-D31)+D31*(1-'Input summary'!C256)*('Input summary'!K110/'Input summary'!$C$170)</f>
        <v>0</v>
      </c>
      <c r="I31" s="29"/>
      <c r="J31" s="609">
        <f ca="1">$D31*'Input summary'!C344</f>
        <v>0</v>
      </c>
      <c r="K31" s="29">
        <f ca="1">D31*'Input summary'!C372</f>
        <v>0</v>
      </c>
      <c r="L31" s="29">
        <f ca="1">F31*'Input summary'!C455</f>
        <v>0</v>
      </c>
      <c r="M31" s="29">
        <f ca="1">$D31*(('Input summary'!C284/'Input summary'!$C$167)*'Input summary'!C400+('Input summary'!C311/'Input summary'!$C$167)*'Input summary'!C428)</f>
        <v>0</v>
      </c>
      <c r="N31" s="602">
        <f ca="1">G31*'Input summary'!C482</f>
        <v>0</v>
      </c>
      <c r="O31" s="609">
        <f ca="1">D31*'Input summary'!C517</f>
        <v>0</v>
      </c>
      <c r="P31" s="29">
        <f ca="1">E31*'Input summary'!C539</f>
        <v>0</v>
      </c>
      <c r="Q31" s="29">
        <f ca="1">F31*'Input summary'!C566</f>
        <v>0</v>
      </c>
      <c r="R31" s="602">
        <f ca="1">G31*'Input summary'!C593</f>
        <v>0</v>
      </c>
      <c r="S31" s="29">
        <f ca="1">D31*'Input summary'!C623</f>
        <v>0</v>
      </c>
      <c r="T31" s="29">
        <f ca="1">(E31)*'Input summary'!C650</f>
        <v>0</v>
      </c>
      <c r="U31" s="29">
        <f ca="1">(F31)*'Input summary'!C677</f>
        <v>0</v>
      </c>
      <c r="V31" s="29">
        <f ca="1">G31*'Input summary'!C704</f>
        <v>0</v>
      </c>
      <c r="W31" s="602">
        <f ca="1">H31*'Input summary'!C731</f>
        <v>0</v>
      </c>
      <c r="X31" s="29"/>
      <c r="Y31" s="609">
        <f ca="1">(E31)*'Input summary'!C760*'Input summary'!C137+(E31)*'Input summary'!C787*(1-'Input summary'!C137)</f>
        <v>0</v>
      </c>
      <c r="Z31" s="29">
        <f ca="1">(F31-G31*'Input summary'!C164)*'Input summary'!C760</f>
        <v>0</v>
      </c>
      <c r="AA31" s="29">
        <f ca="1">G31*('Input summary'!C787)</f>
        <v>0</v>
      </c>
      <c r="AB31" s="29">
        <f>H31*'Input summary'!G868</f>
        <v>0</v>
      </c>
      <c r="AC31" s="29">
        <f ca="1">$D31*(('Input summary'!C284/'Input summary'!$C$167)*'Input summary'!C814+('Input summary'!C311/'Input summary'!$C$167)*'Input summary'!C841)</f>
        <v>0</v>
      </c>
      <c r="AD31" s="602">
        <f>H31*'Input summary'!E868</f>
        <v>0</v>
      </c>
    </row>
    <row r="32" spans="1:30" x14ac:dyDescent="0.3">
      <c r="A32" s="198"/>
      <c r="B32" s="31" t="s">
        <v>233</v>
      </c>
      <c r="C32" s="29">
        <f>SUM(C8:C31)</f>
        <v>5203824</v>
      </c>
      <c r="D32" s="29">
        <f>SUM(D8:D31)</f>
        <v>0</v>
      </c>
      <c r="E32" s="29">
        <f t="shared" ref="E32:F32" ca="1" si="0">SUM(E8:E31)</f>
        <v>1017702.7225527524</v>
      </c>
      <c r="F32" s="29">
        <f t="shared" ca="1" si="0"/>
        <v>247699.79448185588</v>
      </c>
      <c r="G32" s="29">
        <f t="shared" ref="G32" ca="1" si="1">SUM(G8:G31)</f>
        <v>8949.2847547762722</v>
      </c>
      <c r="H32" s="602">
        <f t="shared" ref="H32" ca="1" si="2">SUM(H8:H31)</f>
        <v>1061.0833603244728</v>
      </c>
      <c r="I32" s="29"/>
      <c r="J32" s="609">
        <f ca="1">SUM(J8:J31)</f>
        <v>0</v>
      </c>
      <c r="K32" s="29">
        <f t="shared" ref="K32" ca="1" si="3">SUM(K8:K31)</f>
        <v>0</v>
      </c>
      <c r="L32" s="29">
        <f t="shared" ref="L32:M32" ca="1" si="4">SUM(L8:L31)</f>
        <v>69126058.957454696</v>
      </c>
      <c r="M32" s="29">
        <f t="shared" ca="1" si="4"/>
        <v>0</v>
      </c>
      <c r="N32" s="602">
        <f t="shared" ref="N32:O32" ca="1" si="5">SUM(N8:N31)</f>
        <v>46838444.064383686</v>
      </c>
      <c r="O32" s="609">
        <f t="shared" ca="1" si="5"/>
        <v>0</v>
      </c>
      <c r="P32" s="29">
        <f t="shared" ref="P32:Q32" ca="1" si="6">SUM(P8:P31)</f>
        <v>60391542.369241059</v>
      </c>
      <c r="Q32" s="29">
        <f t="shared" ca="1" si="6"/>
        <v>11729505.717780877</v>
      </c>
      <c r="R32" s="602">
        <f ca="1">SUM(R8:R31)</f>
        <v>1134736.3264710293</v>
      </c>
      <c r="S32" s="29">
        <f t="shared" ref="S32" ca="1" si="7">SUM(S8:S31)</f>
        <v>0</v>
      </c>
      <c r="T32" s="29">
        <f t="shared" ref="T32:U32" ca="1" si="8">SUM(T8:T31)</f>
        <v>147090671.55571252</v>
      </c>
      <c r="U32" s="29">
        <f t="shared" ca="1" si="8"/>
        <v>44670604.800755933</v>
      </c>
      <c r="V32" s="29">
        <f t="shared" ref="V32" ca="1" si="9">SUM(V8:V31)</f>
        <v>992480.86145861703</v>
      </c>
      <c r="W32" s="602">
        <f t="shared" ref="W32" ca="1" si="10">SUM(W8:W31)</f>
        <v>528587585.63554692</v>
      </c>
      <c r="X32" s="29"/>
      <c r="Y32" s="609">
        <f t="shared" ref="Y32:Z32" ca="1" si="11">SUM(Y8:Y31)</f>
        <v>9095.5475122962216</v>
      </c>
      <c r="Z32" s="29">
        <f t="shared" ca="1" si="11"/>
        <v>2081.4730336874809</v>
      </c>
      <c r="AA32" s="29">
        <f t="shared" ref="AA32" ca="1" si="12">SUM(AA8:AA31)</f>
        <v>312.45361243787022</v>
      </c>
      <c r="AB32" s="29">
        <f t="shared" ref="AB32:AC32" ca="1" si="13">SUM(AB8:AB31)</f>
        <v>15788.475725928685</v>
      </c>
      <c r="AC32" s="29">
        <f t="shared" ca="1" si="13"/>
        <v>0</v>
      </c>
      <c r="AD32" s="602">
        <f t="shared" ref="AD32" ca="1" si="14">SUM(AD8:AD31)</f>
        <v>20474.343331006574</v>
      </c>
    </row>
    <row r="33" spans="1:30" x14ac:dyDescent="0.3">
      <c r="A33" s="198"/>
      <c r="B33" s="31"/>
      <c r="C33" s="31"/>
      <c r="D33" s="29"/>
      <c r="E33" s="29"/>
      <c r="F33" s="29"/>
      <c r="G33" s="29"/>
      <c r="H33" s="602"/>
      <c r="I33" s="29"/>
      <c r="J33" s="609"/>
      <c r="K33" s="29"/>
      <c r="L33" s="610" t="s">
        <v>1034</v>
      </c>
      <c r="M33" s="610"/>
      <c r="N33" s="602"/>
      <c r="O33" s="609"/>
      <c r="P33" s="610" t="s">
        <v>1034</v>
      </c>
      <c r="Q33" s="610" t="s">
        <v>1034</v>
      </c>
      <c r="R33" s="611" t="s">
        <v>1034</v>
      </c>
      <c r="S33" s="29"/>
      <c r="T33" s="610" t="s">
        <v>1034</v>
      </c>
      <c r="U33" s="610"/>
      <c r="V33" s="610"/>
      <c r="W33" s="611"/>
      <c r="X33" s="29"/>
      <c r="Y33" s="670" t="s">
        <v>1034</v>
      </c>
      <c r="Z33" s="610"/>
      <c r="AA33" s="29"/>
      <c r="AB33" s="29"/>
      <c r="AC33" s="29"/>
      <c r="AD33" s="602"/>
    </row>
    <row r="34" spans="1:30" ht="18" x14ac:dyDescent="0.35">
      <c r="A34" s="198"/>
      <c r="B34" s="673" t="s">
        <v>553</v>
      </c>
      <c r="C34" s="673"/>
      <c r="D34" s="604"/>
      <c r="E34" s="604"/>
      <c r="F34" s="604"/>
      <c r="G34" s="604"/>
      <c r="H34" s="599"/>
      <c r="J34" s="663" t="s">
        <v>553</v>
      </c>
      <c r="K34" s="604"/>
      <c r="L34" s="604"/>
      <c r="M34" s="604"/>
      <c r="N34" s="599"/>
      <c r="O34" s="603"/>
      <c r="P34" s="604"/>
      <c r="Q34" s="604"/>
      <c r="R34" s="599"/>
      <c r="S34" s="604"/>
      <c r="T34" s="604"/>
      <c r="U34" s="604"/>
      <c r="V34" s="604"/>
      <c r="W34" s="599"/>
      <c r="Y34" s="663" t="s">
        <v>553</v>
      </c>
      <c r="Z34" s="673"/>
      <c r="AA34" s="604"/>
      <c r="AB34" s="604"/>
      <c r="AC34" s="604"/>
      <c r="AD34" s="599"/>
    </row>
    <row r="35" spans="1:30" ht="18" x14ac:dyDescent="0.35">
      <c r="A35" s="198"/>
      <c r="B35" s="661" t="s">
        <v>983</v>
      </c>
      <c r="C35" s="661"/>
      <c r="D35" s="650"/>
      <c r="E35" s="662"/>
      <c r="F35" s="662"/>
      <c r="G35" s="650"/>
      <c r="H35" s="600"/>
      <c r="J35" s="649" t="s">
        <v>1024</v>
      </c>
      <c r="K35" s="650"/>
      <c r="L35" s="650"/>
      <c r="M35" s="650"/>
      <c r="N35" s="600"/>
      <c r="O35" s="605" t="s">
        <v>1026</v>
      </c>
      <c r="P35" s="606"/>
      <c r="Q35" s="606"/>
      <c r="R35" s="600"/>
      <c r="S35" s="606" t="s">
        <v>10</v>
      </c>
      <c r="T35" s="606"/>
      <c r="U35" s="606"/>
      <c r="V35" s="650"/>
      <c r="W35" s="600"/>
      <c r="Y35" s="605" t="s">
        <v>564</v>
      </c>
      <c r="Z35" s="606"/>
      <c r="AA35" s="650"/>
      <c r="AB35" s="650"/>
      <c r="AC35" s="650"/>
      <c r="AD35" s="600"/>
    </row>
    <row r="36" spans="1:30" x14ac:dyDescent="0.3">
      <c r="A36" s="198"/>
      <c r="B36" s="608" t="s">
        <v>950</v>
      </c>
      <c r="C36" s="608" t="s">
        <v>1033</v>
      </c>
      <c r="D36" s="608" t="s">
        <v>878</v>
      </c>
      <c r="E36" s="608" t="s">
        <v>224</v>
      </c>
      <c r="F36" s="608" t="s">
        <v>1377</v>
      </c>
      <c r="G36" s="608" t="s">
        <v>877</v>
      </c>
      <c r="H36" s="601" t="s">
        <v>225</v>
      </c>
      <c r="J36" s="607" t="s">
        <v>981</v>
      </c>
      <c r="K36" s="608" t="s">
        <v>982</v>
      </c>
      <c r="L36" s="608" t="s">
        <v>1025</v>
      </c>
      <c r="M36" s="608" t="s">
        <v>1533</v>
      </c>
      <c r="N36" s="601" t="s">
        <v>905</v>
      </c>
      <c r="O36" s="607" t="s">
        <v>938</v>
      </c>
      <c r="P36" s="608" t="s">
        <v>1027</v>
      </c>
      <c r="Q36" s="608" t="s">
        <v>1377</v>
      </c>
      <c r="R36" s="601" t="s">
        <v>1028</v>
      </c>
      <c r="S36" s="608" t="s">
        <v>938</v>
      </c>
      <c r="T36" s="608" t="s">
        <v>1392</v>
      </c>
      <c r="U36" s="608" t="s">
        <v>1025</v>
      </c>
      <c r="V36" s="608" t="s">
        <v>1028</v>
      </c>
      <c r="W36" s="601" t="s">
        <v>225</v>
      </c>
      <c r="Y36" s="651" t="s">
        <v>1029</v>
      </c>
      <c r="Z36" s="652" t="s">
        <v>1555</v>
      </c>
      <c r="AA36" s="652" t="s">
        <v>1030</v>
      </c>
      <c r="AB36" s="652" t="s">
        <v>1031</v>
      </c>
      <c r="AC36" s="652" t="s">
        <v>1511</v>
      </c>
      <c r="AD36" s="653" t="s">
        <v>1032</v>
      </c>
    </row>
    <row r="37" spans="1:30" x14ac:dyDescent="0.3">
      <c r="A37" s="198"/>
      <c r="B37" s="315" t="s">
        <v>988</v>
      </c>
      <c r="C37" s="22"/>
      <c r="H37" s="87"/>
      <c r="J37" s="198"/>
      <c r="N37" s="87"/>
      <c r="O37" s="198"/>
      <c r="R37" s="87"/>
      <c r="W37" s="87"/>
      <c r="Y37" s="198"/>
      <c r="AD37" s="87"/>
    </row>
    <row r="38" spans="1:30" x14ac:dyDescent="0.3">
      <c r="A38" s="198"/>
      <c r="B38" s="31" t="s">
        <v>1082</v>
      </c>
      <c r="C38" s="29">
        <f>'General input'!H57</f>
        <v>578203</v>
      </c>
      <c r="D38" s="29">
        <f>'General input'!H57*'General input'!H87</f>
        <v>13876.871999999999</v>
      </c>
      <c r="E38" s="29">
        <f ca="1">('Input summary'!K7/'Input summary'!$C$167)*(C38-D38)+('Input summary'!K7/'Input summary'!$C$167)*D38*(1-'Input summary'!C178)</f>
        <v>112128.28905108022</v>
      </c>
      <c r="F38" s="29">
        <f ca="1">('Input summary'!K34/'Input summary'!$C$168)*(C38-D38)+D38*(1-'Input summary'!C206)*('Input summary'!K34/'Input summary'!$C$169)</f>
        <v>27291.028645268299</v>
      </c>
      <c r="G38" s="29">
        <f ca="1">('Input summary'!K61/'Input summary'!$C$169)*(C38-D38)+D38*(1-'Input summary'!C206)*('Input summary'!K61/'Input summary'!$C$169)</f>
        <v>986.01287541703027</v>
      </c>
      <c r="H38" s="602">
        <f ca="1">('Input summary'!K88/'Input summary'!$C$170)*(C38-D38)+'Calculations BC'!D38*(1-'Input summary'!C234)*('Input summary'!K88/'Input summary'!$C$170)</f>
        <v>116.90787407477613</v>
      </c>
      <c r="I38" s="29"/>
      <c r="J38" s="609">
        <f>D38*'Input summary'!J322</f>
        <v>0</v>
      </c>
      <c r="K38" s="29">
        <f ca="1">D38*'Input summary'!J350</f>
        <v>633833.56654529751</v>
      </c>
      <c r="L38" s="29">
        <f ca="1">F38*'Input summary'!C433</f>
        <v>7616159.9531750521</v>
      </c>
      <c r="M38" s="29">
        <f ca="1">D38*(('Input summary'!J262/'Input summary'!$C$167)*'Input summary'!J378+('Input summary'!J289/'Input summary'!$C$167)*'Input summary'!J406)</f>
        <v>0.4961818128296383</v>
      </c>
      <c r="N38" s="602">
        <f ca="1">G38*'Input summary'!C460</f>
        <v>5160558.6566383922</v>
      </c>
      <c r="O38" s="609">
        <f ca="1">D38*'Input summary'!J490</f>
        <v>823468.07645205548</v>
      </c>
      <c r="P38" s="29">
        <f ca="1">E38*'Input summary'!C517</f>
        <v>6653809.7707288144</v>
      </c>
      <c r="Q38" s="29">
        <f ca="1">F38*'Input summary'!C544</f>
        <v>1292331.6194444578</v>
      </c>
      <c r="R38" s="602">
        <f ca="1">G38*'Input summary'!C571</f>
        <v>125022.79888978999</v>
      </c>
      <c r="S38" s="29">
        <f ca="1">D38*'Input summary'!J601</f>
        <v>0</v>
      </c>
      <c r="T38" s="29">
        <f ca="1">(E38)*'Input summary'!C628</f>
        <v>16206132.666665362</v>
      </c>
      <c r="U38" s="29">
        <f ca="1">(F38)*'Input summary'!C655</f>
        <v>4921710.8062969744</v>
      </c>
      <c r="V38" s="29">
        <f ca="1">G38*'Input summary'!C682</f>
        <v>109349.39884228173</v>
      </c>
      <c r="W38" s="602">
        <f ca="1">H38*'Input summary'!C709</f>
        <v>57877261.748126358</v>
      </c>
      <c r="X38" s="29"/>
      <c r="Y38" s="609">
        <f ca="1">(E38)*'Input summary'!C738*'Input summary'!C115+(E38)*'Input summary'!C765*(1-'Input summary'!C115)</f>
        <v>1002.1277903024571</v>
      </c>
      <c r="Z38" s="29">
        <f ca="1">(F38-G38*'Input summary'!C142)*'Input summary'!C738</f>
        <v>228.31300263746434</v>
      </c>
      <c r="AA38" s="29">
        <f ca="1">G38*'Input summary'!C765</f>
        <v>34.425464523282415</v>
      </c>
      <c r="AB38" s="29">
        <f ca="1">H38*'Input summary'!G846</f>
        <v>1747.020621599265</v>
      </c>
      <c r="AC38" s="29">
        <f ca="1">D38*(('Input summary'!J262/'Input summary'!$C$167)*'Input summary'!J792+('Input summary'!J289/'Input summary'!$C$167)*'Input summary'!J819)</f>
        <v>0</v>
      </c>
      <c r="AD38" s="602">
        <f ca="1">H38*'Input summary'!E846</f>
        <v>2241.8213372621881</v>
      </c>
    </row>
    <row r="39" spans="1:30" x14ac:dyDescent="0.3">
      <c r="A39" s="198"/>
      <c r="B39" s="31" t="s">
        <v>1083</v>
      </c>
      <c r="C39" s="29">
        <f>'General input'!H58</f>
        <v>1156405</v>
      </c>
      <c r="D39" s="29">
        <f>'General input'!H58*'General input'!H88</f>
        <v>27753.72</v>
      </c>
      <c r="E39" s="29">
        <f ca="1">('Input summary'!K8/'Input summary'!$C$167)*(C39-D39)+('Input summary'!K8/'Input summary'!$C$167)*D39*(1-'Input summary'!C179)</f>
        <v>224256.38417668955</v>
      </c>
      <c r="F39" s="29">
        <f ca="1">('Input summary'!K35/'Input summary'!$C$168)*(C39-D39)+D39*(1-'Input summary'!C207)*('Input summary'!K35/'Input summary'!$C$169)</f>
        <v>54582.010090801123</v>
      </c>
      <c r="G39" s="29">
        <f ca="1">('Input summary'!K62/'Input summary'!$C$169)*(C39-D39)+D39*(1-'Input summary'!C207)*('Input summary'!K62/'Input summary'!$C$169)</f>
        <v>1972.0240455283538</v>
      </c>
      <c r="H39" s="602">
        <f ca="1">('Input summary'!K89/'Input summary'!$C$170)*(C39-D39)+'Calculations BC'!D39*(1-'Input summary'!C235)*('Input summary'!K89/'Input summary'!$C$170)</f>
        <v>233.81554595780634</v>
      </c>
      <c r="I39" s="29"/>
      <c r="J39" s="609">
        <f>D39*'Input summary'!J323</f>
        <v>0</v>
      </c>
      <c r="K39" s="29">
        <f ca="1">D39*'Input summary'!J351</f>
        <v>1267666.0368777311</v>
      </c>
      <c r="L39" s="29">
        <f ca="1">F39*'Input summary'!C434</f>
        <v>15232306.73422897</v>
      </c>
      <c r="M39" s="29">
        <f ca="1">D39*(('Input summary'!J263/'Input summary'!$C$167)*'Input summary'!J379+('Input summary'!J290/'Input summary'!$C$167)*'Input summary'!J407)</f>
        <v>0.9923627675146236</v>
      </c>
      <c r="N39" s="602">
        <f ca="1">G39*'Input summary'!C461</f>
        <v>10321108.388109228</v>
      </c>
      <c r="O39" s="609">
        <f ca="1">D39*'Input summary'!J491</f>
        <v>1646934.7287190473</v>
      </c>
      <c r="P39" s="29">
        <f ca="1">E39*'Input summary'!C518</f>
        <v>13307608.033717664</v>
      </c>
      <c r="Q39" s="29">
        <f ca="1">F39*'Input summary'!C545</f>
        <v>2584661.0038060471</v>
      </c>
      <c r="R39" s="602">
        <f ca="1">G39*'Input summary'!C572</f>
        <v>250045.38155310086</v>
      </c>
      <c r="S39" s="29">
        <f ca="1">D39*'Input summary'!J602</f>
        <v>0</v>
      </c>
      <c r="T39" s="29">
        <f ca="1">(E39)*'Input summary'!C629</f>
        <v>32412237.304882813</v>
      </c>
      <c r="U39" s="29">
        <f ca="1">(F39)*'Input summary'!C656</f>
        <v>9843413.1005128846</v>
      </c>
      <c r="V39" s="29">
        <f ca="1">G39*'Input summary'!C683</f>
        <v>218698.60856517311</v>
      </c>
      <c r="W39" s="602">
        <f ca="1">H39*'Input summary'!C710</f>
        <v>116802398.42827675</v>
      </c>
      <c r="X39" s="29"/>
      <c r="Y39" s="609">
        <f ca="1">(E39)*'Input summary'!C739*'Input summary'!C116+(E39)*'Input summary'!C766*(1-'Input summary'!C116)</f>
        <v>2004.2538474285207</v>
      </c>
      <c r="Z39" s="29">
        <f ca="1">(F39-G39*'Input summary'!C143)*'Input summary'!C739</f>
        <v>458.91881517937048</v>
      </c>
      <c r="AA39" s="29">
        <f ca="1">G39*'Input summary'!C766</f>
        <v>68.850869507848273</v>
      </c>
      <c r="AB39" s="29">
        <f ca="1">H39*'Input summary'!G847</f>
        <v>3504.4983908695144</v>
      </c>
      <c r="AC39" s="29">
        <f ca="1">D39*(('Input summary'!J263/'Input summary'!$C$167)*'Input summary'!J793+('Input summary'!J290/'Input summary'!$C$167)*'Input summary'!J820)</f>
        <v>0</v>
      </c>
      <c r="AD39" s="602">
        <f ca="1">H39*'Input summary'!E847</f>
        <v>4524.2311251600822</v>
      </c>
    </row>
    <row r="40" spans="1:30" x14ac:dyDescent="0.3">
      <c r="A40" s="198"/>
      <c r="B40" s="31" t="s">
        <v>1084</v>
      </c>
      <c r="C40" s="29">
        <f>'General input'!H59</f>
        <v>3469216</v>
      </c>
      <c r="D40" s="29">
        <f>'General input'!H59*'General input'!H89</f>
        <v>83261.184000000008</v>
      </c>
      <c r="E40" s="29">
        <f ca="1">('Input summary'!K9/'Input summary'!$C$167)*(C40-D40)+('Input summary'!K9/'Input summary'!$C$167)*D40*(1-'Input summary'!C180)</f>
        <v>672118.01671310572</v>
      </c>
      <c r="F40" s="29">
        <f ca="1">('Input summary'!K36/'Input summary'!$C$168)*(C40-D40)+D40*(1-'Input summary'!C208)*('Input summary'!K36/'Input summary'!$C$169)</f>
        <v>163587.54960367046</v>
      </c>
      <c r="G40" s="29">
        <f ca="1">('Input summary'!K63/'Input summary'!$C$169)*(C40-D40)+D40*(1-'Input summary'!C208)*('Input summary'!K63/'Input summary'!$C$169)</f>
        <v>5910.3462996477119</v>
      </c>
      <c r="H40" s="602">
        <f ca="1">('Input summary'!K90/'Input summary'!$C$170)*(C40-D40)+'Calculations BC'!D40*(1-'Input summary'!C236)*('Input summary'!K90/'Input summary'!$C$170)</f>
        <v>700.76774671455735</v>
      </c>
      <c r="I40" s="29"/>
      <c r="J40" s="609">
        <f>D40*'Input summary'!J324</f>
        <v>0</v>
      </c>
      <c r="K40" s="29">
        <f ca="1">D40*'Input summary'!J352</f>
        <v>3802999.2068460579</v>
      </c>
      <c r="L40" s="29">
        <f ca="1">F40*'Input summary'!C435</f>
        <v>45652692.697075278</v>
      </c>
      <c r="M40" s="29">
        <f ca="1">D40*(('Input summary'!J264/'Input summary'!$C$167)*'Input summary'!J380+('Input summary'!J291/'Input summary'!$C$167)*'Input summary'!J408)</f>
        <v>2.9770891606885241</v>
      </c>
      <c r="N40" s="602">
        <f ca="1">G40*'Input summary'!C462</f>
        <v>30933357.485294037</v>
      </c>
      <c r="O40" s="609">
        <f ca="1">D40*'Input summary'!J492</f>
        <v>4940805.6103422055</v>
      </c>
      <c r="P40" s="29">
        <f ca="1">E40*'Input summary'!C519</f>
        <v>39884185.021776639</v>
      </c>
      <c r="Q40" s="29">
        <f ca="1">F40*'Input summary'!C546</f>
        <v>7746478.3628416304</v>
      </c>
      <c r="R40" s="602">
        <f ca="1">G40*'Input summary'!C573</f>
        <v>749410.12963684031</v>
      </c>
      <c r="S40" s="29">
        <f ca="1">D40*'Input summary'!J603</f>
        <v>0</v>
      </c>
      <c r="T40" s="29">
        <f ca="1">(E40)*'Input summary'!C630</f>
        <v>97142601.913300678</v>
      </c>
      <c r="U40" s="29">
        <f ca="1">(F40)*'Input summary'!C657</f>
        <v>29501658.626547236</v>
      </c>
      <c r="V40" s="29">
        <f ca="1">G40*'Input summary'!C684</f>
        <v>655460.8270635762</v>
      </c>
      <c r="W40" s="602">
        <f ca="1">H40*'Input summary'!C711</f>
        <v>349129458.68075907</v>
      </c>
      <c r="X40" s="29"/>
      <c r="Y40" s="609">
        <f ca="1">(E40)*'Input summary'!C740*'Input summary'!C117+(E40)*'Input summary'!C767*(1-'Input summary'!C117)</f>
        <v>6006.9421250540863</v>
      </c>
      <c r="Z40" s="29">
        <f ca="1">(F40-G40*'Input summary'!C144)*'Input summary'!C740</f>
        <v>1375.4239596035929</v>
      </c>
      <c r="AA40" s="29">
        <f ca="1">G40*'Input summary'!C767</f>
        <v>206.35269775030119</v>
      </c>
      <c r="AB40" s="29">
        <f ca="1">H40*'Input summary'!G848</f>
        <v>10394.2607459052</v>
      </c>
      <c r="AC40" s="29">
        <f ca="1">D40*(('Input summary'!J264/'Input summary'!$C$167)*'Input summary'!J794+('Input summary'!J291/'Input summary'!$C$167)*'Input summary'!J821)</f>
        <v>0</v>
      </c>
      <c r="AD40" s="602">
        <f ca="1">H40*'Input summary'!E848</f>
        <v>13523.201449015694</v>
      </c>
    </row>
    <row r="41" spans="1:30" x14ac:dyDescent="0.3">
      <c r="A41" s="198"/>
      <c r="B41" s="31" t="s">
        <v>1085</v>
      </c>
      <c r="C41" s="29">
        <f>'General input'!H60</f>
        <v>0</v>
      </c>
      <c r="D41" s="29">
        <f>'General input'!H60*'General input'!H90</f>
        <v>0</v>
      </c>
      <c r="E41" s="29">
        <f ca="1">('Input summary'!K10/'Input summary'!$C$167)*(C41-D41)+('Input summary'!K10/'Input summary'!$C$167)*D41*(1-'Input summary'!C181)</f>
        <v>0</v>
      </c>
      <c r="F41" s="29">
        <f ca="1">('Input summary'!K37/'Input summary'!$C$168)*(C41-D41)+D41*(1-'Input summary'!C209)*('Input summary'!K37/'Input summary'!$C$169)</f>
        <v>0</v>
      </c>
      <c r="G41" s="29">
        <f ca="1">('Input summary'!K64/'Input summary'!$C$169)*(C41-D41)+D41*(1-'Input summary'!C209)*('Input summary'!K64/'Input summary'!$C$169)</f>
        <v>0</v>
      </c>
      <c r="H41" s="602">
        <f ca="1">('Input summary'!K91/'Input summary'!$C$170)*(C41-D41)+'Calculations BC'!D41*(1-'Input summary'!C237)*('Input summary'!K91/'Input summary'!$C$170)</f>
        <v>0</v>
      </c>
      <c r="I41" s="29"/>
      <c r="J41" s="609">
        <f>D41*'Input summary'!J325</f>
        <v>0</v>
      </c>
      <c r="K41" s="29">
        <f ca="1">D41*'Input summary'!J353</f>
        <v>0</v>
      </c>
      <c r="L41" s="29">
        <f ca="1">F41*'Input summary'!C436</f>
        <v>0</v>
      </c>
      <c r="M41" s="29">
        <f ca="1">D41*(('Input summary'!J265/'Input summary'!$C$167)*'Input summary'!J381+('Input summary'!J292/'Input summary'!$C$167)*'Input summary'!J409)</f>
        <v>0</v>
      </c>
      <c r="N41" s="602">
        <f ca="1">G41*'Input summary'!C463</f>
        <v>0</v>
      </c>
      <c r="O41" s="609">
        <f ca="1">D41*'Input summary'!J493</f>
        <v>0</v>
      </c>
      <c r="P41" s="29">
        <f ca="1">E41*'Input summary'!C520</f>
        <v>0</v>
      </c>
      <c r="Q41" s="29">
        <f ca="1">F41*'Input summary'!C547</f>
        <v>0</v>
      </c>
      <c r="R41" s="602">
        <f ca="1">G41*'Input summary'!C574</f>
        <v>0</v>
      </c>
      <c r="S41" s="29">
        <f ca="1">D41*'Input summary'!J604</f>
        <v>0</v>
      </c>
      <c r="T41" s="29">
        <f ca="1">(E41)*'Input summary'!C631</f>
        <v>0</v>
      </c>
      <c r="U41" s="29">
        <f ca="1">(F41)*'Input summary'!C658</f>
        <v>0</v>
      </c>
      <c r="V41" s="29">
        <f ca="1">G41*'Input summary'!C685</f>
        <v>0</v>
      </c>
      <c r="W41" s="602">
        <f ca="1">H41*'Input summary'!C712</f>
        <v>0</v>
      </c>
      <c r="X41" s="29"/>
      <c r="Y41" s="609">
        <f ca="1">(E41)*'Input summary'!C741*'Input summary'!C118+(E41)*'Input summary'!C768*(1-'Input summary'!C118)</f>
        <v>0</v>
      </c>
      <c r="Z41" s="29">
        <f ca="1">(F41-G41*'Input summary'!C145)*'Input summary'!C741</f>
        <v>0</v>
      </c>
      <c r="AA41" s="29">
        <f ca="1">G41*'Input summary'!C768</f>
        <v>0</v>
      </c>
      <c r="AB41" s="29">
        <f ca="1">H41*'Input summary'!G849</f>
        <v>0</v>
      </c>
      <c r="AC41" s="29">
        <f ca="1">D41*(('Input summary'!J265/'Input summary'!$C$167)*'Input summary'!J795+('Input summary'!J292/'Input summary'!$C$167)*'Input summary'!J822)</f>
        <v>0</v>
      </c>
      <c r="AD41" s="602">
        <f ca="1">H41*'Input summary'!E849</f>
        <v>0</v>
      </c>
    </row>
    <row r="42" spans="1:30" x14ac:dyDescent="0.3">
      <c r="A42" s="198"/>
      <c r="B42" s="31" t="s">
        <v>1086</v>
      </c>
      <c r="C42" s="29">
        <f>'General input'!H61</f>
        <v>0</v>
      </c>
      <c r="D42" s="29">
        <f>'General input'!H61*'General input'!H91</f>
        <v>0</v>
      </c>
      <c r="E42" s="29">
        <f ca="1">('Input summary'!K11/'Input summary'!$C$167)*(C42-D42)+('Input summary'!K11/'Input summary'!$C$167)*D42*(1-'Input summary'!C182)</f>
        <v>0</v>
      </c>
      <c r="F42" s="29">
        <f ca="1">('Input summary'!K38/'Input summary'!$C$168)*(C42-D42)+D42*(1-'Input summary'!C210)*('Input summary'!K38/'Input summary'!$C$169)</f>
        <v>0</v>
      </c>
      <c r="G42" s="29">
        <f ca="1">('Input summary'!K65/'Input summary'!$C$169)*(C42-D42)+D42*(1-'Input summary'!C210)*('Input summary'!K65/'Input summary'!$C$169)</f>
        <v>0</v>
      </c>
      <c r="H42" s="602">
        <f ca="1">('Input summary'!K92/'Input summary'!$C$170)*(C42-D42)+'Calculations BC'!D42*(1-'Input summary'!C238)*('Input summary'!K92/'Input summary'!$C$170)</f>
        <v>0</v>
      </c>
      <c r="I42" s="29"/>
      <c r="J42" s="609">
        <f>D42*'Input summary'!J326</f>
        <v>0</v>
      </c>
      <c r="K42" s="29">
        <f ca="1">D42*'Input summary'!J354</f>
        <v>0</v>
      </c>
      <c r="L42" s="29">
        <f ca="1">F42*'Input summary'!C437</f>
        <v>0</v>
      </c>
      <c r="M42" s="29">
        <f ca="1">D42*(('Input summary'!J266/'Input summary'!$C$167)*'Input summary'!J382+('Input summary'!J293/'Input summary'!$C$167)*'Input summary'!J410)</f>
        <v>0</v>
      </c>
      <c r="N42" s="602">
        <f ca="1">G42*'Input summary'!C464</f>
        <v>0</v>
      </c>
      <c r="O42" s="609">
        <f ca="1">D42*'Input summary'!J494</f>
        <v>0</v>
      </c>
      <c r="P42" s="29">
        <f ca="1">E42*'Input summary'!C521</f>
        <v>0</v>
      </c>
      <c r="Q42" s="29">
        <f ca="1">F42*'Input summary'!C548</f>
        <v>0</v>
      </c>
      <c r="R42" s="602">
        <f ca="1">G42*'Input summary'!C575</f>
        <v>0</v>
      </c>
      <c r="S42" s="29">
        <f ca="1">D42*'Input summary'!J605</f>
        <v>0</v>
      </c>
      <c r="T42" s="29">
        <f ca="1">(E42)*'Input summary'!C632</f>
        <v>0</v>
      </c>
      <c r="U42" s="29">
        <f ca="1">(F42)*'Input summary'!C659</f>
        <v>0</v>
      </c>
      <c r="V42" s="29">
        <f ca="1">G42*'Input summary'!C686</f>
        <v>0</v>
      </c>
      <c r="W42" s="602">
        <f ca="1">H42*'Input summary'!C713</f>
        <v>0</v>
      </c>
      <c r="X42" s="29"/>
      <c r="Y42" s="609">
        <f ca="1">(E42)*'Input summary'!C742*'Input summary'!C119+(E42)*'Input summary'!C769*(1-'Input summary'!C119)</f>
        <v>0</v>
      </c>
      <c r="Z42" s="29">
        <f ca="1">(F42-G42*'Input summary'!C146)*'Input summary'!C742</f>
        <v>0</v>
      </c>
      <c r="AA42" s="29">
        <f ca="1">G42*'Input summary'!C769</f>
        <v>0</v>
      </c>
      <c r="AB42" s="29">
        <f ca="1">H42*'Input summary'!G850</f>
        <v>0</v>
      </c>
      <c r="AC42" s="29">
        <f ca="1">D42*(('Input summary'!J266/'Input summary'!$C$167)*'Input summary'!J796+('Input summary'!J293/'Input summary'!$C$167)*'Input summary'!J823)</f>
        <v>0</v>
      </c>
      <c r="AD42" s="602">
        <f ca="1">H42*'Input summary'!E850</f>
        <v>0</v>
      </c>
    </row>
    <row r="43" spans="1:30" x14ac:dyDescent="0.3">
      <c r="A43" s="198"/>
      <c r="B43" s="31" t="s">
        <v>1087</v>
      </c>
      <c r="C43" s="29">
        <f>'General input'!H62</f>
        <v>0</v>
      </c>
      <c r="D43" s="29">
        <f>'General input'!H62*'General input'!H92</f>
        <v>0</v>
      </c>
      <c r="E43" s="29">
        <f ca="1">('Input summary'!K12/'Input summary'!$C$167)*(C43-D43)+('Input summary'!K12/'Input summary'!$C$167)*D43*(1-'Input summary'!C183)</f>
        <v>0</v>
      </c>
      <c r="F43" s="29">
        <f ca="1">('Input summary'!K39/'Input summary'!$C$168)*(C43-D43)+D43*(1-'Input summary'!C211)*('Input summary'!K39/'Input summary'!$C$169)</f>
        <v>0</v>
      </c>
      <c r="G43" s="29">
        <f ca="1">('Input summary'!K66/'Input summary'!$C$169)*(C43-D43)+D43*(1-'Input summary'!C211)*('Input summary'!K66/'Input summary'!$C$169)</f>
        <v>0</v>
      </c>
      <c r="H43" s="602">
        <f ca="1">('Input summary'!K93/'Input summary'!$C$170)*(C43-D43)+'Calculations BC'!D43*(1-'Input summary'!C239)*('Input summary'!K93/'Input summary'!$C$170)</f>
        <v>0</v>
      </c>
      <c r="I43" s="29"/>
      <c r="J43" s="609">
        <f>D43*'Input summary'!J327</f>
        <v>0</v>
      </c>
      <c r="K43" s="29">
        <f ca="1">D43*'Input summary'!J355</f>
        <v>0</v>
      </c>
      <c r="L43" s="29">
        <f ca="1">F43*'Input summary'!C438</f>
        <v>0</v>
      </c>
      <c r="M43" s="29">
        <f ca="1">D43*(('Input summary'!J267/'Input summary'!$C$167)*'Input summary'!J383+('Input summary'!J294/'Input summary'!$C$167)*'Input summary'!J411)</f>
        <v>0</v>
      </c>
      <c r="N43" s="602">
        <f ca="1">G43*'Input summary'!C465</f>
        <v>0</v>
      </c>
      <c r="O43" s="609">
        <f ca="1">D43*'Input summary'!J495</f>
        <v>0</v>
      </c>
      <c r="P43" s="29">
        <f ca="1">E43*'Input summary'!C522</f>
        <v>0</v>
      </c>
      <c r="Q43" s="29">
        <f ca="1">F43*'Input summary'!C549</f>
        <v>0</v>
      </c>
      <c r="R43" s="602">
        <f ca="1">G43*'Input summary'!C576</f>
        <v>0</v>
      </c>
      <c r="S43" s="29">
        <f ca="1">D43*'Input summary'!J606</f>
        <v>0</v>
      </c>
      <c r="T43" s="29">
        <f ca="1">(E43)*'Input summary'!C633</f>
        <v>0</v>
      </c>
      <c r="U43" s="29">
        <f ca="1">(F43)*'Input summary'!C660</f>
        <v>0</v>
      </c>
      <c r="V43" s="29">
        <f ca="1">G43*'Input summary'!C687</f>
        <v>0</v>
      </c>
      <c r="W43" s="602">
        <f ca="1">H43*'Input summary'!C714</f>
        <v>0</v>
      </c>
      <c r="X43" s="29"/>
      <c r="Y43" s="609">
        <f ca="1">(E43)*'Input summary'!C743*'Input summary'!C120+(E43)*'Input summary'!C770*(1-'Input summary'!C120)</f>
        <v>0</v>
      </c>
      <c r="Z43" s="29">
        <f ca="1">(F43-G43*'Input summary'!C147)*'Input summary'!C743</f>
        <v>0</v>
      </c>
      <c r="AA43" s="29">
        <f ca="1">G43*'Input summary'!C770</f>
        <v>0</v>
      </c>
      <c r="AB43" s="29">
        <f ca="1">H43*'Input summary'!G851</f>
        <v>0</v>
      </c>
      <c r="AC43" s="29">
        <f ca="1">D43*(('Input summary'!J267/'Input summary'!$C$167)*'Input summary'!J797+('Input summary'!J294/'Input summary'!$C$167)*'Input summary'!J824)</f>
        <v>0</v>
      </c>
      <c r="AD43" s="602">
        <f ca="1">H43*'Input summary'!E851</f>
        <v>0</v>
      </c>
    </row>
    <row r="44" spans="1:30" x14ac:dyDescent="0.3">
      <c r="A44" s="198"/>
      <c r="B44" s="31" t="s">
        <v>1443</v>
      </c>
      <c r="C44" s="29">
        <f>'General input'!H63</f>
        <v>0</v>
      </c>
      <c r="D44" s="29">
        <f>'General input'!H63*'General input'!H93</f>
        <v>0</v>
      </c>
      <c r="E44" s="29">
        <f ca="1">('Input summary'!K13/'Input summary'!$C$167)*(C44-D44)+('Input summary'!K13/'Input summary'!$C$167)*D44*(1-'Input summary'!C184)</f>
        <v>0</v>
      </c>
      <c r="F44" s="29">
        <f ca="1">('Input summary'!K40/'Input summary'!$C$168)*(C44-D44)+D44*(1-'Input summary'!C212)*('Input summary'!K40/'Input summary'!$C$169)</f>
        <v>0</v>
      </c>
      <c r="G44" s="29">
        <f ca="1">('Input summary'!K67/'Input summary'!$C$169)*(C44-D44)+D44*(1-'Input summary'!C212)*('Input summary'!K67/'Input summary'!$C$169)</f>
        <v>0</v>
      </c>
      <c r="H44" s="602">
        <f ca="1">('Input summary'!K94/'Input summary'!$C$170)*(C44-D44)+'Calculations BC'!D44*(1-'Input summary'!C240)*('Input summary'!K94/'Input summary'!$C$170)</f>
        <v>0</v>
      </c>
      <c r="I44" s="29"/>
      <c r="J44" s="609">
        <f>D44*'Input summary'!J328</f>
        <v>0</v>
      </c>
      <c r="K44" s="29">
        <f ca="1">D44*'Input summary'!J356</f>
        <v>0</v>
      </c>
      <c r="L44" s="29">
        <f ca="1">F44*'Input summary'!C439</f>
        <v>0</v>
      </c>
      <c r="M44" s="29">
        <f ca="1">D44*(('Input summary'!J268/'Input summary'!$C$167)*'Input summary'!J384+('Input summary'!J295/'Input summary'!$C$167)*'Input summary'!J412)</f>
        <v>0</v>
      </c>
      <c r="N44" s="602">
        <f ca="1">G44*'Input summary'!C466</f>
        <v>0</v>
      </c>
      <c r="O44" s="609">
        <f ca="1">D44*'Input summary'!J496</f>
        <v>0</v>
      </c>
      <c r="P44" s="29">
        <f ca="1">E44*'Input summary'!C523</f>
        <v>0</v>
      </c>
      <c r="Q44" s="29">
        <f ca="1">F44*'Input summary'!C550</f>
        <v>0</v>
      </c>
      <c r="R44" s="602">
        <f ca="1">G44*'Input summary'!C577</f>
        <v>0</v>
      </c>
      <c r="S44" s="29">
        <f ca="1">D44*'Input summary'!J607</f>
        <v>0</v>
      </c>
      <c r="T44" s="29">
        <f ca="1">(E44)*'Input summary'!C634</f>
        <v>0</v>
      </c>
      <c r="U44" s="29">
        <f ca="1">(F44)*'Input summary'!C661</f>
        <v>0</v>
      </c>
      <c r="V44" s="29">
        <f ca="1">G44*'Input summary'!C688</f>
        <v>0</v>
      </c>
      <c r="W44" s="602">
        <f ca="1">H44*'Input summary'!C715</f>
        <v>0</v>
      </c>
      <c r="X44" s="29"/>
      <c r="Y44" s="609">
        <f ca="1">(E44)*'Input summary'!C744*'Input summary'!C121+(E44)*'Input summary'!C771*(1-'Input summary'!C121)</f>
        <v>0</v>
      </c>
      <c r="Z44" s="29">
        <f ca="1">(F44-G44*'Input summary'!C148)*'Input summary'!C744</f>
        <v>0</v>
      </c>
      <c r="AA44" s="29">
        <f ca="1">G44*'Input summary'!C771</f>
        <v>0</v>
      </c>
      <c r="AB44" s="29">
        <f ca="1">H44*'Input summary'!G852</f>
        <v>0</v>
      </c>
      <c r="AC44" s="29">
        <f ca="1">D44*(('Input summary'!J268/'Input summary'!$C$167)*'Input summary'!J798+('Input summary'!J295/'Input summary'!$C$167)*'Input summary'!J825)</f>
        <v>0</v>
      </c>
      <c r="AD44" s="602">
        <f ca="1">H44*'Input summary'!E852</f>
        <v>0</v>
      </c>
    </row>
    <row r="45" spans="1:30" x14ac:dyDescent="0.3">
      <c r="A45" s="198"/>
      <c r="B45" s="315" t="s">
        <v>1444</v>
      </c>
      <c r="H45" s="87"/>
      <c r="J45" s="198"/>
      <c r="N45" s="87"/>
      <c r="O45" s="198"/>
      <c r="P45" s="29"/>
      <c r="R45" s="87"/>
      <c r="W45" s="87"/>
      <c r="Y45" s="198"/>
      <c r="Z45" s="29"/>
      <c r="AD45" s="87"/>
    </row>
    <row r="46" spans="1:30" ht="17.399999999999999" customHeight="1" x14ac:dyDescent="0.3">
      <c r="A46" s="198"/>
      <c r="B46" s="31" t="s">
        <v>1082</v>
      </c>
      <c r="C46" s="29">
        <f>'General input'!H65</f>
        <v>0</v>
      </c>
      <c r="D46" s="29">
        <f>'General input'!H65*'General input'!H95</f>
        <v>0</v>
      </c>
      <c r="E46" s="29">
        <f ca="1">('Input summary'!K15/'Input summary'!$C$167)*(C46-D46)+('Input summary'!K15/'Input summary'!$C$167)*D46*(1-'Input summary'!C186)</f>
        <v>0</v>
      </c>
      <c r="F46" s="29">
        <f ca="1">('Input summary'!K42/'Input summary'!$C$168)*(C46-D46)+D46*(1-'Input summary'!C214)*('Input summary'!K42/'Input summary'!$C$169)</f>
        <v>0</v>
      </c>
      <c r="G46" s="29">
        <f ca="1">('Input summary'!K69/'Input summary'!$C$169)*(C46-D46)+D46*(1-'Input summary'!C214)*('Input summary'!K69/'Input summary'!$C$169)</f>
        <v>0</v>
      </c>
      <c r="H46" s="602">
        <f ca="1">('Input summary'!K96/'Input summary'!$C$170)*(C46-D46)+'Calculations BC'!D46*(1-'Input summary'!C242)*('Input summary'!K96/'Input summary'!$C$170)</f>
        <v>0</v>
      </c>
      <c r="I46" s="29"/>
      <c r="J46" s="609">
        <f>D46*'Input summary'!J330</f>
        <v>0</v>
      </c>
      <c r="K46" s="29">
        <f ca="1">D46*'Input summary'!J358</f>
        <v>0</v>
      </c>
      <c r="L46" s="29">
        <f ca="1">F46*'Input summary'!C441</f>
        <v>0</v>
      </c>
      <c r="M46" s="29">
        <f ca="1">D46*(('Input summary'!J270/'Input summary'!$C$167)*'Input summary'!J386+('Input summary'!J297/'Input summary'!$C$167)*'Input summary'!J414)</f>
        <v>0</v>
      </c>
      <c r="N46" s="602">
        <f ca="1">G46*'Input summary'!C468</f>
        <v>0</v>
      </c>
      <c r="O46" s="609">
        <f ca="1">D46*'Input summary'!J498</f>
        <v>0</v>
      </c>
      <c r="P46" s="29">
        <f ca="1">E46*'Input summary'!C525</f>
        <v>0</v>
      </c>
      <c r="Q46" s="29">
        <f ca="1">F46*'Input summary'!C552</f>
        <v>0</v>
      </c>
      <c r="R46" s="602">
        <f ca="1">G46*'Input summary'!C579</f>
        <v>0</v>
      </c>
      <c r="S46" s="29">
        <f ca="1">D46*'Input summary'!J609</f>
        <v>0</v>
      </c>
      <c r="T46" s="29">
        <f ca="1">(E46)*'Input summary'!C636</f>
        <v>0</v>
      </c>
      <c r="U46" s="29">
        <f ca="1">(F46)*'Input summary'!C663</f>
        <v>0</v>
      </c>
      <c r="V46" s="29">
        <f ca="1">G46*'Input summary'!C690</f>
        <v>0</v>
      </c>
      <c r="W46" s="602">
        <f ca="1">H46*'Input summary'!C717</f>
        <v>0</v>
      </c>
      <c r="X46" s="29"/>
      <c r="Y46" s="609">
        <f ca="1">(E46)*'Input summary'!C746*'Input summary'!C123+(E46)*'Input summary'!C773*(1-'Input summary'!C123)</f>
        <v>0</v>
      </c>
      <c r="Z46" s="29">
        <f ca="1">(F46-G46*'Input summary'!C150)*'Input summary'!C746</f>
        <v>0</v>
      </c>
      <c r="AA46" s="29">
        <f ca="1">G46*'Input summary'!C773</f>
        <v>0</v>
      </c>
      <c r="AB46" s="29">
        <f ca="1">H46*'Input summary'!G854</f>
        <v>0</v>
      </c>
      <c r="AC46" s="29">
        <f ca="1">D46*(('Input summary'!J270/'Input summary'!$C$167)*'Input summary'!J800+('Input summary'!J297/'Input summary'!$C$167)*'Input summary'!J827)</f>
        <v>0</v>
      </c>
      <c r="AD46" s="602">
        <f ca="1">H46*'Input summary'!E854</f>
        <v>0</v>
      </c>
    </row>
    <row r="47" spans="1:30" x14ac:dyDescent="0.3">
      <c r="A47" s="198"/>
      <c r="B47" s="31" t="s">
        <v>1083</v>
      </c>
      <c r="C47" s="29">
        <f>'General input'!H66</f>
        <v>0</v>
      </c>
      <c r="D47" s="29">
        <f>'General input'!H66*'General input'!H96</f>
        <v>0</v>
      </c>
      <c r="E47" s="29">
        <f ca="1">('Input summary'!K16/'Input summary'!$C$167)*(C47-D47)+('Input summary'!K16/'Input summary'!$C$167)*D47*(1-'Input summary'!C187)</f>
        <v>0</v>
      </c>
      <c r="F47" s="29">
        <f ca="1">('Input summary'!K43/'Input summary'!$C$168)*(C47-D47)+D47*(1-'Input summary'!C215)*('Input summary'!K43/'Input summary'!$C$169)</f>
        <v>0</v>
      </c>
      <c r="G47" s="29">
        <f ca="1">('Input summary'!K70/'Input summary'!$C$169)*(C47-D47)+D47*(1-'Input summary'!C215)*('Input summary'!K70/'Input summary'!$C$169)</f>
        <v>0</v>
      </c>
      <c r="H47" s="602">
        <f ca="1">('Input summary'!K97/'Input summary'!$C$170)*(C47-D47)+'Calculations BC'!D47*(1-'Input summary'!C243)*('Input summary'!K97/'Input summary'!$C$170)</f>
        <v>0</v>
      </c>
      <c r="I47" s="29"/>
      <c r="J47" s="609">
        <f>D47*'Input summary'!J331</f>
        <v>0</v>
      </c>
      <c r="K47" s="29">
        <f ca="1">D47*'Input summary'!J359</f>
        <v>0</v>
      </c>
      <c r="L47" s="29">
        <f ca="1">F47*'Input summary'!C442</f>
        <v>0</v>
      </c>
      <c r="M47" s="29">
        <f ca="1">D47*(('Input summary'!J271/'Input summary'!$C$167)*'Input summary'!J387+('Input summary'!J298/'Input summary'!$C$167)*'Input summary'!J415)</f>
        <v>0</v>
      </c>
      <c r="N47" s="602">
        <f ca="1">G47*'Input summary'!C469</f>
        <v>0</v>
      </c>
      <c r="O47" s="609">
        <f ca="1">D47*'Input summary'!J499</f>
        <v>0</v>
      </c>
      <c r="P47" s="29">
        <f ca="1">E47*'Input summary'!C526</f>
        <v>0</v>
      </c>
      <c r="Q47" s="29">
        <f ca="1">F47*'Input summary'!C553</f>
        <v>0</v>
      </c>
      <c r="R47" s="602">
        <f ca="1">G47*'Input summary'!C580</f>
        <v>0</v>
      </c>
      <c r="S47" s="29">
        <f ca="1">D47*'Input summary'!J610</f>
        <v>0</v>
      </c>
      <c r="T47" s="29">
        <f ca="1">(E47)*'Input summary'!C637</f>
        <v>0</v>
      </c>
      <c r="U47" s="29">
        <f ca="1">(F47)*'Input summary'!C664</f>
        <v>0</v>
      </c>
      <c r="V47" s="29">
        <f ca="1">G47*'Input summary'!C691</f>
        <v>0</v>
      </c>
      <c r="W47" s="602">
        <f ca="1">H47*'Input summary'!C718</f>
        <v>0</v>
      </c>
      <c r="X47" s="29"/>
      <c r="Y47" s="609">
        <f ca="1">(E47)*'Input summary'!C747*'Input summary'!C124+(E47)*'Input summary'!C774*(1-'Input summary'!C124)</f>
        <v>0</v>
      </c>
      <c r="Z47" s="29">
        <f ca="1">(F47-G47*'Input summary'!C151)*'Input summary'!C747</f>
        <v>0</v>
      </c>
      <c r="AA47" s="29">
        <f ca="1">G47*'Input summary'!C774</f>
        <v>0</v>
      </c>
      <c r="AB47" s="29">
        <f ca="1">H47*'Input summary'!G855</f>
        <v>0</v>
      </c>
      <c r="AC47" s="29">
        <f ca="1">D47*(('Input summary'!J271/'Input summary'!$C$167)*'Input summary'!J801+('Input summary'!J298/'Input summary'!$C$167)*'Input summary'!J828)</f>
        <v>0</v>
      </c>
      <c r="AD47" s="602">
        <f ca="1">H47*'Input summary'!E855</f>
        <v>0</v>
      </c>
    </row>
    <row r="48" spans="1:30" x14ac:dyDescent="0.3">
      <c r="A48" s="198"/>
      <c r="B48" s="31" t="s">
        <v>1084</v>
      </c>
      <c r="C48" s="29">
        <f>'General input'!H67</f>
        <v>0</v>
      </c>
      <c r="D48" s="29">
        <f>'General input'!H67*'General input'!H97</f>
        <v>0</v>
      </c>
      <c r="E48" s="29">
        <f ca="1">('Input summary'!K17/'Input summary'!$C$167)*(C48-D48)+('Input summary'!K17/'Input summary'!$C$167)*D48*(1-'Input summary'!C188)</f>
        <v>0</v>
      </c>
      <c r="F48" s="29">
        <f ca="1">('Input summary'!K44/'Input summary'!$C$168)*(C48-D48)+D48*(1-'Input summary'!C216)*('Input summary'!K44/'Input summary'!$C$169)</f>
        <v>0</v>
      </c>
      <c r="G48" s="29">
        <f ca="1">('Input summary'!K71/'Input summary'!$C$169)*(C48-D48)+D48*(1-'Input summary'!C216)*('Input summary'!K71/'Input summary'!$C$169)</f>
        <v>0</v>
      </c>
      <c r="H48" s="602">
        <f ca="1">('Input summary'!K98/'Input summary'!$C$170)*(C48-D48)+'Calculations BC'!D48*(1-'Input summary'!C244)*('Input summary'!K98/'Input summary'!$C$170)</f>
        <v>0</v>
      </c>
      <c r="I48" s="29"/>
      <c r="J48" s="609">
        <f>D48*'Input summary'!J332</f>
        <v>0</v>
      </c>
      <c r="K48" s="29">
        <f ca="1">D48*'Input summary'!J360</f>
        <v>0</v>
      </c>
      <c r="L48" s="29">
        <f ca="1">F48*'Input summary'!C443</f>
        <v>0</v>
      </c>
      <c r="M48" s="29">
        <f ca="1">D48*(('Input summary'!J272/'Input summary'!$C$167)*'Input summary'!J388+('Input summary'!J299/'Input summary'!$C$167)*'Input summary'!J416)</f>
        <v>0</v>
      </c>
      <c r="N48" s="602">
        <f ca="1">G48*'Input summary'!C470</f>
        <v>0</v>
      </c>
      <c r="O48" s="609">
        <f ca="1">D48*'Input summary'!J500</f>
        <v>0</v>
      </c>
      <c r="P48" s="29">
        <f ca="1">E48*'Input summary'!C527</f>
        <v>0</v>
      </c>
      <c r="Q48" s="29">
        <f ca="1">F48*'Input summary'!C554</f>
        <v>0</v>
      </c>
      <c r="R48" s="602">
        <f ca="1">G48*'Input summary'!C581</f>
        <v>0</v>
      </c>
      <c r="S48" s="29">
        <f ca="1">D48*'Input summary'!J611</f>
        <v>0</v>
      </c>
      <c r="T48" s="29">
        <f ca="1">(E48)*'Input summary'!C638</f>
        <v>0</v>
      </c>
      <c r="U48" s="29">
        <f ca="1">(F48)*'Input summary'!C665</f>
        <v>0</v>
      </c>
      <c r="V48" s="29">
        <f ca="1">G48*'Input summary'!C692</f>
        <v>0</v>
      </c>
      <c r="W48" s="602">
        <f ca="1">H48*'Input summary'!C719</f>
        <v>0</v>
      </c>
      <c r="X48" s="29"/>
      <c r="Y48" s="609">
        <f ca="1">(E48)*'Input summary'!C748*'Input summary'!C125+(E48)*'Input summary'!C775*(1-'Input summary'!C125)</f>
        <v>0</v>
      </c>
      <c r="Z48" s="29">
        <f ca="1">(F48-G48*'Input summary'!C152)*'Input summary'!C748</f>
        <v>0</v>
      </c>
      <c r="AA48" s="29">
        <f ca="1">G48*'Input summary'!C775</f>
        <v>0</v>
      </c>
      <c r="AB48" s="29">
        <f ca="1">H48*'Input summary'!G856</f>
        <v>0</v>
      </c>
      <c r="AC48" s="29">
        <f ca="1">D48*(('Input summary'!J272/'Input summary'!$C$167)*'Input summary'!J802+('Input summary'!J299/'Input summary'!$C$167)*'Input summary'!J829)</f>
        <v>0</v>
      </c>
      <c r="AD48" s="602">
        <f ca="1">H48*'Input summary'!E856</f>
        <v>0</v>
      </c>
    </row>
    <row r="49" spans="1:30" x14ac:dyDescent="0.3">
      <c r="A49" s="198"/>
      <c r="B49" s="31" t="s">
        <v>1085</v>
      </c>
      <c r="C49" s="29">
        <f>'General input'!H68</f>
        <v>0</v>
      </c>
      <c r="D49" s="29">
        <f>'General input'!H68*'General input'!H98</f>
        <v>0</v>
      </c>
      <c r="E49" s="29">
        <f ca="1">('Input summary'!K18/'Input summary'!$C$167)*(C49-D49)+('Input summary'!K18/'Input summary'!$C$167)*D49*(1-'Input summary'!C189)</f>
        <v>0</v>
      </c>
      <c r="F49" s="29">
        <f ca="1">('Input summary'!K45/'Input summary'!$C$168)*(C49-D49)+D49*(1-'Input summary'!C217)*('Input summary'!K45/'Input summary'!$C$169)</f>
        <v>0</v>
      </c>
      <c r="G49" s="29">
        <f ca="1">('Input summary'!K72/'Input summary'!$C$169)*(C49-D49)+D49*(1-'Input summary'!C217)*('Input summary'!K72/'Input summary'!$C$169)</f>
        <v>0</v>
      </c>
      <c r="H49" s="602">
        <f ca="1">('Input summary'!K99/'Input summary'!$C$170)*(C49-D49)+'Calculations BC'!D49*(1-'Input summary'!C245)*('Input summary'!K99/'Input summary'!$C$170)</f>
        <v>0</v>
      </c>
      <c r="I49" s="29"/>
      <c r="J49" s="609">
        <f>D49*'Input summary'!J333</f>
        <v>0</v>
      </c>
      <c r="K49" s="29">
        <f ca="1">D49*'Input summary'!J361</f>
        <v>0</v>
      </c>
      <c r="L49" s="29">
        <f ca="1">F49*'Input summary'!C444</f>
        <v>0</v>
      </c>
      <c r="M49" s="29">
        <f ca="1">D49*(('Input summary'!J273/'Input summary'!$C$167)*'Input summary'!J389+('Input summary'!J300/'Input summary'!$C$167)*'Input summary'!J417)</f>
        <v>0</v>
      </c>
      <c r="N49" s="602">
        <f ca="1">G49*'Input summary'!C471</f>
        <v>0</v>
      </c>
      <c r="O49" s="609">
        <f ca="1">D49*'Input summary'!J501</f>
        <v>0</v>
      </c>
      <c r="P49" s="29">
        <f ca="1">E49*'Input summary'!C528</f>
        <v>0</v>
      </c>
      <c r="Q49" s="29">
        <f ca="1">F49*'Input summary'!C555</f>
        <v>0</v>
      </c>
      <c r="R49" s="602">
        <f ca="1">G49*'Input summary'!C582</f>
        <v>0</v>
      </c>
      <c r="S49" s="29">
        <f ca="1">D49*'Input summary'!J612</f>
        <v>0</v>
      </c>
      <c r="T49" s="29">
        <f ca="1">(E49)*'Input summary'!C639</f>
        <v>0</v>
      </c>
      <c r="U49" s="29">
        <f ca="1">(F49)*'Input summary'!C666</f>
        <v>0</v>
      </c>
      <c r="V49" s="29">
        <f ca="1">G49*'Input summary'!C693</f>
        <v>0</v>
      </c>
      <c r="W49" s="602">
        <f ca="1">H49*'Input summary'!C720</f>
        <v>0</v>
      </c>
      <c r="X49" s="29"/>
      <c r="Y49" s="609">
        <f ca="1">(E49)*'Input summary'!C749*'Input summary'!C126+(E49)*'Input summary'!C776*(1-'Input summary'!C126)</f>
        <v>0</v>
      </c>
      <c r="Z49" s="29">
        <f ca="1">(F49-G49*'Input summary'!C153)*'Input summary'!C749</f>
        <v>0</v>
      </c>
      <c r="AA49" s="29">
        <f ca="1">G49*'Input summary'!C776</f>
        <v>0</v>
      </c>
      <c r="AB49" s="29">
        <f ca="1">H49*'Input summary'!G857</f>
        <v>0</v>
      </c>
      <c r="AC49" s="29">
        <f ca="1">D49*(('Input summary'!J273/'Input summary'!$C$167)*'Input summary'!J803+('Input summary'!J300/'Input summary'!$C$167)*'Input summary'!J830)</f>
        <v>0</v>
      </c>
      <c r="AD49" s="602">
        <f ca="1">H49*'Input summary'!E857</f>
        <v>0</v>
      </c>
    </row>
    <row r="50" spans="1:30" x14ac:dyDescent="0.3">
      <c r="A50" s="198"/>
      <c r="B50" s="31" t="s">
        <v>1086</v>
      </c>
      <c r="C50" s="29">
        <f>'General input'!H69</f>
        <v>0</v>
      </c>
      <c r="D50" s="29">
        <f>'General input'!H69*'General input'!H99</f>
        <v>0</v>
      </c>
      <c r="E50" s="29">
        <f ca="1">('Input summary'!K19/'Input summary'!$C$167)*(C50-D50)+('Input summary'!K19/'Input summary'!$C$167)*D50*(1-'Input summary'!C190)</f>
        <v>0</v>
      </c>
      <c r="F50" s="29">
        <f ca="1">('Input summary'!K46/'Input summary'!$C$168)*(C50-D50)+D50*(1-'Input summary'!C218)*('Input summary'!K46/'Input summary'!$C$169)</f>
        <v>0</v>
      </c>
      <c r="G50" s="29">
        <f ca="1">('Input summary'!K73/'Input summary'!$C$169)*(C50-D50)+D50*(1-'Input summary'!C218)*('Input summary'!K73/'Input summary'!$C$169)</f>
        <v>0</v>
      </c>
      <c r="H50" s="602">
        <f ca="1">('Input summary'!K100/'Input summary'!$C$170)*(C50-D50)+'Calculations BC'!D50*(1-'Input summary'!C246)*('Input summary'!K100/'Input summary'!$C$170)</f>
        <v>0</v>
      </c>
      <c r="I50" s="29"/>
      <c r="J50" s="609">
        <f>D50*'Input summary'!J334</f>
        <v>0</v>
      </c>
      <c r="K50" s="29">
        <f ca="1">D50*'Input summary'!J362</f>
        <v>0</v>
      </c>
      <c r="L50" s="29">
        <f ca="1">F50*'Input summary'!C445</f>
        <v>0</v>
      </c>
      <c r="M50" s="29">
        <f ca="1">D50*(('Input summary'!J274/'Input summary'!$C$167)*'Input summary'!J390+('Input summary'!J301/'Input summary'!$C$167)*'Input summary'!J418)</f>
        <v>0</v>
      </c>
      <c r="N50" s="602">
        <f ca="1">G50*'Input summary'!C472</f>
        <v>0</v>
      </c>
      <c r="O50" s="609">
        <f ca="1">D50*'Input summary'!J502</f>
        <v>0</v>
      </c>
      <c r="P50" s="29">
        <f ca="1">E50*'Input summary'!C529</f>
        <v>0</v>
      </c>
      <c r="Q50" s="29">
        <f ca="1">F50*'Input summary'!C556</f>
        <v>0</v>
      </c>
      <c r="R50" s="602">
        <f ca="1">G50*'Input summary'!C583</f>
        <v>0</v>
      </c>
      <c r="S50" s="29">
        <f ca="1">D50*'Input summary'!J613</f>
        <v>0</v>
      </c>
      <c r="T50" s="29">
        <f ca="1">(E50)*'Input summary'!C640</f>
        <v>0</v>
      </c>
      <c r="U50" s="29">
        <f ca="1">(F50)*'Input summary'!C667</f>
        <v>0</v>
      </c>
      <c r="V50" s="29">
        <f ca="1">G50*'Input summary'!C694</f>
        <v>0</v>
      </c>
      <c r="W50" s="602">
        <f ca="1">H50*'Input summary'!C721</f>
        <v>0</v>
      </c>
      <c r="X50" s="29"/>
      <c r="Y50" s="609">
        <f ca="1">(E50)*'Input summary'!C750*'Input summary'!C127+(E50)*'Input summary'!C777*(1-'Input summary'!C127)</f>
        <v>0</v>
      </c>
      <c r="Z50" s="29">
        <f ca="1">(F50-G50*'Input summary'!C154)*'Input summary'!C750</f>
        <v>0</v>
      </c>
      <c r="AA50" s="29">
        <f ca="1">G50*'Input summary'!C777</f>
        <v>0</v>
      </c>
      <c r="AB50" s="29">
        <f ca="1">H50*'Input summary'!G858</f>
        <v>0</v>
      </c>
      <c r="AC50" s="29">
        <f ca="1">D50*(('Input summary'!J274/'Input summary'!$C$167)*'Input summary'!J804+('Input summary'!J301/'Input summary'!$C$167)*'Input summary'!J831)</f>
        <v>0</v>
      </c>
      <c r="AD50" s="602">
        <f ca="1">H50*'Input summary'!E858</f>
        <v>0</v>
      </c>
    </row>
    <row r="51" spans="1:30" x14ac:dyDescent="0.3">
      <c r="A51" s="198"/>
      <c r="B51" s="31" t="s">
        <v>1087</v>
      </c>
      <c r="C51" s="29">
        <f>'General input'!H70</f>
        <v>0</v>
      </c>
      <c r="D51" s="29">
        <f>'General input'!H70*'General input'!H100</f>
        <v>0</v>
      </c>
      <c r="E51" s="29">
        <f ca="1">('Input summary'!K20/'Input summary'!$C$167)*(C51-D51)+('Input summary'!K20/'Input summary'!$C$167)*D51*(1-'Input summary'!C191)</f>
        <v>0</v>
      </c>
      <c r="F51" s="29">
        <f ca="1">('Input summary'!K47/'Input summary'!$C$168)*(C51-D51)+D51*(1-'Input summary'!C219)*('Input summary'!K47/'Input summary'!$C$169)</f>
        <v>0</v>
      </c>
      <c r="G51" s="29">
        <f ca="1">('Input summary'!K74/'Input summary'!$C$169)*(C51-D51)+D51*(1-'Input summary'!C219)*('Input summary'!K74/'Input summary'!$C$169)</f>
        <v>0</v>
      </c>
      <c r="H51" s="602">
        <f ca="1">('Input summary'!K101/'Input summary'!$C$170)*(C51-D51)+'Calculations BC'!D51*(1-'Input summary'!C247)*('Input summary'!K101/'Input summary'!$C$170)</f>
        <v>0</v>
      </c>
      <c r="I51" s="29"/>
      <c r="J51" s="609">
        <f>D51*'Input summary'!J335</f>
        <v>0</v>
      </c>
      <c r="K51" s="29">
        <f ca="1">D51*'Input summary'!J363</f>
        <v>0</v>
      </c>
      <c r="L51" s="29">
        <f ca="1">F51*'Input summary'!C446</f>
        <v>0</v>
      </c>
      <c r="M51" s="29">
        <f ca="1">D51*(('Input summary'!J275/'Input summary'!$C$167)*'Input summary'!J391+('Input summary'!J302/'Input summary'!$C$167)*'Input summary'!J419)</f>
        <v>0</v>
      </c>
      <c r="N51" s="602">
        <f ca="1">G51*'Input summary'!C473</f>
        <v>0</v>
      </c>
      <c r="O51" s="609">
        <f ca="1">D51*'Input summary'!J503</f>
        <v>0</v>
      </c>
      <c r="P51" s="29">
        <f ca="1">E51*'Input summary'!C530</f>
        <v>0</v>
      </c>
      <c r="Q51" s="29">
        <f ca="1">F51*'Input summary'!C557</f>
        <v>0</v>
      </c>
      <c r="R51" s="602">
        <f ca="1">G51*'Input summary'!C584</f>
        <v>0</v>
      </c>
      <c r="S51" s="29">
        <f ca="1">D51*'Input summary'!J614</f>
        <v>0</v>
      </c>
      <c r="T51" s="29">
        <f ca="1">(E51)*'Input summary'!C641</f>
        <v>0</v>
      </c>
      <c r="U51" s="29">
        <f ca="1">(F51)*'Input summary'!C668</f>
        <v>0</v>
      </c>
      <c r="V51" s="29">
        <f ca="1">G51*'Input summary'!C695</f>
        <v>0</v>
      </c>
      <c r="W51" s="602">
        <f ca="1">H51*'Input summary'!C722</f>
        <v>0</v>
      </c>
      <c r="X51" s="29"/>
      <c r="Y51" s="609">
        <f ca="1">(E51)*'Input summary'!C751*'Input summary'!C128+(E51)*'Input summary'!C778*(1-'Input summary'!C128)</f>
        <v>0</v>
      </c>
      <c r="Z51" s="29">
        <f ca="1">(F51-G51*'Input summary'!C155)*'Input summary'!C751</f>
        <v>0</v>
      </c>
      <c r="AA51" s="29">
        <f ca="1">G51*'Input summary'!C778</f>
        <v>0</v>
      </c>
      <c r="AB51" s="29">
        <f ca="1">H51*'Input summary'!G859</f>
        <v>0</v>
      </c>
      <c r="AC51" s="29">
        <f ca="1">D51*(('Input summary'!J275/'Input summary'!$C$167)*'Input summary'!J805+('Input summary'!J302/'Input summary'!$C$167)*'Input summary'!J832)</f>
        <v>0</v>
      </c>
      <c r="AD51" s="602">
        <f ca="1">H51*'Input summary'!E859</f>
        <v>0</v>
      </c>
    </row>
    <row r="52" spans="1:30" x14ac:dyDescent="0.3">
      <c r="A52" s="198"/>
      <c r="B52" s="31" t="s">
        <v>1443</v>
      </c>
      <c r="C52" s="29">
        <f>'General input'!H71</f>
        <v>0</v>
      </c>
      <c r="D52" s="29">
        <f>'General input'!H71*'General input'!H101</f>
        <v>0</v>
      </c>
      <c r="E52" s="29">
        <f ca="1">('Input summary'!K21/'Input summary'!$C$167)*(C52-D52)+('Input summary'!K21/'Input summary'!$C$167)*D52*(1-'Input summary'!C192)</f>
        <v>0</v>
      </c>
      <c r="F52" s="29">
        <f ca="1">('Input summary'!K48/'Input summary'!$C$168)*(C52-D52)+D52*(1-'Input summary'!C220)*('Input summary'!K48/'Input summary'!$C$169)</f>
        <v>0</v>
      </c>
      <c r="G52" s="29">
        <f ca="1">('Input summary'!K75/'Input summary'!$C$169)*(C52-D52)+D52*(1-'Input summary'!C220)*('Input summary'!K75/'Input summary'!$C$169)</f>
        <v>0</v>
      </c>
      <c r="H52" s="602">
        <f ca="1">('Input summary'!K102/'Input summary'!$C$170)*(C52-D52)+'Calculations BC'!D52*(1-'Input summary'!C248)*('Input summary'!K102/'Input summary'!$C$170)</f>
        <v>0</v>
      </c>
      <c r="I52" s="29"/>
      <c r="J52" s="609">
        <f>D52*'Input summary'!J336</f>
        <v>0</v>
      </c>
      <c r="K52" s="29">
        <f ca="1">D52*'Input summary'!J364</f>
        <v>0</v>
      </c>
      <c r="L52" s="29">
        <f ca="1">F52*'Input summary'!C447</f>
        <v>0</v>
      </c>
      <c r="M52" s="29">
        <f ca="1">D52*(('Input summary'!J276/'Input summary'!$C$167)*'Input summary'!J392+('Input summary'!J303/'Input summary'!$C$167)*'Input summary'!J420)</f>
        <v>0</v>
      </c>
      <c r="N52" s="602">
        <f ca="1">G52*'Input summary'!C474</f>
        <v>0</v>
      </c>
      <c r="O52" s="609">
        <f ca="1">D52*'Input summary'!J504</f>
        <v>0</v>
      </c>
      <c r="P52" s="29">
        <f ca="1">E52*'Input summary'!C531</f>
        <v>0</v>
      </c>
      <c r="Q52" s="29">
        <f ca="1">F52*'Input summary'!C558</f>
        <v>0</v>
      </c>
      <c r="R52" s="602">
        <f ca="1">G52*'Input summary'!C585</f>
        <v>0</v>
      </c>
      <c r="S52" s="29">
        <f ca="1">D52*'Input summary'!J615</f>
        <v>0</v>
      </c>
      <c r="T52" s="29">
        <f ca="1">(E52)*'Input summary'!C642</f>
        <v>0</v>
      </c>
      <c r="U52" s="29">
        <f ca="1">(F52)*'Input summary'!C669</f>
        <v>0</v>
      </c>
      <c r="V52" s="29">
        <f ca="1">G52*'Input summary'!C696</f>
        <v>0</v>
      </c>
      <c r="W52" s="602">
        <f ca="1">H52*'Input summary'!C723</f>
        <v>0</v>
      </c>
      <c r="X52" s="29"/>
      <c r="Y52" s="609">
        <f ca="1">(E52)*'Input summary'!C752*'Input summary'!C129+(E52)*'Input summary'!C779*(1-'Input summary'!C129)</f>
        <v>0</v>
      </c>
      <c r="Z52" s="29">
        <f ca="1">(F52-G52*'Input summary'!C156)*'Input summary'!C752</f>
        <v>0</v>
      </c>
      <c r="AA52" s="29">
        <f ca="1">G52*'Input summary'!C779</f>
        <v>0</v>
      </c>
      <c r="AB52" s="29">
        <f ca="1">H52*'Input summary'!G860</f>
        <v>0</v>
      </c>
      <c r="AC52" s="29">
        <f ca="1">D52*(('Input summary'!J276/'Input summary'!$C$167)*'Input summary'!J806+('Input summary'!J303/'Input summary'!$C$167)*'Input summary'!J833)</f>
        <v>0</v>
      </c>
      <c r="AD52" s="602">
        <f ca="1">H52*'Input summary'!E860</f>
        <v>0</v>
      </c>
    </row>
    <row r="53" spans="1:30" x14ac:dyDescent="0.3">
      <c r="A53" s="198"/>
      <c r="B53" s="405" t="s">
        <v>227</v>
      </c>
      <c r="C53" s="29"/>
      <c r="D53" s="29"/>
      <c r="E53" s="29"/>
      <c r="F53" s="29"/>
      <c r="G53" s="29"/>
      <c r="H53" s="602"/>
      <c r="I53" s="29"/>
      <c r="J53" s="609"/>
      <c r="K53" s="29"/>
      <c r="L53" s="29"/>
      <c r="M53" s="29"/>
      <c r="N53" s="602"/>
      <c r="O53" s="609"/>
      <c r="P53" s="29"/>
      <c r="Q53" s="29"/>
      <c r="R53" s="602"/>
      <c r="S53" s="29"/>
      <c r="T53" s="29"/>
      <c r="U53" s="29"/>
      <c r="V53" s="29"/>
      <c r="W53" s="602"/>
      <c r="X53" s="29"/>
      <c r="Y53" s="609"/>
      <c r="Z53" s="29"/>
      <c r="AA53" s="29"/>
      <c r="AB53" s="29"/>
      <c r="AC53" s="29"/>
      <c r="AD53" s="602"/>
    </row>
    <row r="54" spans="1:30" x14ac:dyDescent="0.3">
      <c r="A54" s="198"/>
      <c r="B54" s="31" t="s">
        <v>1437</v>
      </c>
      <c r="C54" s="29">
        <f>'General input'!H73</f>
        <v>0</v>
      </c>
      <c r="D54" s="29">
        <f>'General input'!H73*'General input'!H103</f>
        <v>0</v>
      </c>
      <c r="E54" s="29">
        <f ca="1">('Input summary'!K23/'Input summary'!$C$167)*(C54-D54)+('Input summary'!K23/'Input summary'!$C$167)*D54*(1-'Input summary'!C194)</f>
        <v>0</v>
      </c>
      <c r="F54" s="29">
        <f ca="1">('Input summary'!K50/'Input summary'!$C$168)*(C54-D54)+D54*(1-'Input summary'!C222)*('Input summary'!K50/'Input summary'!$C$169)</f>
        <v>0</v>
      </c>
      <c r="G54" s="29">
        <f ca="1">('Input summary'!K77/'Input summary'!$C$169)*(C54-D54)+D54*(1-'Input summary'!C222)*('Input summary'!K77/'Input summary'!$C$169)</f>
        <v>0</v>
      </c>
      <c r="H54" s="602">
        <f ca="1">('Input summary'!K104/'Input summary'!$C$170)*(C54-D54)+'Calculations BC'!D54*(1-'Input summary'!C250)*('Input summary'!K104/'Input summary'!$C$170)</f>
        <v>0</v>
      </c>
      <c r="I54" s="29"/>
      <c r="J54" s="609">
        <f>D54*'Input summary'!J338</f>
        <v>0</v>
      </c>
      <c r="K54" s="29">
        <f ca="1">D54*'Input summary'!J366</f>
        <v>0</v>
      </c>
      <c r="L54" s="29">
        <f ca="1">F54*'Input summary'!C449</f>
        <v>0</v>
      </c>
      <c r="M54" s="29">
        <f ca="1">D54*(('Input summary'!J278/'Input summary'!$C$167)*'Input summary'!J394+('Input summary'!J305/'Input summary'!$C$167)*'Input summary'!J422)</f>
        <v>0</v>
      </c>
      <c r="N54" s="602">
        <f ca="1">G54*'Input summary'!C476</f>
        <v>0</v>
      </c>
      <c r="O54" s="609">
        <f ca="1">D54*'Input summary'!J506</f>
        <v>0</v>
      </c>
      <c r="P54" s="29">
        <f ca="1">E54*'Input summary'!C533</f>
        <v>0</v>
      </c>
      <c r="Q54" s="29">
        <f ca="1">F54*'Input summary'!C560</f>
        <v>0</v>
      </c>
      <c r="R54" s="602">
        <f ca="1">G54*'Input summary'!C587</f>
        <v>0</v>
      </c>
      <c r="S54" s="29">
        <f ca="1">D54*'Input summary'!J617</f>
        <v>0</v>
      </c>
      <c r="T54" s="29">
        <f ca="1">(E54)*'Input summary'!C644</f>
        <v>0</v>
      </c>
      <c r="U54" s="29">
        <f ca="1">(F54)*'Input summary'!C671</f>
        <v>0</v>
      </c>
      <c r="V54" s="29">
        <f ca="1">G54*'Input summary'!C698</f>
        <v>0</v>
      </c>
      <c r="W54" s="602">
        <f ca="1">H54*'Input summary'!C725</f>
        <v>0</v>
      </c>
      <c r="X54" s="29"/>
      <c r="Y54" s="609">
        <f ca="1">(E54)*'Input summary'!C754*'Input summary'!C131+(E54)*'Input summary'!C781*(1-'Input summary'!C131)</f>
        <v>0</v>
      </c>
      <c r="Z54" s="29">
        <f ca="1">(F54-G54*'Input summary'!C158)*'Input summary'!C754</f>
        <v>0</v>
      </c>
      <c r="AA54" s="29">
        <f ca="1">G54*'Input summary'!C781</f>
        <v>0</v>
      </c>
      <c r="AB54" s="29">
        <f ca="1">H54*'Input summary'!G862</f>
        <v>0</v>
      </c>
      <c r="AC54" s="29">
        <f ca="1">D54*(('Input summary'!J278/'Input summary'!$C$167)*'Input summary'!J808+('Input summary'!J305/'Input summary'!$C$167)*'Input summary'!J835)</f>
        <v>0</v>
      </c>
      <c r="AD54" s="602">
        <f ca="1">H54*'Input summary'!E862</f>
        <v>0</v>
      </c>
    </row>
    <row r="55" spans="1:30" x14ac:dyDescent="0.3">
      <c r="A55" s="198"/>
      <c r="B55" s="31" t="s">
        <v>1438</v>
      </c>
      <c r="C55" s="29">
        <f>'General input'!H74</f>
        <v>0</v>
      </c>
      <c r="D55" s="29">
        <f>'General input'!H74*'General input'!H104</f>
        <v>0</v>
      </c>
      <c r="E55" s="29">
        <f ca="1">('Input summary'!K24/'Input summary'!$C$167)*(C55-D55)+('Input summary'!K24/'Input summary'!$C$167)*D55*(1-'Input summary'!C195)</f>
        <v>0</v>
      </c>
      <c r="F55" s="29">
        <f ca="1">('Input summary'!K51/'Input summary'!$C$168)*(C55-D55)+D55*(1-'Input summary'!C223)*('Input summary'!K51/'Input summary'!$C$169)</f>
        <v>0</v>
      </c>
      <c r="G55" s="29">
        <f ca="1">('Input summary'!K78/'Input summary'!$C$169)*(C55-D55)+D55*(1-'Input summary'!C223)*('Input summary'!K78/'Input summary'!$C$169)</f>
        <v>0</v>
      </c>
      <c r="H55" s="602">
        <f ca="1">('Input summary'!K105/'Input summary'!$C$170)*(C55-D55)+'Calculations BC'!D55*(1-'Input summary'!C251)*('Input summary'!K105/'Input summary'!$C$170)</f>
        <v>0</v>
      </c>
      <c r="I55" s="29"/>
      <c r="J55" s="609">
        <f>D55*'Input summary'!J339</f>
        <v>0</v>
      </c>
      <c r="K55" s="29">
        <f ca="1">D55*'Input summary'!J367</f>
        <v>0</v>
      </c>
      <c r="L55" s="29">
        <f ca="1">F55*'Input summary'!C450</f>
        <v>0</v>
      </c>
      <c r="M55" s="29">
        <f ca="1">D55*(('Input summary'!J279/'Input summary'!$C$167)*'Input summary'!J395+('Input summary'!J306/'Input summary'!$C$167)*'Input summary'!J423)</f>
        <v>0</v>
      </c>
      <c r="N55" s="602">
        <f ca="1">G55*'Input summary'!C477</f>
        <v>0</v>
      </c>
      <c r="O55" s="609">
        <f ca="1">D55*'Input summary'!J507</f>
        <v>0</v>
      </c>
      <c r="P55" s="29">
        <f ca="1">E55*'Input summary'!C534</f>
        <v>0</v>
      </c>
      <c r="Q55" s="29">
        <f ca="1">F55*'Input summary'!C561</f>
        <v>0</v>
      </c>
      <c r="R55" s="602">
        <f ca="1">G55*'Input summary'!C588</f>
        <v>0</v>
      </c>
      <c r="S55" s="29">
        <f ca="1">D55*'Input summary'!J618</f>
        <v>0</v>
      </c>
      <c r="T55" s="29">
        <f ca="1">(E55)*'Input summary'!C645</f>
        <v>0</v>
      </c>
      <c r="U55" s="29">
        <f ca="1">(F55)*'Input summary'!C672</f>
        <v>0</v>
      </c>
      <c r="V55" s="29">
        <f ca="1">G55*'Input summary'!C699</f>
        <v>0</v>
      </c>
      <c r="W55" s="602">
        <f ca="1">H55*'Input summary'!C726</f>
        <v>0</v>
      </c>
      <c r="X55" s="29"/>
      <c r="Y55" s="609">
        <f ca="1">(E55)*'Input summary'!C755*'Input summary'!C132+(E55)*'Input summary'!C782*(1-'Input summary'!C132)</f>
        <v>0</v>
      </c>
      <c r="Z55" s="29">
        <f ca="1">(F55-G55*'Input summary'!C159)*'Input summary'!C755</f>
        <v>0</v>
      </c>
      <c r="AA55" s="29">
        <f ca="1">G55*'Input summary'!C782</f>
        <v>0</v>
      </c>
      <c r="AB55" s="29">
        <f ca="1">H55*'Input summary'!G863</f>
        <v>0</v>
      </c>
      <c r="AC55" s="29">
        <f ca="1">D55*(('Input summary'!J279/'Input summary'!$C$167)*'Input summary'!J809+('Input summary'!J306/'Input summary'!$C$167)*'Input summary'!J836)</f>
        <v>0</v>
      </c>
      <c r="AD55" s="602">
        <f ca="1">H55*'Input summary'!E863</f>
        <v>0</v>
      </c>
    </row>
    <row r="56" spans="1:30" x14ac:dyDescent="0.3">
      <c r="A56" s="198"/>
      <c r="B56" s="31" t="s">
        <v>1441</v>
      </c>
      <c r="C56" s="29">
        <f>'General input'!H75</f>
        <v>0</v>
      </c>
      <c r="D56" s="29">
        <f>'General input'!H75*'General input'!H105</f>
        <v>0</v>
      </c>
      <c r="E56" s="29">
        <f ca="1">('Input summary'!K25/'Input summary'!$C$167)*(C56-D56)+('Input summary'!K25/'Input summary'!$C$167)*D56*(1-'Input summary'!C196)</f>
        <v>0</v>
      </c>
      <c r="F56" s="29">
        <f ca="1">('Input summary'!K52/'Input summary'!$C$168)*(C56-D56)+D56*(1-'Input summary'!C224)*('Input summary'!K52/'Input summary'!$C$169)</f>
        <v>0</v>
      </c>
      <c r="G56" s="29">
        <f ca="1">('Input summary'!K79/'Input summary'!$C$169)*(C56-D56)+D56*(1-'Input summary'!C224)*('Input summary'!K79/'Input summary'!$C$169)</f>
        <v>0</v>
      </c>
      <c r="H56" s="602">
        <f ca="1">('Input summary'!K106/'Input summary'!$C$170)*(C56-D56)+'Calculations BC'!D56*(1-'Input summary'!C252)*('Input summary'!K106/'Input summary'!$C$170)</f>
        <v>0</v>
      </c>
      <c r="I56" s="29"/>
      <c r="J56" s="609">
        <f>D56*'Input summary'!J340</f>
        <v>0</v>
      </c>
      <c r="K56" s="29">
        <f ca="1">D56*'Input summary'!J368</f>
        <v>0</v>
      </c>
      <c r="L56" s="29">
        <f ca="1">F56*'Input summary'!C451</f>
        <v>0</v>
      </c>
      <c r="M56" s="29">
        <f ca="1">D56*(('Input summary'!J280/'Input summary'!$C$167)*'Input summary'!J396+('Input summary'!J307/'Input summary'!$C$167)*'Input summary'!J424)</f>
        <v>0</v>
      </c>
      <c r="N56" s="602">
        <f ca="1">G56*'Input summary'!C478</f>
        <v>0</v>
      </c>
      <c r="O56" s="609">
        <f ca="1">D56*'Input summary'!J508</f>
        <v>0</v>
      </c>
      <c r="P56" s="29">
        <f ca="1">E56*'Input summary'!C535</f>
        <v>0</v>
      </c>
      <c r="Q56" s="29">
        <f ca="1">F56*'Input summary'!C562</f>
        <v>0</v>
      </c>
      <c r="R56" s="602">
        <f ca="1">G56*'Input summary'!C589</f>
        <v>0</v>
      </c>
      <c r="S56" s="29">
        <f ca="1">D56*'Input summary'!J619</f>
        <v>0</v>
      </c>
      <c r="T56" s="29">
        <f ca="1">(E56)*'Input summary'!C646</f>
        <v>0</v>
      </c>
      <c r="U56" s="29">
        <f ca="1">(F56)*'Input summary'!C673</f>
        <v>0</v>
      </c>
      <c r="V56" s="29">
        <f ca="1">G56*'Input summary'!C700</f>
        <v>0</v>
      </c>
      <c r="W56" s="602">
        <f ca="1">H56*'Input summary'!C727</f>
        <v>0</v>
      </c>
      <c r="X56" s="29"/>
      <c r="Y56" s="609">
        <f ca="1">(E56)*'Input summary'!C756*'Input summary'!C133+(E56)*'Input summary'!C783*(1-'Input summary'!C133)</f>
        <v>0</v>
      </c>
      <c r="Z56" s="29">
        <f ca="1">(F56-G56*'Input summary'!C160)*'Input summary'!C756</f>
        <v>0</v>
      </c>
      <c r="AA56" s="29">
        <f ca="1">G56*'Input summary'!C783</f>
        <v>0</v>
      </c>
      <c r="AB56" s="29">
        <f ca="1">H56*'Input summary'!G864</f>
        <v>0</v>
      </c>
      <c r="AC56" s="29">
        <f ca="1">D56*(('Input summary'!J280/'Input summary'!$C$167)*'Input summary'!J810+('Input summary'!J307/'Input summary'!$C$167)*'Input summary'!J837)</f>
        <v>0</v>
      </c>
      <c r="AD56" s="602">
        <f ca="1">H56*'Input summary'!E864</f>
        <v>0</v>
      </c>
    </row>
    <row r="57" spans="1:30" x14ac:dyDescent="0.3">
      <c r="A57" s="198"/>
      <c r="B57" s="31" t="s">
        <v>1442</v>
      </c>
      <c r="C57" s="29">
        <f>'General input'!H76</f>
        <v>0</v>
      </c>
      <c r="D57" s="29">
        <f>'General input'!H76*'General input'!H106</f>
        <v>0</v>
      </c>
      <c r="E57" s="29">
        <f ca="1">('Input summary'!K26/'Input summary'!$C$167)*(C57-D57)+('Input summary'!K26/'Input summary'!$C$167)*D57*(1-'Input summary'!C197)</f>
        <v>0</v>
      </c>
      <c r="F57" s="29">
        <f ca="1">('Input summary'!K53/'Input summary'!$C$168)*(C57-D57)+D57*(1-'Input summary'!C225)*('Input summary'!K53/'Input summary'!$C$169)</f>
        <v>0</v>
      </c>
      <c r="G57" s="29">
        <f ca="1">('Input summary'!K80/'Input summary'!$C$169)*(C57-D57)+D57*(1-'Input summary'!C225)*('Input summary'!K80/'Input summary'!$C$169)</f>
        <v>0</v>
      </c>
      <c r="H57" s="602">
        <f ca="1">('Input summary'!K107/'Input summary'!$C$170)*(C57-D57)+'Calculations BC'!D57*(1-'Input summary'!C253)*('Input summary'!K107/'Input summary'!$C$170)</f>
        <v>0</v>
      </c>
      <c r="I57" s="29"/>
      <c r="J57" s="609">
        <f>D57*'Input summary'!J341</f>
        <v>0</v>
      </c>
      <c r="K57" s="29">
        <f ca="1">D57*'Input summary'!J369</f>
        <v>0</v>
      </c>
      <c r="L57" s="29">
        <f ca="1">F57*'Input summary'!C452</f>
        <v>0</v>
      </c>
      <c r="M57" s="29">
        <f ca="1">D57*(('Input summary'!J281/'Input summary'!$C$167)*'Input summary'!J397+('Input summary'!J308/'Input summary'!$C$167)*'Input summary'!J425)</f>
        <v>0</v>
      </c>
      <c r="N57" s="602">
        <f ca="1">G57*'Input summary'!C479</f>
        <v>0</v>
      </c>
      <c r="O57" s="609">
        <f ca="1">D57*'Input summary'!J509</f>
        <v>0</v>
      </c>
      <c r="P57" s="29">
        <f ca="1">E57*'Input summary'!C536</f>
        <v>0</v>
      </c>
      <c r="Q57" s="29">
        <f ca="1">F57*'Input summary'!C563</f>
        <v>0</v>
      </c>
      <c r="R57" s="602">
        <f ca="1">G57*'Input summary'!C590</f>
        <v>0</v>
      </c>
      <c r="S57" s="29">
        <f ca="1">D57*'Input summary'!J620</f>
        <v>0</v>
      </c>
      <c r="T57" s="29">
        <f ca="1">(E57)*'Input summary'!C647</f>
        <v>0</v>
      </c>
      <c r="U57" s="29">
        <f ca="1">(F57)*'Input summary'!C674</f>
        <v>0</v>
      </c>
      <c r="V57" s="29">
        <f ca="1">G57*'Input summary'!C701</f>
        <v>0</v>
      </c>
      <c r="W57" s="602">
        <f ca="1">H57*'Input summary'!C728</f>
        <v>0</v>
      </c>
      <c r="X57" s="29"/>
      <c r="Y57" s="609">
        <f ca="1">(E57)*'Input summary'!C757*'Input summary'!C134+(E57)*'Input summary'!C784*(1-'Input summary'!C134)</f>
        <v>0</v>
      </c>
      <c r="Z57" s="29">
        <f ca="1">(F57-G57*'Input summary'!C161)*'Input summary'!C757</f>
        <v>0</v>
      </c>
      <c r="AA57" s="29">
        <f ca="1">G57*'Input summary'!C784</f>
        <v>0</v>
      </c>
      <c r="AB57" s="29">
        <f ca="1">H57*'Input summary'!G865</f>
        <v>0</v>
      </c>
      <c r="AC57" s="29">
        <f ca="1">D57*(('Input summary'!J281/'Input summary'!$C$167)*'Input summary'!J811+('Input summary'!J308/'Input summary'!$C$167)*'Input summary'!J838)</f>
        <v>0</v>
      </c>
      <c r="AD57" s="602">
        <f ca="1">H57*'Input summary'!E865</f>
        <v>0</v>
      </c>
    </row>
    <row r="58" spans="1:30" x14ac:dyDescent="0.3">
      <c r="A58" s="198"/>
      <c r="B58" s="405" t="s">
        <v>920</v>
      </c>
      <c r="C58" s="29"/>
      <c r="D58" s="29"/>
      <c r="E58" s="29"/>
      <c r="F58" s="29"/>
      <c r="G58" s="29"/>
      <c r="H58" s="602"/>
      <c r="I58" s="29"/>
      <c r="J58" s="609"/>
      <c r="K58" s="29"/>
      <c r="L58" s="29"/>
      <c r="M58" s="29"/>
      <c r="N58" s="602"/>
      <c r="O58" s="609"/>
      <c r="P58" s="29"/>
      <c r="Q58" s="29"/>
      <c r="R58" s="602"/>
      <c r="S58" s="29"/>
      <c r="T58" s="29"/>
      <c r="U58" s="29"/>
      <c r="V58" s="29"/>
      <c r="W58" s="602"/>
      <c r="X58" s="29"/>
      <c r="Y58" s="609"/>
      <c r="Z58" s="29"/>
      <c r="AA58" s="29"/>
      <c r="AB58" s="29"/>
      <c r="AC58" s="29"/>
      <c r="AD58" s="602"/>
    </row>
    <row r="59" spans="1:30" x14ac:dyDescent="0.3">
      <c r="A59" s="198"/>
      <c r="B59" s="297" t="s">
        <v>920</v>
      </c>
      <c r="C59" s="29">
        <f>'General input'!H78</f>
        <v>0</v>
      </c>
      <c r="D59" s="29">
        <f>'General input'!H78*'General input'!H108</f>
        <v>0</v>
      </c>
      <c r="E59" s="29">
        <f>('Input summary'!K28/'Input summary'!$C$167)*(C59-D59)+('Input summary'!K28/'Input summary'!$C$167)*D59*(1-'Input summary'!C199)</f>
        <v>0</v>
      </c>
      <c r="F59" s="29">
        <f ca="1">('Input summary'!K55/'Input summary'!$C$168)*(C59-D59)+D59*(1-'Input summary'!C227)*('Input summary'!K55/'Input summary'!$C$169)</f>
        <v>0</v>
      </c>
      <c r="G59" s="29">
        <f ca="1">('Input summary'!K82/'Input summary'!$C$169)*(C59-D59)+D59*(1-'Input summary'!C227)*('Input summary'!K82/'Input summary'!$C$169)</f>
        <v>0</v>
      </c>
      <c r="H59" s="602">
        <f>('Input summary'!K109/'Input summary'!$C$170)*(C59-D59)+'Calculations BC'!D59*(1-'Input summary'!C255)*('Input summary'!K109/'Input summary'!$C$170)</f>
        <v>0</v>
      </c>
      <c r="I59" s="29"/>
      <c r="J59" s="609">
        <f>D59*'Input summary'!J343</f>
        <v>0</v>
      </c>
      <c r="K59" s="29">
        <f ca="1">D59*'Input summary'!J371</f>
        <v>0</v>
      </c>
      <c r="L59" s="29">
        <f ca="1">F59*'Input summary'!C454</f>
        <v>0</v>
      </c>
      <c r="M59" s="29">
        <f ca="1">D59*(('Input summary'!J283/'Input summary'!$C$167)*'Input summary'!J399+('Input summary'!J310/'Input summary'!$C$167)*'Input summary'!J427)</f>
        <v>0</v>
      </c>
      <c r="N59" s="602">
        <f ca="1">G59*'Input summary'!C481</f>
        <v>0</v>
      </c>
      <c r="O59" s="609">
        <f ca="1">D59*'Input summary'!J511</f>
        <v>0</v>
      </c>
      <c r="P59" s="29">
        <f ca="1">E59*'Input summary'!C538</f>
        <v>0</v>
      </c>
      <c r="Q59" s="29">
        <f ca="1">F59*'Input summary'!C565</f>
        <v>0</v>
      </c>
      <c r="R59" s="602">
        <f ca="1">G59*'Input summary'!C592</f>
        <v>0</v>
      </c>
      <c r="S59" s="29">
        <f ca="1">D59*'Input summary'!J622</f>
        <v>0</v>
      </c>
      <c r="T59" s="29">
        <f ca="1">(E59)*'Input summary'!C649</f>
        <v>0</v>
      </c>
      <c r="U59" s="29">
        <f ca="1">(F59)*'Input summary'!C676</f>
        <v>0</v>
      </c>
      <c r="V59" s="29">
        <f ca="1">G59*'Input summary'!C703</f>
        <v>0</v>
      </c>
      <c r="W59" s="602">
        <f ca="1">H59*'Input summary'!C730</f>
        <v>0</v>
      </c>
      <c r="X59" s="29"/>
      <c r="Y59" s="609">
        <f ca="1">(E59)*'Input summary'!C759*'Input summary'!C136+(E59)*'Input summary'!C786*(1-'Input summary'!C136)</f>
        <v>0</v>
      </c>
      <c r="Z59" s="29">
        <f ca="1">(F59-G59*'Input summary'!C163)*'Input summary'!C759</f>
        <v>0</v>
      </c>
      <c r="AA59" s="29">
        <f ca="1">G59*'Input summary'!C786</f>
        <v>0</v>
      </c>
      <c r="AB59" s="29">
        <f>H59*'Input summary'!G867</f>
        <v>0</v>
      </c>
      <c r="AC59" s="29">
        <f ca="1">D59*(('Input summary'!J283/'Input summary'!$C$167)*'Input summary'!J813+('Input summary'!J310/'Input summary'!$C$167)*'Input summary'!J840)</f>
        <v>0</v>
      </c>
      <c r="AD59" s="602">
        <f>H59*'Input summary'!E867</f>
        <v>0</v>
      </c>
    </row>
    <row r="60" spans="1:30" x14ac:dyDescent="0.3">
      <c r="A60" s="198"/>
      <c r="B60" s="297" t="s">
        <v>980</v>
      </c>
      <c r="C60" s="29">
        <f>'General input'!H79</f>
        <v>0</v>
      </c>
      <c r="D60" s="29">
        <f>'General input'!H79*'General input'!H109</f>
        <v>0</v>
      </c>
      <c r="E60" s="29">
        <f>('Input summary'!K29/'Input summary'!$C$167)*(C60-D60)+('Input summary'!K29/'Input summary'!$C$167)*D60*(1-'Input summary'!C200)</f>
        <v>0</v>
      </c>
      <c r="F60" s="29">
        <f ca="1">('Input summary'!K56/'Input summary'!$C$168)*(C60-D60)+D60*(1-'Input summary'!C228)*('Input summary'!K56/'Input summary'!$C$169)</f>
        <v>0</v>
      </c>
      <c r="G60" s="29">
        <f ca="1">('Input summary'!K83/'Input summary'!$C$169)*(C60-D60)+D60*(1-'Input summary'!C228)*('Input summary'!K83/'Input summary'!$C$169)</f>
        <v>0</v>
      </c>
      <c r="H60" s="602">
        <f>('Input summary'!K110/'Input summary'!$C$170)*(C60-D60)+'Calculations BC'!D60*(1-'Input summary'!C256)*('Input summary'!K110/'Input summary'!$C$170)</f>
        <v>0</v>
      </c>
      <c r="I60" s="29"/>
      <c r="J60" s="609">
        <f>D60*'Input summary'!J344</f>
        <v>0</v>
      </c>
      <c r="K60" s="29">
        <f ca="1">D60*'Input summary'!J372</f>
        <v>0</v>
      </c>
      <c r="L60" s="29">
        <f ca="1">F60*'Input summary'!C455</f>
        <v>0</v>
      </c>
      <c r="M60" s="29">
        <f ca="1">D60*(('Input summary'!J284/'Input summary'!$C$167)*'Input summary'!J400+('Input summary'!J311/'Input summary'!$C$167)*'Input summary'!J428)</f>
        <v>0</v>
      </c>
      <c r="N60" s="602">
        <f ca="1">G60*'Input summary'!C482</f>
        <v>0</v>
      </c>
      <c r="O60" s="609">
        <f ca="1">D60*'Input summary'!J512</f>
        <v>0</v>
      </c>
      <c r="P60" s="29">
        <f ca="1">E60*'Input summary'!C539</f>
        <v>0</v>
      </c>
      <c r="Q60" s="29">
        <f ca="1">F60*'Input summary'!C566</f>
        <v>0</v>
      </c>
      <c r="R60" s="602">
        <f ca="1">G60*'Input summary'!C593</f>
        <v>0</v>
      </c>
      <c r="S60" s="29">
        <f ca="1">D60*'Input summary'!J623</f>
        <v>0</v>
      </c>
      <c r="T60" s="29">
        <f ca="1">(E60)*'Input summary'!C650</f>
        <v>0</v>
      </c>
      <c r="U60" s="29">
        <f ca="1">(F60)*'Input summary'!C677</f>
        <v>0</v>
      </c>
      <c r="V60" s="29">
        <f ca="1">G60*'Input summary'!C704</f>
        <v>0</v>
      </c>
      <c r="W60" s="602">
        <f ca="1">H60*'Input summary'!C731</f>
        <v>0</v>
      </c>
      <c r="X60" s="29"/>
      <c r="Y60" s="609">
        <f ca="1">(E60)*'Input summary'!C760*'Input summary'!C137+(E60)*'Input summary'!C787*(1-'Input summary'!C137)</f>
        <v>0</v>
      </c>
      <c r="Z60" s="29">
        <f ca="1">(F60-G60*'Input summary'!C164)*'Input summary'!C760</f>
        <v>0</v>
      </c>
      <c r="AA60" s="29">
        <f ca="1">G60*'Input summary'!C787</f>
        <v>0</v>
      </c>
      <c r="AB60" s="29">
        <f>H60*'Input summary'!G868</f>
        <v>0</v>
      </c>
      <c r="AC60" s="29">
        <f ca="1">D60*(('Input summary'!J284/'Input summary'!$C$167)*'Input summary'!J814+('Input summary'!J311/'Input summary'!$C$167)*'Input summary'!J841)</f>
        <v>0</v>
      </c>
      <c r="AD60" s="602">
        <f>H60*'Input summary'!E868</f>
        <v>0</v>
      </c>
    </row>
    <row r="61" spans="1:30" x14ac:dyDescent="0.3">
      <c r="A61" s="198"/>
      <c r="B61" s="31" t="s">
        <v>233</v>
      </c>
      <c r="C61" s="29">
        <f>SUM(C37:C60)</f>
        <v>5203824</v>
      </c>
      <c r="D61" s="29">
        <f t="shared" ref="D61" si="15">SUM(D37:D60)</f>
        <v>124891.77600000001</v>
      </c>
      <c r="E61" s="29">
        <f t="shared" ref="E61:F61" ca="1" si="16">SUM(E37:E60)</f>
        <v>1008502.6899408755</v>
      </c>
      <c r="F61" s="29">
        <f t="shared" ca="1" si="16"/>
        <v>245460.58833973989</v>
      </c>
      <c r="G61" s="29">
        <f t="shared" ref="G61" ca="1" si="17">SUM(G37:G60)</f>
        <v>8868.3832205930958</v>
      </c>
      <c r="H61" s="602">
        <f t="shared" ref="H61" ca="1" si="18">SUM(H37:H60)</f>
        <v>1051.4911667471397</v>
      </c>
      <c r="I61" s="29"/>
      <c r="J61" s="609">
        <f>SUM(J37:J60)</f>
        <v>0</v>
      </c>
      <c r="K61" s="29">
        <f t="shared" ref="K61" ca="1" si="19">SUM(K37:K60)</f>
        <v>5704498.8102690866</v>
      </c>
      <c r="L61" s="29">
        <f t="shared" ref="L61:M61" ca="1" si="20">SUM(L37:L60)</f>
        <v>68501159.384479299</v>
      </c>
      <c r="M61" s="29">
        <f t="shared" ca="1" si="20"/>
        <v>4.4656337410327858</v>
      </c>
      <c r="N61" s="602">
        <f t="shared" ref="N61:O61" ca="1" si="21">SUM(N37:N60)</f>
        <v>46415024.530041657</v>
      </c>
      <c r="O61" s="609">
        <f t="shared" ca="1" si="21"/>
        <v>7411208.4155133087</v>
      </c>
      <c r="P61" s="29">
        <f t="shared" ref="P61:Q61" ca="1" si="22">SUM(P37:P60)</f>
        <v>59845602.82622312</v>
      </c>
      <c r="Q61" s="29">
        <f t="shared" ca="1" si="22"/>
        <v>11623470.986092135</v>
      </c>
      <c r="R61" s="602">
        <f ca="1">SUM(R37:R60)</f>
        <v>1124478.310079731</v>
      </c>
      <c r="S61" s="29">
        <f t="shared" ref="S61" ca="1" si="23">SUM(S37:S60)</f>
        <v>0</v>
      </c>
      <c r="T61" s="29">
        <f t="shared" ref="T61:U61" ca="1" si="24">SUM(T37:T60)</f>
        <v>145760971.88484886</v>
      </c>
      <c r="U61" s="29">
        <f t="shared" ca="1" si="24"/>
        <v>44266782.533357099</v>
      </c>
      <c r="V61" s="29">
        <f t="shared" ref="V61" ca="1" si="25">SUM(V37:V60)</f>
        <v>983508.83447103109</v>
      </c>
      <c r="W61" s="602">
        <f t="shared" ref="W61" ca="1" si="26">SUM(W37:W60)</f>
        <v>523809118.85716218</v>
      </c>
      <c r="X61" s="29"/>
      <c r="Y61" s="609">
        <f t="shared" ref="Y61:Z61" ca="1" si="27">SUM(Y37:Y60)</f>
        <v>9013.3237627850649</v>
      </c>
      <c r="Z61" s="29">
        <f t="shared" ca="1" si="27"/>
        <v>2062.6557774204275</v>
      </c>
      <c r="AA61" s="29">
        <f t="shared" ref="AA61" ca="1" si="28">SUM(AA37:AA60)</f>
        <v>309.62903178143188</v>
      </c>
      <c r="AB61" s="29">
        <f t="shared" ref="AB61:AC61" ca="1" si="29">SUM(AB37:AB60)</f>
        <v>15645.779758373979</v>
      </c>
      <c r="AC61" s="29">
        <f t="shared" ca="1" si="29"/>
        <v>0</v>
      </c>
      <c r="AD61" s="602">
        <f t="shared" ref="AD61" ca="1" si="30">SUM(AD37:AD60)</f>
        <v>20289.253911437965</v>
      </c>
    </row>
    <row r="62" spans="1:30" x14ac:dyDescent="0.3">
      <c r="A62" s="198"/>
      <c r="B62" s="31"/>
      <c r="C62" s="31"/>
      <c r="D62" s="29"/>
      <c r="E62" s="29"/>
      <c r="F62" s="29"/>
      <c r="G62" s="29"/>
      <c r="H62" s="602"/>
      <c r="I62" s="29"/>
      <c r="J62" s="609"/>
      <c r="K62" s="29"/>
      <c r="L62" s="610" t="s">
        <v>1034</v>
      </c>
      <c r="M62" s="610"/>
      <c r="N62" s="602"/>
      <c r="O62" s="609"/>
      <c r="P62" s="610" t="s">
        <v>1034</v>
      </c>
      <c r="Q62" s="610" t="s">
        <v>1034</v>
      </c>
      <c r="R62" s="611" t="s">
        <v>1034</v>
      </c>
      <c r="S62" s="29"/>
      <c r="T62" s="610" t="s">
        <v>1034</v>
      </c>
      <c r="U62" s="610"/>
      <c r="V62" s="29"/>
      <c r="W62" s="602"/>
      <c r="X62" s="29"/>
      <c r="Y62" s="670" t="s">
        <v>1034</v>
      </c>
      <c r="Z62" s="610"/>
      <c r="AA62" s="29"/>
      <c r="AB62" s="29"/>
      <c r="AC62" s="29"/>
      <c r="AD62" s="602"/>
    </row>
    <row r="63" spans="1:30" ht="18" x14ac:dyDescent="0.35">
      <c r="A63" s="198"/>
      <c r="B63" s="673" t="s">
        <v>560</v>
      </c>
      <c r="C63" s="673"/>
      <c r="D63" s="604"/>
      <c r="E63" s="604"/>
      <c r="F63" s="604"/>
      <c r="G63" s="604"/>
      <c r="H63" s="599"/>
      <c r="J63" s="663" t="s">
        <v>560</v>
      </c>
      <c r="K63" s="604"/>
      <c r="L63" s="604"/>
      <c r="M63" s="604"/>
      <c r="N63" s="599"/>
      <c r="O63" s="603"/>
      <c r="P63" s="604"/>
      <c r="Q63" s="604"/>
      <c r="R63" s="599"/>
      <c r="S63" s="604"/>
      <c r="T63" s="604"/>
      <c r="U63" s="604"/>
      <c r="V63" s="604"/>
      <c r="W63" s="599"/>
      <c r="Y63" s="663" t="s">
        <v>560</v>
      </c>
      <c r="Z63" s="673"/>
      <c r="AA63" s="604"/>
      <c r="AB63" s="604"/>
      <c r="AC63" s="604"/>
      <c r="AD63" s="599"/>
    </row>
    <row r="64" spans="1:30" ht="18" x14ac:dyDescent="0.35">
      <c r="A64" s="198"/>
      <c r="B64" s="661" t="s">
        <v>983</v>
      </c>
      <c r="C64" s="661"/>
      <c r="D64" s="650"/>
      <c r="E64" s="662"/>
      <c r="F64" s="662"/>
      <c r="G64" s="650"/>
      <c r="H64" s="600"/>
      <c r="J64" s="649" t="s">
        <v>1024</v>
      </c>
      <c r="K64" s="650"/>
      <c r="L64" s="650"/>
      <c r="M64" s="650"/>
      <c r="N64" s="600"/>
      <c r="O64" s="605" t="s">
        <v>1026</v>
      </c>
      <c r="P64" s="606"/>
      <c r="Q64" s="606"/>
      <c r="R64" s="600"/>
      <c r="S64" s="606" t="s">
        <v>10</v>
      </c>
      <c r="T64" s="606"/>
      <c r="U64" s="606"/>
      <c r="V64" s="650"/>
      <c r="W64" s="600"/>
      <c r="Y64" s="605" t="s">
        <v>564</v>
      </c>
      <c r="Z64" s="606"/>
      <c r="AA64" s="650"/>
      <c r="AB64" s="650"/>
      <c r="AC64" s="650"/>
      <c r="AD64" s="600"/>
    </row>
    <row r="65" spans="1:30" x14ac:dyDescent="0.3">
      <c r="A65" s="198"/>
      <c r="B65" s="608" t="s">
        <v>950</v>
      </c>
      <c r="C65" s="608" t="s">
        <v>1033</v>
      </c>
      <c r="D65" s="608" t="s">
        <v>878</v>
      </c>
      <c r="E65" s="608" t="s">
        <v>224</v>
      </c>
      <c r="F65" s="608" t="s">
        <v>1377</v>
      </c>
      <c r="G65" s="608" t="s">
        <v>877</v>
      </c>
      <c r="H65" s="601" t="s">
        <v>225</v>
      </c>
      <c r="J65" s="607" t="s">
        <v>981</v>
      </c>
      <c r="K65" s="608" t="s">
        <v>982</v>
      </c>
      <c r="L65" s="608" t="s">
        <v>1025</v>
      </c>
      <c r="M65" s="608" t="s">
        <v>1533</v>
      </c>
      <c r="N65" s="601" t="s">
        <v>905</v>
      </c>
      <c r="O65" s="607" t="s">
        <v>938</v>
      </c>
      <c r="P65" s="608" t="s">
        <v>1027</v>
      </c>
      <c r="Q65" s="608" t="s">
        <v>1377</v>
      </c>
      <c r="R65" s="601" t="s">
        <v>1028</v>
      </c>
      <c r="S65" s="608" t="s">
        <v>938</v>
      </c>
      <c r="T65" s="608" t="s">
        <v>1392</v>
      </c>
      <c r="U65" s="608" t="s">
        <v>1025</v>
      </c>
      <c r="V65" s="608" t="s">
        <v>1028</v>
      </c>
      <c r="W65" s="601" t="s">
        <v>225</v>
      </c>
      <c r="Y65" s="607" t="s">
        <v>1029</v>
      </c>
      <c r="Z65" s="652" t="s">
        <v>1555</v>
      </c>
      <c r="AA65" s="652" t="s">
        <v>1030</v>
      </c>
      <c r="AB65" s="652" t="s">
        <v>1031</v>
      </c>
      <c r="AC65" s="652" t="s">
        <v>1511</v>
      </c>
      <c r="AD65" s="601" t="s">
        <v>1032</v>
      </c>
    </row>
    <row r="66" spans="1:30" x14ac:dyDescent="0.3">
      <c r="A66" s="198"/>
      <c r="B66" s="315" t="s">
        <v>988</v>
      </c>
      <c r="C66" s="22"/>
      <c r="H66" s="87"/>
      <c r="J66" s="198"/>
      <c r="N66" s="87"/>
      <c r="O66" s="198"/>
      <c r="R66" s="87"/>
      <c r="W66" s="87"/>
      <c r="Y66" s="198"/>
      <c r="AD66" s="87"/>
    </row>
    <row r="67" spans="1:30" x14ac:dyDescent="0.3">
      <c r="A67" s="198"/>
      <c r="B67" s="31" t="s">
        <v>1082</v>
      </c>
      <c r="C67" s="29">
        <f>C38-C9</f>
        <v>0</v>
      </c>
      <c r="D67" s="29">
        <f>D38-D9</f>
        <v>13876.871999999999</v>
      </c>
      <c r="E67" s="29">
        <f ca="1">E38-E9</f>
        <v>-949.85642197364359</v>
      </c>
      <c r="F67" s="29">
        <f t="shared" ref="F67" ca="1" si="31">F38-F9</f>
        <v>-231.18660812852977</v>
      </c>
      <c r="G67" s="29">
        <f t="shared" ref="G67:H67" ca="1" si="32">G38-G9</f>
        <v>-8.3526705864289852</v>
      </c>
      <c r="H67" s="602">
        <f t="shared" ca="1" si="32"/>
        <v>-0.99034504056889716</v>
      </c>
      <c r="I67" s="29"/>
      <c r="J67" s="609">
        <f ca="1">J38-J9</f>
        <v>0</v>
      </c>
      <c r="K67" s="29">
        <f t="shared" ref="K67:P67" ca="1" si="33">K38-K9</f>
        <v>633833.56654529751</v>
      </c>
      <c r="L67" s="29">
        <f t="shared" ca="1" si="33"/>
        <v>-64517.692221328616</v>
      </c>
      <c r="M67" s="29">
        <f t="shared" ca="1" si="33"/>
        <v>0.4961818128296383</v>
      </c>
      <c r="N67" s="602">
        <f t="shared" ca="1" si="33"/>
        <v>-43715.906328925863</v>
      </c>
      <c r="O67" s="609">
        <f t="shared" ref="O67" ca="1" si="34">O38-O9</f>
        <v>823468.07645205548</v>
      </c>
      <c r="P67" s="29">
        <f t="shared" ca="1" si="33"/>
        <v>-56365.472039251588</v>
      </c>
      <c r="Q67" s="29">
        <f t="shared" ref="Q67" ca="1" si="35">Q38-Q9</f>
        <v>-10947.544981175102</v>
      </c>
      <c r="R67" s="602">
        <f ca="1">R38-R9</f>
        <v>-1059.0878486024885</v>
      </c>
      <c r="S67" s="29">
        <f t="shared" ref="S67:W67" ca="1" si="36">S38-S9</f>
        <v>0</v>
      </c>
      <c r="T67" s="29">
        <f t="shared" ca="1" si="36"/>
        <v>-137284.70592979714</v>
      </c>
      <c r="U67" s="29">
        <f t="shared" ref="U67" ca="1" si="37">U38-U9</f>
        <v>-41692.588516431861</v>
      </c>
      <c r="V67" s="29">
        <f t="shared" ca="1" si="36"/>
        <v>-926.3160047147685</v>
      </c>
      <c r="W67" s="602">
        <f t="shared" ca="1" si="36"/>
        <v>-490287.41295306385</v>
      </c>
      <c r="X67" s="29"/>
      <c r="Y67" s="609">
        <f t="shared" ref="Y67:AD67" ca="1" si="38">Y38-Y9</f>
        <v>-8.4891825721466603</v>
      </c>
      <c r="Z67" s="609">
        <f t="shared" ref="Z67" ca="1" si="39">Z38-Z9</f>
        <v>-1.9340754559849529</v>
      </c>
      <c r="AA67" s="29">
        <f t="shared" ca="1" si="38"/>
        <v>-0.29162353972930077</v>
      </c>
      <c r="AB67" s="29">
        <f t="shared" ca="1" si="38"/>
        <v>-14.799287234201074</v>
      </c>
      <c r="AC67" s="29">
        <f t="shared" ca="1" si="38"/>
        <v>0</v>
      </c>
      <c r="AD67" s="602">
        <f t="shared" ca="1" si="38"/>
        <v>-18.990822138969634</v>
      </c>
    </row>
    <row r="68" spans="1:30" x14ac:dyDescent="0.3">
      <c r="A68" s="198"/>
      <c r="B68" s="31" t="s">
        <v>1083</v>
      </c>
      <c r="C68" s="29">
        <f t="shared" ref="C68:H68" si="40">C39-C10</f>
        <v>0</v>
      </c>
      <c r="D68" s="29">
        <f t="shared" si="40"/>
        <v>27753.72</v>
      </c>
      <c r="E68" s="29">
        <f t="shared" ca="1" si="40"/>
        <v>-1899.7112011740392</v>
      </c>
      <c r="F68" s="29">
        <f t="shared" ref="F68" ca="1" si="41">F39-F10</f>
        <v>-462.37281642066955</v>
      </c>
      <c r="G68" s="29">
        <f t="shared" ca="1" si="40"/>
        <v>-16.705326726944577</v>
      </c>
      <c r="H68" s="602">
        <f t="shared" ca="1" si="40"/>
        <v>-1.9806883683396279</v>
      </c>
      <c r="I68" s="29"/>
      <c r="J68" s="609">
        <f t="shared" ref="J68:P68" ca="1" si="42">J39-J10</f>
        <v>0</v>
      </c>
      <c r="K68" s="29">
        <f t="shared" ca="1" si="42"/>
        <v>1267666.0368777311</v>
      </c>
      <c r="L68" s="29">
        <f t="shared" ca="1" si="42"/>
        <v>-129035.27285954542</v>
      </c>
      <c r="M68" s="29">
        <f t="shared" ca="1" si="42"/>
        <v>0.9923627675146236</v>
      </c>
      <c r="N68" s="602">
        <f t="shared" ca="1" si="42"/>
        <v>-87431.737051349133</v>
      </c>
      <c r="O68" s="609">
        <f t="shared" ref="O68" ca="1" si="43">O39-O10</f>
        <v>1646934.7287190473</v>
      </c>
      <c r="P68" s="29">
        <f t="shared" ca="1" si="42"/>
        <v>-112730.84659462236</v>
      </c>
      <c r="Q68" s="29">
        <f t="shared" ref="Q68" ca="1" si="44">Q39-Q10</f>
        <v>-21895.071028611623</v>
      </c>
      <c r="R68" s="602">
        <f t="shared" ref="R68:W68" ca="1" si="45">R39-R10</f>
        <v>-2118.1738655164081</v>
      </c>
      <c r="S68" s="29">
        <f t="shared" ca="1" si="45"/>
        <v>0</v>
      </c>
      <c r="T68" s="29">
        <f t="shared" ca="1" si="45"/>
        <v>-274569.17442619428</v>
      </c>
      <c r="U68" s="29">
        <f t="shared" ref="U68" ca="1" si="46">U39-U10</f>
        <v>-83385.104925686494</v>
      </c>
      <c r="V68" s="29">
        <f t="shared" ca="1" si="45"/>
        <v>-1852.6304073693755</v>
      </c>
      <c r="W68" s="602">
        <f t="shared" ca="1" si="45"/>
        <v>-989451.53973126411</v>
      </c>
      <c r="X68" s="29"/>
      <c r="Y68" s="609">
        <f t="shared" ref="Y68:AD68" ca="1" si="47">Y39-Y10</f>
        <v>-16.978350462282606</v>
      </c>
      <c r="Z68" s="609">
        <f t="shared" ref="Z68" ca="1" si="48">Z39-Z10</f>
        <v>-3.8875736663036946</v>
      </c>
      <c r="AA68" s="29">
        <f t="shared" ca="1" si="47"/>
        <v>-0.58324657509675149</v>
      </c>
      <c r="AB68" s="29">
        <f t="shared" ca="1" si="47"/>
        <v>-29.687158615675799</v>
      </c>
      <c r="AC68" s="29">
        <f t="shared" ca="1" si="47"/>
        <v>0</v>
      </c>
      <c r="AD68" s="602">
        <f t="shared" ca="1" si="47"/>
        <v>-38.325475445082702</v>
      </c>
    </row>
    <row r="69" spans="1:30" x14ac:dyDescent="0.3">
      <c r="A69" s="198"/>
      <c r="B69" s="31" t="s">
        <v>1084</v>
      </c>
      <c r="C69" s="29">
        <f>C40-C11</f>
        <v>0</v>
      </c>
      <c r="D69" s="29">
        <f t="shared" ref="D69:H69" si="49">D40-D11</f>
        <v>83261.184000000008</v>
      </c>
      <c r="E69" s="29">
        <f t="shared" ca="1" si="49"/>
        <v>-6350.464988729218</v>
      </c>
      <c r="F69" s="29">
        <f t="shared" ref="F69" ca="1" si="50">F40-F11</f>
        <v>-1545.6467175667931</v>
      </c>
      <c r="G69" s="29">
        <f t="shared" ca="1" si="49"/>
        <v>-55.843536869803756</v>
      </c>
      <c r="H69" s="602">
        <f t="shared" ca="1" si="49"/>
        <v>-6.6211601684245807</v>
      </c>
      <c r="I69" s="29"/>
      <c r="J69" s="609">
        <f t="shared" ref="J69:P69" ca="1" si="51">J40-J11</f>
        <v>0</v>
      </c>
      <c r="K69" s="29">
        <f t="shared" ca="1" si="51"/>
        <v>3802999.2068460579</v>
      </c>
      <c r="L69" s="29">
        <f t="shared" ca="1" si="51"/>
        <v>-431346.60789451748</v>
      </c>
      <c r="M69" s="29">
        <f t="shared" ca="1" si="51"/>
        <v>2.9770891606885241</v>
      </c>
      <c r="N69" s="602">
        <f t="shared" ca="1" si="51"/>
        <v>-292271.89096175507</v>
      </c>
      <c r="O69" s="609">
        <f t="shared" ref="O69" ca="1" si="52">O40-O11</f>
        <v>4940805.6103422055</v>
      </c>
      <c r="P69" s="29">
        <f t="shared" ca="1" si="51"/>
        <v>-376843.22438406944</v>
      </c>
      <c r="Q69" s="29">
        <f t="shared" ref="Q69" ca="1" si="53">Q40-Q11</f>
        <v>-73192.115678953938</v>
      </c>
      <c r="R69" s="602">
        <f t="shared" ref="R69:W69" ca="1" si="54">R40-R11</f>
        <v>-7080.7546771792695</v>
      </c>
      <c r="S69" s="29">
        <f t="shared" ca="1" si="54"/>
        <v>0</v>
      </c>
      <c r="T69" s="29">
        <f t="shared" ca="1" si="54"/>
        <v>-917845.79050765932</v>
      </c>
      <c r="U69" s="29">
        <f t="shared" ref="U69" ca="1" si="55">U40-U11</f>
        <v>-278744.57395672053</v>
      </c>
      <c r="V69" s="29">
        <f t="shared" ca="1" si="54"/>
        <v>-6193.0805755017791</v>
      </c>
      <c r="W69" s="602">
        <f t="shared" ca="1" si="54"/>
        <v>-3298727.8257004023</v>
      </c>
      <c r="X69" s="29"/>
      <c r="Y69" s="609">
        <f t="shared" ref="Y69:AD69" ca="1" si="56">Y40-Y11</f>
        <v>-56.756216476727786</v>
      </c>
      <c r="Z69" s="609">
        <f t="shared" ref="Z69" ca="1" si="57">Z40-Z11</f>
        <v>-12.995607144764563</v>
      </c>
      <c r="AA69" s="29">
        <f t="shared" ca="1" si="56"/>
        <v>-1.9497105416122906</v>
      </c>
      <c r="AB69" s="29">
        <f t="shared" ca="1" si="56"/>
        <v>-98.209521704828148</v>
      </c>
      <c r="AC69" s="29">
        <f t="shared" ca="1" si="56"/>
        <v>0</v>
      </c>
      <c r="AD69" s="602">
        <f t="shared" ca="1" si="56"/>
        <v>-127.77312198455911</v>
      </c>
    </row>
    <row r="70" spans="1:30" x14ac:dyDescent="0.3">
      <c r="A70" s="198"/>
      <c r="B70" s="31" t="s">
        <v>1085</v>
      </c>
      <c r="C70" s="29">
        <f t="shared" ref="C70:H70" si="58">C41-C12</f>
        <v>0</v>
      </c>
      <c r="D70" s="29">
        <f t="shared" si="58"/>
        <v>0</v>
      </c>
      <c r="E70" s="29">
        <f t="shared" ca="1" si="58"/>
        <v>0</v>
      </c>
      <c r="F70" s="29">
        <f t="shared" ref="F70" ca="1" si="59">F41-F12</f>
        <v>0</v>
      </c>
      <c r="G70" s="29">
        <f t="shared" ca="1" si="58"/>
        <v>0</v>
      </c>
      <c r="H70" s="602">
        <f t="shared" ca="1" si="58"/>
        <v>0</v>
      </c>
      <c r="I70" s="29"/>
      <c r="J70" s="609">
        <f t="shared" ref="J70:P70" ca="1" si="60">J41-J12</f>
        <v>0</v>
      </c>
      <c r="K70" s="29">
        <f t="shared" ca="1" si="60"/>
        <v>0</v>
      </c>
      <c r="L70" s="29">
        <f t="shared" ca="1" si="60"/>
        <v>0</v>
      </c>
      <c r="M70" s="29">
        <f t="shared" ca="1" si="60"/>
        <v>0</v>
      </c>
      <c r="N70" s="602">
        <f t="shared" ca="1" si="60"/>
        <v>0</v>
      </c>
      <c r="O70" s="609">
        <f ca="1">O41-O12</f>
        <v>0</v>
      </c>
      <c r="P70" s="29">
        <f t="shared" ca="1" si="60"/>
        <v>0</v>
      </c>
      <c r="Q70" s="29">
        <f t="shared" ref="Q70" ca="1" si="61">Q41-Q12</f>
        <v>0</v>
      </c>
      <c r="R70" s="602">
        <f t="shared" ref="R70:W70" ca="1" si="62">R41-R12</f>
        <v>0</v>
      </c>
      <c r="S70" s="29">
        <f t="shared" ca="1" si="62"/>
        <v>0</v>
      </c>
      <c r="T70" s="29">
        <f t="shared" ca="1" si="62"/>
        <v>0</v>
      </c>
      <c r="U70" s="29">
        <f t="shared" ref="U70" ca="1" si="63">U41-U12</f>
        <v>0</v>
      </c>
      <c r="V70" s="29">
        <f t="shared" ca="1" si="62"/>
        <v>0</v>
      </c>
      <c r="W70" s="602">
        <f t="shared" ca="1" si="62"/>
        <v>0</v>
      </c>
      <c r="X70" s="29"/>
      <c r="Y70" s="609">
        <f t="shared" ref="Y70:AD70" ca="1" si="64">Y41-Y12</f>
        <v>0</v>
      </c>
      <c r="Z70" s="609">
        <f t="shared" ref="Z70" ca="1" si="65">Z41-Z12</f>
        <v>0</v>
      </c>
      <c r="AA70" s="29">
        <f t="shared" ca="1" si="64"/>
        <v>0</v>
      </c>
      <c r="AB70" s="29">
        <f t="shared" ca="1" si="64"/>
        <v>0</v>
      </c>
      <c r="AC70" s="29">
        <f t="shared" ca="1" si="64"/>
        <v>0</v>
      </c>
      <c r="AD70" s="602">
        <f t="shared" ca="1" si="64"/>
        <v>0</v>
      </c>
    </row>
    <row r="71" spans="1:30" x14ac:dyDescent="0.3">
      <c r="A71" s="198"/>
      <c r="B71" s="31" t="s">
        <v>1086</v>
      </c>
      <c r="C71" s="29">
        <f t="shared" ref="C71:H71" si="66">C42-C13</f>
        <v>0</v>
      </c>
      <c r="D71" s="29">
        <f t="shared" si="66"/>
        <v>0</v>
      </c>
      <c r="E71" s="29">
        <f t="shared" ca="1" si="66"/>
        <v>0</v>
      </c>
      <c r="F71" s="29">
        <f t="shared" ref="F71" ca="1" si="67">F42-F13</f>
        <v>0</v>
      </c>
      <c r="G71" s="29">
        <f t="shared" ca="1" si="66"/>
        <v>0</v>
      </c>
      <c r="H71" s="602">
        <f t="shared" ca="1" si="66"/>
        <v>0</v>
      </c>
      <c r="I71" s="29"/>
      <c r="J71" s="609">
        <f t="shared" ref="J71:P71" ca="1" si="68">J42-J13</f>
        <v>0</v>
      </c>
      <c r="K71" s="29">
        <f t="shared" ca="1" si="68"/>
        <v>0</v>
      </c>
      <c r="L71" s="29">
        <f t="shared" ca="1" si="68"/>
        <v>0</v>
      </c>
      <c r="M71" s="29">
        <f t="shared" ca="1" si="68"/>
        <v>0</v>
      </c>
      <c r="N71" s="602">
        <f t="shared" ca="1" si="68"/>
        <v>0</v>
      </c>
      <c r="O71" s="609">
        <f t="shared" ref="O71" ca="1" si="69">O42-O13</f>
        <v>0</v>
      </c>
      <c r="P71" s="29">
        <f t="shared" ca="1" si="68"/>
        <v>0</v>
      </c>
      <c r="Q71" s="29">
        <f t="shared" ref="Q71" ca="1" si="70">Q42-Q13</f>
        <v>0</v>
      </c>
      <c r="R71" s="602">
        <f t="shared" ref="R71:W71" ca="1" si="71">R42-R13</f>
        <v>0</v>
      </c>
      <c r="S71" s="29">
        <f t="shared" ca="1" si="71"/>
        <v>0</v>
      </c>
      <c r="T71" s="29">
        <f t="shared" ca="1" si="71"/>
        <v>0</v>
      </c>
      <c r="U71" s="29">
        <f t="shared" ref="U71" ca="1" si="72">U42-U13</f>
        <v>0</v>
      </c>
      <c r="V71" s="29">
        <f t="shared" ca="1" si="71"/>
        <v>0</v>
      </c>
      <c r="W71" s="602">
        <f t="shared" ca="1" si="71"/>
        <v>0</v>
      </c>
      <c r="X71" s="29"/>
      <c r="Y71" s="609">
        <f t="shared" ref="Y71:AD71" ca="1" si="73">Y42-Y13</f>
        <v>0</v>
      </c>
      <c r="Z71" s="609">
        <f t="shared" ref="Z71" ca="1" si="74">Z42-Z13</f>
        <v>0</v>
      </c>
      <c r="AA71" s="29">
        <f t="shared" ca="1" si="73"/>
        <v>0</v>
      </c>
      <c r="AB71" s="29">
        <f t="shared" ca="1" si="73"/>
        <v>0</v>
      </c>
      <c r="AC71" s="29">
        <f t="shared" ca="1" si="73"/>
        <v>0</v>
      </c>
      <c r="AD71" s="602">
        <f t="shared" ca="1" si="73"/>
        <v>0</v>
      </c>
    </row>
    <row r="72" spans="1:30" x14ac:dyDescent="0.3">
      <c r="A72" s="198"/>
      <c r="B72" s="31" t="s">
        <v>1087</v>
      </c>
      <c r="C72" s="29">
        <f t="shared" ref="C72:H72" si="75">C43-C14</f>
        <v>0</v>
      </c>
      <c r="D72" s="29">
        <f t="shared" si="75"/>
        <v>0</v>
      </c>
      <c r="E72" s="29">
        <f t="shared" ca="1" si="75"/>
        <v>0</v>
      </c>
      <c r="F72" s="29">
        <f t="shared" ref="F72" ca="1" si="76">F43-F14</f>
        <v>0</v>
      </c>
      <c r="G72" s="29">
        <f t="shared" ca="1" si="75"/>
        <v>0</v>
      </c>
      <c r="H72" s="602">
        <f t="shared" ca="1" si="75"/>
        <v>0</v>
      </c>
      <c r="I72" s="29"/>
      <c r="J72" s="609">
        <f t="shared" ref="J72:P72" ca="1" si="77">J43-J14</f>
        <v>0</v>
      </c>
      <c r="K72" s="29">
        <f t="shared" ca="1" si="77"/>
        <v>0</v>
      </c>
      <c r="L72" s="29">
        <f t="shared" ca="1" si="77"/>
        <v>0</v>
      </c>
      <c r="M72" s="29">
        <f t="shared" ca="1" si="77"/>
        <v>0</v>
      </c>
      <c r="N72" s="602">
        <f t="shared" ca="1" si="77"/>
        <v>0</v>
      </c>
      <c r="O72" s="609">
        <f t="shared" ref="O72" ca="1" si="78">O43-O14</f>
        <v>0</v>
      </c>
      <c r="P72" s="29">
        <f t="shared" ca="1" si="77"/>
        <v>0</v>
      </c>
      <c r="Q72" s="29">
        <f t="shared" ref="Q72" ca="1" si="79">Q43-Q14</f>
        <v>0</v>
      </c>
      <c r="R72" s="602">
        <f t="shared" ref="R72:W72" ca="1" si="80">R43-R14</f>
        <v>0</v>
      </c>
      <c r="S72" s="29">
        <f t="shared" ca="1" si="80"/>
        <v>0</v>
      </c>
      <c r="T72" s="29">
        <f t="shared" ca="1" si="80"/>
        <v>0</v>
      </c>
      <c r="U72" s="29">
        <f t="shared" ref="U72" ca="1" si="81">U43-U14</f>
        <v>0</v>
      </c>
      <c r="V72" s="29">
        <f t="shared" ca="1" si="80"/>
        <v>0</v>
      </c>
      <c r="W72" s="602">
        <f t="shared" ca="1" si="80"/>
        <v>0</v>
      </c>
      <c r="X72" s="29"/>
      <c r="Y72" s="609">
        <f t="shared" ref="Y72:AD72" ca="1" si="82">Y43-Y14</f>
        <v>0</v>
      </c>
      <c r="Z72" s="609">
        <f t="shared" ref="Z72" ca="1" si="83">Z43-Z14</f>
        <v>0</v>
      </c>
      <c r="AA72" s="29">
        <f t="shared" ca="1" si="82"/>
        <v>0</v>
      </c>
      <c r="AB72" s="29">
        <f t="shared" ca="1" si="82"/>
        <v>0</v>
      </c>
      <c r="AC72" s="29">
        <f t="shared" ca="1" si="82"/>
        <v>0</v>
      </c>
      <c r="AD72" s="602">
        <f t="shared" ca="1" si="82"/>
        <v>0</v>
      </c>
    </row>
    <row r="73" spans="1:30" x14ac:dyDescent="0.3">
      <c r="A73" s="198"/>
      <c r="B73" s="31" t="s">
        <v>1443</v>
      </c>
      <c r="C73" s="29">
        <f t="shared" ref="C73:H73" si="84">C44-C15</f>
        <v>0</v>
      </c>
      <c r="D73" s="29">
        <f t="shared" si="84"/>
        <v>0</v>
      </c>
      <c r="E73" s="29">
        <f t="shared" ca="1" si="84"/>
        <v>0</v>
      </c>
      <c r="F73" s="29">
        <f t="shared" ref="F73:H90" ca="1" si="85">F44-F15</f>
        <v>0</v>
      </c>
      <c r="G73" s="29">
        <f t="shared" ca="1" si="84"/>
        <v>0</v>
      </c>
      <c r="H73" s="602">
        <f t="shared" ca="1" si="84"/>
        <v>0</v>
      </c>
      <c r="I73" s="29"/>
      <c r="J73" s="609">
        <f t="shared" ref="J73:P73" ca="1" si="86">J44-J15</f>
        <v>0</v>
      </c>
      <c r="K73" s="29">
        <f t="shared" ca="1" si="86"/>
        <v>0</v>
      </c>
      <c r="L73" s="29">
        <f t="shared" ca="1" si="86"/>
        <v>0</v>
      </c>
      <c r="M73" s="29">
        <f t="shared" ca="1" si="86"/>
        <v>0</v>
      </c>
      <c r="N73" s="602">
        <f t="shared" ca="1" si="86"/>
        <v>0</v>
      </c>
      <c r="O73" s="609">
        <f t="shared" ref="O73:P89" ca="1" si="87">O44-O15</f>
        <v>0</v>
      </c>
      <c r="P73" s="29">
        <f t="shared" ca="1" si="86"/>
        <v>0</v>
      </c>
      <c r="Q73" s="29">
        <f t="shared" ref="Q73:T89" ca="1" si="88">Q44-Q15</f>
        <v>0</v>
      </c>
      <c r="R73" s="602">
        <f t="shared" ref="R73:W73" ca="1" si="89">R44-R15</f>
        <v>0</v>
      </c>
      <c r="S73" s="29">
        <f t="shared" ca="1" si="89"/>
        <v>0</v>
      </c>
      <c r="T73" s="29">
        <f t="shared" ca="1" si="89"/>
        <v>0</v>
      </c>
      <c r="U73" s="29">
        <f t="shared" ref="U73:W89" ca="1" si="90">U44-U15</f>
        <v>0</v>
      </c>
      <c r="V73" s="29">
        <f t="shared" ca="1" si="89"/>
        <v>0</v>
      </c>
      <c r="W73" s="602">
        <f t="shared" ca="1" si="89"/>
        <v>0</v>
      </c>
      <c r="X73" s="29"/>
      <c r="Y73" s="609">
        <f t="shared" ref="Y73:AD73" ca="1" si="91">Y44-Y15</f>
        <v>0</v>
      </c>
      <c r="Z73" s="609">
        <f t="shared" ref="Z73" ca="1" si="92">Z44-Z15</f>
        <v>0</v>
      </c>
      <c r="AA73" s="29">
        <f t="shared" ca="1" si="91"/>
        <v>0</v>
      </c>
      <c r="AB73" s="29">
        <f t="shared" ca="1" si="91"/>
        <v>0</v>
      </c>
      <c r="AC73" s="29">
        <f t="shared" ca="1" si="91"/>
        <v>0</v>
      </c>
      <c r="AD73" s="602">
        <f t="shared" ca="1" si="91"/>
        <v>0</v>
      </c>
    </row>
    <row r="74" spans="1:30" x14ac:dyDescent="0.3">
      <c r="A74" s="198"/>
      <c r="B74" s="315" t="s">
        <v>1444</v>
      </c>
      <c r="H74" s="87"/>
      <c r="J74" s="198"/>
      <c r="M74" s="29"/>
      <c r="N74" s="87"/>
      <c r="O74" s="198"/>
      <c r="R74" s="87"/>
      <c r="W74" s="87"/>
      <c r="Y74" s="198"/>
      <c r="Z74" s="198"/>
      <c r="AD74" s="87"/>
    </row>
    <row r="75" spans="1:30" ht="17.399999999999999" customHeight="1" x14ac:dyDescent="0.3">
      <c r="A75" s="198"/>
      <c r="B75" s="31" t="s">
        <v>1082</v>
      </c>
      <c r="C75" s="29">
        <f t="shared" ref="C75:E75" si="93">C46-C17</f>
        <v>0</v>
      </c>
      <c r="D75" s="29">
        <f t="shared" si="93"/>
        <v>0</v>
      </c>
      <c r="E75" s="29">
        <f t="shared" ca="1" si="93"/>
        <v>0</v>
      </c>
      <c r="F75" s="29">
        <f t="shared" ca="1" si="85"/>
        <v>0</v>
      </c>
      <c r="G75" s="29">
        <f t="shared" ca="1" si="85"/>
        <v>0</v>
      </c>
      <c r="H75" s="602">
        <f t="shared" ca="1" si="85"/>
        <v>0</v>
      </c>
      <c r="I75" s="29"/>
      <c r="J75" s="609">
        <f t="shared" ref="J75:O75" ca="1" si="94">J46-J17</f>
        <v>0</v>
      </c>
      <c r="K75" s="29">
        <f t="shared" ca="1" si="94"/>
        <v>0</v>
      </c>
      <c r="L75" s="29">
        <f t="shared" ca="1" si="94"/>
        <v>0</v>
      </c>
      <c r="M75" s="29">
        <f t="shared" ca="1" si="94"/>
        <v>0</v>
      </c>
      <c r="N75" s="602">
        <f t="shared" ca="1" si="94"/>
        <v>0</v>
      </c>
      <c r="O75" s="609">
        <f t="shared" ca="1" si="94"/>
        <v>0</v>
      </c>
      <c r="P75" s="29">
        <f t="shared" ca="1" si="87"/>
        <v>0</v>
      </c>
      <c r="Q75" s="29">
        <f t="shared" ca="1" si="88"/>
        <v>0</v>
      </c>
      <c r="R75" s="602">
        <f t="shared" ca="1" si="88"/>
        <v>0</v>
      </c>
      <c r="S75" s="29">
        <f t="shared" ca="1" si="88"/>
        <v>0</v>
      </c>
      <c r="T75" s="29">
        <f t="shared" ca="1" si="88"/>
        <v>0</v>
      </c>
      <c r="U75" s="29">
        <f t="shared" ca="1" si="90"/>
        <v>0</v>
      </c>
      <c r="V75" s="29">
        <f t="shared" ca="1" si="90"/>
        <v>0</v>
      </c>
      <c r="W75" s="602">
        <f t="shared" ca="1" si="90"/>
        <v>0</v>
      </c>
      <c r="X75" s="29"/>
      <c r="Y75" s="609">
        <f t="shared" ref="Y75:AD75" ca="1" si="95">Y46-Y17</f>
        <v>0</v>
      </c>
      <c r="Z75" s="609">
        <f t="shared" ref="Z75" ca="1" si="96">Z46-Z17</f>
        <v>0</v>
      </c>
      <c r="AA75" s="29">
        <f t="shared" ca="1" si="95"/>
        <v>0</v>
      </c>
      <c r="AB75" s="29">
        <f t="shared" ca="1" si="95"/>
        <v>0</v>
      </c>
      <c r="AC75" s="29">
        <f t="shared" ca="1" si="95"/>
        <v>0</v>
      </c>
      <c r="AD75" s="602">
        <f t="shared" ca="1" si="95"/>
        <v>0</v>
      </c>
    </row>
    <row r="76" spans="1:30" x14ac:dyDescent="0.3">
      <c r="A76" s="198"/>
      <c r="B76" s="31" t="s">
        <v>1083</v>
      </c>
      <c r="C76" s="29">
        <f t="shared" ref="C76:E76" si="97">C47-C18</f>
        <v>0</v>
      </c>
      <c r="D76" s="29">
        <f t="shared" si="97"/>
        <v>0</v>
      </c>
      <c r="E76" s="29">
        <f t="shared" ca="1" si="97"/>
        <v>0</v>
      </c>
      <c r="F76" s="29">
        <f t="shared" ca="1" si="85"/>
        <v>0</v>
      </c>
      <c r="G76" s="29">
        <f t="shared" ca="1" si="85"/>
        <v>0</v>
      </c>
      <c r="H76" s="602">
        <f t="shared" ca="1" si="85"/>
        <v>0</v>
      </c>
      <c r="I76" s="29"/>
      <c r="J76" s="609">
        <f t="shared" ref="J76:O76" ca="1" si="98">J47-J18</f>
        <v>0</v>
      </c>
      <c r="K76" s="29">
        <f t="shared" ca="1" si="98"/>
        <v>0</v>
      </c>
      <c r="L76" s="29">
        <f t="shared" ca="1" si="98"/>
        <v>0</v>
      </c>
      <c r="M76" s="29">
        <f t="shared" ca="1" si="98"/>
        <v>0</v>
      </c>
      <c r="N76" s="602">
        <f t="shared" ca="1" si="98"/>
        <v>0</v>
      </c>
      <c r="O76" s="609">
        <f t="shared" ca="1" si="98"/>
        <v>0</v>
      </c>
      <c r="P76" s="29">
        <f t="shared" ca="1" si="87"/>
        <v>0</v>
      </c>
      <c r="Q76" s="29">
        <f t="shared" ca="1" si="88"/>
        <v>0</v>
      </c>
      <c r="R76" s="602">
        <f t="shared" ca="1" si="88"/>
        <v>0</v>
      </c>
      <c r="S76" s="29">
        <f t="shared" ca="1" si="88"/>
        <v>0</v>
      </c>
      <c r="T76" s="29">
        <f t="shared" ca="1" si="88"/>
        <v>0</v>
      </c>
      <c r="U76" s="29">
        <f t="shared" ca="1" si="90"/>
        <v>0</v>
      </c>
      <c r="V76" s="29">
        <f t="shared" ca="1" si="90"/>
        <v>0</v>
      </c>
      <c r="W76" s="602">
        <f t="shared" ca="1" si="90"/>
        <v>0</v>
      </c>
      <c r="X76" s="29"/>
      <c r="Y76" s="609">
        <f t="shared" ref="Y76:AD76" ca="1" si="99">Y47-Y18</f>
        <v>0</v>
      </c>
      <c r="Z76" s="609">
        <f t="shared" ref="Z76" ca="1" si="100">Z47-Z18</f>
        <v>0</v>
      </c>
      <c r="AA76" s="29">
        <f t="shared" ca="1" si="99"/>
        <v>0</v>
      </c>
      <c r="AB76" s="29">
        <f t="shared" ca="1" si="99"/>
        <v>0</v>
      </c>
      <c r="AC76" s="29">
        <f t="shared" ca="1" si="99"/>
        <v>0</v>
      </c>
      <c r="AD76" s="602">
        <f t="shared" ca="1" si="99"/>
        <v>0</v>
      </c>
    </row>
    <row r="77" spans="1:30" x14ac:dyDescent="0.3">
      <c r="A77" s="198"/>
      <c r="B77" s="31" t="s">
        <v>1084</v>
      </c>
      <c r="C77" s="29">
        <f t="shared" ref="C77:E77" si="101">C48-C19</f>
        <v>0</v>
      </c>
      <c r="D77" s="29">
        <f t="shared" si="101"/>
        <v>0</v>
      </c>
      <c r="E77" s="29">
        <f t="shared" ca="1" si="101"/>
        <v>0</v>
      </c>
      <c r="F77" s="29">
        <f t="shared" ca="1" si="85"/>
        <v>0</v>
      </c>
      <c r="G77" s="29">
        <f t="shared" ca="1" si="85"/>
        <v>0</v>
      </c>
      <c r="H77" s="602">
        <f t="shared" ca="1" si="85"/>
        <v>0</v>
      </c>
      <c r="I77" s="29"/>
      <c r="J77" s="609">
        <f t="shared" ref="J77:O77" ca="1" si="102">J48-J19</f>
        <v>0</v>
      </c>
      <c r="K77" s="29">
        <f t="shared" ca="1" si="102"/>
        <v>0</v>
      </c>
      <c r="L77" s="29">
        <f t="shared" ca="1" si="102"/>
        <v>0</v>
      </c>
      <c r="M77" s="29">
        <f t="shared" ca="1" si="102"/>
        <v>0</v>
      </c>
      <c r="N77" s="602">
        <f t="shared" ca="1" si="102"/>
        <v>0</v>
      </c>
      <c r="O77" s="609">
        <f t="shared" ca="1" si="102"/>
        <v>0</v>
      </c>
      <c r="P77" s="29">
        <f t="shared" ca="1" si="87"/>
        <v>0</v>
      </c>
      <c r="Q77" s="29">
        <f t="shared" ca="1" si="88"/>
        <v>0</v>
      </c>
      <c r="R77" s="602">
        <f t="shared" ca="1" si="88"/>
        <v>0</v>
      </c>
      <c r="S77" s="29">
        <f t="shared" ca="1" si="88"/>
        <v>0</v>
      </c>
      <c r="T77" s="29">
        <f t="shared" ca="1" si="88"/>
        <v>0</v>
      </c>
      <c r="U77" s="29">
        <f t="shared" ca="1" si="90"/>
        <v>0</v>
      </c>
      <c r="V77" s="29">
        <f t="shared" ca="1" si="90"/>
        <v>0</v>
      </c>
      <c r="W77" s="602">
        <f t="shared" ca="1" si="90"/>
        <v>0</v>
      </c>
      <c r="X77" s="29"/>
      <c r="Y77" s="609">
        <f t="shared" ref="Y77:AD77" ca="1" si="103">Y48-Y19</f>
        <v>0</v>
      </c>
      <c r="Z77" s="609">
        <f t="shared" ref="Z77" ca="1" si="104">Z48-Z19</f>
        <v>0</v>
      </c>
      <c r="AA77" s="29">
        <f t="shared" ca="1" si="103"/>
        <v>0</v>
      </c>
      <c r="AB77" s="29">
        <f t="shared" ca="1" si="103"/>
        <v>0</v>
      </c>
      <c r="AC77" s="29">
        <f t="shared" ca="1" si="103"/>
        <v>0</v>
      </c>
      <c r="AD77" s="602">
        <f t="shared" ca="1" si="103"/>
        <v>0</v>
      </c>
    </row>
    <row r="78" spans="1:30" x14ac:dyDescent="0.3">
      <c r="A78" s="198"/>
      <c r="B78" s="31" t="s">
        <v>1085</v>
      </c>
      <c r="C78" s="29">
        <f t="shared" ref="C78:E78" si="105">C49-C20</f>
        <v>0</v>
      </c>
      <c r="D78" s="29">
        <f t="shared" si="105"/>
        <v>0</v>
      </c>
      <c r="E78" s="29">
        <f t="shared" ca="1" si="105"/>
        <v>0</v>
      </c>
      <c r="F78" s="29">
        <f t="shared" ca="1" si="85"/>
        <v>0</v>
      </c>
      <c r="G78" s="29">
        <f t="shared" ca="1" si="85"/>
        <v>0</v>
      </c>
      <c r="H78" s="602">
        <f t="shared" ca="1" si="85"/>
        <v>0</v>
      </c>
      <c r="I78" s="29"/>
      <c r="J78" s="609">
        <f t="shared" ref="J78:O78" ca="1" si="106">J49-J20</f>
        <v>0</v>
      </c>
      <c r="K78" s="29">
        <f t="shared" ca="1" si="106"/>
        <v>0</v>
      </c>
      <c r="L78" s="29">
        <f t="shared" ca="1" si="106"/>
        <v>0</v>
      </c>
      <c r="M78" s="29">
        <f t="shared" ca="1" si="106"/>
        <v>0</v>
      </c>
      <c r="N78" s="602">
        <f t="shared" ca="1" si="106"/>
        <v>0</v>
      </c>
      <c r="O78" s="609">
        <f t="shared" ca="1" si="106"/>
        <v>0</v>
      </c>
      <c r="P78" s="29">
        <f t="shared" ca="1" si="87"/>
        <v>0</v>
      </c>
      <c r="Q78" s="29">
        <f t="shared" ca="1" si="88"/>
        <v>0</v>
      </c>
      <c r="R78" s="602">
        <f t="shared" ca="1" si="88"/>
        <v>0</v>
      </c>
      <c r="S78" s="29">
        <f t="shared" ca="1" si="88"/>
        <v>0</v>
      </c>
      <c r="T78" s="29">
        <f t="shared" ca="1" si="88"/>
        <v>0</v>
      </c>
      <c r="U78" s="29">
        <f t="shared" ca="1" si="90"/>
        <v>0</v>
      </c>
      <c r="V78" s="29">
        <f t="shared" ca="1" si="90"/>
        <v>0</v>
      </c>
      <c r="W78" s="602">
        <f t="shared" ca="1" si="90"/>
        <v>0</v>
      </c>
      <c r="X78" s="29"/>
      <c r="Y78" s="609">
        <f t="shared" ref="Y78:AD78" ca="1" si="107">Y49-Y20</f>
        <v>0</v>
      </c>
      <c r="Z78" s="609">
        <f t="shared" ref="Z78" ca="1" si="108">Z49-Z20</f>
        <v>0</v>
      </c>
      <c r="AA78" s="29">
        <f t="shared" ca="1" si="107"/>
        <v>0</v>
      </c>
      <c r="AB78" s="29">
        <f t="shared" ca="1" si="107"/>
        <v>0</v>
      </c>
      <c r="AC78" s="29">
        <f t="shared" ca="1" si="107"/>
        <v>0</v>
      </c>
      <c r="AD78" s="602">
        <f t="shared" ca="1" si="107"/>
        <v>0</v>
      </c>
    </row>
    <row r="79" spans="1:30" x14ac:dyDescent="0.3">
      <c r="A79" s="198"/>
      <c r="B79" s="31" t="s">
        <v>1086</v>
      </c>
      <c r="C79" s="29">
        <f t="shared" ref="C79:E79" si="109">C50-C21</f>
        <v>0</v>
      </c>
      <c r="D79" s="29">
        <f t="shared" si="109"/>
        <v>0</v>
      </c>
      <c r="E79" s="29">
        <f t="shared" ca="1" si="109"/>
        <v>0</v>
      </c>
      <c r="F79" s="29">
        <f t="shared" ca="1" si="85"/>
        <v>0</v>
      </c>
      <c r="G79" s="29">
        <f t="shared" ca="1" si="85"/>
        <v>0</v>
      </c>
      <c r="H79" s="602">
        <f t="shared" ca="1" si="85"/>
        <v>0</v>
      </c>
      <c r="I79" s="29"/>
      <c r="J79" s="609">
        <f t="shared" ref="J79:O79" ca="1" si="110">J50-J21</f>
        <v>0</v>
      </c>
      <c r="K79" s="29">
        <f t="shared" ca="1" si="110"/>
        <v>0</v>
      </c>
      <c r="L79" s="29">
        <f t="shared" ca="1" si="110"/>
        <v>0</v>
      </c>
      <c r="M79" s="29">
        <f t="shared" ca="1" si="110"/>
        <v>0</v>
      </c>
      <c r="N79" s="602">
        <f t="shared" ca="1" si="110"/>
        <v>0</v>
      </c>
      <c r="O79" s="609">
        <f t="shared" ca="1" si="110"/>
        <v>0</v>
      </c>
      <c r="P79" s="29">
        <f t="shared" ca="1" si="87"/>
        <v>0</v>
      </c>
      <c r="Q79" s="29">
        <f t="shared" ca="1" si="88"/>
        <v>0</v>
      </c>
      <c r="R79" s="602">
        <f t="shared" ca="1" si="88"/>
        <v>0</v>
      </c>
      <c r="S79" s="29">
        <f t="shared" ca="1" si="88"/>
        <v>0</v>
      </c>
      <c r="T79" s="29">
        <f t="shared" ca="1" si="88"/>
        <v>0</v>
      </c>
      <c r="U79" s="29">
        <f t="shared" ca="1" si="90"/>
        <v>0</v>
      </c>
      <c r="V79" s="29">
        <f t="shared" ca="1" si="90"/>
        <v>0</v>
      </c>
      <c r="W79" s="602">
        <f t="shared" ca="1" si="90"/>
        <v>0</v>
      </c>
      <c r="X79" s="29"/>
      <c r="Y79" s="609">
        <f t="shared" ref="Y79:AD79" ca="1" si="111">Y50-Y21</f>
        <v>0</v>
      </c>
      <c r="Z79" s="609">
        <f t="shared" ref="Z79" ca="1" si="112">Z50-Z21</f>
        <v>0</v>
      </c>
      <c r="AA79" s="29">
        <f t="shared" ca="1" si="111"/>
        <v>0</v>
      </c>
      <c r="AB79" s="29">
        <f t="shared" ca="1" si="111"/>
        <v>0</v>
      </c>
      <c r="AC79" s="29">
        <f t="shared" ca="1" si="111"/>
        <v>0</v>
      </c>
      <c r="AD79" s="602">
        <f t="shared" ca="1" si="111"/>
        <v>0</v>
      </c>
    </row>
    <row r="80" spans="1:30" x14ac:dyDescent="0.3">
      <c r="A80" s="198"/>
      <c r="B80" s="31" t="s">
        <v>1087</v>
      </c>
      <c r="C80" s="29">
        <f t="shared" ref="C80:E80" si="113">C51-C22</f>
        <v>0</v>
      </c>
      <c r="D80" s="29">
        <f t="shared" si="113"/>
        <v>0</v>
      </c>
      <c r="E80" s="29">
        <f t="shared" ca="1" si="113"/>
        <v>0</v>
      </c>
      <c r="F80" s="29">
        <f t="shared" ca="1" si="85"/>
        <v>0</v>
      </c>
      <c r="G80" s="29">
        <f t="shared" ca="1" si="85"/>
        <v>0</v>
      </c>
      <c r="H80" s="602">
        <f t="shared" ca="1" si="85"/>
        <v>0</v>
      </c>
      <c r="I80" s="29"/>
      <c r="J80" s="609">
        <f t="shared" ref="J80:O80" ca="1" si="114">J51-J22</f>
        <v>0</v>
      </c>
      <c r="K80" s="29">
        <f t="shared" ca="1" si="114"/>
        <v>0</v>
      </c>
      <c r="L80" s="29">
        <f t="shared" ca="1" si="114"/>
        <v>0</v>
      </c>
      <c r="M80" s="29">
        <f t="shared" ca="1" si="114"/>
        <v>0</v>
      </c>
      <c r="N80" s="602">
        <f t="shared" ca="1" si="114"/>
        <v>0</v>
      </c>
      <c r="O80" s="609">
        <f t="shared" ca="1" si="114"/>
        <v>0</v>
      </c>
      <c r="P80" s="29">
        <f t="shared" ca="1" si="87"/>
        <v>0</v>
      </c>
      <c r="Q80" s="29">
        <f t="shared" ca="1" si="88"/>
        <v>0</v>
      </c>
      <c r="R80" s="602">
        <f t="shared" ca="1" si="88"/>
        <v>0</v>
      </c>
      <c r="S80" s="29">
        <f t="shared" ca="1" si="88"/>
        <v>0</v>
      </c>
      <c r="T80" s="29">
        <f t="shared" ca="1" si="88"/>
        <v>0</v>
      </c>
      <c r="U80" s="29">
        <f t="shared" ca="1" si="90"/>
        <v>0</v>
      </c>
      <c r="V80" s="29">
        <f t="shared" ca="1" si="90"/>
        <v>0</v>
      </c>
      <c r="W80" s="602">
        <f t="shared" ca="1" si="90"/>
        <v>0</v>
      </c>
      <c r="X80" s="29"/>
      <c r="Y80" s="609">
        <f t="shared" ref="Y80:AD80" ca="1" si="115">Y51-Y22</f>
        <v>0</v>
      </c>
      <c r="Z80" s="609">
        <f t="shared" ref="Z80" ca="1" si="116">Z51-Z22</f>
        <v>0</v>
      </c>
      <c r="AA80" s="29">
        <f t="shared" ca="1" si="115"/>
        <v>0</v>
      </c>
      <c r="AB80" s="29">
        <f t="shared" ca="1" si="115"/>
        <v>0</v>
      </c>
      <c r="AC80" s="29">
        <f t="shared" ca="1" si="115"/>
        <v>0</v>
      </c>
      <c r="AD80" s="602">
        <f t="shared" ca="1" si="115"/>
        <v>0</v>
      </c>
    </row>
    <row r="81" spans="1:30" x14ac:dyDescent="0.3">
      <c r="A81" s="198"/>
      <c r="B81" s="31" t="s">
        <v>1443</v>
      </c>
      <c r="C81" s="29">
        <f t="shared" ref="C81:E81" si="117">C52-C23</f>
        <v>0</v>
      </c>
      <c r="D81" s="29">
        <f t="shared" si="117"/>
        <v>0</v>
      </c>
      <c r="E81" s="29">
        <f t="shared" ca="1" si="117"/>
        <v>0</v>
      </c>
      <c r="F81" s="29">
        <f t="shared" ca="1" si="85"/>
        <v>0</v>
      </c>
      <c r="G81" s="29">
        <f t="shared" ca="1" si="85"/>
        <v>0</v>
      </c>
      <c r="H81" s="602">
        <f t="shared" ca="1" si="85"/>
        <v>0</v>
      </c>
      <c r="I81" s="29"/>
      <c r="J81" s="609">
        <f t="shared" ref="J81:O81" ca="1" si="118">J52-J23</f>
        <v>0</v>
      </c>
      <c r="K81" s="29">
        <f t="shared" ca="1" si="118"/>
        <v>0</v>
      </c>
      <c r="L81" s="29">
        <f t="shared" ca="1" si="118"/>
        <v>0</v>
      </c>
      <c r="M81" s="29">
        <f t="shared" ca="1" si="118"/>
        <v>0</v>
      </c>
      <c r="N81" s="602">
        <f t="shared" ca="1" si="118"/>
        <v>0</v>
      </c>
      <c r="O81" s="609">
        <f t="shared" ca="1" si="118"/>
        <v>0</v>
      </c>
      <c r="P81" s="29">
        <f t="shared" ca="1" si="87"/>
        <v>0</v>
      </c>
      <c r="Q81" s="29">
        <f t="shared" ca="1" si="88"/>
        <v>0</v>
      </c>
      <c r="R81" s="602">
        <f t="shared" ca="1" si="88"/>
        <v>0</v>
      </c>
      <c r="S81" s="29">
        <f t="shared" ca="1" si="88"/>
        <v>0</v>
      </c>
      <c r="T81" s="29">
        <f t="shared" ca="1" si="88"/>
        <v>0</v>
      </c>
      <c r="U81" s="29">
        <f t="shared" ca="1" si="90"/>
        <v>0</v>
      </c>
      <c r="V81" s="29">
        <f t="shared" ca="1" si="90"/>
        <v>0</v>
      </c>
      <c r="W81" s="602">
        <f t="shared" ca="1" si="90"/>
        <v>0</v>
      </c>
      <c r="X81" s="29"/>
      <c r="Y81" s="609">
        <f t="shared" ref="Y81:AD81" ca="1" si="119">Y52-Y23</f>
        <v>0</v>
      </c>
      <c r="Z81" s="609">
        <f t="shared" ref="Z81" ca="1" si="120">Z52-Z23</f>
        <v>0</v>
      </c>
      <c r="AA81" s="29">
        <f t="shared" ca="1" si="119"/>
        <v>0</v>
      </c>
      <c r="AB81" s="29">
        <f t="shared" ca="1" si="119"/>
        <v>0</v>
      </c>
      <c r="AC81" s="29">
        <f t="shared" ca="1" si="119"/>
        <v>0</v>
      </c>
      <c r="AD81" s="602">
        <f t="shared" ca="1" si="119"/>
        <v>0</v>
      </c>
    </row>
    <row r="82" spans="1:30" x14ac:dyDescent="0.3">
      <c r="A82" s="198"/>
      <c r="B82" s="405" t="s">
        <v>227</v>
      </c>
      <c r="C82" s="29"/>
      <c r="D82" s="29"/>
      <c r="E82" s="29"/>
      <c r="F82" s="29"/>
      <c r="G82" s="29"/>
      <c r="H82" s="602"/>
      <c r="I82" s="29"/>
      <c r="J82" s="609"/>
      <c r="K82" s="29"/>
      <c r="L82" s="29"/>
      <c r="M82" s="29"/>
      <c r="N82" s="602"/>
      <c r="O82" s="609"/>
      <c r="P82" s="29"/>
      <c r="Q82" s="29"/>
      <c r="R82" s="602"/>
      <c r="S82" s="29"/>
      <c r="T82" s="29"/>
      <c r="U82" s="29"/>
      <c r="V82" s="29"/>
      <c r="W82" s="602"/>
      <c r="X82" s="29"/>
      <c r="Y82" s="609"/>
      <c r="Z82" s="609"/>
      <c r="AA82" s="29"/>
      <c r="AB82" s="29"/>
      <c r="AC82" s="29"/>
      <c r="AD82" s="602"/>
    </row>
    <row r="83" spans="1:30" x14ac:dyDescent="0.3">
      <c r="A83" s="198"/>
      <c r="B83" s="31" t="s">
        <v>1437</v>
      </c>
      <c r="C83" s="29">
        <f t="shared" ref="C83:E83" si="121">C54-C25</f>
        <v>0</v>
      </c>
      <c r="D83" s="29">
        <f t="shared" si="121"/>
        <v>0</v>
      </c>
      <c r="E83" s="29">
        <f t="shared" ca="1" si="121"/>
        <v>0</v>
      </c>
      <c r="F83" s="29">
        <f t="shared" ca="1" si="85"/>
        <v>0</v>
      </c>
      <c r="G83" s="29">
        <f t="shared" ca="1" si="85"/>
        <v>0</v>
      </c>
      <c r="H83" s="602">
        <f t="shared" ca="1" si="85"/>
        <v>0</v>
      </c>
      <c r="I83" s="29"/>
      <c r="J83" s="609">
        <f t="shared" ref="J83:O83" ca="1" si="122">J54-J25</f>
        <v>0</v>
      </c>
      <c r="K83" s="29">
        <f t="shared" ca="1" si="122"/>
        <v>0</v>
      </c>
      <c r="L83" s="29">
        <f t="shared" ca="1" si="122"/>
        <v>0</v>
      </c>
      <c r="M83" s="29">
        <f t="shared" ca="1" si="122"/>
        <v>0</v>
      </c>
      <c r="N83" s="602">
        <f t="shared" ca="1" si="122"/>
        <v>0</v>
      </c>
      <c r="O83" s="609">
        <f t="shared" ca="1" si="122"/>
        <v>0</v>
      </c>
      <c r="P83" s="29">
        <f t="shared" ca="1" si="87"/>
        <v>0</v>
      </c>
      <c r="Q83" s="29">
        <f t="shared" ca="1" si="88"/>
        <v>0</v>
      </c>
      <c r="R83" s="602">
        <f t="shared" ca="1" si="88"/>
        <v>0</v>
      </c>
      <c r="S83" s="29">
        <f t="shared" ca="1" si="88"/>
        <v>0</v>
      </c>
      <c r="T83" s="29">
        <f t="shared" ca="1" si="88"/>
        <v>0</v>
      </c>
      <c r="U83" s="29">
        <f t="shared" ca="1" si="90"/>
        <v>0</v>
      </c>
      <c r="V83" s="29">
        <f t="shared" ca="1" si="90"/>
        <v>0</v>
      </c>
      <c r="W83" s="602">
        <f t="shared" ca="1" si="90"/>
        <v>0</v>
      </c>
      <c r="X83" s="29"/>
      <c r="Y83" s="609">
        <f t="shared" ref="Y83:AD83" ca="1" si="123">Y54-Y25</f>
        <v>0</v>
      </c>
      <c r="Z83" s="609">
        <f t="shared" ref="Z83" ca="1" si="124">Z54-Z25</f>
        <v>0</v>
      </c>
      <c r="AA83" s="29">
        <f t="shared" ca="1" si="123"/>
        <v>0</v>
      </c>
      <c r="AB83" s="29">
        <f t="shared" ca="1" si="123"/>
        <v>0</v>
      </c>
      <c r="AC83" s="29">
        <f t="shared" ca="1" si="123"/>
        <v>0</v>
      </c>
      <c r="AD83" s="602">
        <f t="shared" ca="1" si="123"/>
        <v>0</v>
      </c>
    </row>
    <row r="84" spans="1:30" x14ac:dyDescent="0.3">
      <c r="A84" s="198"/>
      <c r="B84" s="31" t="s">
        <v>1438</v>
      </c>
      <c r="C84" s="29">
        <f t="shared" ref="C84:E84" si="125">C55-C26</f>
        <v>0</v>
      </c>
      <c r="D84" s="29">
        <f t="shared" si="125"/>
        <v>0</v>
      </c>
      <c r="E84" s="29">
        <f t="shared" ca="1" si="125"/>
        <v>0</v>
      </c>
      <c r="F84" s="29">
        <f t="shared" ca="1" si="85"/>
        <v>0</v>
      </c>
      <c r="G84" s="29">
        <f t="shared" ca="1" si="85"/>
        <v>0</v>
      </c>
      <c r="H84" s="602">
        <f t="shared" ca="1" si="85"/>
        <v>0</v>
      </c>
      <c r="I84" s="29"/>
      <c r="J84" s="609">
        <f t="shared" ref="J84:O84" ca="1" si="126">J55-J26</f>
        <v>0</v>
      </c>
      <c r="K84" s="29">
        <f t="shared" ca="1" si="126"/>
        <v>0</v>
      </c>
      <c r="L84" s="29">
        <f t="shared" ca="1" si="126"/>
        <v>0</v>
      </c>
      <c r="M84" s="29">
        <f t="shared" ca="1" si="126"/>
        <v>0</v>
      </c>
      <c r="N84" s="602">
        <f t="shared" ca="1" si="126"/>
        <v>0</v>
      </c>
      <c r="O84" s="609">
        <f t="shared" ca="1" si="126"/>
        <v>0</v>
      </c>
      <c r="P84" s="29">
        <f t="shared" ca="1" si="87"/>
        <v>0</v>
      </c>
      <c r="Q84" s="29">
        <f t="shared" ca="1" si="88"/>
        <v>0</v>
      </c>
      <c r="R84" s="602">
        <f t="shared" ca="1" si="88"/>
        <v>0</v>
      </c>
      <c r="S84" s="29">
        <f t="shared" ca="1" si="88"/>
        <v>0</v>
      </c>
      <c r="T84" s="29">
        <f t="shared" ca="1" si="88"/>
        <v>0</v>
      </c>
      <c r="U84" s="29">
        <f t="shared" ca="1" si="90"/>
        <v>0</v>
      </c>
      <c r="V84" s="29">
        <f t="shared" ca="1" si="90"/>
        <v>0</v>
      </c>
      <c r="W84" s="602">
        <f t="shared" ca="1" si="90"/>
        <v>0</v>
      </c>
      <c r="X84" s="29"/>
      <c r="Y84" s="609">
        <f t="shared" ref="Y84:AD84" ca="1" si="127">Y55-Y26</f>
        <v>0</v>
      </c>
      <c r="Z84" s="609">
        <f t="shared" ref="Z84" ca="1" si="128">Z55-Z26</f>
        <v>0</v>
      </c>
      <c r="AA84" s="29">
        <f t="shared" ca="1" si="127"/>
        <v>0</v>
      </c>
      <c r="AB84" s="29">
        <f t="shared" ca="1" si="127"/>
        <v>0</v>
      </c>
      <c r="AC84" s="29">
        <f t="shared" ca="1" si="127"/>
        <v>0</v>
      </c>
      <c r="AD84" s="602">
        <f t="shared" ca="1" si="127"/>
        <v>0</v>
      </c>
    </row>
    <row r="85" spans="1:30" x14ac:dyDescent="0.3">
      <c r="A85" s="198"/>
      <c r="B85" s="31" t="s">
        <v>1441</v>
      </c>
      <c r="C85" s="29">
        <f t="shared" ref="C85:E85" si="129">C56-C27</f>
        <v>0</v>
      </c>
      <c r="D85" s="29">
        <f t="shared" si="129"/>
        <v>0</v>
      </c>
      <c r="E85" s="29">
        <f t="shared" ca="1" si="129"/>
        <v>0</v>
      </c>
      <c r="F85" s="29">
        <f t="shared" ca="1" si="85"/>
        <v>0</v>
      </c>
      <c r="G85" s="29">
        <f t="shared" ca="1" si="85"/>
        <v>0</v>
      </c>
      <c r="H85" s="602">
        <f t="shared" ca="1" si="85"/>
        <v>0</v>
      </c>
      <c r="I85" s="29"/>
      <c r="J85" s="609">
        <f t="shared" ref="J85:O85" ca="1" si="130">J56-J27</f>
        <v>0</v>
      </c>
      <c r="K85" s="29">
        <f t="shared" ca="1" si="130"/>
        <v>0</v>
      </c>
      <c r="L85" s="29">
        <f t="shared" ca="1" si="130"/>
        <v>0</v>
      </c>
      <c r="M85" s="29">
        <f t="shared" ca="1" si="130"/>
        <v>0</v>
      </c>
      <c r="N85" s="602">
        <f t="shared" ca="1" si="130"/>
        <v>0</v>
      </c>
      <c r="O85" s="609">
        <f t="shared" ca="1" si="130"/>
        <v>0</v>
      </c>
      <c r="P85" s="29">
        <f t="shared" ca="1" si="87"/>
        <v>0</v>
      </c>
      <c r="Q85" s="29">
        <f t="shared" ca="1" si="88"/>
        <v>0</v>
      </c>
      <c r="R85" s="602">
        <f t="shared" ca="1" si="88"/>
        <v>0</v>
      </c>
      <c r="S85" s="29">
        <f t="shared" ca="1" si="88"/>
        <v>0</v>
      </c>
      <c r="T85" s="29">
        <f t="shared" ca="1" si="88"/>
        <v>0</v>
      </c>
      <c r="U85" s="29">
        <f t="shared" ca="1" si="90"/>
        <v>0</v>
      </c>
      <c r="V85" s="29">
        <f t="shared" ca="1" si="90"/>
        <v>0</v>
      </c>
      <c r="W85" s="602">
        <f t="shared" ca="1" si="90"/>
        <v>0</v>
      </c>
      <c r="X85" s="29"/>
      <c r="Y85" s="609">
        <f t="shared" ref="Y85:AD85" ca="1" si="131">Y56-Y27</f>
        <v>0</v>
      </c>
      <c r="Z85" s="609">
        <f t="shared" ref="Z85" ca="1" si="132">Z56-Z27</f>
        <v>0</v>
      </c>
      <c r="AA85" s="29">
        <f t="shared" ca="1" si="131"/>
        <v>0</v>
      </c>
      <c r="AB85" s="29">
        <f t="shared" ca="1" si="131"/>
        <v>0</v>
      </c>
      <c r="AC85" s="29">
        <f t="shared" ca="1" si="131"/>
        <v>0</v>
      </c>
      <c r="AD85" s="602">
        <f t="shared" ca="1" si="131"/>
        <v>0</v>
      </c>
    </row>
    <row r="86" spans="1:30" x14ac:dyDescent="0.3">
      <c r="A86" s="198"/>
      <c r="B86" s="31" t="s">
        <v>1442</v>
      </c>
      <c r="C86" s="29">
        <f t="shared" ref="C86:E86" si="133">C57-C28</f>
        <v>0</v>
      </c>
      <c r="D86" s="29">
        <f t="shared" si="133"/>
        <v>0</v>
      </c>
      <c r="E86" s="29">
        <f t="shared" ca="1" si="133"/>
        <v>0</v>
      </c>
      <c r="F86" s="29">
        <f t="shared" ca="1" si="85"/>
        <v>0</v>
      </c>
      <c r="G86" s="29">
        <f t="shared" ca="1" si="85"/>
        <v>0</v>
      </c>
      <c r="H86" s="602">
        <f t="shared" ca="1" si="85"/>
        <v>0</v>
      </c>
      <c r="I86" s="29"/>
      <c r="J86" s="609">
        <f t="shared" ref="J86:O86" ca="1" si="134">J57-J28</f>
        <v>0</v>
      </c>
      <c r="K86" s="29">
        <f t="shared" ca="1" si="134"/>
        <v>0</v>
      </c>
      <c r="L86" s="29">
        <f t="shared" ca="1" si="134"/>
        <v>0</v>
      </c>
      <c r="M86" s="29">
        <f t="shared" ca="1" si="134"/>
        <v>0</v>
      </c>
      <c r="N86" s="602">
        <f t="shared" ca="1" si="134"/>
        <v>0</v>
      </c>
      <c r="O86" s="609">
        <f t="shared" ca="1" si="134"/>
        <v>0</v>
      </c>
      <c r="P86" s="29">
        <f t="shared" ca="1" si="87"/>
        <v>0</v>
      </c>
      <c r="Q86" s="29">
        <f t="shared" ca="1" si="88"/>
        <v>0</v>
      </c>
      <c r="R86" s="602">
        <f t="shared" ca="1" si="88"/>
        <v>0</v>
      </c>
      <c r="S86" s="29">
        <f t="shared" ca="1" si="88"/>
        <v>0</v>
      </c>
      <c r="T86" s="29">
        <f t="shared" ca="1" si="88"/>
        <v>0</v>
      </c>
      <c r="U86" s="29">
        <f t="shared" ca="1" si="90"/>
        <v>0</v>
      </c>
      <c r="V86" s="29">
        <f t="shared" ca="1" si="90"/>
        <v>0</v>
      </c>
      <c r="W86" s="602">
        <f t="shared" ca="1" si="90"/>
        <v>0</v>
      </c>
      <c r="X86" s="29"/>
      <c r="Y86" s="609">
        <f t="shared" ref="Y86:AD86" ca="1" si="135">Y57-Y28</f>
        <v>0</v>
      </c>
      <c r="Z86" s="609">
        <f t="shared" ref="Z86" ca="1" si="136">Z57-Z28</f>
        <v>0</v>
      </c>
      <c r="AA86" s="29">
        <f t="shared" ca="1" si="135"/>
        <v>0</v>
      </c>
      <c r="AB86" s="29">
        <f t="shared" ca="1" si="135"/>
        <v>0</v>
      </c>
      <c r="AC86" s="29">
        <f t="shared" ca="1" si="135"/>
        <v>0</v>
      </c>
      <c r="AD86" s="602">
        <f t="shared" ca="1" si="135"/>
        <v>0</v>
      </c>
    </row>
    <row r="87" spans="1:30" x14ac:dyDescent="0.3">
      <c r="A87" s="198"/>
      <c r="B87" s="405" t="s">
        <v>920</v>
      </c>
      <c r="C87" s="29"/>
      <c r="D87" s="29"/>
      <c r="E87" s="29"/>
      <c r="F87" s="29"/>
      <c r="G87" s="29"/>
      <c r="H87" s="602"/>
      <c r="I87" s="29"/>
      <c r="J87" s="609"/>
      <c r="K87" s="29"/>
      <c r="L87" s="29"/>
      <c r="M87" s="29"/>
      <c r="N87" s="602"/>
      <c r="O87" s="609"/>
      <c r="P87" s="29"/>
      <c r="Q87" s="29"/>
      <c r="R87" s="602"/>
      <c r="S87" s="29"/>
      <c r="T87" s="29"/>
      <c r="U87" s="29"/>
      <c r="V87" s="29"/>
      <c r="W87" s="602"/>
      <c r="X87" s="29"/>
      <c r="Y87" s="609"/>
      <c r="Z87" s="609"/>
      <c r="AA87" s="29"/>
      <c r="AB87" s="29"/>
      <c r="AC87" s="29"/>
      <c r="AD87" s="602"/>
    </row>
    <row r="88" spans="1:30" x14ac:dyDescent="0.3">
      <c r="A88" s="198"/>
      <c r="B88" s="297" t="s">
        <v>920</v>
      </c>
      <c r="C88" s="29">
        <f t="shared" ref="C88:E88" si="137">C59-C30</f>
        <v>0</v>
      </c>
      <c r="D88" s="29">
        <f t="shared" si="137"/>
        <v>0</v>
      </c>
      <c r="E88" s="29">
        <f t="shared" si="137"/>
        <v>0</v>
      </c>
      <c r="F88" s="29">
        <f t="shared" ca="1" si="85"/>
        <v>0</v>
      </c>
      <c r="G88" s="29">
        <f t="shared" ca="1" si="85"/>
        <v>0</v>
      </c>
      <c r="H88" s="602">
        <f t="shared" si="85"/>
        <v>0</v>
      </c>
      <c r="I88" s="29"/>
      <c r="J88" s="609">
        <f t="shared" ref="J88:O88" ca="1" si="138">J59-J30</f>
        <v>0</v>
      </c>
      <c r="K88" s="29">
        <f t="shared" ca="1" si="138"/>
        <v>0</v>
      </c>
      <c r="L88" s="29">
        <f t="shared" ca="1" si="138"/>
        <v>0</v>
      </c>
      <c r="M88" s="29">
        <f t="shared" ca="1" si="138"/>
        <v>0</v>
      </c>
      <c r="N88" s="602">
        <f t="shared" ca="1" si="138"/>
        <v>0</v>
      </c>
      <c r="O88" s="609">
        <f t="shared" ca="1" si="138"/>
        <v>0</v>
      </c>
      <c r="P88" s="29">
        <f t="shared" ca="1" si="87"/>
        <v>0</v>
      </c>
      <c r="Q88" s="29">
        <f t="shared" ca="1" si="88"/>
        <v>0</v>
      </c>
      <c r="R88" s="602">
        <f t="shared" ca="1" si="88"/>
        <v>0</v>
      </c>
      <c r="S88" s="29">
        <f t="shared" ca="1" si="88"/>
        <v>0</v>
      </c>
      <c r="T88" s="29">
        <f t="shared" ca="1" si="88"/>
        <v>0</v>
      </c>
      <c r="U88" s="29">
        <f t="shared" ca="1" si="90"/>
        <v>0</v>
      </c>
      <c r="V88" s="29">
        <f t="shared" ca="1" si="90"/>
        <v>0</v>
      </c>
      <c r="W88" s="602">
        <f t="shared" ca="1" si="90"/>
        <v>0</v>
      </c>
      <c r="X88" s="29"/>
      <c r="Y88" s="609">
        <f t="shared" ref="Y88:AD88" ca="1" si="139">Y59-Y30</f>
        <v>0</v>
      </c>
      <c r="Z88" s="609">
        <f t="shared" ref="Z88" ca="1" si="140">Z59-Z30</f>
        <v>0</v>
      </c>
      <c r="AA88" s="29">
        <f t="shared" ca="1" si="139"/>
        <v>0</v>
      </c>
      <c r="AB88" s="29">
        <f t="shared" si="139"/>
        <v>0</v>
      </c>
      <c r="AC88" s="29">
        <f t="shared" ca="1" si="139"/>
        <v>0</v>
      </c>
      <c r="AD88" s="602">
        <f t="shared" si="139"/>
        <v>0</v>
      </c>
    </row>
    <row r="89" spans="1:30" x14ac:dyDescent="0.3">
      <c r="A89" s="198"/>
      <c r="B89" s="297" t="s">
        <v>980</v>
      </c>
      <c r="C89" s="29">
        <f t="shared" ref="C89:E89" si="141">C60-C31</f>
        <v>0</v>
      </c>
      <c r="D89" s="29">
        <f t="shared" si="141"/>
        <v>0</v>
      </c>
      <c r="E89" s="29">
        <f t="shared" si="141"/>
        <v>0</v>
      </c>
      <c r="F89" s="29">
        <f t="shared" ca="1" si="85"/>
        <v>0</v>
      </c>
      <c r="G89" s="29">
        <f t="shared" ca="1" si="85"/>
        <v>0</v>
      </c>
      <c r="H89" s="602">
        <f t="shared" si="85"/>
        <v>0</v>
      </c>
      <c r="I89" s="29"/>
      <c r="J89" s="609">
        <f t="shared" ref="J89:O89" ca="1" si="142">J60-J31</f>
        <v>0</v>
      </c>
      <c r="K89" s="29">
        <f t="shared" ca="1" si="142"/>
        <v>0</v>
      </c>
      <c r="L89" s="29">
        <f t="shared" ca="1" si="142"/>
        <v>0</v>
      </c>
      <c r="M89" s="29">
        <f t="shared" ca="1" si="142"/>
        <v>0</v>
      </c>
      <c r="N89" s="602">
        <f t="shared" ca="1" si="142"/>
        <v>0</v>
      </c>
      <c r="O89" s="609">
        <f t="shared" ca="1" si="142"/>
        <v>0</v>
      </c>
      <c r="P89" s="29">
        <f t="shared" ca="1" si="87"/>
        <v>0</v>
      </c>
      <c r="Q89" s="29">
        <f t="shared" ca="1" si="88"/>
        <v>0</v>
      </c>
      <c r="R89" s="602">
        <f t="shared" ca="1" si="88"/>
        <v>0</v>
      </c>
      <c r="S89" s="29">
        <f t="shared" ca="1" si="88"/>
        <v>0</v>
      </c>
      <c r="T89" s="29">
        <f t="shared" ca="1" si="88"/>
        <v>0</v>
      </c>
      <c r="U89" s="29">
        <f t="shared" ca="1" si="90"/>
        <v>0</v>
      </c>
      <c r="V89" s="29">
        <f t="shared" ca="1" si="90"/>
        <v>0</v>
      </c>
      <c r="W89" s="602">
        <f t="shared" ca="1" si="90"/>
        <v>0</v>
      </c>
      <c r="X89" s="29"/>
      <c r="Y89" s="609">
        <f t="shared" ref="Y89:AD89" ca="1" si="143">Y60-Y31</f>
        <v>0</v>
      </c>
      <c r="Z89" s="609">
        <f t="shared" ref="Z89" ca="1" si="144">Z60-Z31</f>
        <v>0</v>
      </c>
      <c r="AA89" s="29">
        <f t="shared" ca="1" si="143"/>
        <v>0</v>
      </c>
      <c r="AB89" s="29">
        <f t="shared" si="143"/>
        <v>0</v>
      </c>
      <c r="AC89" s="29">
        <f t="shared" ca="1" si="143"/>
        <v>0</v>
      </c>
      <c r="AD89" s="602">
        <f t="shared" si="143"/>
        <v>0</v>
      </c>
    </row>
    <row r="90" spans="1:30" x14ac:dyDescent="0.3">
      <c r="A90" s="674"/>
      <c r="B90" s="675" t="s">
        <v>233</v>
      </c>
      <c r="C90" s="665">
        <f t="shared" ref="C90:E90" si="145">C61-C32</f>
        <v>0</v>
      </c>
      <c r="D90" s="665">
        <f t="shared" si="145"/>
        <v>124891.77600000001</v>
      </c>
      <c r="E90" s="665">
        <f t="shared" ca="1" si="145"/>
        <v>-9200.0326118768426</v>
      </c>
      <c r="F90" s="665">
        <f t="shared" ca="1" si="85"/>
        <v>-2239.2061421159888</v>
      </c>
      <c r="G90" s="665">
        <f t="shared" ca="1" si="85"/>
        <v>-80.901534183176409</v>
      </c>
      <c r="H90" s="666">
        <f t="shared" ca="1" si="85"/>
        <v>-9.5921935773330915</v>
      </c>
      <c r="I90" s="29"/>
      <c r="J90" s="664">
        <f ca="1">SUM(J66:J89)</f>
        <v>0</v>
      </c>
      <c r="K90" s="665">
        <f t="shared" ref="K90" ca="1" si="146">SUM(K66:K89)</f>
        <v>5704498.8102690866</v>
      </c>
      <c r="L90" s="665">
        <f t="shared" ref="L90:M90" ca="1" si="147">SUM(L66:L89)</f>
        <v>-624899.57297539152</v>
      </c>
      <c r="M90" s="665">
        <f t="shared" ca="1" si="147"/>
        <v>4.4656337410327858</v>
      </c>
      <c r="N90" s="666">
        <f t="shared" ref="N90:O90" ca="1" si="148">SUM(N66:N89)</f>
        <v>-423419.53434203006</v>
      </c>
      <c r="O90" s="664">
        <f t="shared" ca="1" si="148"/>
        <v>7411208.4155133087</v>
      </c>
      <c r="P90" s="665">
        <f t="shared" ref="P90:Q90" ca="1" si="149">SUM(P66:P89)</f>
        <v>-545939.54301794339</v>
      </c>
      <c r="Q90" s="665">
        <f t="shared" ca="1" si="149"/>
        <v>-106034.73168874066</v>
      </c>
      <c r="R90" s="666">
        <f ca="1">SUM(R66:R89)</f>
        <v>-10258.016391298166</v>
      </c>
      <c r="S90" s="665">
        <f t="shared" ref="S90" ca="1" si="150">SUM(S66:S89)</f>
        <v>0</v>
      </c>
      <c r="T90" s="665">
        <f t="shared" ref="T90:U90" ca="1" si="151">SUM(T66:T89)</f>
        <v>-1329699.6708636507</v>
      </c>
      <c r="U90" s="665">
        <f t="shared" ca="1" si="151"/>
        <v>-403822.26739883889</v>
      </c>
      <c r="V90" s="665">
        <f t="shared" ref="V90" ca="1" si="152">SUM(V66:V89)</f>
        <v>-8972.0269875859231</v>
      </c>
      <c r="W90" s="666">
        <f t="shared" ref="W90" ca="1" si="153">SUM(W66:W89)</f>
        <v>-4778466.7783847302</v>
      </c>
      <c r="X90" s="29"/>
      <c r="Y90" s="664">
        <f t="shared" ref="Y90:Z90" ca="1" si="154">SUM(Y66:Y89)</f>
        <v>-82.223749511157052</v>
      </c>
      <c r="Z90" s="664">
        <f t="shared" ca="1" si="154"/>
        <v>-18.81725626705321</v>
      </c>
      <c r="AA90" s="665">
        <f t="shared" ref="AA90" ca="1" si="155">SUM(AA66:AA89)</f>
        <v>-2.8245806564383429</v>
      </c>
      <c r="AB90" s="665">
        <f t="shared" ref="AB90:AC90" ca="1" si="156">SUM(AB66:AB89)</f>
        <v>-142.69596755470502</v>
      </c>
      <c r="AC90" s="665">
        <f t="shared" ca="1" si="156"/>
        <v>0</v>
      </c>
      <c r="AD90" s="666">
        <f t="shared" ref="AD90" ca="1" si="157">SUM(AD66:AD89)</f>
        <v>-185.08941956861145</v>
      </c>
    </row>
    <row r="91" spans="1:30" x14ac:dyDescent="0.3">
      <c r="B91" s="31"/>
      <c r="C91" s="31"/>
      <c r="D91" s="29"/>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row>
    <row r="92" spans="1:30" x14ac:dyDescent="0.3">
      <c r="D92" s="29">
        <f>SUM(D78,D79,D80)</f>
        <v>0</v>
      </c>
    </row>
    <row r="106" spans="2:6" x14ac:dyDescent="0.3">
      <c r="B106" s="31"/>
      <c r="C106" s="31"/>
    </row>
    <row r="107" spans="2:6" x14ac:dyDescent="0.3">
      <c r="B107" s="1"/>
      <c r="C107" s="1"/>
    </row>
    <row r="108" spans="2:6" x14ac:dyDescent="0.3">
      <c r="B108" s="1"/>
      <c r="C108" s="1"/>
    </row>
    <row r="109" spans="2:6" x14ac:dyDescent="0.3">
      <c r="B109" s="31"/>
      <c r="C109" s="31"/>
      <c r="E109" s="23"/>
      <c r="F109" s="23"/>
    </row>
    <row r="110" spans="2:6" x14ac:dyDescent="0.3">
      <c r="B110" s="31"/>
      <c r="C110" s="31"/>
      <c r="E110" s="23"/>
      <c r="F110" s="23"/>
    </row>
    <row r="111" spans="2:6" x14ac:dyDescent="0.3">
      <c r="B111" s="31"/>
      <c r="C111" s="31"/>
      <c r="E111" s="23"/>
      <c r="F111" s="23"/>
    </row>
    <row r="112" spans="2:6" x14ac:dyDescent="0.3">
      <c r="B112" s="31"/>
      <c r="C112" s="31"/>
      <c r="E112" s="23"/>
      <c r="F112" s="23"/>
    </row>
    <row r="113" spans="2:6" x14ac:dyDescent="0.3">
      <c r="B113" s="31"/>
      <c r="C113" s="31"/>
      <c r="E113" s="23"/>
      <c r="F113" s="23"/>
    </row>
    <row r="114" spans="2:6" x14ac:dyDescent="0.3">
      <c r="B114" s="31"/>
      <c r="C114" s="31"/>
      <c r="E114" s="23"/>
      <c r="F114" s="23"/>
    </row>
    <row r="115" spans="2:6" x14ac:dyDescent="0.3">
      <c r="B115" s="31"/>
      <c r="C115" s="31"/>
      <c r="E115" s="23"/>
      <c r="F115" s="23"/>
    </row>
    <row r="116" spans="2:6" x14ac:dyDescent="0.3">
      <c r="B116" s="31"/>
      <c r="C116" s="31"/>
      <c r="E116" s="23"/>
      <c r="F116" s="23"/>
    </row>
    <row r="117" spans="2:6" x14ac:dyDescent="0.3">
      <c r="B117" s="31"/>
      <c r="C117" s="31"/>
      <c r="E117" s="23"/>
      <c r="F117" s="23"/>
    </row>
    <row r="118" spans="2:6" x14ac:dyDescent="0.3">
      <c r="B118" s="31"/>
      <c r="C118" s="31"/>
    </row>
    <row r="119" spans="2:6" x14ac:dyDescent="0.3">
      <c r="B119" s="1"/>
      <c r="C119" s="1"/>
    </row>
    <row r="120" spans="2:6" x14ac:dyDescent="0.3">
      <c r="B120" s="1"/>
      <c r="C120" s="1"/>
    </row>
    <row r="121" spans="2:6" x14ac:dyDescent="0.3">
      <c r="B121" s="31"/>
      <c r="C121" s="31"/>
      <c r="E121" s="23"/>
      <c r="F121" s="23"/>
    </row>
    <row r="122" spans="2:6" x14ac:dyDescent="0.3">
      <c r="B122" s="31"/>
      <c r="C122" s="31"/>
      <c r="E122" s="23"/>
      <c r="F122" s="23"/>
    </row>
    <row r="123" spans="2:6" x14ac:dyDescent="0.3">
      <c r="B123" s="31"/>
      <c r="C123" s="31"/>
      <c r="E123" s="23"/>
      <c r="F123" s="23"/>
    </row>
    <row r="124" spans="2:6" x14ac:dyDescent="0.3">
      <c r="B124" s="31"/>
      <c r="C124" s="31"/>
      <c r="E124" s="23"/>
      <c r="F124" s="23"/>
    </row>
    <row r="125" spans="2:6" x14ac:dyDescent="0.3">
      <c r="B125" s="31"/>
      <c r="C125" s="31"/>
      <c r="E125" s="23"/>
      <c r="F125" s="23"/>
    </row>
    <row r="126" spans="2:6" x14ac:dyDescent="0.3">
      <c r="B126" s="31"/>
      <c r="C126" s="31"/>
      <c r="E126" s="23"/>
      <c r="F126" s="23"/>
    </row>
    <row r="127" spans="2:6" x14ac:dyDescent="0.3">
      <c r="B127" s="31"/>
      <c r="C127" s="31"/>
      <c r="E127" s="23"/>
      <c r="F127" s="23"/>
    </row>
    <row r="128" spans="2:6" x14ac:dyDescent="0.3">
      <c r="B128" s="31"/>
      <c r="C128" s="31"/>
      <c r="E128" s="23"/>
      <c r="F128" s="23"/>
    </row>
    <row r="129" spans="2:6" x14ac:dyDescent="0.3">
      <c r="B129" s="31"/>
      <c r="C129" s="31"/>
      <c r="E129" s="23"/>
      <c r="F129" s="23"/>
    </row>
    <row r="133" spans="2:6" x14ac:dyDescent="0.3">
      <c r="B133" s="31"/>
      <c r="C133" s="31"/>
      <c r="E133" s="23"/>
      <c r="F133" s="23"/>
    </row>
    <row r="134" spans="2:6" x14ac:dyDescent="0.3">
      <c r="B134" s="31"/>
      <c r="C134" s="31"/>
      <c r="E134" s="23"/>
      <c r="F134" s="23"/>
    </row>
    <row r="135" spans="2:6" x14ac:dyDescent="0.3">
      <c r="B135" s="31"/>
      <c r="C135" s="31"/>
      <c r="E135" s="23"/>
      <c r="F135" s="23"/>
    </row>
    <row r="136" spans="2:6" x14ac:dyDescent="0.3">
      <c r="B136" s="31"/>
      <c r="C136" s="31"/>
      <c r="E136" s="23"/>
      <c r="F136" s="23"/>
    </row>
    <row r="137" spans="2:6" x14ac:dyDescent="0.3">
      <c r="B137" s="31"/>
      <c r="C137" s="31"/>
      <c r="E137" s="23"/>
      <c r="F137" s="23"/>
    </row>
    <row r="138" spans="2:6" x14ac:dyDescent="0.3">
      <c r="B138" s="31"/>
      <c r="C138" s="31"/>
      <c r="E138" s="23"/>
      <c r="F138" s="23"/>
    </row>
    <row r="139" spans="2:6" x14ac:dyDescent="0.3">
      <c r="B139" s="31"/>
      <c r="C139" s="31"/>
      <c r="E139" s="23"/>
      <c r="F139" s="23"/>
    </row>
    <row r="140" spans="2:6" x14ac:dyDescent="0.3">
      <c r="B140" s="31"/>
      <c r="C140" s="31"/>
      <c r="E140" s="23"/>
      <c r="F140" s="23"/>
    </row>
    <row r="141" spans="2:6" x14ac:dyDescent="0.3">
      <c r="B141" s="31"/>
      <c r="C141" s="31"/>
      <c r="E141" s="23"/>
      <c r="F141" s="23"/>
    </row>
  </sheetData>
  <pageMargins left="0.25" right="0.25" top="0.75" bottom="0.75" header="0.3" footer="0.3"/>
  <pageSetup scale="36" fitToWidth="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tabColor rgb="FFFF0000"/>
  </sheetPr>
  <dimension ref="A1:AF141"/>
  <sheetViews>
    <sheetView zoomScale="70" zoomScaleNormal="70" workbookViewId="0">
      <selection activeCell="C55" sqref="C55"/>
    </sheetView>
  </sheetViews>
  <sheetFormatPr defaultColWidth="9.109375" defaultRowHeight="14.4" x14ac:dyDescent="0.3"/>
  <cols>
    <col min="1" max="1" width="9.109375" style="241"/>
    <col min="2" max="2" width="43.33203125" customWidth="1"/>
    <col min="3" max="3" width="16.5546875" customWidth="1"/>
    <col min="4" max="4" width="18.88671875" customWidth="1"/>
    <col min="5" max="5" width="24.44140625" customWidth="1"/>
    <col min="6" max="6" width="20.6640625" customWidth="1"/>
    <col min="7" max="7" width="21.88671875" customWidth="1"/>
    <col min="8" max="8" width="17" customWidth="1"/>
    <col min="9" max="9" width="7.109375" customWidth="1"/>
    <col min="10" max="10" width="22.88671875" bestFit="1" customWidth="1"/>
    <col min="11" max="13" width="22.88671875" customWidth="1"/>
    <col min="14" max="14" width="24.33203125" bestFit="1" customWidth="1"/>
    <col min="15" max="21" width="24.33203125" customWidth="1"/>
    <col min="22" max="22" width="24.109375" bestFit="1" customWidth="1"/>
    <col min="23" max="23" width="24.109375" customWidth="1"/>
    <col min="24" max="24" width="7.33203125" customWidth="1"/>
    <col min="25" max="25" width="24.44140625" bestFit="1" customWidth="1"/>
    <col min="26" max="26" width="24.44140625" customWidth="1"/>
    <col min="27" max="27" width="30.44140625" customWidth="1"/>
    <col min="28" max="28" width="23" customWidth="1"/>
    <col min="29" max="29" width="27.88671875" customWidth="1"/>
    <col min="30" max="30" width="26.44140625" customWidth="1"/>
    <col min="31" max="31" width="21.44140625" bestFit="1" customWidth="1"/>
    <col min="32" max="32" width="7.109375" bestFit="1" customWidth="1"/>
    <col min="33" max="33" width="18.88671875" bestFit="1" customWidth="1"/>
    <col min="34" max="34" width="20.44140625" bestFit="1" customWidth="1"/>
    <col min="35" max="35" width="22.88671875" bestFit="1" customWidth="1"/>
    <col min="36" max="36" width="15" customWidth="1"/>
    <col min="37" max="37" width="7.44140625" bestFit="1" customWidth="1"/>
    <col min="38" max="38" width="10.109375" bestFit="1" customWidth="1"/>
    <col min="40" max="40" width="14.5546875" bestFit="1" customWidth="1"/>
    <col min="41" max="41" width="24.6640625" bestFit="1" customWidth="1"/>
    <col min="42" max="42" width="21.44140625" bestFit="1" customWidth="1"/>
    <col min="43" max="43" width="7.109375" bestFit="1" customWidth="1"/>
    <col min="44" max="44" width="18.88671875" bestFit="1" customWidth="1"/>
    <col min="45" max="45" width="20.44140625" bestFit="1" customWidth="1"/>
    <col min="46" max="46" width="22.88671875" bestFit="1" customWidth="1"/>
    <col min="47" max="47" width="7.44140625" bestFit="1" customWidth="1"/>
    <col min="48" max="48" width="10.109375" bestFit="1" customWidth="1"/>
  </cols>
  <sheetData>
    <row r="1" spans="1:32" ht="23.4" x14ac:dyDescent="0.45">
      <c r="A1" s="639"/>
      <c r="B1" s="656" t="s">
        <v>1400</v>
      </c>
      <c r="C1" s="656"/>
      <c r="D1" s="641"/>
      <c r="E1" s="641"/>
      <c r="F1" s="641"/>
      <c r="G1" s="641"/>
      <c r="H1" s="641"/>
      <c r="I1" s="641"/>
      <c r="J1" s="641"/>
      <c r="K1" s="641"/>
      <c r="L1" s="641"/>
      <c r="M1" s="641"/>
      <c r="N1" s="657"/>
      <c r="O1" s="657"/>
      <c r="P1" s="657"/>
      <c r="Q1" s="657"/>
      <c r="R1" s="657"/>
      <c r="S1" s="657"/>
      <c r="T1" s="657"/>
      <c r="U1" s="657"/>
      <c r="V1" s="657"/>
      <c r="W1" s="641"/>
      <c r="X1" s="657"/>
      <c r="Y1" s="641"/>
      <c r="Z1" s="641"/>
      <c r="AA1" s="641"/>
      <c r="AB1" s="641"/>
      <c r="AC1" s="641"/>
      <c r="AD1" s="642"/>
    </row>
    <row r="2" spans="1:32" x14ac:dyDescent="0.3">
      <c r="A2"/>
    </row>
    <row r="3" spans="1:32" ht="21" x14ac:dyDescent="0.4">
      <c r="A3" s="658"/>
      <c r="B3" s="640" t="s">
        <v>562</v>
      </c>
      <c r="C3" s="640"/>
      <c r="D3" s="641"/>
      <c r="E3" s="641"/>
      <c r="F3" s="641"/>
      <c r="G3" s="641"/>
      <c r="H3" s="642"/>
      <c r="J3" s="658" t="s">
        <v>563</v>
      </c>
      <c r="K3" s="640"/>
      <c r="L3" s="640"/>
      <c r="M3" s="640"/>
      <c r="N3" s="641"/>
      <c r="O3" s="641"/>
      <c r="P3" s="641"/>
      <c r="Q3" s="641"/>
      <c r="R3" s="641"/>
      <c r="S3" s="641"/>
      <c r="T3" s="641"/>
      <c r="U3" s="641"/>
      <c r="V3" s="641"/>
      <c r="W3" s="642"/>
      <c r="Y3" s="14" t="s">
        <v>564</v>
      </c>
      <c r="Z3" s="643"/>
      <c r="AA3" s="14"/>
      <c r="AB3" s="14"/>
      <c r="AC3" s="640"/>
      <c r="AD3" s="15"/>
    </row>
    <row r="4" spans="1:32" x14ac:dyDescent="0.3">
      <c r="A4"/>
    </row>
    <row r="5" spans="1:32" ht="18" x14ac:dyDescent="0.35">
      <c r="A5" s="645"/>
      <c r="B5" s="659" t="s">
        <v>552</v>
      </c>
      <c r="C5" s="659"/>
      <c r="D5" s="646"/>
      <c r="E5" s="660"/>
      <c r="F5" s="660"/>
      <c r="G5" s="646"/>
      <c r="H5" s="647"/>
      <c r="J5" s="645" t="s">
        <v>552</v>
      </c>
      <c r="K5" s="646"/>
      <c r="L5" s="646"/>
      <c r="M5" s="646"/>
      <c r="N5" s="646"/>
      <c r="O5" s="646"/>
      <c r="P5" s="646"/>
      <c r="Q5" s="646"/>
      <c r="R5" s="646"/>
      <c r="S5" s="646"/>
      <c r="T5" s="646"/>
      <c r="U5" s="646"/>
      <c r="V5" s="646"/>
      <c r="W5" s="647"/>
      <c r="Y5" s="645" t="s">
        <v>552</v>
      </c>
      <c r="Z5" s="659"/>
      <c r="AA5" s="646"/>
      <c r="AB5" s="646"/>
      <c r="AC5" s="646"/>
      <c r="AD5" s="647"/>
      <c r="AF5" s="1"/>
    </row>
    <row r="6" spans="1:32" ht="18" x14ac:dyDescent="0.35">
      <c r="A6" s="629"/>
      <c r="B6" s="630" t="s">
        <v>983</v>
      </c>
      <c r="C6" s="630"/>
      <c r="D6" s="631"/>
      <c r="E6" s="632"/>
      <c r="F6" s="632"/>
      <c r="G6" s="631"/>
      <c r="H6" s="633"/>
      <c r="J6" s="629" t="s">
        <v>1024</v>
      </c>
      <c r="K6" s="631"/>
      <c r="L6" s="631"/>
      <c r="M6" s="631"/>
      <c r="N6" s="633"/>
      <c r="O6" s="654" t="s">
        <v>1026</v>
      </c>
      <c r="P6" s="655"/>
      <c r="Q6" s="655"/>
      <c r="R6" s="633"/>
      <c r="S6" s="654" t="s">
        <v>10</v>
      </c>
      <c r="T6" s="655"/>
      <c r="U6" s="655"/>
      <c r="V6" s="631"/>
      <c r="W6" s="633"/>
      <c r="Y6" s="654" t="s">
        <v>564</v>
      </c>
      <c r="Z6" s="655"/>
      <c r="AA6" s="631"/>
      <c r="AB6" s="631"/>
      <c r="AC6" s="631"/>
      <c r="AD6" s="633"/>
      <c r="AF6" s="1"/>
    </row>
    <row r="7" spans="1:32" x14ac:dyDescent="0.3">
      <c r="A7" s="651"/>
      <c r="B7" s="652" t="s">
        <v>950</v>
      </c>
      <c r="C7" s="652" t="s">
        <v>1033</v>
      </c>
      <c r="D7" s="652" t="s">
        <v>878</v>
      </c>
      <c r="E7" s="627" t="s">
        <v>1554</v>
      </c>
      <c r="F7" s="652" t="s">
        <v>1377</v>
      </c>
      <c r="G7" s="652" t="s">
        <v>877</v>
      </c>
      <c r="H7" s="653" t="s">
        <v>225</v>
      </c>
      <c r="J7" s="651" t="s">
        <v>981</v>
      </c>
      <c r="K7" s="652" t="s">
        <v>982</v>
      </c>
      <c r="L7" s="652" t="s">
        <v>1025</v>
      </c>
      <c r="M7" s="652" t="s">
        <v>1493</v>
      </c>
      <c r="N7" s="653" t="s">
        <v>905</v>
      </c>
      <c r="O7" s="651" t="s">
        <v>938</v>
      </c>
      <c r="P7" s="627" t="s">
        <v>1554</v>
      </c>
      <c r="Q7" s="652" t="s">
        <v>1377</v>
      </c>
      <c r="R7" s="653" t="s">
        <v>1028</v>
      </c>
      <c r="S7" s="651" t="s">
        <v>938</v>
      </c>
      <c r="T7" s="627" t="s">
        <v>1554</v>
      </c>
      <c r="U7" s="652" t="s">
        <v>1025</v>
      </c>
      <c r="V7" s="652" t="s">
        <v>1028</v>
      </c>
      <c r="W7" s="653" t="s">
        <v>225</v>
      </c>
      <c r="Y7" s="651" t="s">
        <v>1029</v>
      </c>
      <c r="Z7" s="652" t="s">
        <v>1555</v>
      </c>
      <c r="AA7" s="652" t="s">
        <v>1030</v>
      </c>
      <c r="AB7" s="652" t="s">
        <v>1031</v>
      </c>
      <c r="AC7" s="652" t="s">
        <v>1511</v>
      </c>
      <c r="AD7" s="653" t="s">
        <v>1032</v>
      </c>
    </row>
    <row r="8" spans="1:32" x14ac:dyDescent="0.3">
      <c r="A8" s="677"/>
      <c r="B8" s="671" t="s">
        <v>988</v>
      </c>
      <c r="C8" s="672"/>
      <c r="D8" s="668"/>
      <c r="E8" s="668"/>
      <c r="F8" s="668"/>
      <c r="G8" s="668"/>
      <c r="H8" s="669"/>
      <c r="J8" s="198"/>
      <c r="M8" s="668"/>
      <c r="N8" s="87"/>
      <c r="O8" s="198"/>
      <c r="R8" s="87"/>
      <c r="S8" s="198"/>
      <c r="W8" s="87"/>
      <c r="Y8" s="667"/>
      <c r="Z8" s="668"/>
      <c r="AA8" s="668"/>
      <c r="AB8" s="668"/>
      <c r="AC8" s="668"/>
      <c r="AD8" s="669"/>
    </row>
    <row r="9" spans="1:32" x14ac:dyDescent="0.3">
      <c r="A9" s="678"/>
      <c r="B9" s="31" t="s">
        <v>1082</v>
      </c>
      <c r="C9" s="29">
        <f>'General input'!H57</f>
        <v>578203</v>
      </c>
      <c r="D9" s="29">
        <f>'General input'!C87*'General input'!H57</f>
        <v>0</v>
      </c>
      <c r="E9" s="29">
        <f>('Input summary'!M7/'Input summary'!$C$167)*(C9-D9)+('Input summary'!M7/'Input summary'!$C$167)*D9*(1-'Input summary'!F178)</f>
        <v>140457.07276000001</v>
      </c>
      <c r="F9" s="29">
        <f>('Input summary'!M34/'Input summary'!$C$168)*(C9-D9)+D9*(1-'Input summary'!F206)*('Input summary'!M34/'Input summary'!$C$169)</f>
        <v>39069.17671</v>
      </c>
      <c r="G9" s="29">
        <f>('Input summary'!M61/'Input summary'!$C$169)*(C9-D9)+D9*(1-'Input summary'!F206)*('Input summary'!M61/'Input summary'!$C$169)</f>
        <v>1728.8269700000001</v>
      </c>
      <c r="H9" s="602">
        <f>('Input summary'!M88/'Input summary'!$C$170)*(C9-D9)+D9*(1-'Input summary'!F234)*('Input summary'!M88/'Input summary'!$C$170)</f>
        <v>121.42263</v>
      </c>
      <c r="I9" s="29"/>
      <c r="J9" s="609">
        <f>$D9*'Input summary'!E322</f>
        <v>0</v>
      </c>
      <c r="K9" s="29">
        <f>D9*'Input summary'!E350</f>
        <v>0</v>
      </c>
      <c r="L9" s="29">
        <f>(F9)*'Input summary'!F433</f>
        <v>17208282.174197327</v>
      </c>
      <c r="M9" s="29">
        <f ca="1">$D9*(('Input summary'!C262/'Input summary'!$C$167)*'Input summary'!E378+('Input summary'!C289/'Input summary'!$C$167)*'Input summary'!E406)</f>
        <v>0</v>
      </c>
      <c r="N9" s="602">
        <f>G9*'Input summary'!F460</f>
        <v>23328699.963273633</v>
      </c>
      <c r="O9" s="609">
        <f>D9*'Input summary'!E490</f>
        <v>0</v>
      </c>
      <c r="P9" s="29">
        <f>(E9)*'Input summary'!F517</f>
        <v>11059712.045707408</v>
      </c>
      <c r="Q9" s="29">
        <f>(F9)*'Input summary'!F544</f>
        <v>2050893.9648950261</v>
      </c>
      <c r="R9" s="602">
        <f>G9*'Input summary'!F571</f>
        <v>431076.23999440001</v>
      </c>
      <c r="S9" s="609">
        <f>D9*'Input summary'!E601</f>
        <v>0</v>
      </c>
      <c r="T9" s="29">
        <f>(E9)*'Input summary'!F628</f>
        <v>32747807.367339645</v>
      </c>
      <c r="U9" s="29">
        <f>(F9)*'Input summary'!F655</f>
        <v>11711629.986533049</v>
      </c>
      <c r="V9" s="29">
        <f>G9*'Input summary'!F682</f>
        <v>537438.63015722879</v>
      </c>
      <c r="W9" s="602">
        <f>H9*'Input summary'!F709</f>
        <v>67212420.821915627</v>
      </c>
      <c r="X9" s="29"/>
      <c r="Y9" s="609">
        <f>(E9)*'Input summary'!F738*'Input summary'!C115+(E9)*'Input summary'!F765*(1-'Input summary'!C115)</f>
        <v>1597.7528602368175</v>
      </c>
      <c r="Z9" s="29">
        <f>(F9-G9*'Input summary'!E142)*'Input summary'!F738</f>
        <v>418.01598490660797</v>
      </c>
      <c r="AA9" s="29">
        <f>G9*('Input summary'!F765)</f>
        <v>63.966597890000003</v>
      </c>
      <c r="AB9" s="29">
        <f>H9*'Input summary'!G846</f>
        <v>1814.4871781958607</v>
      </c>
      <c r="AC9" s="29">
        <f ca="1">$D9*(('Input summary'!C262/'Input summary'!$C$167)*'Input summary'!E792+('Input summary'!C289/'Input summary'!$C$167)*'Input summary'!E819)</f>
        <v>0</v>
      </c>
      <c r="AD9" s="602">
        <f>H9*'Input summary'!E846</f>
        <v>2328.3961402495729</v>
      </c>
    </row>
    <row r="10" spans="1:32" x14ac:dyDescent="0.3">
      <c r="A10" s="678"/>
      <c r="B10" s="31" t="s">
        <v>1083</v>
      </c>
      <c r="C10" s="29">
        <f>'General input'!H58</f>
        <v>1156405</v>
      </c>
      <c r="D10" s="29">
        <f>'General input'!C88*'General input'!H58</f>
        <v>0</v>
      </c>
      <c r="E10" s="29">
        <f>('Input summary'!M8/'Input summary'!$C$167)*(C10-D10)+('Input summary'!M8/'Input summary'!$C$167)*D10*(1-'Input summary'!F179)</f>
        <v>280913.90259999997</v>
      </c>
      <c r="F10" s="29">
        <f>('Input summary'!M35/'Input summary'!$C$168)*(C10-D10)+D10*(1-'Input summary'!F207)*('Input summary'!M35/'Input summary'!$C$169)</f>
        <v>78138.28585</v>
      </c>
      <c r="G10" s="29">
        <f>('Input summary'!M62/'Input summary'!$C$169)*(C10-D10)+D10*(1-'Input summary'!F207)*('Input summary'!M62/'Input summary'!$C$169)</f>
        <v>3457.6509500000002</v>
      </c>
      <c r="H10" s="602">
        <f>('Input summary'!M89/'Input summary'!$C$170)*(C10-D10)+D10*(1-'Input summary'!F235)*('Input summary'!M89/'Input summary'!$C$170)</f>
        <v>242.84505000000001</v>
      </c>
      <c r="I10" s="29"/>
      <c r="J10" s="609">
        <f>$D10*'Input summary'!E323</f>
        <v>0</v>
      </c>
      <c r="K10" s="29">
        <f>D10*'Input summary'!E351</f>
        <v>0</v>
      </c>
      <c r="L10" s="29">
        <f>(F10)*'Input summary'!F434</f>
        <v>34416534.58673279</v>
      </c>
      <c r="M10" s="29">
        <f ca="1">$D10*(('Input summary'!C263/'Input summary'!$C$167)*'Input summary'!E379+('Input summary'!C290/'Input summary'!$C$167)*'Input summary'!E407)</f>
        <v>0</v>
      </c>
      <c r="N10" s="602">
        <f>G10*'Input summary'!F461</f>
        <v>46657359.579644948</v>
      </c>
      <c r="O10" s="609">
        <f>D10*'Input summary'!E491</f>
        <v>0</v>
      </c>
      <c r="P10" s="29">
        <f>(E10)*'Input summary'!F518</f>
        <v>22119404.963682778</v>
      </c>
      <c r="Q10" s="29">
        <f>(F10)*'Input summary'!F545</f>
        <v>4101784.3827763475</v>
      </c>
      <c r="R10" s="602">
        <f>G10*'Input summary'!F572</f>
        <v>862151.73444400006</v>
      </c>
      <c r="S10" s="609">
        <f>D10*'Input summary'!E602</f>
        <v>0</v>
      </c>
      <c r="T10" s="29">
        <f>(E10)*'Input summary'!F629</f>
        <v>65495558.097464725</v>
      </c>
      <c r="U10" s="29">
        <f>(F10)*'Input summary'!F656</f>
        <v>23423239.717844337</v>
      </c>
      <c r="V10" s="29">
        <f>G10*'Input summary'!F683</f>
        <v>1074876.330816288</v>
      </c>
      <c r="W10" s="602">
        <f>H10*'Input summary'!F710</f>
        <v>135641730.77736419</v>
      </c>
      <c r="X10" s="29"/>
      <c r="Y10" s="609">
        <f>(E10)*'Input summary'!F739</f>
        <v>3090.0529285999996</v>
      </c>
      <c r="Z10" s="29">
        <f>(F10-G10*'Input summary'!E143)*'Input summary'!F739</f>
        <v>841.20008926123489</v>
      </c>
      <c r="AA10" s="29">
        <f>G10*('Input summary'!F766)</f>
        <v>127.93308515</v>
      </c>
      <c r="AB10" s="29">
        <f>H10*'Input summary'!G847</f>
        <v>3639.8353388752212</v>
      </c>
      <c r="AC10" s="29">
        <f ca="1">$D10*(('Input summary'!C263/'Input summary'!$C$167)*'Input summary'!E793+('Input summary'!C290/'Input summary'!$C$167)*'Input summary'!E820)</f>
        <v>0</v>
      </c>
      <c r="AD10" s="602">
        <f>H10*'Input summary'!E847</f>
        <v>4698.9481785754415</v>
      </c>
    </row>
    <row r="11" spans="1:32" x14ac:dyDescent="0.3">
      <c r="A11" s="678"/>
      <c r="B11" s="31" t="s">
        <v>1084</v>
      </c>
      <c r="C11" s="29">
        <f>'General input'!H59</f>
        <v>3469216</v>
      </c>
      <c r="D11" s="29">
        <f>'General input'!C89*'General input'!H59</f>
        <v>0</v>
      </c>
      <c r="E11" s="29">
        <f>('Input summary'!M9/'Input summary'!$C$167)*(C11-D11)+('Input summary'!M9/'Input summary'!$C$167)*D11*(1-'Input summary'!F180)</f>
        <v>842741.95071999996</v>
      </c>
      <c r="F11" s="29">
        <f>('Input summary'!M36/'Input summary'!$C$168)*(C11-D11)+D11*(1-'Input summary'!F208)*('Input summary'!M36/'Input summary'!$C$169)</f>
        <v>234414.92512000003</v>
      </c>
      <c r="G11" s="29">
        <f>('Input summary'!M63/'Input summary'!$C$169)*(C11-D11)+D11*(1-'Input summary'!F208)*('Input summary'!M63/'Input summary'!$C$169)</f>
        <v>10372.955840000001</v>
      </c>
      <c r="H11" s="602">
        <f>('Input summary'!M90/'Input summary'!$C$170)*(C11-D11)+D11*(1-'Input summary'!F236)*('Input summary'!M90/'Input summary'!$C$170)</f>
        <v>728.53536000000008</v>
      </c>
      <c r="I11" s="29"/>
      <c r="J11" s="609">
        <f>$D11*'Input summary'!E324</f>
        <v>0</v>
      </c>
      <c r="K11" s="29">
        <f>D11*'Input summary'!E352</f>
        <v>0</v>
      </c>
      <c r="L11" s="29">
        <f>(F11)*'Input summary'!F435</f>
        <v>103249633.52186026</v>
      </c>
      <c r="M11" s="29">
        <f ca="1">$D11*(('Input summary'!C264/'Input summary'!$C$167)*'Input summary'!E380+('Input summary'!C291/'Input summary'!$C$167)*'Input summary'!E408)</f>
        <v>0</v>
      </c>
      <c r="N11" s="602">
        <f>G11*'Input summary'!F462</f>
        <v>139972119.08583716</v>
      </c>
      <c r="O11" s="609">
        <f>D11*'Input summary'!E492</f>
        <v>0</v>
      </c>
      <c r="P11" s="29">
        <f>(E11)*'Input summary'!F519</f>
        <v>66358234.018780373</v>
      </c>
      <c r="Q11" s="29">
        <f>(F11)*'Input summary'!F546</f>
        <v>12305356.695342749</v>
      </c>
      <c r="R11" s="602">
        <f>G11*'Input summary'!F573</f>
        <v>2586455.9488768</v>
      </c>
      <c r="S11" s="609">
        <f>D11*'Input summary'!E603</f>
        <v>0</v>
      </c>
      <c r="T11" s="29">
        <f>(E11)*'Input summary'!F630</f>
        <v>196486730.92960873</v>
      </c>
      <c r="U11" s="29">
        <f>(F11)*'Input summary'!F657</f>
        <v>70269739.408754781</v>
      </c>
      <c r="V11" s="29">
        <f>G11*'Input summary'!F684</f>
        <v>3224629.9219470336</v>
      </c>
      <c r="W11" s="602">
        <f>H11*'Input summary'!F711</f>
        <v>405834267.86698151</v>
      </c>
      <c r="X11" s="29"/>
      <c r="Y11" s="609">
        <f>(E11)*'Input summary'!F740</f>
        <v>9270.1614579199995</v>
      </c>
      <c r="Z11" s="29">
        <f>(F11-G11*'Input summary'!E144)*'Input summary'!F740</f>
        <v>2523.6009952105924</v>
      </c>
      <c r="AA11" s="29">
        <f>G11*('Input summary'!F767)</f>
        <v>383.79936608000003</v>
      </c>
      <c r="AB11" s="29">
        <f>H11*'Input summary'!G848</f>
        <v>10806.128749439211</v>
      </c>
      <c r="AC11" s="29">
        <f ca="1">$D11*(('Input summary'!C264/'Input summary'!$C$167)*'Input summary'!E794+('Input summary'!C291/'Input summary'!$C$167)*'Input summary'!E821)</f>
        <v>0</v>
      </c>
      <c r="AD11" s="602">
        <f>H11*'Input summary'!E848</f>
        <v>14059.052349657048</v>
      </c>
    </row>
    <row r="12" spans="1:32" x14ac:dyDescent="0.3">
      <c r="A12" s="678"/>
      <c r="B12" s="31" t="s">
        <v>1085</v>
      </c>
      <c r="C12" s="29">
        <f>'General input'!H60</f>
        <v>0</v>
      </c>
      <c r="D12" s="29">
        <f>'General input'!C90*'General input'!H60</f>
        <v>0</v>
      </c>
      <c r="E12" s="29">
        <f>('Input summary'!M10/'Input summary'!$C$167)*(C12-D12)+('Input summary'!M10/'Input summary'!$C$167)*D12*(1-'Input summary'!F181)</f>
        <v>0</v>
      </c>
      <c r="F12" s="29">
        <f>('Input summary'!M37/'Input summary'!$C$168)*(C12-D12)+D12*(1-'Input summary'!F209)*('Input summary'!M37/'Input summary'!$C$169)</f>
        <v>0</v>
      </c>
      <c r="G12" s="29">
        <f>('Input summary'!M64/'Input summary'!$C$169)*(C12-D12)+D12*(1-'Input summary'!F209)*('Input summary'!M64/'Input summary'!$C$169)</f>
        <v>0</v>
      </c>
      <c r="H12" s="602">
        <f>('Input summary'!M91/'Input summary'!$C$170)*(C12-D12)+D12*(1-'Input summary'!F237)*('Input summary'!M91/'Input summary'!$C$170)</f>
        <v>0</v>
      </c>
      <c r="I12" s="29"/>
      <c r="J12" s="609">
        <f>$D12*'Input summary'!E325</f>
        <v>0</v>
      </c>
      <c r="K12" s="29">
        <f>D12*'Input summary'!E353</f>
        <v>0</v>
      </c>
      <c r="L12" s="29">
        <f>(F12)*'Input summary'!F436</f>
        <v>0</v>
      </c>
      <c r="M12" s="29">
        <f ca="1">$D12*(('Input summary'!C265/'Input summary'!$C$167)*'Input summary'!E381+('Input summary'!C292/'Input summary'!$C$167)*'Input summary'!E409)</f>
        <v>0</v>
      </c>
      <c r="N12" s="602">
        <f>G12*'Input summary'!F463</f>
        <v>0</v>
      </c>
      <c r="O12" s="609">
        <f>D12*'Input summary'!E493</f>
        <v>0</v>
      </c>
      <c r="P12" s="29">
        <f>(E12)*'Input summary'!F520</f>
        <v>0</v>
      </c>
      <c r="Q12" s="29">
        <f>(F12)*'Input summary'!F547</f>
        <v>0</v>
      </c>
      <c r="R12" s="602">
        <f>G12*'Input summary'!F574</f>
        <v>0</v>
      </c>
      <c r="S12" s="609">
        <f>D12*'Input summary'!E604</f>
        <v>0</v>
      </c>
      <c r="T12" s="29">
        <f>(E12)*'Input summary'!F631</f>
        <v>0</v>
      </c>
      <c r="U12" s="29">
        <f>(F12)*'Input summary'!F658</f>
        <v>0</v>
      </c>
      <c r="V12" s="29">
        <f>G12*'Input summary'!F685</f>
        <v>0</v>
      </c>
      <c r="W12" s="602">
        <f>H12*'Input summary'!F712</f>
        <v>0</v>
      </c>
      <c r="X12" s="29"/>
      <c r="Y12" s="609">
        <f>(E12)*'Input summary'!F741</f>
        <v>0</v>
      </c>
      <c r="Z12" s="29">
        <f>(F12-G12*'Input summary'!E145)*'Input summary'!F741</f>
        <v>0</v>
      </c>
      <c r="AA12" s="29">
        <f>G12*('Input summary'!F768)</f>
        <v>0</v>
      </c>
      <c r="AB12" s="29">
        <f>H12*'Input summary'!G849</f>
        <v>0</v>
      </c>
      <c r="AC12" s="29">
        <f ca="1">$D12*(('Input summary'!C265/'Input summary'!$C$167)*'Input summary'!E795+('Input summary'!C292/'Input summary'!$C$167)*'Input summary'!E822)</f>
        <v>0</v>
      </c>
      <c r="AD12" s="602">
        <f>H12*'Input summary'!E849</f>
        <v>0</v>
      </c>
    </row>
    <row r="13" spans="1:32" x14ac:dyDescent="0.3">
      <c r="A13" s="678"/>
      <c r="B13" s="31" t="s">
        <v>1086</v>
      </c>
      <c r="C13" s="29">
        <f>'General input'!H61</f>
        <v>0</v>
      </c>
      <c r="D13" s="29">
        <f>'General input'!C91*'General input'!H61</f>
        <v>0</v>
      </c>
      <c r="E13" s="29">
        <f>('Input summary'!M11/'Input summary'!$C$167)*(C13-D13)+('Input summary'!M11/'Input summary'!$C$167)*D13*(1-'Input summary'!F182)</f>
        <v>0</v>
      </c>
      <c r="F13" s="29">
        <f>('Input summary'!M38/'Input summary'!$C$168)*(C13-D13)+D13*(1-'Input summary'!F210)*('Input summary'!M38/'Input summary'!$C$169)</f>
        <v>0</v>
      </c>
      <c r="G13" s="29">
        <f>('Input summary'!M65/'Input summary'!$C$169)*(C13-D13)+D13*(1-'Input summary'!F210)*('Input summary'!M65/'Input summary'!$C$169)</f>
        <v>0</v>
      </c>
      <c r="H13" s="602">
        <f>('Input summary'!M92/'Input summary'!$C$170)*(C13-D13)+D13*(1-'Input summary'!F238)*('Input summary'!M92/'Input summary'!$C$170)</f>
        <v>0</v>
      </c>
      <c r="I13" s="29"/>
      <c r="J13" s="609">
        <f>$D13*'Input summary'!E326</f>
        <v>0</v>
      </c>
      <c r="K13" s="29">
        <f>D13*'Input summary'!E354</f>
        <v>0</v>
      </c>
      <c r="L13" s="29">
        <f>(F13)*'Input summary'!F437</f>
        <v>0</v>
      </c>
      <c r="M13" s="29">
        <f ca="1">$D13*(('Input summary'!C266/'Input summary'!$C$167)*'Input summary'!E382+('Input summary'!C293/'Input summary'!$C$167)*'Input summary'!E410)</f>
        <v>0</v>
      </c>
      <c r="N13" s="602">
        <f>G13*'Input summary'!F464</f>
        <v>0</v>
      </c>
      <c r="O13" s="609">
        <f>D13*'Input summary'!E494</f>
        <v>0</v>
      </c>
      <c r="P13" s="29">
        <f>(E13)*'Input summary'!F521</f>
        <v>0</v>
      </c>
      <c r="Q13" s="29">
        <f>(F13)*'Input summary'!F548</f>
        <v>0</v>
      </c>
      <c r="R13" s="602">
        <f>G13*'Input summary'!F575</f>
        <v>0</v>
      </c>
      <c r="S13" s="609">
        <f>D13*'Input summary'!E605</f>
        <v>0</v>
      </c>
      <c r="T13" s="29">
        <f>(E13)*'Input summary'!F632</f>
        <v>0</v>
      </c>
      <c r="U13" s="29">
        <f>(F13)*'Input summary'!F659</f>
        <v>0</v>
      </c>
      <c r="V13" s="29">
        <f>G13*'Input summary'!F686</f>
        <v>0</v>
      </c>
      <c r="W13" s="602">
        <f>H13*'Input summary'!F713</f>
        <v>0</v>
      </c>
      <c r="X13" s="29"/>
      <c r="Y13" s="609">
        <f>(E13)*'Input summary'!F742</f>
        <v>0</v>
      </c>
      <c r="Z13" s="29">
        <f>(F13-G13*'Input summary'!E146)*'Input summary'!F742</f>
        <v>0</v>
      </c>
      <c r="AA13" s="29">
        <f>G13*('Input summary'!F769)</f>
        <v>0</v>
      </c>
      <c r="AB13" s="29">
        <f>H13*'Input summary'!G850</f>
        <v>0</v>
      </c>
      <c r="AC13" s="29">
        <f ca="1">$D13*(('Input summary'!C266/'Input summary'!$C$167)*'Input summary'!E796+('Input summary'!C293/'Input summary'!$C$167)*'Input summary'!E823)</f>
        <v>0</v>
      </c>
      <c r="AD13" s="602">
        <f>H13*'Input summary'!E850</f>
        <v>0</v>
      </c>
    </row>
    <row r="14" spans="1:32" x14ac:dyDescent="0.3">
      <c r="A14" s="678"/>
      <c r="B14" s="31" t="s">
        <v>1087</v>
      </c>
      <c r="C14" s="29">
        <f>'General input'!H62</f>
        <v>0</v>
      </c>
      <c r="D14" s="29">
        <f>'General input'!C92*'General input'!H62</f>
        <v>0</v>
      </c>
      <c r="E14" s="29">
        <f>('Input summary'!M12/'Input summary'!$C$167)*(C14-D14)+('Input summary'!M12/'Input summary'!$C$167)*D14*(1-'Input summary'!F183)</f>
        <v>0</v>
      </c>
      <c r="F14" s="29">
        <f>('Input summary'!M39/'Input summary'!$C$168)*(C14-D14)+D14*(1-'Input summary'!F211)*('Input summary'!M39/'Input summary'!$C$169)</f>
        <v>0</v>
      </c>
      <c r="G14" s="29">
        <f>('Input summary'!M66/'Input summary'!$C$169)*(C14-D14)+D14*(1-'Input summary'!F211)*('Input summary'!M66/'Input summary'!$C$169)</f>
        <v>0</v>
      </c>
      <c r="H14" s="602">
        <f>('Input summary'!M93/'Input summary'!$C$170)*(C14-D14)+D14*(1-'Input summary'!F239)*('Input summary'!M93/'Input summary'!$C$170)</f>
        <v>0</v>
      </c>
      <c r="I14" s="29"/>
      <c r="J14" s="609">
        <f>$D14*'Input summary'!E327</f>
        <v>0</v>
      </c>
      <c r="K14" s="29">
        <f>D14*'Input summary'!E355</f>
        <v>0</v>
      </c>
      <c r="L14" s="29">
        <f>(F14)*'Input summary'!F438</f>
        <v>0</v>
      </c>
      <c r="M14" s="29">
        <f ca="1">$D14*(('Input summary'!C267/'Input summary'!$C$167)*'Input summary'!E383+('Input summary'!C294/'Input summary'!$C$167)*'Input summary'!E411)</f>
        <v>0</v>
      </c>
      <c r="N14" s="602">
        <f>G14*'Input summary'!F465</f>
        <v>0</v>
      </c>
      <c r="O14" s="609">
        <f>D14*'Input summary'!E495</f>
        <v>0</v>
      </c>
      <c r="P14" s="29">
        <f>(E14)*'Input summary'!F522</f>
        <v>0</v>
      </c>
      <c r="Q14" s="29">
        <f>(F14)*'Input summary'!F549</f>
        <v>0</v>
      </c>
      <c r="R14" s="602">
        <f>G14*'Input summary'!F576</f>
        <v>0</v>
      </c>
      <c r="S14" s="609">
        <f>D14*'Input summary'!E606</f>
        <v>0</v>
      </c>
      <c r="T14" s="29">
        <f>(E14)*'Input summary'!F633</f>
        <v>0</v>
      </c>
      <c r="U14" s="29">
        <f>(F14)*'Input summary'!F660</f>
        <v>0</v>
      </c>
      <c r="V14" s="29">
        <f>G14*'Input summary'!F687</f>
        <v>0</v>
      </c>
      <c r="W14" s="602">
        <f>H14*'Input summary'!F714</f>
        <v>0</v>
      </c>
      <c r="X14" s="29"/>
      <c r="Y14" s="609">
        <f>(E14)*'Input summary'!F743</f>
        <v>0</v>
      </c>
      <c r="Z14" s="29">
        <f>(F14-G14*'Input summary'!E147)*'Input summary'!F743</f>
        <v>0</v>
      </c>
      <c r="AA14" s="29">
        <f>G14*('Input summary'!F770)</f>
        <v>0</v>
      </c>
      <c r="AB14" s="29">
        <f>H14*'Input summary'!G851</f>
        <v>0</v>
      </c>
      <c r="AC14" s="29">
        <f ca="1">$D14*(('Input summary'!C267/'Input summary'!$C$167)*'Input summary'!E797+('Input summary'!C294/'Input summary'!$C$167)*'Input summary'!E824)</f>
        <v>0</v>
      </c>
      <c r="AD14" s="602">
        <f>H14*'Input summary'!E851</f>
        <v>0</v>
      </c>
    </row>
    <row r="15" spans="1:32" x14ac:dyDescent="0.3">
      <c r="A15" s="678"/>
      <c r="B15" s="31" t="s">
        <v>1443</v>
      </c>
      <c r="C15" s="29">
        <f>'General input'!H63</f>
        <v>0</v>
      </c>
      <c r="D15" s="29">
        <f>'General input'!C93*'General input'!H63</f>
        <v>0</v>
      </c>
      <c r="E15" s="29">
        <f>('Input summary'!M13/'Input summary'!$C$167)*(C15-D15)+('Input summary'!M13/'Input summary'!$C$167)*D15*(1-'Input summary'!F184)</f>
        <v>0</v>
      </c>
      <c r="F15" s="29">
        <f>('Input summary'!M40/'Input summary'!$C$168)*(C15-D15)+D15*(1-'Input summary'!F212)*('Input summary'!M40/'Input summary'!$C$169)</f>
        <v>0</v>
      </c>
      <c r="G15" s="29">
        <f>('Input summary'!M67/'Input summary'!$C$169)*(C15-D15)+D15*(1-'Input summary'!F212)*('Input summary'!M67/'Input summary'!$C$169)</f>
        <v>0</v>
      </c>
      <c r="H15" s="602">
        <f>('Input summary'!M94/'Input summary'!$C$170)*(C15-D15)+D15*(1-'Input summary'!F240)*('Input summary'!M94/'Input summary'!$C$170)</f>
        <v>0</v>
      </c>
      <c r="I15" s="29"/>
      <c r="J15" s="609">
        <f>$D15*'Input summary'!E328</f>
        <v>0</v>
      </c>
      <c r="K15" s="29">
        <f>D15*'Input summary'!E356</f>
        <v>0</v>
      </c>
      <c r="L15" s="29">
        <f>(F15)*'Input summary'!F439</f>
        <v>0</v>
      </c>
      <c r="M15" s="29">
        <f ca="1">$D15*(('Input summary'!C268/'Input summary'!$C$167)*'Input summary'!E384+('Input summary'!C295/'Input summary'!$C$167)*'Input summary'!E412)</f>
        <v>0</v>
      </c>
      <c r="N15" s="602">
        <f>G15*'Input summary'!F466</f>
        <v>0</v>
      </c>
      <c r="O15" s="609">
        <f>D15*'Input summary'!E496</f>
        <v>0</v>
      </c>
      <c r="P15" s="29">
        <f>(E15)*'Input summary'!F523</f>
        <v>0</v>
      </c>
      <c r="Q15" s="29">
        <f>(F15)*'Input summary'!F550</f>
        <v>0</v>
      </c>
      <c r="R15" s="602">
        <f>G15*'Input summary'!F577</f>
        <v>0</v>
      </c>
      <c r="S15" s="609">
        <f>D15*'Input summary'!E607</f>
        <v>0</v>
      </c>
      <c r="T15" s="29">
        <f>(E15)*'Input summary'!F634</f>
        <v>0</v>
      </c>
      <c r="U15" s="29">
        <f>(F15)*'Input summary'!F661</f>
        <v>0</v>
      </c>
      <c r="V15" s="29">
        <f>G15*'Input summary'!F688</f>
        <v>0</v>
      </c>
      <c r="W15" s="602">
        <f>H15*'Input summary'!F715</f>
        <v>0</v>
      </c>
      <c r="X15" s="29"/>
      <c r="Y15" s="609">
        <f>(E15)*'Input summary'!F744</f>
        <v>0</v>
      </c>
      <c r="Z15" s="29">
        <f>(F15-G15*'Input summary'!E148)*'Input summary'!F744</f>
        <v>0</v>
      </c>
      <c r="AA15" s="29">
        <f>G15*('Input summary'!F771)</f>
        <v>0</v>
      </c>
      <c r="AB15" s="29">
        <f>H15*'Input summary'!G852</f>
        <v>0</v>
      </c>
      <c r="AC15" s="29">
        <f ca="1">$D15*(('Input summary'!C268/'Input summary'!$C$167)*'Input summary'!E798+('Input summary'!C295/'Input summary'!$C$167)*'Input summary'!E825)</f>
        <v>0</v>
      </c>
      <c r="AD15" s="602">
        <f>H15*'Input summary'!E852</f>
        <v>0</v>
      </c>
    </row>
    <row r="16" spans="1:32" x14ac:dyDescent="0.3">
      <c r="A16" s="678"/>
      <c r="B16" s="315" t="s">
        <v>1444</v>
      </c>
      <c r="E16" s="29"/>
      <c r="F16" s="29"/>
      <c r="G16" s="29"/>
      <c r="H16" s="602"/>
      <c r="J16" s="198"/>
      <c r="N16" s="87"/>
      <c r="O16" s="198"/>
      <c r="R16" s="87"/>
      <c r="S16" s="198"/>
      <c r="W16" s="87"/>
      <c r="Y16" s="198"/>
      <c r="AC16" s="29"/>
      <c r="AD16" s="87"/>
    </row>
    <row r="17" spans="1:30" ht="17.399999999999999" customHeight="1" x14ac:dyDescent="0.3">
      <c r="A17" s="678"/>
      <c r="B17" s="31" t="s">
        <v>1082</v>
      </c>
      <c r="C17" s="29">
        <f>'General input'!H65</f>
        <v>0</v>
      </c>
      <c r="D17" s="29">
        <f>'General input'!C95*'General input'!H65</f>
        <v>0</v>
      </c>
      <c r="E17" s="29">
        <f>('Input summary'!M15/'Input summary'!$C$167)*(C17-D17)+('Input summary'!M15/'Input summary'!$C$167)*D17*(1-'Input summary'!F186)</f>
        <v>0</v>
      </c>
      <c r="F17" s="29">
        <f>('Input summary'!M42/'Input summary'!$C$168)*(C17-D17)+D17*(1-'Input summary'!F214)*('Input summary'!M42/'Input summary'!$C$169)</f>
        <v>0</v>
      </c>
      <c r="G17" s="29">
        <f>('Input summary'!M69/'Input summary'!$C$169)*(C17-D17)+D17*(1-'Input summary'!F214)*('Input summary'!M69/'Input summary'!$C$169)</f>
        <v>0</v>
      </c>
      <c r="H17" s="602">
        <f>('Input summary'!M96/'Input summary'!$C$170)*(C17-D17)+D17*(1-'Input summary'!F242)*('Input summary'!M96/'Input summary'!$C$170)</f>
        <v>0</v>
      </c>
      <c r="I17" s="29"/>
      <c r="J17" s="609">
        <f>$D17*'Input summary'!E330</f>
        <v>0</v>
      </c>
      <c r="K17" s="29">
        <f>D17*'Input summary'!E358</f>
        <v>0</v>
      </c>
      <c r="L17" s="29">
        <f>(F17)*'Input summary'!F441</f>
        <v>0</v>
      </c>
      <c r="M17" s="29">
        <f ca="1">$D17*(('Input summary'!C270/'Input summary'!$C$167)*'Input summary'!E386+('Input summary'!C297/'Input summary'!$C$167)*'Input summary'!E414)</f>
        <v>0</v>
      </c>
      <c r="N17" s="602">
        <f>G17*'Input summary'!F468</f>
        <v>0</v>
      </c>
      <c r="O17" s="609">
        <f>D17*'Input summary'!E498</f>
        <v>0</v>
      </c>
      <c r="P17" s="29">
        <f>(E17)*'Input summary'!F525</f>
        <v>0</v>
      </c>
      <c r="Q17" s="29">
        <f>(F17)*'Input summary'!F552</f>
        <v>0</v>
      </c>
      <c r="R17" s="602">
        <f>G17*'Input summary'!F579</f>
        <v>0</v>
      </c>
      <c r="S17" s="609">
        <f>D17*'Input summary'!E609</f>
        <v>0</v>
      </c>
      <c r="T17" s="29">
        <f>(E17)*'Input summary'!F636</f>
        <v>0</v>
      </c>
      <c r="U17" s="29">
        <f>(F17)*'Input summary'!F663</f>
        <v>0</v>
      </c>
      <c r="V17" s="29">
        <f>G17*'Input summary'!F690</f>
        <v>0</v>
      </c>
      <c r="W17" s="602">
        <f>H17*'Input summary'!F717</f>
        <v>0</v>
      </c>
      <c r="X17" s="29"/>
      <c r="Y17" s="609">
        <f>(E17)*'Input summary'!F746</f>
        <v>0</v>
      </c>
      <c r="Z17" s="29">
        <f>(F17-G17*'Input summary'!E150)*'Input summary'!F746</f>
        <v>0</v>
      </c>
      <c r="AA17" s="29">
        <f>G17*('Input summary'!F773)</f>
        <v>0</v>
      </c>
      <c r="AB17" s="29">
        <f>H17*'Input summary'!G854</f>
        <v>0</v>
      </c>
      <c r="AC17" s="29">
        <f ca="1">$D17*(('Input summary'!C270/'Input summary'!$C$167)*'Input summary'!E800+('Input summary'!C297/'Input summary'!$C$167)*'Input summary'!E827)</f>
        <v>0</v>
      </c>
      <c r="AD17" s="602">
        <f>H17*'Input summary'!E854</f>
        <v>0</v>
      </c>
    </row>
    <row r="18" spans="1:30" x14ac:dyDescent="0.3">
      <c r="A18" s="678"/>
      <c r="B18" s="31" t="s">
        <v>1083</v>
      </c>
      <c r="C18" s="29">
        <f>'General input'!H66</f>
        <v>0</v>
      </c>
      <c r="D18" s="29">
        <f>'General input'!C96*'General input'!H66</f>
        <v>0</v>
      </c>
      <c r="E18" s="29">
        <f>('Input summary'!M16/'Input summary'!$C$167)*(C18-D18)+('Input summary'!M16/'Input summary'!$C$167)*D18*(1-'Input summary'!F187)</f>
        <v>0</v>
      </c>
      <c r="F18" s="29">
        <f>('Input summary'!M43/'Input summary'!$C$168)*(C18-D18)+D18*(1-'Input summary'!F215)*('Input summary'!M43/'Input summary'!$C$169)</f>
        <v>0</v>
      </c>
      <c r="G18" s="29">
        <f>('Input summary'!M70/'Input summary'!$C$169)*(C18-D18)+D18*(1-'Input summary'!F215)*('Input summary'!M70/'Input summary'!$C$169)</f>
        <v>0</v>
      </c>
      <c r="H18" s="602">
        <f>('Input summary'!M97/'Input summary'!$C$170)*(C18-D18)+D18*(1-'Input summary'!F243)*('Input summary'!M97/'Input summary'!$C$170)</f>
        <v>0</v>
      </c>
      <c r="I18" s="29"/>
      <c r="J18" s="609">
        <f>$D18*'Input summary'!E331</f>
        <v>0</v>
      </c>
      <c r="K18" s="29">
        <f>D18*'Input summary'!E359</f>
        <v>0</v>
      </c>
      <c r="L18" s="29">
        <f>(F18)*'Input summary'!F442</f>
        <v>0</v>
      </c>
      <c r="M18" s="29">
        <f ca="1">$D18*(('Input summary'!C271/'Input summary'!$C$167)*'Input summary'!E387+('Input summary'!C298/'Input summary'!$C$167)*'Input summary'!E415)</f>
        <v>0</v>
      </c>
      <c r="N18" s="602">
        <f>G18*'Input summary'!F469</f>
        <v>0</v>
      </c>
      <c r="O18" s="609">
        <f>D18*'Input summary'!E499</f>
        <v>0</v>
      </c>
      <c r="P18" s="29">
        <f>(E18)*'Input summary'!F526</f>
        <v>0</v>
      </c>
      <c r="Q18" s="29">
        <f>(F18)*'Input summary'!F553</f>
        <v>0</v>
      </c>
      <c r="R18" s="602">
        <f>G18*'Input summary'!F580</f>
        <v>0</v>
      </c>
      <c r="S18" s="609">
        <f>D18*'Input summary'!E610</f>
        <v>0</v>
      </c>
      <c r="T18" s="29">
        <f>(E18)*'Input summary'!F637</f>
        <v>0</v>
      </c>
      <c r="U18" s="29">
        <f>(F18)*'Input summary'!F664</f>
        <v>0</v>
      </c>
      <c r="V18" s="29">
        <f>G18*'Input summary'!F691</f>
        <v>0</v>
      </c>
      <c r="W18" s="602">
        <f>H18*'Input summary'!F718</f>
        <v>0</v>
      </c>
      <c r="X18" s="29"/>
      <c r="Y18" s="609">
        <f>(E18)*'Input summary'!F747</f>
        <v>0</v>
      </c>
      <c r="Z18" s="29">
        <f>(F18-G18*'Input summary'!E151)*'Input summary'!F747</f>
        <v>0</v>
      </c>
      <c r="AA18" s="29">
        <f>G18*('Input summary'!F774)</f>
        <v>0</v>
      </c>
      <c r="AB18" s="29">
        <f>H18*'Input summary'!G855</f>
        <v>0</v>
      </c>
      <c r="AC18" s="29">
        <f ca="1">$D18*(('Input summary'!C271/'Input summary'!$C$167)*'Input summary'!E801+('Input summary'!C298/'Input summary'!$C$167)*'Input summary'!E828)</f>
        <v>0</v>
      </c>
      <c r="AD18" s="602">
        <f>H18*'Input summary'!E855</f>
        <v>0</v>
      </c>
    </row>
    <row r="19" spans="1:30" x14ac:dyDescent="0.3">
      <c r="A19" s="678"/>
      <c r="B19" s="31" t="s">
        <v>1084</v>
      </c>
      <c r="C19" s="29">
        <f>'General input'!H67</f>
        <v>0</v>
      </c>
      <c r="D19" s="29">
        <f>'General input'!C97*'General input'!H67</f>
        <v>0</v>
      </c>
      <c r="E19" s="29">
        <f>('Input summary'!M17/'Input summary'!$C$167)*(C19-D19)+('Input summary'!M17/'Input summary'!$C$167)*D19*(1-'Input summary'!F188)</f>
        <v>0</v>
      </c>
      <c r="F19" s="29">
        <f>('Input summary'!M44/'Input summary'!$C$168)*(C19-D19)+D19*(1-'Input summary'!F216)*('Input summary'!M44/'Input summary'!$C$169)</f>
        <v>0</v>
      </c>
      <c r="G19" s="29">
        <f>('Input summary'!M71/'Input summary'!$C$169)*(C19-D19)+D19*(1-'Input summary'!F216)*('Input summary'!M71/'Input summary'!$C$169)</f>
        <v>0</v>
      </c>
      <c r="H19" s="602">
        <f>('Input summary'!M98/'Input summary'!$C$170)*(C19-D19)+D19*(1-'Input summary'!F244)*('Input summary'!M98/'Input summary'!$C$170)</f>
        <v>0</v>
      </c>
      <c r="I19" s="29"/>
      <c r="J19" s="609">
        <f>$D19*'Input summary'!E332</f>
        <v>0</v>
      </c>
      <c r="K19" s="29">
        <f>D19*'Input summary'!E360</f>
        <v>0</v>
      </c>
      <c r="L19" s="29">
        <f>(F19)*'Input summary'!F443</f>
        <v>0</v>
      </c>
      <c r="M19" s="29">
        <f ca="1">$D19*(('Input summary'!C272/'Input summary'!$C$167)*'Input summary'!E388+('Input summary'!C299/'Input summary'!$C$167)*'Input summary'!E416)</f>
        <v>0</v>
      </c>
      <c r="N19" s="602">
        <f>G19*'Input summary'!F470</f>
        <v>0</v>
      </c>
      <c r="O19" s="609">
        <f>D19*'Input summary'!E500</f>
        <v>0</v>
      </c>
      <c r="P19" s="29">
        <f>(E19)*'Input summary'!F527</f>
        <v>0</v>
      </c>
      <c r="Q19" s="29">
        <f>(F19)*'Input summary'!F554</f>
        <v>0</v>
      </c>
      <c r="R19" s="602">
        <f>G19*'Input summary'!F581</f>
        <v>0</v>
      </c>
      <c r="S19" s="609">
        <f>D19*'Input summary'!E611</f>
        <v>0</v>
      </c>
      <c r="T19" s="29">
        <f>(E19)*'Input summary'!F638</f>
        <v>0</v>
      </c>
      <c r="U19" s="29">
        <f>(F19)*'Input summary'!F665</f>
        <v>0</v>
      </c>
      <c r="V19" s="29">
        <f>G19*'Input summary'!F692</f>
        <v>0</v>
      </c>
      <c r="W19" s="602">
        <f>H19*'Input summary'!F719</f>
        <v>0</v>
      </c>
      <c r="X19" s="29"/>
      <c r="Y19" s="609">
        <f>(E19)*'Input summary'!F748</f>
        <v>0</v>
      </c>
      <c r="Z19" s="29">
        <f>(F19-G19*'Input summary'!E152)*'Input summary'!F748</f>
        <v>0</v>
      </c>
      <c r="AA19" s="29">
        <f>G19*('Input summary'!F775)</f>
        <v>0</v>
      </c>
      <c r="AB19" s="29">
        <f>H19*'Input summary'!G856</f>
        <v>0</v>
      </c>
      <c r="AC19" s="29">
        <f ca="1">$D19*(('Input summary'!C272/'Input summary'!$C$167)*'Input summary'!E802+('Input summary'!C299/'Input summary'!$C$167)*'Input summary'!E829)</f>
        <v>0</v>
      </c>
      <c r="AD19" s="602">
        <f>H19*'Input summary'!E856</f>
        <v>0</v>
      </c>
    </row>
    <row r="20" spans="1:30" x14ac:dyDescent="0.3">
      <c r="A20" s="678"/>
      <c r="B20" s="31" t="s">
        <v>1085</v>
      </c>
      <c r="C20" s="29">
        <f>'General input'!H68</f>
        <v>0</v>
      </c>
      <c r="D20" s="29">
        <f>'General input'!C98*'General input'!H68</f>
        <v>0</v>
      </c>
      <c r="E20" s="29">
        <f>('Input summary'!M18/'Input summary'!$C$167)*(C20-D20)+('Input summary'!M18/'Input summary'!$C$167)*D20*(1-'Input summary'!F189)</f>
        <v>0</v>
      </c>
      <c r="F20" s="29">
        <f>('Input summary'!M45/'Input summary'!$C$168)*(C20-D20)+D20*(1-'Input summary'!F217)*('Input summary'!M45/'Input summary'!$C$169)</f>
        <v>0</v>
      </c>
      <c r="G20" s="29">
        <f>('Input summary'!M72/'Input summary'!$C$169)*(C20-D20)+D20*(1-'Input summary'!F217)*('Input summary'!M72/'Input summary'!$C$169)</f>
        <v>0</v>
      </c>
      <c r="H20" s="602">
        <f>('Input summary'!M99/'Input summary'!$C$170)*(C20-D20)+D20*(1-'Input summary'!F245)*('Input summary'!M99/'Input summary'!$C$170)</f>
        <v>0</v>
      </c>
      <c r="I20" s="29"/>
      <c r="J20" s="609">
        <f>$D20*'Input summary'!E333</f>
        <v>0</v>
      </c>
      <c r="K20" s="29">
        <f>D20*'Input summary'!E361</f>
        <v>0</v>
      </c>
      <c r="L20" s="29">
        <f>(F20)*'Input summary'!F444</f>
        <v>0</v>
      </c>
      <c r="M20" s="29">
        <f ca="1">$D20*(('Input summary'!C273/'Input summary'!$C$167)*'Input summary'!E389+('Input summary'!C300/'Input summary'!$C$167)*'Input summary'!E417)</f>
        <v>0</v>
      </c>
      <c r="N20" s="602">
        <f>G20*'Input summary'!F471</f>
        <v>0</v>
      </c>
      <c r="O20" s="609">
        <f>D20*'Input summary'!E501</f>
        <v>0</v>
      </c>
      <c r="P20" s="29">
        <f>(E20)*'Input summary'!F528</f>
        <v>0</v>
      </c>
      <c r="Q20" s="29">
        <f>(F20)*'Input summary'!F555</f>
        <v>0</v>
      </c>
      <c r="R20" s="602">
        <f>G20*'Input summary'!F582</f>
        <v>0</v>
      </c>
      <c r="S20" s="609">
        <f>D20*'Input summary'!E612</f>
        <v>0</v>
      </c>
      <c r="T20" s="29">
        <f>(E20)*'Input summary'!F639</f>
        <v>0</v>
      </c>
      <c r="U20" s="29">
        <f>(F20)*'Input summary'!F666</f>
        <v>0</v>
      </c>
      <c r="V20" s="29">
        <f>G20*'Input summary'!F693</f>
        <v>0</v>
      </c>
      <c r="W20" s="602">
        <f>H20*'Input summary'!F720</f>
        <v>0</v>
      </c>
      <c r="X20" s="29"/>
      <c r="Y20" s="609">
        <f>(E20)*'Input summary'!F749</f>
        <v>0</v>
      </c>
      <c r="Z20" s="29">
        <f>(F20-G20*'Input summary'!E153)*'Input summary'!F749</f>
        <v>0</v>
      </c>
      <c r="AA20" s="29">
        <f>G20*('Input summary'!F776)</f>
        <v>0</v>
      </c>
      <c r="AB20" s="29">
        <f>H20*'Input summary'!G857</f>
        <v>0</v>
      </c>
      <c r="AC20" s="29">
        <f ca="1">$D20*(('Input summary'!C273/'Input summary'!$C$167)*'Input summary'!E803+('Input summary'!C300/'Input summary'!$C$167)*'Input summary'!E830)</f>
        <v>0</v>
      </c>
      <c r="AD20" s="602">
        <f>H20*'Input summary'!E857</f>
        <v>0</v>
      </c>
    </row>
    <row r="21" spans="1:30" x14ac:dyDescent="0.3">
      <c r="A21" s="678"/>
      <c r="B21" s="31" t="s">
        <v>1086</v>
      </c>
      <c r="C21" s="29">
        <f>'General input'!H69</f>
        <v>0</v>
      </c>
      <c r="D21" s="29">
        <f>'General input'!C99*'General input'!H69</f>
        <v>0</v>
      </c>
      <c r="E21" s="29">
        <f>('Input summary'!M19/'Input summary'!$C$167)*(C21-D21)+('Input summary'!M19/'Input summary'!$C$167)*D21*(1-'Input summary'!F190)</f>
        <v>0</v>
      </c>
      <c r="F21" s="29">
        <f>('Input summary'!M46/'Input summary'!$C$168)*(C21-D21)+D21*(1-'Input summary'!F218)*('Input summary'!M46/'Input summary'!$C$169)</f>
        <v>0</v>
      </c>
      <c r="G21" s="29">
        <f>('Input summary'!M73/'Input summary'!$C$169)*(C21-D21)+D21*(1-'Input summary'!F218)*('Input summary'!M73/'Input summary'!$C$169)</f>
        <v>0</v>
      </c>
      <c r="H21" s="602">
        <f>('Input summary'!M100/'Input summary'!$C$170)*(C21-D21)+D21*(1-'Input summary'!F246)*('Input summary'!M100/'Input summary'!$C$170)</f>
        <v>0</v>
      </c>
      <c r="I21" s="29"/>
      <c r="J21" s="609">
        <f>$D21*'Input summary'!E334</f>
        <v>0</v>
      </c>
      <c r="K21" s="29">
        <f>D21*'Input summary'!E362</f>
        <v>0</v>
      </c>
      <c r="L21" s="29">
        <f>(F21)*'Input summary'!F445</f>
        <v>0</v>
      </c>
      <c r="M21" s="29">
        <f ca="1">$D21*(('Input summary'!C274/'Input summary'!$C$167)*'Input summary'!E390+('Input summary'!C301/'Input summary'!$C$167)*'Input summary'!E418)</f>
        <v>0</v>
      </c>
      <c r="N21" s="602">
        <f>G21*'Input summary'!F472</f>
        <v>0</v>
      </c>
      <c r="O21" s="609">
        <f>D21*'Input summary'!E502</f>
        <v>0</v>
      </c>
      <c r="P21" s="29">
        <f>(E21)*'Input summary'!F529</f>
        <v>0</v>
      </c>
      <c r="Q21" s="29">
        <f>(F21)*'Input summary'!F556</f>
        <v>0</v>
      </c>
      <c r="R21" s="602">
        <f>G21*'Input summary'!F583</f>
        <v>0</v>
      </c>
      <c r="S21" s="609">
        <f>D21*'Input summary'!E613</f>
        <v>0</v>
      </c>
      <c r="T21" s="29">
        <f>(E21)*'Input summary'!F640</f>
        <v>0</v>
      </c>
      <c r="U21" s="29">
        <f>(F21)*'Input summary'!F667</f>
        <v>0</v>
      </c>
      <c r="V21" s="29">
        <f>G21*'Input summary'!F694</f>
        <v>0</v>
      </c>
      <c r="W21" s="602">
        <f>H21*'Input summary'!F721</f>
        <v>0</v>
      </c>
      <c r="X21" s="29"/>
      <c r="Y21" s="609">
        <f>(E21)*'Input summary'!F750</f>
        <v>0</v>
      </c>
      <c r="Z21" s="29">
        <f>(F21-G21*'Input summary'!E154)*'Input summary'!F750</f>
        <v>0</v>
      </c>
      <c r="AA21" s="29">
        <f>G21*('Input summary'!F777)</f>
        <v>0</v>
      </c>
      <c r="AB21" s="29">
        <f>H21*'Input summary'!G858</f>
        <v>0</v>
      </c>
      <c r="AC21" s="29">
        <f ca="1">$D21*(('Input summary'!C274/'Input summary'!$C$167)*'Input summary'!E804+('Input summary'!C301/'Input summary'!$C$167)*'Input summary'!E831)</f>
        <v>0</v>
      </c>
      <c r="AD21" s="602">
        <f>H21*'Input summary'!E858</f>
        <v>0</v>
      </c>
    </row>
    <row r="22" spans="1:30" x14ac:dyDescent="0.3">
      <c r="A22" s="678"/>
      <c r="B22" s="31" t="s">
        <v>1087</v>
      </c>
      <c r="C22" s="29">
        <f>'General input'!H70</f>
        <v>0</v>
      </c>
      <c r="D22" s="29">
        <f>'General input'!C100*'General input'!H70</f>
        <v>0</v>
      </c>
      <c r="E22" s="29">
        <f>('Input summary'!M20/'Input summary'!$C$167)*(C22-D22)+('Input summary'!M20/'Input summary'!$C$167)*D22*(1-'Input summary'!F191)</f>
        <v>0</v>
      </c>
      <c r="F22" s="29">
        <f>('Input summary'!M47/'Input summary'!$C$168)*(C22-D22)+D22*(1-'Input summary'!F219)*('Input summary'!M47/'Input summary'!$C$169)</f>
        <v>0</v>
      </c>
      <c r="G22" s="29">
        <f>('Input summary'!M74/'Input summary'!$C$169)*(C22-D22)+D22*(1-'Input summary'!F219)*('Input summary'!M74/'Input summary'!$C$169)</f>
        <v>0</v>
      </c>
      <c r="H22" s="602">
        <f>('Input summary'!M101/'Input summary'!$C$170)*(C22-D22)+D22*(1-'Input summary'!F247)*('Input summary'!M101/'Input summary'!$C$170)</f>
        <v>0</v>
      </c>
      <c r="I22" s="29"/>
      <c r="J22" s="609">
        <f>$D22*'Input summary'!E335</f>
        <v>0</v>
      </c>
      <c r="K22" s="29">
        <f>D22*'Input summary'!E363</f>
        <v>0</v>
      </c>
      <c r="L22" s="29">
        <f>(F22)*'Input summary'!F446</f>
        <v>0</v>
      </c>
      <c r="M22" s="29">
        <f ca="1">$D22*(('Input summary'!C275/'Input summary'!$C$167)*'Input summary'!E391+('Input summary'!C302/'Input summary'!$C$167)*'Input summary'!E419)</f>
        <v>0</v>
      </c>
      <c r="N22" s="602">
        <f>G22*'Input summary'!F473</f>
        <v>0</v>
      </c>
      <c r="O22" s="609">
        <f>D22*'Input summary'!E503</f>
        <v>0</v>
      </c>
      <c r="P22" s="29">
        <f>(E22)*'Input summary'!F530</f>
        <v>0</v>
      </c>
      <c r="Q22" s="29">
        <f>(F22)*'Input summary'!F557</f>
        <v>0</v>
      </c>
      <c r="R22" s="602">
        <f>G22*'Input summary'!F584</f>
        <v>0</v>
      </c>
      <c r="S22" s="609">
        <f>D22*'Input summary'!E614</f>
        <v>0</v>
      </c>
      <c r="T22" s="29">
        <f>(E22)*'Input summary'!F641</f>
        <v>0</v>
      </c>
      <c r="U22" s="29">
        <f>(F22)*'Input summary'!F668</f>
        <v>0</v>
      </c>
      <c r="V22" s="29">
        <f>G22*'Input summary'!F695</f>
        <v>0</v>
      </c>
      <c r="W22" s="602">
        <f>H22*'Input summary'!F722</f>
        <v>0</v>
      </c>
      <c r="X22" s="29"/>
      <c r="Y22" s="609">
        <f>(E22)*'Input summary'!F751</f>
        <v>0</v>
      </c>
      <c r="Z22" s="29">
        <f>(F22-G22*'Input summary'!E155)*'Input summary'!F751</f>
        <v>0</v>
      </c>
      <c r="AA22" s="29">
        <f>G22*('Input summary'!F778)</f>
        <v>0</v>
      </c>
      <c r="AB22" s="29">
        <f>H22*'Input summary'!G859</f>
        <v>0</v>
      </c>
      <c r="AC22" s="29">
        <f ca="1">$D22*(('Input summary'!C275/'Input summary'!$C$167)*'Input summary'!E805+('Input summary'!C302/'Input summary'!$C$167)*'Input summary'!E832)</f>
        <v>0</v>
      </c>
      <c r="AD22" s="602">
        <f>H22*'Input summary'!E859</f>
        <v>0</v>
      </c>
    </row>
    <row r="23" spans="1:30" x14ac:dyDescent="0.3">
      <c r="A23" s="678"/>
      <c r="B23" s="31" t="s">
        <v>1443</v>
      </c>
      <c r="C23" s="29">
        <f>'General input'!H71</f>
        <v>0</v>
      </c>
      <c r="D23" s="29">
        <f>'General input'!C101*'General input'!H71</f>
        <v>0</v>
      </c>
      <c r="E23" s="29">
        <f>('Input summary'!M21/'Input summary'!$C$167)*(C23-D23)+('Input summary'!M21/'Input summary'!$C$167)*D23*(1-'Input summary'!F192)</f>
        <v>0</v>
      </c>
      <c r="F23" s="29">
        <f>('Input summary'!M48/'Input summary'!$C$168)*(C23-D23)+D23*(1-'Input summary'!F220)*('Input summary'!M48/'Input summary'!$C$169)</f>
        <v>0</v>
      </c>
      <c r="G23" s="29">
        <f>('Input summary'!M75/'Input summary'!$C$169)*(C23-D23)+D23*(1-'Input summary'!F220)*('Input summary'!M75/'Input summary'!$C$169)</f>
        <v>0</v>
      </c>
      <c r="H23" s="602">
        <f>('Input summary'!M102/'Input summary'!$C$170)*(C23-D23)+D23*(1-'Input summary'!F248)*('Input summary'!M102/'Input summary'!$C$170)</f>
        <v>0</v>
      </c>
      <c r="I23" s="29"/>
      <c r="J23" s="609">
        <f>$D23*'Input summary'!E336</f>
        <v>0</v>
      </c>
      <c r="K23" s="29">
        <f>D23*'Input summary'!E364</f>
        <v>0</v>
      </c>
      <c r="L23" s="29">
        <f>(F23)*'Input summary'!F447</f>
        <v>0</v>
      </c>
      <c r="M23" s="29">
        <f ca="1">$D23*(('Input summary'!C276/'Input summary'!$C$167)*'Input summary'!E392+('Input summary'!C303/'Input summary'!$C$167)*'Input summary'!E420)</f>
        <v>0</v>
      </c>
      <c r="N23" s="602">
        <f>G23*'Input summary'!F474</f>
        <v>0</v>
      </c>
      <c r="O23" s="609">
        <f>D23*'Input summary'!E504</f>
        <v>0</v>
      </c>
      <c r="P23" s="29">
        <f>(E23)*'Input summary'!F531</f>
        <v>0</v>
      </c>
      <c r="Q23" s="29">
        <f>(F23)*'Input summary'!F558</f>
        <v>0</v>
      </c>
      <c r="R23" s="602">
        <f>G23*'Input summary'!F585</f>
        <v>0</v>
      </c>
      <c r="S23" s="609">
        <f>D23*'Input summary'!E615</f>
        <v>0</v>
      </c>
      <c r="T23" s="29">
        <f>(E23)*'Input summary'!F642</f>
        <v>0</v>
      </c>
      <c r="U23" s="29">
        <f>(F23)*'Input summary'!F669</f>
        <v>0</v>
      </c>
      <c r="V23" s="29">
        <f>G23*'Input summary'!F696</f>
        <v>0</v>
      </c>
      <c r="W23" s="602">
        <f>H23*'Input summary'!F723</f>
        <v>0</v>
      </c>
      <c r="X23" s="29"/>
      <c r="Y23" s="609">
        <f>(E23)*'Input summary'!F752</f>
        <v>0</v>
      </c>
      <c r="Z23" s="29">
        <f>(F23-G23*'Input summary'!E156)*'Input summary'!F752</f>
        <v>0</v>
      </c>
      <c r="AA23" s="29">
        <f>G23*('Input summary'!F779)</f>
        <v>0</v>
      </c>
      <c r="AB23" s="29">
        <f>H23*'Input summary'!G860</f>
        <v>0</v>
      </c>
      <c r="AC23" s="29">
        <f ca="1">$D23*(('Input summary'!C276/'Input summary'!$C$167)*'Input summary'!E806+('Input summary'!C303/'Input summary'!$C$167)*'Input summary'!E833)</f>
        <v>0</v>
      </c>
      <c r="AD23" s="602">
        <f>H23*'Input summary'!E860</f>
        <v>0</v>
      </c>
    </row>
    <row r="24" spans="1:30" x14ac:dyDescent="0.3">
      <c r="A24" s="678"/>
      <c r="B24" s="405" t="s">
        <v>227</v>
      </c>
      <c r="C24" s="29"/>
      <c r="D24" s="29"/>
      <c r="E24" s="29"/>
      <c r="F24" s="29"/>
      <c r="G24" s="29"/>
      <c r="H24" s="602"/>
      <c r="I24" s="29"/>
      <c r="J24" s="609"/>
      <c r="K24" s="29"/>
      <c r="L24" s="29"/>
      <c r="M24" s="29"/>
      <c r="N24" s="602"/>
      <c r="O24" s="609"/>
      <c r="P24" s="29"/>
      <c r="Q24" s="29"/>
      <c r="R24" s="602"/>
      <c r="S24" s="609"/>
      <c r="T24" s="29"/>
      <c r="U24" s="29"/>
      <c r="V24" s="29"/>
      <c r="W24" s="602"/>
      <c r="X24" s="29"/>
      <c r="Y24" s="609"/>
      <c r="Z24" s="29"/>
      <c r="AA24" s="29"/>
      <c r="AB24" s="29"/>
      <c r="AC24" s="29"/>
      <c r="AD24" s="602"/>
    </row>
    <row r="25" spans="1:30" x14ac:dyDescent="0.3">
      <c r="A25" s="678"/>
      <c r="B25" s="31" t="s">
        <v>1437</v>
      </c>
      <c r="C25" s="29">
        <f>'General input'!H73</f>
        <v>0</v>
      </c>
      <c r="D25" s="29">
        <f>'General input'!C103*'General input'!H73</f>
        <v>0</v>
      </c>
      <c r="E25" s="29">
        <f>('Input summary'!M23/'Input summary'!$C$167)*(C25-D25)+('Input summary'!M23/'Input summary'!$C$167)*D25*(1-'Input summary'!F194)</f>
        <v>0</v>
      </c>
      <c r="F25" s="29">
        <f>('Input summary'!M50/'Input summary'!$C$168)*(C25-D25)+D25*(1-'Input summary'!F222)*('Input summary'!M50/'Input summary'!$C$169)</f>
        <v>0</v>
      </c>
      <c r="G25" s="29">
        <f>('Input summary'!M77/'Input summary'!$C$169)*(C25-D25)+D25*(1-'Input summary'!F222)*('Input summary'!M77/'Input summary'!$C$169)</f>
        <v>0</v>
      </c>
      <c r="H25" s="602">
        <f>('Input summary'!M104/'Input summary'!$C$170)*(C25-D25)+D25*(1-'Input summary'!F250)*('Input summary'!M104/'Input summary'!$C$170)</f>
        <v>0</v>
      </c>
      <c r="I25" s="29"/>
      <c r="J25" s="609">
        <f>$D25*'Input summary'!E338</f>
        <v>0</v>
      </c>
      <c r="K25" s="29">
        <f>D25*'Input summary'!E366</f>
        <v>0</v>
      </c>
      <c r="L25" s="29">
        <f>(F25)*'Input summary'!F449</f>
        <v>0</v>
      </c>
      <c r="M25" s="29">
        <f ca="1">$D25*(('Input summary'!C278/'Input summary'!$C$167)*'Input summary'!E394+('Input summary'!C305/'Input summary'!$C$167)*'Input summary'!E422)</f>
        <v>0</v>
      </c>
      <c r="N25" s="602">
        <f>G25*'Input summary'!F476</f>
        <v>0</v>
      </c>
      <c r="O25" s="609">
        <f>D25*'Input summary'!E506</f>
        <v>0</v>
      </c>
      <c r="P25" s="29">
        <f>(E25)*'Input summary'!F533</f>
        <v>0</v>
      </c>
      <c r="Q25" s="29">
        <f>(F25)*'Input summary'!F560</f>
        <v>0</v>
      </c>
      <c r="R25" s="602">
        <f>G25*'Input summary'!F587</f>
        <v>0</v>
      </c>
      <c r="S25" s="609">
        <f>D25*'Input summary'!E617</f>
        <v>0</v>
      </c>
      <c r="T25" s="29">
        <f>(E25)*'Input summary'!F644</f>
        <v>0</v>
      </c>
      <c r="U25" s="29">
        <f>(F25)*'Input summary'!F671</f>
        <v>0</v>
      </c>
      <c r="V25" s="29">
        <f>G25*'Input summary'!F698</f>
        <v>0</v>
      </c>
      <c r="W25" s="602">
        <f>H25*'Input summary'!F725</f>
        <v>0</v>
      </c>
      <c r="X25" s="29"/>
      <c r="Y25" s="609">
        <f>(E25)*'Input summary'!F754</f>
        <v>0</v>
      </c>
      <c r="Z25" s="29">
        <f>(F25-G25*'Input summary'!E158)*'Input summary'!F754</f>
        <v>0</v>
      </c>
      <c r="AA25" s="29">
        <f>G25*('Input summary'!F781)</f>
        <v>0</v>
      </c>
      <c r="AB25" s="29">
        <f>H25*'Input summary'!G862</f>
        <v>0</v>
      </c>
      <c r="AC25" s="29">
        <f ca="1">$D25*(('Input summary'!C278/'Input summary'!$C$167)*'Input summary'!E808+('Input summary'!C305/'Input summary'!$C$167)*'Input summary'!E835)</f>
        <v>0</v>
      </c>
      <c r="AD25" s="602">
        <f>H25*'Input summary'!E862</f>
        <v>0</v>
      </c>
    </row>
    <row r="26" spans="1:30" x14ac:dyDescent="0.3">
      <c r="A26" s="678"/>
      <c r="B26" s="31" t="s">
        <v>1438</v>
      </c>
      <c r="C26" s="29">
        <f>'General input'!H74</f>
        <v>0</v>
      </c>
      <c r="D26" s="29">
        <f>'General input'!C104*'General input'!H74</f>
        <v>0</v>
      </c>
      <c r="E26" s="29">
        <f>('Input summary'!M24/'Input summary'!$C$167)*(C26-D26)+('Input summary'!M24/'Input summary'!$C$167)*D26*(1-'Input summary'!F195)</f>
        <v>0</v>
      </c>
      <c r="F26" s="29">
        <f>('Input summary'!M51/'Input summary'!$C$168)*(C26-D26)+D26*(1-'Input summary'!F223)*('Input summary'!M51/'Input summary'!$C$169)</f>
        <v>0</v>
      </c>
      <c r="G26" s="29">
        <f>('Input summary'!M78/'Input summary'!$C$169)*(C26-D26)+D26*(1-'Input summary'!F223)*('Input summary'!M78/'Input summary'!$C$169)</f>
        <v>0</v>
      </c>
      <c r="H26" s="602">
        <f>('Input summary'!M105/'Input summary'!$C$170)*(C26-D26)+D26*(1-'Input summary'!F251)*('Input summary'!M105/'Input summary'!$C$170)</f>
        <v>0</v>
      </c>
      <c r="I26" s="29"/>
      <c r="J26" s="609">
        <f>$D26*'Input summary'!E339</f>
        <v>0</v>
      </c>
      <c r="K26" s="29">
        <f>D26*'Input summary'!E367</f>
        <v>0</v>
      </c>
      <c r="L26" s="29">
        <f>(F26)*'Input summary'!F450</f>
        <v>0</v>
      </c>
      <c r="M26" s="29">
        <f ca="1">$D26*(('Input summary'!C279/'Input summary'!$C$167)*'Input summary'!E395+('Input summary'!C306/'Input summary'!$C$167)*'Input summary'!E423)</f>
        <v>0</v>
      </c>
      <c r="N26" s="602">
        <f>G26*'Input summary'!F477</f>
        <v>0</v>
      </c>
      <c r="O26" s="609">
        <f>D26*'Input summary'!E507</f>
        <v>0</v>
      </c>
      <c r="P26" s="29">
        <f>(E26)*'Input summary'!F534</f>
        <v>0</v>
      </c>
      <c r="Q26" s="29">
        <f>(F26)*'Input summary'!F561</f>
        <v>0</v>
      </c>
      <c r="R26" s="602">
        <f>G26*'Input summary'!F588</f>
        <v>0</v>
      </c>
      <c r="S26" s="609">
        <f>D26*'Input summary'!E618</f>
        <v>0</v>
      </c>
      <c r="T26" s="29">
        <f>(E26)*'Input summary'!F645</f>
        <v>0</v>
      </c>
      <c r="U26" s="29">
        <f>(F26)*'Input summary'!F672</f>
        <v>0</v>
      </c>
      <c r="V26" s="29">
        <f>G26*'Input summary'!F699</f>
        <v>0</v>
      </c>
      <c r="W26" s="602">
        <f>H26*'Input summary'!F726</f>
        <v>0</v>
      </c>
      <c r="X26" s="29"/>
      <c r="Y26" s="609">
        <f>(E26)*'Input summary'!F755</f>
        <v>0</v>
      </c>
      <c r="Z26" s="29">
        <f>(F26-G26*'Input summary'!E159)*'Input summary'!F755</f>
        <v>0</v>
      </c>
      <c r="AA26" s="29">
        <f>G26*('Input summary'!F782)</f>
        <v>0</v>
      </c>
      <c r="AB26" s="29">
        <f>H26*'Input summary'!G863</f>
        <v>0</v>
      </c>
      <c r="AC26" s="29">
        <f ca="1">$D26*(('Input summary'!C279/'Input summary'!$C$167)*'Input summary'!E809+('Input summary'!C306/'Input summary'!$C$167)*'Input summary'!E836)</f>
        <v>0</v>
      </c>
      <c r="AD26" s="602">
        <f>H26*'Input summary'!E863</f>
        <v>0</v>
      </c>
    </row>
    <row r="27" spans="1:30" x14ac:dyDescent="0.3">
      <c r="A27" s="678"/>
      <c r="B27" s="31" t="s">
        <v>1441</v>
      </c>
      <c r="C27" s="29">
        <f>'General input'!H75</f>
        <v>0</v>
      </c>
      <c r="D27" s="29">
        <f>'General input'!C105*'General input'!H75</f>
        <v>0</v>
      </c>
      <c r="E27" s="29">
        <f>('Input summary'!M25/'Input summary'!$C$167)*(C27-D27)+('Input summary'!M25/'Input summary'!$C$167)*D27*(1-'Input summary'!F196)</f>
        <v>0</v>
      </c>
      <c r="F27" s="29">
        <f>('Input summary'!M52/'Input summary'!$C$168)*(C27-D27)+D27*(1-'Input summary'!F224)*('Input summary'!M52/'Input summary'!$C$169)</f>
        <v>0</v>
      </c>
      <c r="G27" s="29">
        <f>('Input summary'!M79/'Input summary'!$C$169)*(C27-D27)+D27*(1-'Input summary'!F224)*('Input summary'!M79/'Input summary'!$C$169)</f>
        <v>0</v>
      </c>
      <c r="H27" s="602">
        <f>('Input summary'!M106/'Input summary'!$C$170)*(C27-D27)+D27*(1-'Input summary'!F252)*('Input summary'!M106/'Input summary'!$C$170)</f>
        <v>0</v>
      </c>
      <c r="I27" s="29"/>
      <c r="J27" s="609">
        <f>$D27*'Input summary'!E340</f>
        <v>0</v>
      </c>
      <c r="K27" s="29">
        <f>D27*'Input summary'!E368</f>
        <v>0</v>
      </c>
      <c r="L27" s="29">
        <f>(F27)*'Input summary'!F451</f>
        <v>0</v>
      </c>
      <c r="M27" s="29">
        <f ca="1">$D27*(('Input summary'!C280/'Input summary'!$C$167)*'Input summary'!E396+('Input summary'!C307/'Input summary'!$C$167)*'Input summary'!E424)</f>
        <v>0</v>
      </c>
      <c r="N27" s="602">
        <f>G27*'Input summary'!F478</f>
        <v>0</v>
      </c>
      <c r="O27" s="609">
        <f>D27*'Input summary'!E508</f>
        <v>0</v>
      </c>
      <c r="P27" s="29">
        <f>(E27)*'Input summary'!F535</f>
        <v>0</v>
      </c>
      <c r="Q27" s="29">
        <f>(F27)*'Input summary'!F562</f>
        <v>0</v>
      </c>
      <c r="R27" s="602">
        <f>G27*'Input summary'!F589</f>
        <v>0</v>
      </c>
      <c r="S27" s="609">
        <f>D27*'Input summary'!E619</f>
        <v>0</v>
      </c>
      <c r="T27" s="29">
        <f>(E27)*'Input summary'!F646</f>
        <v>0</v>
      </c>
      <c r="U27" s="29">
        <f>(F27)*'Input summary'!F673</f>
        <v>0</v>
      </c>
      <c r="V27" s="29">
        <f>G27*'Input summary'!F700</f>
        <v>0</v>
      </c>
      <c r="W27" s="602">
        <f>H27*'Input summary'!F727</f>
        <v>0</v>
      </c>
      <c r="X27" s="29"/>
      <c r="Y27" s="609">
        <f>(E27)*'Input summary'!F756</f>
        <v>0</v>
      </c>
      <c r="Z27" s="29">
        <f>(F27-G27*'Input summary'!E160)*'Input summary'!F756</f>
        <v>0</v>
      </c>
      <c r="AA27" s="29">
        <f>G27*('Input summary'!F783)</f>
        <v>0</v>
      </c>
      <c r="AB27" s="29">
        <f>H27*'Input summary'!G864</f>
        <v>0</v>
      </c>
      <c r="AC27" s="29">
        <f ca="1">$D27*(('Input summary'!C280/'Input summary'!$C$167)*'Input summary'!E810+('Input summary'!C307/'Input summary'!$C$167)*'Input summary'!E837)</f>
        <v>0</v>
      </c>
      <c r="AD27" s="602">
        <f>H27*'Input summary'!E864</f>
        <v>0</v>
      </c>
    </row>
    <row r="28" spans="1:30" x14ac:dyDescent="0.3">
      <c r="A28" s="678"/>
      <c r="B28" s="31" t="s">
        <v>1442</v>
      </c>
      <c r="C28" s="29">
        <f>'General input'!H76</f>
        <v>0</v>
      </c>
      <c r="D28" s="29">
        <f>'General input'!C106*'General input'!H76</f>
        <v>0</v>
      </c>
      <c r="E28" s="29">
        <f>('Input summary'!M26/'Input summary'!$C$167)*(C28-D28)+('Input summary'!M26/'Input summary'!$C$167)*D28*(1-'Input summary'!F197)</f>
        <v>0</v>
      </c>
      <c r="F28" s="29">
        <f>('Input summary'!M53/'Input summary'!$C$168)*(C28-D28)+D28*(1-'Input summary'!F225)*('Input summary'!M53/'Input summary'!$C$169)</f>
        <v>0</v>
      </c>
      <c r="G28" s="29">
        <f>('Input summary'!M80/'Input summary'!$C$169)*(C28-D28)+D28*(1-'Input summary'!F225)*('Input summary'!M80/'Input summary'!$C$169)</f>
        <v>0</v>
      </c>
      <c r="H28" s="602">
        <f>('Input summary'!M107/'Input summary'!$C$170)*(C28-D28)+D28*(1-'Input summary'!F253)*('Input summary'!M107/'Input summary'!$C$170)</f>
        <v>0</v>
      </c>
      <c r="I28" s="29"/>
      <c r="J28" s="609">
        <f>$D28*'Input summary'!E341</f>
        <v>0</v>
      </c>
      <c r="K28" s="29">
        <f>D28*'Input summary'!E369</f>
        <v>0</v>
      </c>
      <c r="L28" s="29">
        <f>(F28)*'Input summary'!F452</f>
        <v>0</v>
      </c>
      <c r="M28" s="29">
        <f ca="1">$D28*(('Input summary'!C281/'Input summary'!$C$167)*'Input summary'!E397+('Input summary'!C308/'Input summary'!$C$167)*'Input summary'!E425)</f>
        <v>0</v>
      </c>
      <c r="N28" s="602">
        <f>G28*'Input summary'!F479</f>
        <v>0</v>
      </c>
      <c r="O28" s="609">
        <f>D28*'Input summary'!E509</f>
        <v>0</v>
      </c>
      <c r="P28" s="29">
        <f>(E28)*'Input summary'!F536</f>
        <v>0</v>
      </c>
      <c r="Q28" s="29">
        <f>(F28)*'Input summary'!F563</f>
        <v>0</v>
      </c>
      <c r="R28" s="602">
        <f>G28*'Input summary'!F590</f>
        <v>0</v>
      </c>
      <c r="S28" s="609">
        <f>D28*'Input summary'!E620</f>
        <v>0</v>
      </c>
      <c r="T28" s="29">
        <f>(E28)*'Input summary'!F647</f>
        <v>0</v>
      </c>
      <c r="U28" s="29">
        <f>(F28)*'Input summary'!F674</f>
        <v>0</v>
      </c>
      <c r="V28" s="29">
        <f>G28*'Input summary'!F701</f>
        <v>0</v>
      </c>
      <c r="W28" s="602">
        <f>H28*'Input summary'!F728</f>
        <v>0</v>
      </c>
      <c r="X28" s="29"/>
      <c r="Y28" s="609">
        <f>(E28)*'Input summary'!F757</f>
        <v>0</v>
      </c>
      <c r="Z28" s="29">
        <f>(F28-G28*'Input summary'!E161)*'Input summary'!F757</f>
        <v>0</v>
      </c>
      <c r="AA28" s="29">
        <f>G28*('Input summary'!F784)</f>
        <v>0</v>
      </c>
      <c r="AB28" s="29">
        <f>H28*'Input summary'!G865</f>
        <v>0</v>
      </c>
      <c r="AC28" s="29">
        <f ca="1">$D28*(('Input summary'!C281/'Input summary'!$C$167)*'Input summary'!E811+('Input summary'!C308/'Input summary'!$C$167)*'Input summary'!E838)</f>
        <v>0</v>
      </c>
      <c r="AD28" s="602">
        <f>H28*'Input summary'!E865</f>
        <v>0</v>
      </c>
    </row>
    <row r="29" spans="1:30" x14ac:dyDescent="0.3">
      <c r="A29" s="678"/>
      <c r="B29" s="405" t="s">
        <v>920</v>
      </c>
      <c r="C29" s="29"/>
      <c r="D29" s="29"/>
      <c r="E29" s="29"/>
      <c r="F29" s="29"/>
      <c r="G29" s="29"/>
      <c r="H29" s="602"/>
      <c r="I29" s="29"/>
      <c r="J29" s="609"/>
      <c r="K29" s="29"/>
      <c r="L29" s="29"/>
      <c r="M29" s="29"/>
      <c r="N29" s="602"/>
      <c r="O29" s="609"/>
      <c r="P29" s="29"/>
      <c r="Q29" s="29"/>
      <c r="R29" s="602"/>
      <c r="S29" s="609"/>
      <c r="T29" s="29"/>
      <c r="U29" s="29"/>
      <c r="V29" s="29"/>
      <c r="W29" s="602"/>
      <c r="X29" s="29"/>
      <c r="Y29" s="609"/>
      <c r="Z29" s="29"/>
      <c r="AA29" s="29"/>
      <c r="AB29" s="29"/>
      <c r="AC29" s="29"/>
      <c r="AD29" s="602"/>
    </row>
    <row r="30" spans="1:30" x14ac:dyDescent="0.3">
      <c r="A30" s="678"/>
      <c r="B30" s="297" t="s">
        <v>920</v>
      </c>
      <c r="C30" s="29">
        <f>'General input'!H78</f>
        <v>0</v>
      </c>
      <c r="D30" s="29">
        <f>'General input'!C108*'General input'!H78</f>
        <v>0</v>
      </c>
      <c r="E30" s="29">
        <f>('Input summary'!M28/'Input summary'!$C$167)*(C30-D30)+('Input summary'!M28/'Input summary'!$C$167)*D30*(1-'Input summary'!F199)</f>
        <v>0</v>
      </c>
      <c r="F30" s="29">
        <f>('Input summary'!M55/'Input summary'!$C$168)*(C30-D30)+D30*(1-'Input summary'!F227)*('Input summary'!M55/'Input summary'!$C$169)</f>
        <v>0</v>
      </c>
      <c r="G30" s="29">
        <f>('Input summary'!M82/'Input summary'!$C$169)*(C30-D30)+D30*(1-'Input summary'!F227)*('Input summary'!M82/'Input summary'!$C$169)</f>
        <v>0</v>
      </c>
      <c r="H30" s="602">
        <f>('Input summary'!M109/'Input summary'!$C$170)*(C30-D30)+D30*(1-'Input summary'!F255)*('Input summary'!M109/'Input summary'!$C$170)</f>
        <v>0</v>
      </c>
      <c r="I30" s="29"/>
      <c r="J30" s="609">
        <f>$D30*'Input summary'!E343</f>
        <v>0</v>
      </c>
      <c r="K30" s="29">
        <f>D30*'Input summary'!E371</f>
        <v>0</v>
      </c>
      <c r="L30" s="29">
        <f>(F30)*'Input summary'!F454</f>
        <v>0</v>
      </c>
      <c r="M30" s="29">
        <f ca="1">$D30*(('Input summary'!C283/'Input summary'!$C$167)*'Input summary'!E399+('Input summary'!C310/'Input summary'!$C$167)*'Input summary'!E427)</f>
        <v>0</v>
      </c>
      <c r="N30" s="602">
        <f>G30*'Input summary'!F481</f>
        <v>0</v>
      </c>
      <c r="O30" s="609">
        <f>D30*'Input summary'!E511</f>
        <v>0</v>
      </c>
      <c r="P30" s="29">
        <f>(E30)*'Input summary'!F538</f>
        <v>0</v>
      </c>
      <c r="Q30" s="29">
        <f>(F30)*'Input summary'!F565</f>
        <v>0</v>
      </c>
      <c r="R30" s="602">
        <f>G30*'Input summary'!F592</f>
        <v>0</v>
      </c>
      <c r="S30" s="609">
        <f>D30*'Input summary'!E622</f>
        <v>0</v>
      </c>
      <c r="T30" s="29">
        <f>(E30)*'Input summary'!F649</f>
        <v>0</v>
      </c>
      <c r="U30" s="29">
        <f>(F30)*'Input summary'!F676</f>
        <v>0</v>
      </c>
      <c r="V30" s="29">
        <f>G30*'Input summary'!F703</f>
        <v>0</v>
      </c>
      <c r="W30" s="602">
        <f>H30*'Input summary'!F730</f>
        <v>0</v>
      </c>
      <c r="X30" s="29"/>
      <c r="Y30" s="609">
        <f>(E30)*'Input summary'!F759</f>
        <v>0</v>
      </c>
      <c r="Z30" s="29">
        <f>(F30-G30*'Input summary'!E163)*'Input summary'!F759</f>
        <v>0</v>
      </c>
      <c r="AA30" s="29">
        <f>G30*('Input summary'!F786)</f>
        <v>0</v>
      </c>
      <c r="AB30" s="29">
        <f>H30*'Input summary'!G867</f>
        <v>0</v>
      </c>
      <c r="AC30" s="29">
        <f ca="1">$D30*(('Input summary'!C283/'Input summary'!$C$167)*'Input summary'!E813+('Input summary'!C310/'Input summary'!$C$167)*'Input summary'!E840)</f>
        <v>0</v>
      </c>
      <c r="AD30" s="602">
        <f>H30*'Input summary'!E867</f>
        <v>0</v>
      </c>
    </row>
    <row r="31" spans="1:30" x14ac:dyDescent="0.3">
      <c r="A31" s="678"/>
      <c r="B31" s="297" t="s">
        <v>980</v>
      </c>
      <c r="C31" s="29">
        <f>'General input'!H79</f>
        <v>0</v>
      </c>
      <c r="D31" s="29">
        <f>'General input'!C109*'General input'!H79</f>
        <v>0</v>
      </c>
      <c r="E31" s="29">
        <f>('Input summary'!M29/'Input summary'!$C$167)*(C31-D31)+('Input summary'!M29/'Input summary'!$C$167)*D31*(1-'Input summary'!F200)</f>
        <v>0</v>
      </c>
      <c r="F31" s="29">
        <f>('Input summary'!M56/'Input summary'!$C$168)*(C31-D31)+D31*(1-'Input summary'!F228)*('Input summary'!M56/'Input summary'!$C$169)</f>
        <v>0</v>
      </c>
      <c r="G31" s="29">
        <f>('Input summary'!M83/'Input summary'!$C$169)*(C31-D31)+D31*(1-'Input summary'!F228)*('Input summary'!M83/'Input summary'!$C$169)</f>
        <v>0</v>
      </c>
      <c r="H31" s="602">
        <f>('Input summary'!M110/'Input summary'!$C$170)*(C31-D31)+D31*(1-'Input summary'!F256)*('Input summary'!M110/'Input summary'!$C$170)</f>
        <v>0</v>
      </c>
      <c r="I31" s="29"/>
      <c r="J31" s="609">
        <f>$D31*'Input summary'!E344</f>
        <v>0</v>
      </c>
      <c r="K31" s="29">
        <f>D31*'Input summary'!E372</f>
        <v>0</v>
      </c>
      <c r="L31" s="29">
        <f>(F31)*'Input summary'!F455</f>
        <v>0</v>
      </c>
      <c r="M31" s="29">
        <f ca="1">$D31*(('Input summary'!C284/'Input summary'!$C$167)*'Input summary'!E400+('Input summary'!C311/'Input summary'!$C$167)*'Input summary'!E428)</f>
        <v>0</v>
      </c>
      <c r="N31" s="602">
        <f>G31*'Input summary'!F482</f>
        <v>0</v>
      </c>
      <c r="O31" s="609">
        <f>D31*'Input summary'!E512</f>
        <v>0</v>
      </c>
      <c r="P31" s="29">
        <f>(E31)*'Input summary'!F539</f>
        <v>0</v>
      </c>
      <c r="Q31" s="29">
        <f>(F31)*'Input summary'!F566</f>
        <v>0</v>
      </c>
      <c r="R31" s="602">
        <f>G31*'Input summary'!F593</f>
        <v>0</v>
      </c>
      <c r="S31" s="609">
        <f>D31*'Input summary'!E623</f>
        <v>0</v>
      </c>
      <c r="T31" s="29">
        <f>(E31)*'Input summary'!F650</f>
        <v>0</v>
      </c>
      <c r="U31" s="29">
        <f>(F31)*'Input summary'!F677</f>
        <v>0</v>
      </c>
      <c r="V31" s="29">
        <f>G31*'Input summary'!F704</f>
        <v>0</v>
      </c>
      <c r="W31" s="602">
        <f>H31*'Input summary'!F731</f>
        <v>0</v>
      </c>
      <c r="X31" s="29"/>
      <c r="Y31" s="609">
        <f>(E31)*'Input summary'!F760</f>
        <v>0</v>
      </c>
      <c r="Z31" s="29">
        <f>(F31-G31*'Input summary'!E164)*'Input summary'!F760</f>
        <v>0</v>
      </c>
      <c r="AA31" s="29">
        <f>G31*('Input summary'!F787)</f>
        <v>0</v>
      </c>
      <c r="AB31" s="29">
        <f>H31*'Input summary'!G868</f>
        <v>0</v>
      </c>
      <c r="AC31" s="29">
        <f ca="1">$D31*(('Input summary'!C284/'Input summary'!$C$167)*'Input summary'!E814+('Input summary'!C311/'Input summary'!$C$167)*'Input summary'!E841)</f>
        <v>0</v>
      </c>
      <c r="AD31" s="602">
        <f>H31*'Input summary'!E868</f>
        <v>0</v>
      </c>
    </row>
    <row r="32" spans="1:30" x14ac:dyDescent="0.3">
      <c r="A32" s="678"/>
      <c r="B32" s="31" t="s">
        <v>233</v>
      </c>
      <c r="C32" s="29">
        <f>SUM(C8:C31)</f>
        <v>5203824</v>
      </c>
      <c r="D32" s="29">
        <f t="shared" ref="D32:H32" si="0">SUM(D8:D31)</f>
        <v>0</v>
      </c>
      <c r="E32" s="29">
        <f t="shared" si="0"/>
        <v>1264112.9260799999</v>
      </c>
      <c r="F32" s="29">
        <f t="shared" si="0"/>
        <v>351622.38768000004</v>
      </c>
      <c r="G32" s="29">
        <f t="shared" si="0"/>
        <v>15559.43376</v>
      </c>
      <c r="H32" s="602">
        <f t="shared" si="0"/>
        <v>1092.8030400000002</v>
      </c>
      <c r="I32" s="29"/>
      <c r="J32" s="609">
        <f>SUM(J8:J31)</f>
        <v>0</v>
      </c>
      <c r="K32" s="29">
        <f t="shared" ref="K32:Q32" si="1">SUM(K8:K31)</f>
        <v>0</v>
      </c>
      <c r="L32" s="29">
        <f t="shared" si="1"/>
        <v>154874450.28279036</v>
      </c>
      <c r="M32" s="29">
        <f t="shared" ca="1" si="1"/>
        <v>0</v>
      </c>
      <c r="N32" s="602">
        <f t="shared" si="1"/>
        <v>209958178.62875575</v>
      </c>
      <c r="O32" s="609">
        <f t="shared" si="1"/>
        <v>0</v>
      </c>
      <c r="P32" s="29">
        <f t="shared" si="1"/>
        <v>99537351.028170556</v>
      </c>
      <c r="Q32" s="29">
        <f t="shared" si="1"/>
        <v>18458035.043014124</v>
      </c>
      <c r="R32" s="602">
        <f>SUM(R8:R31)</f>
        <v>3879683.9233152</v>
      </c>
      <c r="S32" s="609">
        <f t="shared" ref="S32:W32" si="2">SUM(S8:S31)</f>
        <v>0</v>
      </c>
      <c r="T32" s="29">
        <f t="shared" si="2"/>
        <v>294730096.39441311</v>
      </c>
      <c r="U32" s="29">
        <f t="shared" si="2"/>
        <v>105404609.11313216</v>
      </c>
      <c r="V32" s="29">
        <f t="shared" si="2"/>
        <v>4836944.8829205502</v>
      </c>
      <c r="W32" s="602">
        <f t="shared" si="2"/>
        <v>608688419.46626139</v>
      </c>
      <c r="X32" s="29"/>
      <c r="Y32" s="609">
        <f t="shared" ref="Y32:AD32" si="3">SUM(Y8:Y31)</f>
        <v>13957.967246756816</v>
      </c>
      <c r="Z32" s="609">
        <f t="shared" si="3"/>
        <v>3782.817069378435</v>
      </c>
      <c r="AA32" s="29">
        <f t="shared" si="3"/>
        <v>575.69904912000004</v>
      </c>
      <c r="AB32" s="29">
        <f t="shared" si="3"/>
        <v>16260.451266510292</v>
      </c>
      <c r="AC32" s="29">
        <f t="shared" ca="1" si="3"/>
        <v>0</v>
      </c>
      <c r="AD32" s="602">
        <f t="shared" si="3"/>
        <v>21086.396668482063</v>
      </c>
    </row>
    <row r="33" spans="1:30" x14ac:dyDescent="0.3">
      <c r="A33" s="678"/>
      <c r="B33" s="31"/>
      <c r="C33" s="31"/>
      <c r="D33" s="29"/>
      <c r="E33" s="29"/>
      <c r="F33" s="29"/>
      <c r="G33" s="29"/>
      <c r="H33" s="602"/>
      <c r="I33" s="29"/>
      <c r="J33" s="609"/>
      <c r="K33" s="29"/>
      <c r="L33" s="610" t="s">
        <v>1034</v>
      </c>
      <c r="M33" s="610"/>
      <c r="N33" s="602"/>
      <c r="O33" s="609"/>
      <c r="P33" s="610" t="s">
        <v>1034</v>
      </c>
      <c r="Q33" s="610" t="s">
        <v>1034</v>
      </c>
      <c r="R33" s="611" t="s">
        <v>1034</v>
      </c>
      <c r="S33" s="609"/>
      <c r="T33" s="610" t="s">
        <v>1034</v>
      </c>
      <c r="U33" s="610"/>
      <c r="V33" s="610"/>
      <c r="W33" s="611"/>
      <c r="X33" s="29"/>
      <c r="Y33" s="670"/>
      <c r="Z33" s="610"/>
      <c r="AA33" s="29"/>
      <c r="AB33" s="29"/>
      <c r="AC33" s="29"/>
      <c r="AD33" s="602"/>
    </row>
    <row r="34" spans="1:30" ht="18" x14ac:dyDescent="0.35">
      <c r="A34" s="678"/>
      <c r="B34" s="673" t="s">
        <v>553</v>
      </c>
      <c r="C34" s="673"/>
      <c r="D34" s="604"/>
      <c r="E34" s="604"/>
      <c r="F34" s="604"/>
      <c r="G34" s="604"/>
      <c r="H34" s="599"/>
      <c r="J34" s="663" t="s">
        <v>553</v>
      </c>
      <c r="K34" s="604"/>
      <c r="L34" s="604"/>
      <c r="M34" s="604"/>
      <c r="N34" s="599"/>
      <c r="O34" s="603"/>
      <c r="P34" s="604"/>
      <c r="Q34" s="604"/>
      <c r="R34" s="599"/>
      <c r="S34" s="603"/>
      <c r="T34" s="604"/>
      <c r="U34" s="604"/>
      <c r="V34" s="604"/>
      <c r="W34" s="599"/>
      <c r="Y34" s="663" t="s">
        <v>553</v>
      </c>
      <c r="Z34" s="673"/>
      <c r="AA34" s="604"/>
      <c r="AB34" s="604"/>
      <c r="AC34" s="604"/>
      <c r="AD34" s="599"/>
    </row>
    <row r="35" spans="1:30" ht="18" x14ac:dyDescent="0.35">
      <c r="A35" s="678"/>
      <c r="B35" s="661" t="s">
        <v>983</v>
      </c>
      <c r="C35" s="661"/>
      <c r="D35" s="650"/>
      <c r="E35" s="662"/>
      <c r="F35" s="662"/>
      <c r="G35" s="650"/>
      <c r="H35" s="600"/>
      <c r="J35" s="649" t="s">
        <v>1024</v>
      </c>
      <c r="K35" s="650"/>
      <c r="L35" s="650"/>
      <c r="M35" s="650"/>
      <c r="N35" s="600"/>
      <c r="O35" s="605" t="s">
        <v>1026</v>
      </c>
      <c r="P35" s="606"/>
      <c r="Q35" s="606"/>
      <c r="R35" s="600"/>
      <c r="S35" s="605" t="s">
        <v>10</v>
      </c>
      <c r="T35" s="606"/>
      <c r="U35" s="606"/>
      <c r="V35" s="650"/>
      <c r="W35" s="600"/>
      <c r="Y35" s="605" t="s">
        <v>564</v>
      </c>
      <c r="Z35" s="606"/>
      <c r="AA35" s="650"/>
      <c r="AB35" s="650"/>
      <c r="AC35" s="650"/>
      <c r="AD35" s="600"/>
    </row>
    <row r="36" spans="1:30" x14ac:dyDescent="0.3">
      <c r="A36" s="678"/>
      <c r="B36" s="608" t="s">
        <v>950</v>
      </c>
      <c r="C36" s="608" t="s">
        <v>1033</v>
      </c>
      <c r="D36" s="608" t="s">
        <v>878</v>
      </c>
      <c r="E36" s="608" t="s">
        <v>224</v>
      </c>
      <c r="F36" s="608" t="s">
        <v>1377</v>
      </c>
      <c r="G36" s="608" t="s">
        <v>877</v>
      </c>
      <c r="H36" s="601" t="s">
        <v>225</v>
      </c>
      <c r="J36" s="607" t="s">
        <v>981</v>
      </c>
      <c r="K36" s="608" t="s">
        <v>982</v>
      </c>
      <c r="L36" s="608" t="s">
        <v>1025</v>
      </c>
      <c r="M36" s="652" t="s">
        <v>1493</v>
      </c>
      <c r="N36" s="601" t="s">
        <v>905</v>
      </c>
      <c r="O36" s="607" t="s">
        <v>938</v>
      </c>
      <c r="P36" s="608" t="s">
        <v>1027</v>
      </c>
      <c r="Q36" s="608" t="s">
        <v>1377</v>
      </c>
      <c r="R36" s="601" t="s">
        <v>1028</v>
      </c>
      <c r="S36" s="607" t="s">
        <v>938</v>
      </c>
      <c r="T36" s="608" t="s">
        <v>1392</v>
      </c>
      <c r="U36" s="608" t="s">
        <v>1025</v>
      </c>
      <c r="V36" s="608" t="s">
        <v>1028</v>
      </c>
      <c r="W36" s="601" t="s">
        <v>225</v>
      </c>
      <c r="Y36" s="607" t="s">
        <v>1029</v>
      </c>
      <c r="Z36" s="652" t="s">
        <v>1555</v>
      </c>
      <c r="AA36" s="608" t="s">
        <v>1030</v>
      </c>
      <c r="AB36" s="608" t="s">
        <v>1031</v>
      </c>
      <c r="AC36" s="608" t="s">
        <v>1511</v>
      </c>
      <c r="AD36" s="601" t="s">
        <v>1032</v>
      </c>
    </row>
    <row r="37" spans="1:30" x14ac:dyDescent="0.3">
      <c r="A37" s="678"/>
      <c r="B37" s="315" t="s">
        <v>988</v>
      </c>
      <c r="C37" s="22"/>
      <c r="H37" s="87"/>
      <c r="J37" s="198"/>
      <c r="N37" s="87"/>
      <c r="O37" s="198"/>
      <c r="R37" s="87"/>
      <c r="S37" s="198"/>
      <c r="W37" s="87"/>
      <c r="Y37" s="198"/>
      <c r="AD37" s="87"/>
    </row>
    <row r="38" spans="1:30" x14ac:dyDescent="0.3">
      <c r="A38" s="678"/>
      <c r="B38" s="31" t="s">
        <v>1082</v>
      </c>
      <c r="C38" s="29">
        <f>'General input'!H57</f>
        <v>578203</v>
      </c>
      <c r="D38" s="29">
        <f>'General input'!H57*'General input'!H87</f>
        <v>13876.871999999999</v>
      </c>
      <c r="E38" s="29">
        <f>('Input summary'!M7/'Input summary'!$C$167)*(C38-D38)+('Input summary'!M7/'Input summary'!$C$167)*D38*(1-'Input summary'!M178)</f>
        <v>138097.393937632</v>
      </c>
      <c r="F38" s="29">
        <f>('Input summary'!M34/'Input summary'!$C$168)*(C38-D38)+D38*(1-'Input summary'!M206)*('Input summary'!M34/'Input summary'!$C$169)</f>
        <v>38412.814541272004</v>
      </c>
      <c r="G38" s="29">
        <f>('Input summary'!M61/'Input summary'!$C$169)*(C38-D38)+D38*(1-'Input summary'!M206)*('Input summary'!M61/'Input summary'!$C$169)</f>
        <v>1699.782676904</v>
      </c>
      <c r="H38" s="602">
        <f>('Input summary'!M88/'Input summary'!$C$170)*(C38-D38)+'Calculations Lower'!D38*(1-'Input summary'!M234)*('Input summary'!M88/'Input summary'!$C$170)</f>
        <v>119.38272981600001</v>
      </c>
      <c r="I38" s="29"/>
      <c r="J38" s="609">
        <f>D38*'Input summary'!L322</f>
        <v>198300.50087999998</v>
      </c>
      <c r="K38" s="29">
        <f>D38*'Input summary'!L350</f>
        <v>468483.19871999993</v>
      </c>
      <c r="L38" s="29">
        <f>(F38)*'Input summary'!F433</f>
        <v>16919183.033670813</v>
      </c>
      <c r="M38" s="29">
        <f ca="1">D38*(('Input summary'!J262/'Input summary'!$C$167)*'Input summary'!L378+('Input summary'!J289/'Input summary'!$C$167)*'Input summary'!L406)</f>
        <v>0.3709625049959176</v>
      </c>
      <c r="N38" s="602">
        <f>G38*'Input summary'!F460</f>
        <v>22936777.803890638</v>
      </c>
      <c r="O38" s="609">
        <f>D38*'Input summary'!L490</f>
        <v>0</v>
      </c>
      <c r="P38" s="29">
        <f>(E38)*'Input summary'!F517</f>
        <v>10873908.883339522</v>
      </c>
      <c r="Q38" s="29">
        <f>(F38)*'Input summary'!F544</f>
        <v>2016438.9462847898</v>
      </c>
      <c r="R38" s="602">
        <f>G38*'Input summary'!F571</f>
        <v>423834.15916249406</v>
      </c>
      <c r="S38" s="609">
        <f>D38*'Input summary'!L601</f>
        <v>0</v>
      </c>
      <c r="T38" s="29">
        <f>(E38)*'Input summary'!F628</f>
        <v>32197644.203568339</v>
      </c>
      <c r="U38" s="29">
        <f>(F38)*'Input summary'!F655</f>
        <v>11514874.602759294</v>
      </c>
      <c r="V38" s="29">
        <f>G38*'Input summary'!F682</f>
        <v>528409.66117058741</v>
      </c>
      <c r="W38" s="602">
        <f>H38*'Input summary'!F709</f>
        <v>66083252.152107455</v>
      </c>
      <c r="X38" s="29"/>
      <c r="Y38" s="609">
        <f>(E38)*'Input summary'!F738*'Input summary'!C115+(E38)*'Input summary'!F765*(1-'Input summary'!C115)</f>
        <v>1570.9106121848388</v>
      </c>
      <c r="Z38" s="29">
        <f>(F38-G38*'Input summary'!E142)*'Input summary'!F738</f>
        <v>410.993316360177</v>
      </c>
      <c r="AA38" s="29">
        <f>G38*'Input summary'!F765</f>
        <v>62.891959045447997</v>
      </c>
      <c r="AB38" s="29">
        <f>H38*'Input summary'!G846</f>
        <v>1784.0037936021704</v>
      </c>
      <c r="AC38" s="29">
        <f ca="1">D38*(('Input summary'!J262/'Input summary'!$C$167)*'Input summary'!L792+('Input summary'!J289/'Input summary'!$C$167)*'Input summary'!L819)</f>
        <v>0</v>
      </c>
      <c r="AD38" s="602">
        <f>H38*'Input summary'!E846</f>
        <v>2289.2790850933807</v>
      </c>
    </row>
    <row r="39" spans="1:30" x14ac:dyDescent="0.3">
      <c r="A39" s="678"/>
      <c r="B39" s="31" t="s">
        <v>1083</v>
      </c>
      <c r="C39" s="29">
        <f>'General input'!H58</f>
        <v>1156405</v>
      </c>
      <c r="D39" s="29">
        <f>'General input'!H58*'General input'!H88</f>
        <v>27753.72</v>
      </c>
      <c r="E39" s="29">
        <f>('Input summary'!M8/'Input summary'!$C$167)*(C39-D39)+('Input summary'!M8/'Input summary'!$C$167)*D39*(1-'Input summary'!M179)</f>
        <v>276194.54903632001</v>
      </c>
      <c r="F39" s="29">
        <f>('Input summary'!M35/'Input summary'!$C$168)*(C39-D39)+D39*(1-'Input summary'!M207)*('Input summary'!M35/'Input summary'!$C$169)</f>
        <v>76825.562647720013</v>
      </c>
      <c r="G39" s="29">
        <f>('Input summary'!M62/'Input summary'!$C$169)*(C39-D39)+D39*(1-'Input summary'!M207)*('Input summary'!M62/'Input summary'!$C$169)</f>
        <v>3399.5624140400005</v>
      </c>
      <c r="H39" s="602">
        <f>('Input summary'!M89/'Input summary'!$C$170)*(C39-D39)+'Calculations Lower'!D39*(1-'Input summary'!M235)*('Input summary'!M89/'Input summary'!$C$170)</f>
        <v>238.76525316000001</v>
      </c>
      <c r="I39" s="29"/>
      <c r="J39" s="609">
        <f>D39*'Input summary'!L323</f>
        <v>396600.65879999998</v>
      </c>
      <c r="K39" s="29">
        <f>D39*'Input summary'!L351</f>
        <v>936965.58719999995</v>
      </c>
      <c r="L39" s="29">
        <f>(F39)*'Input summary'!F434</f>
        <v>33838336.805675685</v>
      </c>
      <c r="M39" s="29">
        <f ca="1">D39*(('Input summary'!J263/'Input summary'!$C$167)*'Input summary'!L379+('Input summary'!J290/'Input summary'!$C$167)*'Input summary'!L407)</f>
        <v>0.74192436841352283</v>
      </c>
      <c r="N39" s="602">
        <f>G39*'Input summary'!F461</f>
        <v>45873515.93870692</v>
      </c>
      <c r="O39" s="609">
        <f>D39*'Input summary'!L491</f>
        <v>0</v>
      </c>
      <c r="P39" s="29">
        <f>(E39)*'Input summary'!F518</f>
        <v>21747798.960292909</v>
      </c>
      <c r="Q39" s="29">
        <f>(F39)*'Input summary'!F545</f>
        <v>4032874.4051457057</v>
      </c>
      <c r="R39" s="602">
        <f>G39*'Input summary'!F572</f>
        <v>847667.58530534094</v>
      </c>
      <c r="S39" s="609">
        <f>D39*'Input summary'!L602</f>
        <v>0</v>
      </c>
      <c r="T39" s="29">
        <f>(E39)*'Input summary'!F629</f>
        <v>64395232.721427321</v>
      </c>
      <c r="U39" s="29">
        <f>(F39)*'Input summary'!F656</f>
        <v>23029729.290584557</v>
      </c>
      <c r="V39" s="29">
        <f>G39*'Input summary'!F683</f>
        <v>1056818.4084585744</v>
      </c>
      <c r="W39" s="602">
        <f>H39*'Input summary'!F710</f>
        <v>133362949.70030446</v>
      </c>
      <c r="X39" s="29"/>
      <c r="Y39" s="609">
        <f>(E39)*'Input summary'!F739*'Input summary'!C116+(E39)*'Input summary'!F766*(1-'Input summary'!C116)</f>
        <v>3141.8185074854482</v>
      </c>
      <c r="Z39" s="29">
        <f>(F39-G39*'Input summary'!E143)*'Input summary'!F739</f>
        <v>827.06792776164639</v>
      </c>
      <c r="AA39" s="29">
        <f>G39*'Input summary'!F766</f>
        <v>125.78380931948001</v>
      </c>
      <c r="AB39" s="29">
        <f>H39*'Input summary'!G847</f>
        <v>3578.6861051821174</v>
      </c>
      <c r="AC39" s="29">
        <f ca="1">D39*(('Input summary'!J263/'Input summary'!$C$167)*'Input summary'!L793+('Input summary'!J290/'Input summary'!$C$167)*'Input summary'!L820)</f>
        <v>0</v>
      </c>
      <c r="AD39" s="602">
        <f>H39*'Input summary'!E847</f>
        <v>4620.0058491753734</v>
      </c>
    </row>
    <row r="40" spans="1:30" x14ac:dyDescent="0.3">
      <c r="A40" s="678"/>
      <c r="B40" s="31" t="s">
        <v>1084</v>
      </c>
      <c r="C40" s="29">
        <f>'General input'!H59</f>
        <v>3469216</v>
      </c>
      <c r="D40" s="29">
        <f>'General input'!H59*'General input'!H89</f>
        <v>83261.184000000008</v>
      </c>
      <c r="E40" s="29">
        <f>('Input summary'!M9/'Input summary'!$C$167)*(C40-D40)+('Input summary'!M9/'Input summary'!$C$167)*D40*(1-'Input summary'!M180)</f>
        <v>828988.40208424965</v>
      </c>
      <c r="F40" s="29">
        <f>('Input summary'!M36/'Input summary'!$C$168)*(C40-D40)+D40*(1-'Input summary'!M208)*('Input summary'!M36/'Input summary'!$C$169)</f>
        <v>230589.27354204163</v>
      </c>
      <c r="G40" s="29">
        <f>('Input summary'!M63/'Input summary'!$C$169)*(C40-D40)+D40*(1-'Input summary'!M208)*('Input summary'!M63/'Input summary'!$C$169)</f>
        <v>10203.6692006912</v>
      </c>
      <c r="H40" s="602">
        <f>('Input summary'!M90/'Input summary'!$C$170)*(C40-D40)+'Calculations Lower'!D40*(1-'Input summary'!M236)*('Input summary'!M90/'Input summary'!$C$170)</f>
        <v>716.64566292480004</v>
      </c>
      <c r="I40" s="29"/>
      <c r="J40" s="609">
        <f>D40*'Input summary'!L324</f>
        <v>1189802.3193600001</v>
      </c>
      <c r="K40" s="29">
        <f>D40*'Input summary'!L352</f>
        <v>2810897.5718400003</v>
      </c>
      <c r="L40" s="29">
        <f>(F40)*'Input summary'!F435</f>
        <v>101564599.50278349</v>
      </c>
      <c r="M40" s="29">
        <f ca="1">D40*(('Input summary'!J264/'Input summary'!$C$167)*'Input summary'!L380+('Input summary'!J291/'Input summary'!$C$167)*'Input summary'!L408)</f>
        <v>2.2257737468188812</v>
      </c>
      <c r="N40" s="602">
        <f>G40*'Input summary'!F462</f>
        <v>137687774.10235628</v>
      </c>
      <c r="O40" s="609">
        <f>D40*'Input summary'!L492</f>
        <v>0</v>
      </c>
      <c r="P40" s="29">
        <f>(E40)*'Input summary'!F519</f>
        <v>65275267.639593884</v>
      </c>
      <c r="Q40" s="29">
        <f>(F40)*'Input summary'!F546</f>
        <v>12104533.274074756</v>
      </c>
      <c r="R40" s="602">
        <f>G40*'Input summary'!F573</f>
        <v>2544244.9877911303</v>
      </c>
      <c r="S40" s="609">
        <f>D40*'Input summary'!L603</f>
        <v>0</v>
      </c>
      <c r="T40" s="29">
        <f>(E40)*'Input summary'!F630</f>
        <v>193280067.48083755</v>
      </c>
      <c r="U40" s="29">
        <f>(F40)*'Input summary'!F657</f>
        <v>69122937.261603907</v>
      </c>
      <c r="V40" s="29">
        <f>G40*'Input summary'!F684</f>
        <v>3172003.9616208579</v>
      </c>
      <c r="W40" s="602">
        <f>H40*'Input summary'!F711</f>
        <v>399211052.61539233</v>
      </c>
      <c r="X40" s="29"/>
      <c r="Y40" s="609">
        <f>(E40)*'Input summary'!F740*'Input summary'!C117+(E40)*'Input summary'!F767*(1-'Input summary'!C117)</f>
        <v>9430.0597649252813</v>
      </c>
      <c r="Z40" s="29">
        <f>(F40-G40*'Input summary'!E144)*'Input summary'!F740</f>
        <v>2482.4158269687555</v>
      </c>
      <c r="AA40" s="29">
        <f>G40*'Input summary'!F767</f>
        <v>377.53576042557438</v>
      </c>
      <c r="AB40" s="29">
        <f>H40*'Input summary'!G848</f>
        <v>10629.772728248363</v>
      </c>
      <c r="AC40" s="29">
        <f ca="1">D40*(('Input summary'!J264/'Input summary'!$C$167)*'Input summary'!L794+('Input summary'!J291/'Input summary'!$C$167)*'Input summary'!L821)</f>
        <v>0</v>
      </c>
      <c r="AD40" s="602">
        <f>H40*'Input summary'!E848</f>
        <v>13829.608615310643</v>
      </c>
    </row>
    <row r="41" spans="1:30" x14ac:dyDescent="0.3">
      <c r="A41" s="678"/>
      <c r="B41" s="31" t="s">
        <v>1085</v>
      </c>
      <c r="C41" s="29">
        <f>'General input'!H60</f>
        <v>0</v>
      </c>
      <c r="D41" s="29">
        <f>'General input'!H60*'General input'!H90</f>
        <v>0</v>
      </c>
      <c r="E41" s="29">
        <f>('Input summary'!M10/'Input summary'!$C$167)*(C41-D41)+('Input summary'!M10/'Input summary'!$C$167)*D41*(1-'Input summary'!M181)</f>
        <v>0</v>
      </c>
      <c r="F41" s="29">
        <f>('Input summary'!M37/'Input summary'!$C$168)*(C41-D41)+D41*(1-'Input summary'!M209)*('Input summary'!M37/'Input summary'!$C$169)</f>
        <v>0</v>
      </c>
      <c r="G41" s="29">
        <f>('Input summary'!M64/'Input summary'!$C$169)*(C41-D41)+D41*(1-'Input summary'!M209)*('Input summary'!M64/'Input summary'!$C$169)</f>
        <v>0</v>
      </c>
      <c r="H41" s="602">
        <f>('Input summary'!M91/'Input summary'!$C$170)*(C41-D41)+'Calculations Lower'!D41*(1-'Input summary'!M237)*('Input summary'!M91/'Input summary'!$C$170)</f>
        <v>0</v>
      </c>
      <c r="I41" s="29"/>
      <c r="J41" s="609">
        <f>D41*'Input summary'!L325</f>
        <v>0</v>
      </c>
      <c r="K41" s="29">
        <f>D41*'Input summary'!L353</f>
        <v>0</v>
      </c>
      <c r="L41" s="29">
        <f>(F41)*'Input summary'!F436</f>
        <v>0</v>
      </c>
      <c r="M41" s="29">
        <f ca="1">D41*(('Input summary'!J265/'Input summary'!$C$167)*'Input summary'!L381+('Input summary'!J292/'Input summary'!$C$167)*'Input summary'!L409)</f>
        <v>0</v>
      </c>
      <c r="N41" s="602">
        <f>G41*'Input summary'!F463</f>
        <v>0</v>
      </c>
      <c r="O41" s="609">
        <f>D41*'Input summary'!L493</f>
        <v>0</v>
      </c>
      <c r="P41" s="29">
        <f>(E41)*'Input summary'!F520</f>
        <v>0</v>
      </c>
      <c r="Q41" s="29">
        <f>(F41)*'Input summary'!F547</f>
        <v>0</v>
      </c>
      <c r="R41" s="602">
        <f>G41*'Input summary'!F574</f>
        <v>0</v>
      </c>
      <c r="S41" s="609">
        <f>D41*'Input summary'!L604</f>
        <v>0</v>
      </c>
      <c r="T41" s="29">
        <f>(E41)*'Input summary'!F631</f>
        <v>0</v>
      </c>
      <c r="U41" s="29">
        <f>(F41)*'Input summary'!F658</f>
        <v>0</v>
      </c>
      <c r="V41" s="29">
        <f>G41*'Input summary'!F685</f>
        <v>0</v>
      </c>
      <c r="W41" s="602">
        <f>H41*'Input summary'!F712</f>
        <v>0</v>
      </c>
      <c r="X41" s="29"/>
      <c r="Y41" s="609">
        <f>(E41)*'Input summary'!F741*'Input summary'!C118+(E41)*'Input summary'!F768*(1-'Input summary'!C118)</f>
        <v>0</v>
      </c>
      <c r="Z41" s="29">
        <f>(F41-G41*'Input summary'!E145)*'Input summary'!F741</f>
        <v>0</v>
      </c>
      <c r="AA41" s="29">
        <f>G41*'Input summary'!F768</f>
        <v>0</v>
      </c>
      <c r="AB41" s="29">
        <f>H41*'Input summary'!G849</f>
        <v>0</v>
      </c>
      <c r="AC41" s="29">
        <f ca="1">D41*(('Input summary'!J265/'Input summary'!$C$167)*'Input summary'!L795+('Input summary'!J292/'Input summary'!$C$167)*'Input summary'!L822)</f>
        <v>0</v>
      </c>
      <c r="AD41" s="602">
        <f>H41*'Input summary'!E849</f>
        <v>0</v>
      </c>
    </row>
    <row r="42" spans="1:30" x14ac:dyDescent="0.3">
      <c r="A42" s="678"/>
      <c r="B42" s="31" t="s">
        <v>1086</v>
      </c>
      <c r="C42" s="29">
        <f>'General input'!H61</f>
        <v>0</v>
      </c>
      <c r="D42" s="29">
        <f>'General input'!H61*'General input'!H91</f>
        <v>0</v>
      </c>
      <c r="E42" s="29">
        <f>('Input summary'!M11/'Input summary'!$C$167)*(C42-D42)+('Input summary'!M11/'Input summary'!$C$167)*D42*(1-'Input summary'!M182)</f>
        <v>0</v>
      </c>
      <c r="F42" s="29">
        <f>('Input summary'!M38/'Input summary'!$C$168)*(C42-D42)+D42*(1-'Input summary'!M210)*('Input summary'!M38/'Input summary'!$C$169)</f>
        <v>0</v>
      </c>
      <c r="G42" s="29">
        <f>('Input summary'!M65/'Input summary'!$C$169)*(C42-D42)+D42*(1-'Input summary'!M210)*('Input summary'!M65/'Input summary'!$C$169)</f>
        <v>0</v>
      </c>
      <c r="H42" s="602">
        <f>('Input summary'!M92/'Input summary'!$C$170)*(C42-D42)+'Calculations Lower'!D42*(1-'Input summary'!M238)*('Input summary'!M92/'Input summary'!$C$170)</f>
        <v>0</v>
      </c>
      <c r="I42" s="29"/>
      <c r="J42" s="609">
        <f>D42*'Input summary'!L326</f>
        <v>0</v>
      </c>
      <c r="K42" s="29">
        <f>D42*'Input summary'!L354</f>
        <v>0</v>
      </c>
      <c r="L42" s="29">
        <f>(F42)*'Input summary'!F437</f>
        <v>0</v>
      </c>
      <c r="M42" s="29">
        <f ca="1">D42*(('Input summary'!J266/'Input summary'!$C$167)*'Input summary'!L382+('Input summary'!J293/'Input summary'!$C$167)*'Input summary'!L410)</f>
        <v>0</v>
      </c>
      <c r="N42" s="602">
        <f>G42*'Input summary'!F464</f>
        <v>0</v>
      </c>
      <c r="O42" s="609">
        <f>D42*'Input summary'!L494</f>
        <v>0</v>
      </c>
      <c r="P42" s="29">
        <f>(E42)*'Input summary'!F521</f>
        <v>0</v>
      </c>
      <c r="Q42" s="29">
        <f>(F42)*'Input summary'!F548</f>
        <v>0</v>
      </c>
      <c r="R42" s="602">
        <f>G42*'Input summary'!F575</f>
        <v>0</v>
      </c>
      <c r="S42" s="609">
        <f>D42*'Input summary'!L605</f>
        <v>0</v>
      </c>
      <c r="T42" s="29">
        <f>(E42)*'Input summary'!F632</f>
        <v>0</v>
      </c>
      <c r="U42" s="29">
        <f>(F42)*'Input summary'!F659</f>
        <v>0</v>
      </c>
      <c r="V42" s="29">
        <f>G42*'Input summary'!F686</f>
        <v>0</v>
      </c>
      <c r="W42" s="602">
        <f>H42*'Input summary'!F713</f>
        <v>0</v>
      </c>
      <c r="X42" s="29"/>
      <c r="Y42" s="609">
        <f>(E42)*'Input summary'!F742*'Input summary'!C119+(E42)*'Input summary'!F769*(1-'Input summary'!C119)</f>
        <v>0</v>
      </c>
      <c r="Z42" s="29">
        <f>(F42-G42*'Input summary'!E146)*'Input summary'!F742</f>
        <v>0</v>
      </c>
      <c r="AA42" s="29">
        <f>G42*'Input summary'!F769</f>
        <v>0</v>
      </c>
      <c r="AB42" s="29">
        <f>H42*'Input summary'!G850</f>
        <v>0</v>
      </c>
      <c r="AC42" s="29">
        <f ca="1">D42*(('Input summary'!J266/'Input summary'!$C$167)*'Input summary'!L796+('Input summary'!J293/'Input summary'!$C$167)*'Input summary'!L823)</f>
        <v>0</v>
      </c>
      <c r="AD42" s="602">
        <f>H42*'Input summary'!E850</f>
        <v>0</v>
      </c>
    </row>
    <row r="43" spans="1:30" x14ac:dyDescent="0.3">
      <c r="A43" s="678"/>
      <c r="B43" s="31" t="s">
        <v>1087</v>
      </c>
      <c r="C43" s="29">
        <f>'General input'!H62</f>
        <v>0</v>
      </c>
      <c r="D43" s="29">
        <f>'General input'!H62*'General input'!H92</f>
        <v>0</v>
      </c>
      <c r="E43" s="29">
        <f>('Input summary'!M12/'Input summary'!$C$167)*(C43-D43)+('Input summary'!M12/'Input summary'!$C$167)*D43*(1-'Input summary'!M183)</f>
        <v>0</v>
      </c>
      <c r="F43" s="29">
        <f>('Input summary'!M39/'Input summary'!$C$168)*(C43-D43)+D43*(1-'Input summary'!M211)*('Input summary'!M39/'Input summary'!$C$169)</f>
        <v>0</v>
      </c>
      <c r="G43" s="29">
        <f>('Input summary'!M66/'Input summary'!$C$169)*(C43-D43)+D43*(1-'Input summary'!M211)*('Input summary'!M66/'Input summary'!$C$169)</f>
        <v>0</v>
      </c>
      <c r="H43" s="602">
        <f>('Input summary'!M93/'Input summary'!$C$170)*(C43-D43)+'Calculations Lower'!D43*(1-'Input summary'!M239)*('Input summary'!M93/'Input summary'!$C$170)</f>
        <v>0</v>
      </c>
      <c r="I43" s="29"/>
      <c r="J43" s="609">
        <f>D43*'Input summary'!L327</f>
        <v>0</v>
      </c>
      <c r="K43" s="29">
        <f>D43*'Input summary'!L355</f>
        <v>0</v>
      </c>
      <c r="L43" s="29">
        <f>(F43)*'Input summary'!F438</f>
        <v>0</v>
      </c>
      <c r="M43" s="29">
        <f ca="1">D43*(('Input summary'!J267/'Input summary'!$C$167)*'Input summary'!L383+('Input summary'!J294/'Input summary'!$C$167)*'Input summary'!L411)</f>
        <v>0</v>
      </c>
      <c r="N43" s="602">
        <f>G43*'Input summary'!F465</f>
        <v>0</v>
      </c>
      <c r="O43" s="609">
        <f>D43*'Input summary'!L495</f>
        <v>0</v>
      </c>
      <c r="P43" s="29">
        <f>(E43)*'Input summary'!F522</f>
        <v>0</v>
      </c>
      <c r="Q43" s="29">
        <f>(F43)*'Input summary'!F549</f>
        <v>0</v>
      </c>
      <c r="R43" s="602">
        <f>G43*'Input summary'!F576</f>
        <v>0</v>
      </c>
      <c r="S43" s="609">
        <f>D43*'Input summary'!L606</f>
        <v>0</v>
      </c>
      <c r="T43" s="29">
        <f>(E43)*'Input summary'!F633</f>
        <v>0</v>
      </c>
      <c r="U43" s="29">
        <f>(F43)*'Input summary'!F660</f>
        <v>0</v>
      </c>
      <c r="V43" s="29">
        <f>G43*'Input summary'!F687</f>
        <v>0</v>
      </c>
      <c r="W43" s="602">
        <f>H43*'Input summary'!F714</f>
        <v>0</v>
      </c>
      <c r="X43" s="29"/>
      <c r="Y43" s="609">
        <f>(E43)*'Input summary'!F743*'Input summary'!C120+(E43)*'Input summary'!F770*(1-'Input summary'!C120)</f>
        <v>0</v>
      </c>
      <c r="Z43" s="29">
        <f>(F43-G43*'Input summary'!E147)*'Input summary'!F743</f>
        <v>0</v>
      </c>
      <c r="AA43" s="29">
        <f>G43*'Input summary'!F770</f>
        <v>0</v>
      </c>
      <c r="AB43" s="29">
        <f>H43*'Input summary'!G851</f>
        <v>0</v>
      </c>
      <c r="AC43" s="29">
        <f ca="1">D43*(('Input summary'!J267/'Input summary'!$C$167)*'Input summary'!L797+('Input summary'!J294/'Input summary'!$C$167)*'Input summary'!L824)</f>
        <v>0</v>
      </c>
      <c r="AD43" s="602">
        <f>H43*'Input summary'!E851</f>
        <v>0</v>
      </c>
    </row>
    <row r="44" spans="1:30" x14ac:dyDescent="0.3">
      <c r="A44" s="678"/>
      <c r="B44" s="31" t="s">
        <v>1443</v>
      </c>
      <c r="C44" s="29">
        <f>'General input'!H63</f>
        <v>0</v>
      </c>
      <c r="D44" s="29">
        <f>'General input'!H63*'General input'!H93</f>
        <v>0</v>
      </c>
      <c r="E44" s="29">
        <f>('Input summary'!M13/'Input summary'!$C$167)*(C44-D44)+('Input summary'!M13/'Input summary'!$C$167)*D44*(1-'Input summary'!M184)</f>
        <v>0</v>
      </c>
      <c r="F44" s="29">
        <f>('Input summary'!M40/'Input summary'!$C$168)*(C44-D44)+D44*(1-'Input summary'!M212)*('Input summary'!M40/'Input summary'!$C$169)</f>
        <v>0</v>
      </c>
      <c r="G44" s="29">
        <f>('Input summary'!M67/'Input summary'!$C$169)*(C44-D44)+D44*(1-'Input summary'!M212)*('Input summary'!M67/'Input summary'!$C$169)</f>
        <v>0</v>
      </c>
      <c r="H44" s="602">
        <f>('Input summary'!M94/'Input summary'!$C$170)*(C44-D44)+'Calculations Lower'!D44*(1-'Input summary'!M240)*('Input summary'!M94/'Input summary'!$C$170)</f>
        <v>0</v>
      </c>
      <c r="I44" s="29"/>
      <c r="J44" s="609">
        <f>D44*'Input summary'!L328</f>
        <v>0</v>
      </c>
      <c r="K44" s="29">
        <f>D44*'Input summary'!L356</f>
        <v>0</v>
      </c>
      <c r="L44" s="29">
        <f>(F44)*'Input summary'!F439</f>
        <v>0</v>
      </c>
      <c r="M44" s="29">
        <f ca="1">D44*(('Input summary'!J268/'Input summary'!$C$167)*'Input summary'!L384+('Input summary'!J295/'Input summary'!$C$167)*'Input summary'!L412)</f>
        <v>0</v>
      </c>
      <c r="N44" s="602">
        <f>G44*'Input summary'!F466</f>
        <v>0</v>
      </c>
      <c r="O44" s="609">
        <f>D44*'Input summary'!L496</f>
        <v>0</v>
      </c>
      <c r="P44" s="29">
        <f>(E44)*'Input summary'!F523</f>
        <v>0</v>
      </c>
      <c r="Q44" s="29">
        <f>(F44)*'Input summary'!F550</f>
        <v>0</v>
      </c>
      <c r="R44" s="602">
        <f>G44*'Input summary'!F577</f>
        <v>0</v>
      </c>
      <c r="S44" s="609">
        <f>D44*'Input summary'!L607</f>
        <v>0</v>
      </c>
      <c r="T44" s="29">
        <f>(E44)*'Input summary'!F634</f>
        <v>0</v>
      </c>
      <c r="U44" s="29">
        <f>(F44)*'Input summary'!F661</f>
        <v>0</v>
      </c>
      <c r="V44" s="29">
        <f>G44*'Input summary'!F688</f>
        <v>0</v>
      </c>
      <c r="W44" s="602">
        <f>H44*'Input summary'!F715</f>
        <v>0</v>
      </c>
      <c r="X44" s="29"/>
      <c r="Y44" s="609">
        <f>(E44)*'Input summary'!F744*'Input summary'!C121+(E44)*'Input summary'!F771*(1-'Input summary'!C121)</f>
        <v>0</v>
      </c>
      <c r="Z44" s="29">
        <f>(F44-G44*'Input summary'!E148)*'Input summary'!F744</f>
        <v>0</v>
      </c>
      <c r="AA44" s="29">
        <f>G44*'Input summary'!F771</f>
        <v>0</v>
      </c>
      <c r="AB44" s="29">
        <f>H44*'Input summary'!G852</f>
        <v>0</v>
      </c>
      <c r="AC44" s="29">
        <f ca="1">D44*(('Input summary'!J268/'Input summary'!$C$167)*'Input summary'!L798+('Input summary'!J295/'Input summary'!$C$167)*'Input summary'!L825)</f>
        <v>0</v>
      </c>
      <c r="AD44" s="602">
        <f>H44*'Input summary'!E852</f>
        <v>0</v>
      </c>
    </row>
    <row r="45" spans="1:30" x14ac:dyDescent="0.3">
      <c r="A45" s="678"/>
      <c r="B45" s="315" t="s">
        <v>1444</v>
      </c>
      <c r="E45" s="29"/>
      <c r="F45" s="29"/>
      <c r="G45" s="29"/>
      <c r="H45" s="602"/>
      <c r="J45" s="198"/>
      <c r="N45" s="87"/>
      <c r="O45" s="198"/>
      <c r="P45" s="29"/>
      <c r="R45" s="87"/>
      <c r="S45" s="198"/>
      <c r="W45" s="87"/>
      <c r="Y45" s="198"/>
      <c r="AD45" s="87"/>
    </row>
    <row r="46" spans="1:30" ht="17.399999999999999" customHeight="1" x14ac:dyDescent="0.3">
      <c r="A46" s="678"/>
      <c r="B46" s="31" t="s">
        <v>1082</v>
      </c>
      <c r="C46" s="29">
        <f>'General input'!H65</f>
        <v>0</v>
      </c>
      <c r="D46" s="29">
        <f>'General input'!H65*'General input'!H95</f>
        <v>0</v>
      </c>
      <c r="E46" s="29">
        <f>('Input summary'!M15/'Input summary'!$C$167)*(C46-D46)+('Input summary'!M15/'Input summary'!$C$167)*D46*(1-'Input summary'!M186)</f>
        <v>0</v>
      </c>
      <c r="F46" s="29">
        <f>('Input summary'!M42/'Input summary'!$C$168)*(C46-D46)+D46*(1-'Input summary'!M214)*('Input summary'!M42/'Input summary'!$C$169)</f>
        <v>0</v>
      </c>
      <c r="G46" s="29">
        <f>('Input summary'!M69/'Input summary'!$C$169)*(C46-D46)+D46*(1-'Input summary'!M214)*('Input summary'!M69/'Input summary'!$C$169)</f>
        <v>0</v>
      </c>
      <c r="H46" s="602">
        <f>('Input summary'!M96/'Input summary'!$C$170)*(C46-D46)+'Calculations Lower'!D46*(1-'Input summary'!M242)*('Input summary'!M96/'Input summary'!$C$170)</f>
        <v>0</v>
      </c>
      <c r="I46" s="29"/>
      <c r="J46" s="609">
        <f>D46*'Input summary'!L330</f>
        <v>0</v>
      </c>
      <c r="K46" s="29">
        <f>D46*'Input summary'!L358</f>
        <v>0</v>
      </c>
      <c r="L46" s="29">
        <f>(F46)*'Input summary'!F441</f>
        <v>0</v>
      </c>
      <c r="M46" s="29">
        <f ca="1">D46*(('Input summary'!J270/'Input summary'!$C$167)*'Input summary'!L386+('Input summary'!J297/'Input summary'!$C$167)*'Input summary'!L414)</f>
        <v>0</v>
      </c>
      <c r="N46" s="602">
        <f>G46*'Input summary'!F468</f>
        <v>0</v>
      </c>
      <c r="O46" s="609">
        <f>D46*'Input summary'!L498</f>
        <v>0</v>
      </c>
      <c r="P46" s="29">
        <f>(E46)*'Input summary'!F525</f>
        <v>0</v>
      </c>
      <c r="Q46" s="29">
        <f>(F46)*'Input summary'!F552</f>
        <v>0</v>
      </c>
      <c r="R46" s="602">
        <f>G46*'Input summary'!F579</f>
        <v>0</v>
      </c>
      <c r="S46" s="609">
        <f>D46*'Input summary'!L609</f>
        <v>0</v>
      </c>
      <c r="T46" s="29">
        <f>(E46)*'Input summary'!F636</f>
        <v>0</v>
      </c>
      <c r="U46" s="29">
        <f>(F46)*'Input summary'!F663</f>
        <v>0</v>
      </c>
      <c r="V46" s="29">
        <f>G46*'Input summary'!F690</f>
        <v>0</v>
      </c>
      <c r="W46" s="602">
        <f>H46*'Input summary'!F717</f>
        <v>0</v>
      </c>
      <c r="X46" s="29"/>
      <c r="Y46" s="609">
        <f>(E46)*'Input summary'!F746*'Input summary'!C123+(E46)*'Input summary'!F773*(1-'Input summary'!C123)</f>
        <v>0</v>
      </c>
      <c r="Z46" s="29">
        <f>(F46-G46*'Input summary'!E150)*'Input summary'!F746</f>
        <v>0</v>
      </c>
      <c r="AA46" s="29">
        <f>G46*'Input summary'!F773</f>
        <v>0</v>
      </c>
      <c r="AB46" s="29">
        <f>H46*'Input summary'!G854</f>
        <v>0</v>
      </c>
      <c r="AC46" s="29">
        <f ca="1">D46*(('Input summary'!J270/'Input summary'!$C$167)*'Input summary'!L800+('Input summary'!J297/'Input summary'!$C$167)*'Input summary'!L827)</f>
        <v>0</v>
      </c>
      <c r="AD46" s="602">
        <f>H46*'Input summary'!E854</f>
        <v>0</v>
      </c>
    </row>
    <row r="47" spans="1:30" x14ac:dyDescent="0.3">
      <c r="A47" s="678"/>
      <c r="B47" s="31" t="s">
        <v>1083</v>
      </c>
      <c r="C47" s="29">
        <f>'General input'!H66</f>
        <v>0</v>
      </c>
      <c r="D47" s="29">
        <f>'General input'!H66*'General input'!H96</f>
        <v>0</v>
      </c>
      <c r="E47" s="29">
        <f>('Input summary'!M16/'Input summary'!$C$167)*(C47-D47)+('Input summary'!M16/'Input summary'!$C$167)*D47*(1-'Input summary'!M187)</f>
        <v>0</v>
      </c>
      <c r="F47" s="29">
        <f>('Input summary'!M43/'Input summary'!$C$168)*(C47-D47)+D47*(1-'Input summary'!M215)*('Input summary'!M43/'Input summary'!$C$169)</f>
        <v>0</v>
      </c>
      <c r="G47" s="29">
        <f>('Input summary'!M70/'Input summary'!$C$169)*(C47-D47)+D47*(1-'Input summary'!M215)*('Input summary'!M70/'Input summary'!$C$169)</f>
        <v>0</v>
      </c>
      <c r="H47" s="602">
        <f>('Input summary'!M97/'Input summary'!$C$170)*(C47-D47)+'Calculations Lower'!D47*(1-'Input summary'!M243)*('Input summary'!M97/'Input summary'!$C$170)</f>
        <v>0</v>
      </c>
      <c r="I47" s="29"/>
      <c r="J47" s="609">
        <f>D47*'Input summary'!L331</f>
        <v>0</v>
      </c>
      <c r="K47" s="29">
        <f>D47*'Input summary'!L359</f>
        <v>0</v>
      </c>
      <c r="L47" s="29">
        <f>(F47)*'Input summary'!F442</f>
        <v>0</v>
      </c>
      <c r="M47" s="29">
        <f ca="1">D47*(('Input summary'!J271/'Input summary'!$C$167)*'Input summary'!L387+('Input summary'!J298/'Input summary'!$C$167)*'Input summary'!L415)</f>
        <v>0</v>
      </c>
      <c r="N47" s="602">
        <f>G47*'Input summary'!F469</f>
        <v>0</v>
      </c>
      <c r="O47" s="609">
        <f>D47*'Input summary'!L499</f>
        <v>0</v>
      </c>
      <c r="P47" s="29">
        <f>(E47)*'Input summary'!F526</f>
        <v>0</v>
      </c>
      <c r="Q47" s="29">
        <f>(F47)*'Input summary'!F553</f>
        <v>0</v>
      </c>
      <c r="R47" s="602">
        <f>G47*'Input summary'!F580</f>
        <v>0</v>
      </c>
      <c r="S47" s="609">
        <f>D47*'Input summary'!L610</f>
        <v>0</v>
      </c>
      <c r="T47" s="29">
        <f>(E47)*'Input summary'!F637</f>
        <v>0</v>
      </c>
      <c r="U47" s="29">
        <f>(F47)*'Input summary'!F664</f>
        <v>0</v>
      </c>
      <c r="V47" s="29">
        <f>G47*'Input summary'!F691</f>
        <v>0</v>
      </c>
      <c r="W47" s="602">
        <f>H47*'Input summary'!F718</f>
        <v>0</v>
      </c>
      <c r="X47" s="29"/>
      <c r="Y47" s="609">
        <f>(E47)*'Input summary'!F747*'Input summary'!C124+(E47)*'Input summary'!F774*(1-'Input summary'!C124)</f>
        <v>0</v>
      </c>
      <c r="Z47" s="29">
        <f>(F47-G47*'Input summary'!E151)*'Input summary'!F747</f>
        <v>0</v>
      </c>
      <c r="AA47" s="29">
        <f>G47*'Input summary'!F774</f>
        <v>0</v>
      </c>
      <c r="AB47" s="29">
        <f>H47*'Input summary'!G855</f>
        <v>0</v>
      </c>
      <c r="AC47" s="29">
        <f ca="1">D47*(('Input summary'!J271/'Input summary'!$C$167)*'Input summary'!L801+('Input summary'!J298/'Input summary'!$C$167)*'Input summary'!L828)</f>
        <v>0</v>
      </c>
      <c r="AD47" s="602">
        <f>H47*'Input summary'!E855</f>
        <v>0</v>
      </c>
    </row>
    <row r="48" spans="1:30" x14ac:dyDescent="0.3">
      <c r="A48" s="678"/>
      <c r="B48" s="31" t="s">
        <v>1084</v>
      </c>
      <c r="C48" s="29">
        <f>'General input'!H67</f>
        <v>0</v>
      </c>
      <c r="D48" s="29">
        <f>'General input'!H67*'General input'!H97</f>
        <v>0</v>
      </c>
      <c r="E48" s="29">
        <f>('Input summary'!M17/'Input summary'!$C$167)*(C48-D48)+('Input summary'!M17/'Input summary'!$C$167)*D48*(1-'Input summary'!M188)</f>
        <v>0</v>
      </c>
      <c r="F48" s="29">
        <f>('Input summary'!M44/'Input summary'!$C$168)*(C48-D48)+D48*(1-'Input summary'!M216)*('Input summary'!M44/'Input summary'!$C$169)</f>
        <v>0</v>
      </c>
      <c r="G48" s="29">
        <f>('Input summary'!M71/'Input summary'!$C$169)*(C48-D48)+D48*(1-'Input summary'!M216)*('Input summary'!M71/'Input summary'!$C$169)</f>
        <v>0</v>
      </c>
      <c r="H48" s="602">
        <f>('Input summary'!M98/'Input summary'!$C$170)*(C48-D48)+'Calculations Lower'!D48*(1-'Input summary'!M244)*('Input summary'!M98/'Input summary'!$C$170)</f>
        <v>0</v>
      </c>
      <c r="I48" s="29"/>
      <c r="J48" s="609">
        <f>D48*'Input summary'!L332</f>
        <v>0</v>
      </c>
      <c r="K48" s="29">
        <f>D48*'Input summary'!L360</f>
        <v>0</v>
      </c>
      <c r="L48" s="29">
        <f>(F48)*'Input summary'!F443</f>
        <v>0</v>
      </c>
      <c r="M48" s="29">
        <f ca="1">D48*(('Input summary'!J272/'Input summary'!$C$167)*'Input summary'!L388+('Input summary'!J299/'Input summary'!$C$167)*'Input summary'!L416)</f>
        <v>0</v>
      </c>
      <c r="N48" s="602">
        <f>G48*'Input summary'!F470</f>
        <v>0</v>
      </c>
      <c r="O48" s="609">
        <f>D48*'Input summary'!L500</f>
        <v>0</v>
      </c>
      <c r="P48" s="29">
        <f>(E48)*'Input summary'!F527</f>
        <v>0</v>
      </c>
      <c r="Q48" s="29">
        <f>(F48)*'Input summary'!F554</f>
        <v>0</v>
      </c>
      <c r="R48" s="602">
        <f>G48*'Input summary'!F581</f>
        <v>0</v>
      </c>
      <c r="S48" s="609">
        <f>D48*'Input summary'!L611</f>
        <v>0</v>
      </c>
      <c r="T48" s="29">
        <f>(E48)*'Input summary'!F638</f>
        <v>0</v>
      </c>
      <c r="U48" s="29">
        <f>(F48)*'Input summary'!F665</f>
        <v>0</v>
      </c>
      <c r="V48" s="29">
        <f>G48*'Input summary'!F692</f>
        <v>0</v>
      </c>
      <c r="W48" s="602">
        <f>H48*'Input summary'!F719</f>
        <v>0</v>
      </c>
      <c r="X48" s="29"/>
      <c r="Y48" s="609">
        <f>(E48)*'Input summary'!F748*'Input summary'!C125+(E48)*'Input summary'!F775*(1-'Input summary'!C125)</f>
        <v>0</v>
      </c>
      <c r="Z48" s="29">
        <f>(F48-G48*'Input summary'!E152)*'Input summary'!F748</f>
        <v>0</v>
      </c>
      <c r="AA48" s="29">
        <f>G48*'Input summary'!F775</f>
        <v>0</v>
      </c>
      <c r="AB48" s="29">
        <f>H48*'Input summary'!G856</f>
        <v>0</v>
      </c>
      <c r="AC48" s="29">
        <f ca="1">D48*(('Input summary'!J272/'Input summary'!$C$167)*'Input summary'!L802+('Input summary'!J299/'Input summary'!$C$167)*'Input summary'!L829)</f>
        <v>0</v>
      </c>
      <c r="AD48" s="602">
        <f>H48*'Input summary'!E856</f>
        <v>0</v>
      </c>
    </row>
    <row r="49" spans="1:30" x14ac:dyDescent="0.3">
      <c r="A49" s="678"/>
      <c r="B49" s="31" t="s">
        <v>1085</v>
      </c>
      <c r="C49" s="29">
        <f>'General input'!H68</f>
        <v>0</v>
      </c>
      <c r="D49" s="29">
        <f>'General input'!H68*'General input'!H98</f>
        <v>0</v>
      </c>
      <c r="E49" s="29">
        <f>('Input summary'!M18/'Input summary'!$C$167)*(C49-D49)+('Input summary'!M18/'Input summary'!$C$167)*D49*(1-'Input summary'!M189)</f>
        <v>0</v>
      </c>
      <c r="F49" s="29">
        <f>('Input summary'!M45/'Input summary'!$C$168)*(C49-D49)+D49*(1-'Input summary'!M217)*('Input summary'!M45/'Input summary'!$C$169)</f>
        <v>0</v>
      </c>
      <c r="G49" s="29">
        <f>('Input summary'!M72/'Input summary'!$C$169)*(C49-D49)+D49*(1-'Input summary'!M217)*('Input summary'!M72/'Input summary'!$C$169)</f>
        <v>0</v>
      </c>
      <c r="H49" s="602">
        <f>('Input summary'!M99/'Input summary'!$C$170)*(C49-D49)+'Calculations Lower'!D49*(1-'Input summary'!M245)*('Input summary'!M99/'Input summary'!$C$170)</f>
        <v>0</v>
      </c>
      <c r="I49" s="29"/>
      <c r="J49" s="609">
        <f>D49*'Input summary'!L333</f>
        <v>0</v>
      </c>
      <c r="K49" s="29">
        <f>D49*'Input summary'!L361</f>
        <v>0</v>
      </c>
      <c r="L49" s="29">
        <f>(F49)*'Input summary'!F444</f>
        <v>0</v>
      </c>
      <c r="M49" s="29">
        <f ca="1">D49*(('Input summary'!J273/'Input summary'!$C$167)*'Input summary'!L389+('Input summary'!J300/'Input summary'!$C$167)*'Input summary'!L417)</f>
        <v>0</v>
      </c>
      <c r="N49" s="602">
        <f>G49*'Input summary'!F471</f>
        <v>0</v>
      </c>
      <c r="O49" s="609">
        <f>D49*'Input summary'!L501</f>
        <v>0</v>
      </c>
      <c r="P49" s="29">
        <f>(E49)*'Input summary'!F528</f>
        <v>0</v>
      </c>
      <c r="Q49" s="29">
        <f>(F49)*'Input summary'!F555</f>
        <v>0</v>
      </c>
      <c r="R49" s="602">
        <f>G49*'Input summary'!F582</f>
        <v>0</v>
      </c>
      <c r="S49" s="609">
        <f>D49*'Input summary'!L612</f>
        <v>0</v>
      </c>
      <c r="T49" s="29">
        <f>(E49)*'Input summary'!F639</f>
        <v>0</v>
      </c>
      <c r="U49" s="29">
        <f>(F49)*'Input summary'!F666</f>
        <v>0</v>
      </c>
      <c r="V49" s="29">
        <f>G49*'Input summary'!F693</f>
        <v>0</v>
      </c>
      <c r="W49" s="602">
        <f>H49*'Input summary'!F720</f>
        <v>0</v>
      </c>
      <c r="X49" s="29"/>
      <c r="Y49" s="609">
        <f>(E49)*'Input summary'!F749*'Input summary'!C126+(E49)*'Input summary'!F776*(1-'Input summary'!C126)</f>
        <v>0</v>
      </c>
      <c r="Z49" s="29">
        <f>(F49-G49*'Input summary'!E153)*'Input summary'!F749</f>
        <v>0</v>
      </c>
      <c r="AA49" s="29">
        <f>G49*'Input summary'!F776</f>
        <v>0</v>
      </c>
      <c r="AB49" s="29">
        <f>H49*'Input summary'!G857</f>
        <v>0</v>
      </c>
      <c r="AC49" s="29">
        <f ca="1">D49*(('Input summary'!J273/'Input summary'!$C$167)*'Input summary'!L803+('Input summary'!J300/'Input summary'!$C$167)*'Input summary'!L830)</f>
        <v>0</v>
      </c>
      <c r="AD49" s="602">
        <f>H49*'Input summary'!E857</f>
        <v>0</v>
      </c>
    </row>
    <row r="50" spans="1:30" x14ac:dyDescent="0.3">
      <c r="A50" s="678"/>
      <c r="B50" s="31" t="s">
        <v>1086</v>
      </c>
      <c r="C50" s="29">
        <f>'General input'!H69</f>
        <v>0</v>
      </c>
      <c r="D50" s="29">
        <f>'General input'!H69*'General input'!H99</f>
        <v>0</v>
      </c>
      <c r="E50" s="29">
        <f>('Input summary'!M19/'Input summary'!$C$167)*(C50-D50)+('Input summary'!M19/'Input summary'!$C$167)*D50*(1-'Input summary'!M190)</f>
        <v>0</v>
      </c>
      <c r="F50" s="29">
        <f>('Input summary'!M46/'Input summary'!$C$168)*(C50-D50)+D50*(1-'Input summary'!M218)*('Input summary'!M46/'Input summary'!$C$169)</f>
        <v>0</v>
      </c>
      <c r="G50" s="29">
        <f>('Input summary'!M73/'Input summary'!$C$169)*(C50-D50)+D50*(1-'Input summary'!M218)*('Input summary'!M73/'Input summary'!$C$169)</f>
        <v>0</v>
      </c>
      <c r="H50" s="602">
        <f>('Input summary'!M100/'Input summary'!$C$170)*(C50-D50)+'Calculations Lower'!D50*(1-'Input summary'!M246)*('Input summary'!M100/'Input summary'!$C$170)</f>
        <v>0</v>
      </c>
      <c r="I50" s="29"/>
      <c r="J50" s="609">
        <f>D50*'Input summary'!L334</f>
        <v>0</v>
      </c>
      <c r="K50" s="29">
        <f>D50*'Input summary'!L362</f>
        <v>0</v>
      </c>
      <c r="L50" s="29">
        <f>(F50)*'Input summary'!F445</f>
        <v>0</v>
      </c>
      <c r="M50" s="29">
        <f ca="1">D50*(('Input summary'!J274/'Input summary'!$C$167)*'Input summary'!L390+('Input summary'!J301/'Input summary'!$C$167)*'Input summary'!L418)</f>
        <v>0</v>
      </c>
      <c r="N50" s="602">
        <f>G50*'Input summary'!F472</f>
        <v>0</v>
      </c>
      <c r="O50" s="609">
        <f>D50*'Input summary'!L502</f>
        <v>0</v>
      </c>
      <c r="P50" s="29">
        <f>(E50)*'Input summary'!F529</f>
        <v>0</v>
      </c>
      <c r="Q50" s="29">
        <f>(F50)*'Input summary'!F556</f>
        <v>0</v>
      </c>
      <c r="R50" s="602">
        <f>G50*'Input summary'!F583</f>
        <v>0</v>
      </c>
      <c r="S50" s="609">
        <f>D50*'Input summary'!L613</f>
        <v>0</v>
      </c>
      <c r="T50" s="29">
        <f>(E50)*'Input summary'!F640</f>
        <v>0</v>
      </c>
      <c r="U50" s="29">
        <f>(F50)*'Input summary'!F667</f>
        <v>0</v>
      </c>
      <c r="V50" s="29">
        <f>G50*'Input summary'!F694</f>
        <v>0</v>
      </c>
      <c r="W50" s="602">
        <f>H50*'Input summary'!F721</f>
        <v>0</v>
      </c>
      <c r="X50" s="29"/>
      <c r="Y50" s="609">
        <f>(E50)*'Input summary'!F750*'Input summary'!C127+(E50)*'Input summary'!F777*(1-'Input summary'!C127)</f>
        <v>0</v>
      </c>
      <c r="Z50" s="29">
        <f>(F50-G50*'Input summary'!E154)*'Input summary'!F750</f>
        <v>0</v>
      </c>
      <c r="AA50" s="29">
        <f>G50*'Input summary'!F777</f>
        <v>0</v>
      </c>
      <c r="AB50" s="29">
        <f>H50*'Input summary'!G858</f>
        <v>0</v>
      </c>
      <c r="AC50" s="29">
        <f ca="1">D50*(('Input summary'!J274/'Input summary'!$C$167)*'Input summary'!L804+('Input summary'!J301/'Input summary'!$C$167)*'Input summary'!L831)</f>
        <v>0</v>
      </c>
      <c r="AD50" s="602">
        <f>H50*'Input summary'!E858</f>
        <v>0</v>
      </c>
    </row>
    <row r="51" spans="1:30" x14ac:dyDescent="0.3">
      <c r="A51" s="678"/>
      <c r="B51" s="31" t="s">
        <v>1087</v>
      </c>
      <c r="C51" s="29">
        <f>'General input'!H70</f>
        <v>0</v>
      </c>
      <c r="D51" s="29">
        <f>'General input'!H70*'General input'!H100</f>
        <v>0</v>
      </c>
      <c r="E51" s="29">
        <f>('Input summary'!M20/'Input summary'!$C$167)*(C51-D51)+('Input summary'!M20/'Input summary'!$C$167)*D51*(1-'Input summary'!M191)</f>
        <v>0</v>
      </c>
      <c r="F51" s="29">
        <f>('Input summary'!M47/'Input summary'!$C$168)*(C51-D51)+D51*(1-'Input summary'!M219)*('Input summary'!M47/'Input summary'!$C$169)</f>
        <v>0</v>
      </c>
      <c r="G51" s="29">
        <f>('Input summary'!M74/'Input summary'!$C$169)*(C51-D51)+D51*(1-'Input summary'!M219)*('Input summary'!M74/'Input summary'!$C$169)</f>
        <v>0</v>
      </c>
      <c r="H51" s="602">
        <f>('Input summary'!M101/'Input summary'!$C$170)*(C51-D51)+'Calculations Lower'!D51*(1-'Input summary'!M247)*('Input summary'!M101/'Input summary'!$C$170)</f>
        <v>0</v>
      </c>
      <c r="I51" s="29"/>
      <c r="J51" s="609">
        <f>D51*'Input summary'!L335</f>
        <v>0</v>
      </c>
      <c r="K51" s="29">
        <f>D51*'Input summary'!L363</f>
        <v>0</v>
      </c>
      <c r="L51" s="29">
        <f>(F51)*'Input summary'!F446</f>
        <v>0</v>
      </c>
      <c r="M51" s="29">
        <f ca="1">D51*(('Input summary'!J275/'Input summary'!$C$167)*'Input summary'!L391+('Input summary'!J302/'Input summary'!$C$167)*'Input summary'!L419)</f>
        <v>0</v>
      </c>
      <c r="N51" s="602">
        <f>G51*'Input summary'!F473</f>
        <v>0</v>
      </c>
      <c r="O51" s="609">
        <f>D51*'Input summary'!L503</f>
        <v>0</v>
      </c>
      <c r="P51" s="29">
        <f>(E51)*'Input summary'!F530</f>
        <v>0</v>
      </c>
      <c r="Q51" s="29">
        <f>(F51)*'Input summary'!F557</f>
        <v>0</v>
      </c>
      <c r="R51" s="602">
        <f>G51*'Input summary'!F584</f>
        <v>0</v>
      </c>
      <c r="S51" s="609">
        <f>D51*'Input summary'!L614</f>
        <v>0</v>
      </c>
      <c r="T51" s="29">
        <f>(E51)*'Input summary'!F641</f>
        <v>0</v>
      </c>
      <c r="U51" s="29">
        <f>(F51)*'Input summary'!F668</f>
        <v>0</v>
      </c>
      <c r="V51" s="29">
        <f>G51*'Input summary'!F695</f>
        <v>0</v>
      </c>
      <c r="W51" s="602">
        <f>H51*'Input summary'!F722</f>
        <v>0</v>
      </c>
      <c r="X51" s="29"/>
      <c r="Y51" s="609">
        <f>(E51)*'Input summary'!F751*'Input summary'!C128+(E51)*'Input summary'!F778*(1-'Input summary'!C128)</f>
        <v>0</v>
      </c>
      <c r="Z51" s="29">
        <f>(F51-G51*'Input summary'!E155)*'Input summary'!F751</f>
        <v>0</v>
      </c>
      <c r="AA51" s="29">
        <f>G51*'Input summary'!F778</f>
        <v>0</v>
      </c>
      <c r="AB51" s="29">
        <f>H51*'Input summary'!G859</f>
        <v>0</v>
      </c>
      <c r="AC51" s="29">
        <f ca="1">D51*(('Input summary'!J275/'Input summary'!$C$167)*'Input summary'!L805+('Input summary'!J302/'Input summary'!$C$167)*'Input summary'!L832)</f>
        <v>0</v>
      </c>
      <c r="AD51" s="602">
        <f>H51*'Input summary'!E859</f>
        <v>0</v>
      </c>
    </row>
    <row r="52" spans="1:30" x14ac:dyDescent="0.3">
      <c r="A52" s="678"/>
      <c r="B52" s="31" t="s">
        <v>1443</v>
      </c>
      <c r="C52" s="29">
        <f>'General input'!H71</f>
        <v>0</v>
      </c>
      <c r="D52" s="29">
        <f>'General input'!H71*'General input'!H101</f>
        <v>0</v>
      </c>
      <c r="E52" s="29">
        <f>('Input summary'!M21/'Input summary'!$C$167)*(C52-D52)+('Input summary'!M21/'Input summary'!$C$167)*D52*(1-'Input summary'!M192)</f>
        <v>0</v>
      </c>
      <c r="F52" s="29">
        <f>('Input summary'!M48/'Input summary'!$C$168)*(C52-D52)+D52*(1-'Input summary'!M220)*('Input summary'!M48/'Input summary'!$C$169)</f>
        <v>0</v>
      </c>
      <c r="G52" s="29">
        <f>('Input summary'!M75/'Input summary'!$C$169)*(C52-D52)+D52*(1-'Input summary'!M220)*('Input summary'!M75/'Input summary'!$C$169)</f>
        <v>0</v>
      </c>
      <c r="H52" s="602">
        <f>('Input summary'!M102/'Input summary'!$C$170)*(C52-D52)+'Calculations Lower'!D52*(1-'Input summary'!M248)*('Input summary'!M102/'Input summary'!$C$170)</f>
        <v>0</v>
      </c>
      <c r="I52" s="29"/>
      <c r="J52" s="609">
        <f>D52*'Input summary'!L336</f>
        <v>0</v>
      </c>
      <c r="K52" s="29">
        <f>D52*'Input summary'!L364</f>
        <v>0</v>
      </c>
      <c r="L52" s="29">
        <f>(F52)*'Input summary'!F447</f>
        <v>0</v>
      </c>
      <c r="M52" s="29">
        <f ca="1">D52*(('Input summary'!J276/'Input summary'!$C$167)*'Input summary'!L392+('Input summary'!J303/'Input summary'!$C$167)*'Input summary'!L420)</f>
        <v>0</v>
      </c>
      <c r="N52" s="602">
        <f>G52*'Input summary'!F474</f>
        <v>0</v>
      </c>
      <c r="O52" s="609">
        <f>D52*'Input summary'!L504</f>
        <v>0</v>
      </c>
      <c r="P52" s="29">
        <f>(E52)*'Input summary'!F531</f>
        <v>0</v>
      </c>
      <c r="Q52" s="29">
        <f>(F52)*'Input summary'!F558</f>
        <v>0</v>
      </c>
      <c r="R52" s="602">
        <f>G52*'Input summary'!F585</f>
        <v>0</v>
      </c>
      <c r="S52" s="609">
        <f>D52*'Input summary'!L615</f>
        <v>0</v>
      </c>
      <c r="T52" s="29">
        <f>(E52)*'Input summary'!F642</f>
        <v>0</v>
      </c>
      <c r="U52" s="29">
        <f>(F52)*'Input summary'!F669</f>
        <v>0</v>
      </c>
      <c r="V52" s="29">
        <f>G52*'Input summary'!F696</f>
        <v>0</v>
      </c>
      <c r="W52" s="602">
        <f>H52*'Input summary'!F723</f>
        <v>0</v>
      </c>
      <c r="X52" s="29"/>
      <c r="Y52" s="609">
        <f>(E52)*'Input summary'!F752*'Input summary'!C129+(E52)*'Input summary'!F779*(1-'Input summary'!C129)</f>
        <v>0</v>
      </c>
      <c r="Z52" s="29">
        <f>(F52-G52*'Input summary'!E156)*'Input summary'!F752</f>
        <v>0</v>
      </c>
      <c r="AA52" s="29">
        <f>G52*'Input summary'!F779</f>
        <v>0</v>
      </c>
      <c r="AB52" s="29">
        <f>H52*'Input summary'!G860</f>
        <v>0</v>
      </c>
      <c r="AC52" s="29">
        <f ca="1">D52*(('Input summary'!J276/'Input summary'!$C$167)*'Input summary'!L806+('Input summary'!J303/'Input summary'!$C$167)*'Input summary'!L833)</f>
        <v>0</v>
      </c>
      <c r="AD52" s="602">
        <f>H52*'Input summary'!E860</f>
        <v>0</v>
      </c>
    </row>
    <row r="53" spans="1:30" x14ac:dyDescent="0.3">
      <c r="A53" s="678"/>
      <c r="B53" s="405" t="s">
        <v>227</v>
      </c>
      <c r="C53" s="29"/>
      <c r="D53" s="29"/>
      <c r="E53" s="29"/>
      <c r="F53" s="29"/>
      <c r="G53" s="29"/>
      <c r="H53" s="602"/>
      <c r="I53" s="29"/>
      <c r="J53" s="609"/>
      <c r="K53" s="29"/>
      <c r="L53" s="29"/>
      <c r="M53" s="29"/>
      <c r="N53" s="602"/>
      <c r="O53" s="609"/>
      <c r="P53" s="29"/>
      <c r="Q53" s="29"/>
      <c r="R53" s="602"/>
      <c r="S53" s="609"/>
      <c r="T53" s="29"/>
      <c r="U53" s="29"/>
      <c r="V53" s="29"/>
      <c r="W53" s="602"/>
      <c r="X53" s="29"/>
      <c r="Y53" s="609"/>
      <c r="Z53" s="29"/>
      <c r="AA53" s="29"/>
      <c r="AB53" s="29"/>
      <c r="AC53" s="29"/>
      <c r="AD53" s="602"/>
    </row>
    <row r="54" spans="1:30" x14ac:dyDescent="0.3">
      <c r="A54" s="678"/>
      <c r="B54" s="31" t="s">
        <v>1437</v>
      </c>
      <c r="C54" s="29">
        <f>'General input'!H73</f>
        <v>0</v>
      </c>
      <c r="D54" s="29">
        <f>'General input'!H73*'General input'!H103</f>
        <v>0</v>
      </c>
      <c r="E54" s="29">
        <f>('Input summary'!M23/'Input summary'!$C$167)*(C54-D54)+('Input summary'!M23/'Input summary'!$C$167)*D54*(1-'Input summary'!M194)</f>
        <v>0</v>
      </c>
      <c r="F54" s="29">
        <f>('Input summary'!M50/'Input summary'!$C$168)*(C54-D54)+D54*(1-'Input summary'!M222)*('Input summary'!M50/'Input summary'!$C$169)</f>
        <v>0</v>
      </c>
      <c r="G54" s="29">
        <f>('Input summary'!M77/'Input summary'!$C$169)*(C54-D54)+D54*(1-'Input summary'!M222)*('Input summary'!M77/'Input summary'!$C$169)</f>
        <v>0</v>
      </c>
      <c r="H54" s="602">
        <f>('Input summary'!M104/'Input summary'!$C$170)*(C54-D54)+'Calculations Lower'!D54*(1-'Input summary'!M250)*('Input summary'!M104/'Input summary'!$C$170)</f>
        <v>0</v>
      </c>
      <c r="I54" s="29"/>
      <c r="J54" s="609">
        <f>D54*'Input summary'!L338</f>
        <v>0</v>
      </c>
      <c r="K54" s="29">
        <f>D54*'Input summary'!L366</f>
        <v>0</v>
      </c>
      <c r="L54" s="29">
        <f>(F54)*'Input summary'!F449</f>
        <v>0</v>
      </c>
      <c r="M54" s="29">
        <f ca="1">D54*(('Input summary'!J278/'Input summary'!$C$167)*'Input summary'!L394+('Input summary'!J305/'Input summary'!$C$167)*'Input summary'!L422)</f>
        <v>0</v>
      </c>
      <c r="N54" s="602">
        <f>G54*'Input summary'!F476</f>
        <v>0</v>
      </c>
      <c r="O54" s="609">
        <f>D54*'Input summary'!L506</f>
        <v>0</v>
      </c>
      <c r="P54" s="29">
        <f>(E54)*'Input summary'!F533</f>
        <v>0</v>
      </c>
      <c r="Q54" s="29">
        <f>(F54)*'Input summary'!F560</f>
        <v>0</v>
      </c>
      <c r="R54" s="602">
        <f>G54*'Input summary'!F587</f>
        <v>0</v>
      </c>
      <c r="S54" s="609">
        <f>D54*'Input summary'!L617</f>
        <v>0</v>
      </c>
      <c r="T54" s="29">
        <f>(E54)*'Input summary'!F644</f>
        <v>0</v>
      </c>
      <c r="U54" s="29">
        <f>(F54)*'Input summary'!F671</f>
        <v>0</v>
      </c>
      <c r="V54" s="29">
        <f>G54*'Input summary'!F698</f>
        <v>0</v>
      </c>
      <c r="W54" s="602">
        <f>H54*'Input summary'!F725</f>
        <v>0</v>
      </c>
      <c r="X54" s="29"/>
      <c r="Y54" s="609">
        <f>(E54)*'Input summary'!F754*'Input summary'!C131+(E54)*'Input summary'!F781*(1-'Input summary'!C131)</f>
        <v>0</v>
      </c>
      <c r="Z54" s="29">
        <f>(F54-G54*'Input summary'!E158)*'Input summary'!F754</f>
        <v>0</v>
      </c>
      <c r="AA54" s="29">
        <f>G54*'Input summary'!F781</f>
        <v>0</v>
      </c>
      <c r="AB54" s="29">
        <f>H54*'Input summary'!G862</f>
        <v>0</v>
      </c>
      <c r="AC54" s="29">
        <f ca="1">D54*(('Input summary'!J278/'Input summary'!$C$167)*'Input summary'!L808+('Input summary'!J305/'Input summary'!$C$167)*'Input summary'!L835)</f>
        <v>0</v>
      </c>
      <c r="AD54" s="602">
        <f>H54*'Input summary'!E862</f>
        <v>0</v>
      </c>
    </row>
    <row r="55" spans="1:30" x14ac:dyDescent="0.3">
      <c r="A55" s="678"/>
      <c r="B55" s="31" t="s">
        <v>1438</v>
      </c>
      <c r="C55" s="29">
        <f>'General input'!H74</f>
        <v>0</v>
      </c>
      <c r="D55" s="29">
        <f>'General input'!H74*'General input'!H104</f>
        <v>0</v>
      </c>
      <c r="E55" s="29">
        <f>('Input summary'!M24/'Input summary'!$C$167)*(C55-D55)+('Input summary'!M24/'Input summary'!$C$167)*D55*(1-'Input summary'!M195)</f>
        <v>0</v>
      </c>
      <c r="F55" s="29">
        <f>('Input summary'!M51/'Input summary'!$C$168)*(C55-D55)+D55*(1-'Input summary'!M223)*('Input summary'!M51/'Input summary'!$C$169)</f>
        <v>0</v>
      </c>
      <c r="G55" s="29">
        <f>('Input summary'!M78/'Input summary'!$C$169)*(C55-D55)+D55*(1-'Input summary'!M223)*('Input summary'!M78/'Input summary'!$C$169)</f>
        <v>0</v>
      </c>
      <c r="H55" s="602">
        <f>('Input summary'!M105/'Input summary'!$C$170)*(C55-D55)+'Calculations Lower'!D55*(1-'Input summary'!M251)*('Input summary'!M105/'Input summary'!$C$170)</f>
        <v>0</v>
      </c>
      <c r="I55" s="29"/>
      <c r="J55" s="609">
        <f>D55*'Input summary'!L339</f>
        <v>0</v>
      </c>
      <c r="K55" s="29">
        <f>D55*'Input summary'!L367</f>
        <v>0</v>
      </c>
      <c r="L55" s="29">
        <f>(F55)*'Input summary'!F450</f>
        <v>0</v>
      </c>
      <c r="M55" s="29">
        <f ca="1">D55*(('Input summary'!J279/'Input summary'!$C$167)*'Input summary'!L395+('Input summary'!J306/'Input summary'!$C$167)*'Input summary'!L423)</f>
        <v>0</v>
      </c>
      <c r="N55" s="602">
        <f>G55*'Input summary'!F477</f>
        <v>0</v>
      </c>
      <c r="O55" s="609">
        <f>D55*'Input summary'!L507</f>
        <v>0</v>
      </c>
      <c r="P55" s="29">
        <f>(E55)*'Input summary'!F534</f>
        <v>0</v>
      </c>
      <c r="Q55" s="29">
        <f>(F55)*'Input summary'!F561</f>
        <v>0</v>
      </c>
      <c r="R55" s="602">
        <f>G55*'Input summary'!F588</f>
        <v>0</v>
      </c>
      <c r="S55" s="609">
        <f>D55*'Input summary'!L618</f>
        <v>0</v>
      </c>
      <c r="T55" s="29">
        <f>(E55)*'Input summary'!F645</f>
        <v>0</v>
      </c>
      <c r="U55" s="29">
        <f>(F55)*'Input summary'!F672</f>
        <v>0</v>
      </c>
      <c r="V55" s="29">
        <f>G55*'Input summary'!F699</f>
        <v>0</v>
      </c>
      <c r="W55" s="602">
        <f>H55*'Input summary'!F726</f>
        <v>0</v>
      </c>
      <c r="X55" s="29"/>
      <c r="Y55" s="609">
        <f>(E55)*'Input summary'!F755*'Input summary'!C132+(E55)*'Input summary'!F782*(1-'Input summary'!C132)</f>
        <v>0</v>
      </c>
      <c r="Z55" s="29">
        <f>(F55-G55*'Input summary'!E159)*'Input summary'!F755</f>
        <v>0</v>
      </c>
      <c r="AA55" s="29">
        <f>G55*'Input summary'!F782</f>
        <v>0</v>
      </c>
      <c r="AB55" s="29">
        <f>H55*'Input summary'!G863</f>
        <v>0</v>
      </c>
      <c r="AC55" s="29">
        <f ca="1">D55*(('Input summary'!J279/'Input summary'!$C$167)*'Input summary'!L809+('Input summary'!J306/'Input summary'!$C$167)*'Input summary'!L836)</f>
        <v>0</v>
      </c>
      <c r="AD55" s="602">
        <f>H55*'Input summary'!E863</f>
        <v>0</v>
      </c>
    </row>
    <row r="56" spans="1:30" x14ac:dyDescent="0.3">
      <c r="A56" s="678"/>
      <c r="B56" s="31" t="s">
        <v>1441</v>
      </c>
      <c r="C56" s="29">
        <f>'General input'!H75</f>
        <v>0</v>
      </c>
      <c r="D56" s="29">
        <f>'General input'!H75*'General input'!H105</f>
        <v>0</v>
      </c>
      <c r="E56" s="29">
        <f>('Input summary'!M25/'Input summary'!$C$167)*(C56-D56)+('Input summary'!M25/'Input summary'!$C$167)*D56*(1-'Input summary'!M196)</f>
        <v>0</v>
      </c>
      <c r="F56" s="29">
        <f>('Input summary'!M52/'Input summary'!$C$168)*(C56-D56)+D56*(1-'Input summary'!M224)*('Input summary'!M52/'Input summary'!$C$169)</f>
        <v>0</v>
      </c>
      <c r="G56" s="29">
        <f>('Input summary'!M79/'Input summary'!$C$169)*(C56-D56)+D56*(1-'Input summary'!M224)*('Input summary'!M79/'Input summary'!$C$169)</f>
        <v>0</v>
      </c>
      <c r="H56" s="602">
        <f>('Input summary'!M106/'Input summary'!$C$170)*(C56-D56)+'Calculations Lower'!D56*(1-'Input summary'!M252)*('Input summary'!M106/'Input summary'!$C$170)</f>
        <v>0</v>
      </c>
      <c r="I56" s="29"/>
      <c r="J56" s="609">
        <f>D56*'Input summary'!L340</f>
        <v>0</v>
      </c>
      <c r="K56" s="29">
        <f>D56*'Input summary'!L368</f>
        <v>0</v>
      </c>
      <c r="L56" s="29">
        <f>(F56)*'Input summary'!F451</f>
        <v>0</v>
      </c>
      <c r="M56" s="29">
        <f ca="1">D56*(('Input summary'!J280/'Input summary'!$C$167)*'Input summary'!L396+('Input summary'!J307/'Input summary'!$C$167)*'Input summary'!L424)</f>
        <v>0</v>
      </c>
      <c r="N56" s="602">
        <f>G56*'Input summary'!F478</f>
        <v>0</v>
      </c>
      <c r="O56" s="609">
        <f>D56*'Input summary'!L508</f>
        <v>0</v>
      </c>
      <c r="P56" s="29">
        <f>(E56)*'Input summary'!F535</f>
        <v>0</v>
      </c>
      <c r="Q56" s="29">
        <f>(F56)*'Input summary'!F562</f>
        <v>0</v>
      </c>
      <c r="R56" s="602">
        <f>G56*'Input summary'!F589</f>
        <v>0</v>
      </c>
      <c r="S56" s="609">
        <f>D56*'Input summary'!L619</f>
        <v>0</v>
      </c>
      <c r="T56" s="29">
        <f>(E56)*'Input summary'!F646</f>
        <v>0</v>
      </c>
      <c r="U56" s="29">
        <f>(F56)*'Input summary'!F673</f>
        <v>0</v>
      </c>
      <c r="V56" s="29">
        <f>G56*'Input summary'!F700</f>
        <v>0</v>
      </c>
      <c r="W56" s="602">
        <f>H56*'Input summary'!F727</f>
        <v>0</v>
      </c>
      <c r="X56" s="29"/>
      <c r="Y56" s="609">
        <f>(E56)*'Input summary'!F756*'Input summary'!C133+(E56)*'Input summary'!F783*(1-'Input summary'!C133)</f>
        <v>0</v>
      </c>
      <c r="Z56" s="29">
        <f>(F56-G56*'Input summary'!E160)*'Input summary'!F756</f>
        <v>0</v>
      </c>
      <c r="AA56" s="29">
        <f>G56*'Input summary'!F783</f>
        <v>0</v>
      </c>
      <c r="AB56" s="29">
        <f>H56*'Input summary'!G864</f>
        <v>0</v>
      </c>
      <c r="AC56" s="29">
        <f ca="1">D56*(('Input summary'!J280/'Input summary'!$C$167)*'Input summary'!L810+('Input summary'!J307/'Input summary'!$C$167)*'Input summary'!L837)</f>
        <v>0</v>
      </c>
      <c r="AD56" s="602">
        <f>H56*'Input summary'!E864</f>
        <v>0</v>
      </c>
    </row>
    <row r="57" spans="1:30" x14ac:dyDescent="0.3">
      <c r="A57" s="678"/>
      <c r="B57" s="31" t="s">
        <v>1442</v>
      </c>
      <c r="C57" s="29">
        <f>'General input'!H76</f>
        <v>0</v>
      </c>
      <c r="D57" s="29">
        <f>'General input'!H76*'General input'!H106</f>
        <v>0</v>
      </c>
      <c r="E57" s="29">
        <f>('Input summary'!M26/'Input summary'!$C$167)*(C57-D57)+('Input summary'!M26/'Input summary'!$C$167)*D57*(1-'Input summary'!M197)</f>
        <v>0</v>
      </c>
      <c r="F57" s="29">
        <f>('Input summary'!M53/'Input summary'!$C$168)*(C57-D57)+D57*(1-'Input summary'!M225)*('Input summary'!M53/'Input summary'!$C$169)</f>
        <v>0</v>
      </c>
      <c r="G57" s="29">
        <f>('Input summary'!M80/'Input summary'!$C$169)*(C57-D57)+D57*(1-'Input summary'!M225)*('Input summary'!M80/'Input summary'!$C$169)</f>
        <v>0</v>
      </c>
      <c r="H57" s="602">
        <f>('Input summary'!M107/'Input summary'!$C$170)*(C57-D57)+'Calculations Lower'!D57*(1-'Input summary'!M253)*('Input summary'!M107/'Input summary'!$C$170)</f>
        <v>0</v>
      </c>
      <c r="I57" s="29"/>
      <c r="J57" s="609">
        <f>D57*'Input summary'!L341</f>
        <v>0</v>
      </c>
      <c r="K57" s="29">
        <f>D57*'Input summary'!L369</f>
        <v>0</v>
      </c>
      <c r="L57" s="29">
        <f>(F57)*'Input summary'!F452</f>
        <v>0</v>
      </c>
      <c r="M57" s="29">
        <f ca="1">D57*(('Input summary'!J281/'Input summary'!$C$167)*'Input summary'!L397+('Input summary'!J308/'Input summary'!$C$167)*'Input summary'!L425)</f>
        <v>0</v>
      </c>
      <c r="N57" s="602">
        <f>G57*'Input summary'!F479</f>
        <v>0</v>
      </c>
      <c r="O57" s="609">
        <f>D57*'Input summary'!L509</f>
        <v>0</v>
      </c>
      <c r="P57" s="29">
        <f>(E57)*'Input summary'!F536</f>
        <v>0</v>
      </c>
      <c r="Q57" s="29">
        <f>(F57)*'Input summary'!F563</f>
        <v>0</v>
      </c>
      <c r="R57" s="602">
        <f>G57*'Input summary'!F590</f>
        <v>0</v>
      </c>
      <c r="S57" s="609">
        <f>D57*'Input summary'!L620</f>
        <v>0</v>
      </c>
      <c r="T57" s="29">
        <f>(E57)*'Input summary'!F647</f>
        <v>0</v>
      </c>
      <c r="U57" s="29">
        <f>(F57)*'Input summary'!F674</f>
        <v>0</v>
      </c>
      <c r="V57" s="29">
        <f>G57*'Input summary'!F701</f>
        <v>0</v>
      </c>
      <c r="W57" s="602">
        <f>H57*'Input summary'!F728</f>
        <v>0</v>
      </c>
      <c r="X57" s="29"/>
      <c r="Y57" s="609">
        <f>(E57)*'Input summary'!F757*'Input summary'!C134+(E57)*'Input summary'!F784*(1-'Input summary'!C134)</f>
        <v>0</v>
      </c>
      <c r="Z57" s="29">
        <f>(F57-G57*'Input summary'!E161)*'Input summary'!F757</f>
        <v>0</v>
      </c>
      <c r="AA57" s="29">
        <f>G57*'Input summary'!F784</f>
        <v>0</v>
      </c>
      <c r="AB57" s="29">
        <f>H57*'Input summary'!G865</f>
        <v>0</v>
      </c>
      <c r="AC57" s="29">
        <f ca="1">D57*(('Input summary'!J281/'Input summary'!$C$167)*'Input summary'!L811+('Input summary'!J308/'Input summary'!$C$167)*'Input summary'!L838)</f>
        <v>0</v>
      </c>
      <c r="AD57" s="602">
        <f>H57*'Input summary'!E865</f>
        <v>0</v>
      </c>
    </row>
    <row r="58" spans="1:30" x14ac:dyDescent="0.3">
      <c r="A58" s="678"/>
      <c r="B58" s="405" t="s">
        <v>920</v>
      </c>
      <c r="C58" s="29"/>
      <c r="D58" s="29"/>
      <c r="E58" s="29"/>
      <c r="F58" s="29"/>
      <c r="G58" s="29"/>
      <c r="H58" s="602"/>
      <c r="I58" s="29"/>
      <c r="J58" s="609"/>
      <c r="K58" s="29"/>
      <c r="L58" s="29"/>
      <c r="M58" s="29"/>
      <c r="N58" s="602"/>
      <c r="O58" s="609"/>
      <c r="P58" s="29"/>
      <c r="Q58" s="29"/>
      <c r="R58" s="602"/>
      <c r="S58" s="609"/>
      <c r="T58" s="29"/>
      <c r="U58" s="29"/>
      <c r="V58" s="29"/>
      <c r="W58" s="602"/>
      <c r="X58" s="29"/>
      <c r="Y58" s="609"/>
      <c r="Z58" s="29"/>
      <c r="AA58" s="29"/>
      <c r="AB58" s="29"/>
      <c r="AC58" s="29"/>
      <c r="AD58" s="602"/>
    </row>
    <row r="59" spans="1:30" x14ac:dyDescent="0.3">
      <c r="A59" s="678"/>
      <c r="B59" s="297" t="s">
        <v>920</v>
      </c>
      <c r="C59" s="29">
        <f>'General input'!H78</f>
        <v>0</v>
      </c>
      <c r="D59" s="29">
        <f>'General input'!H78*'General input'!H108</f>
        <v>0</v>
      </c>
      <c r="E59" s="29">
        <f>('Input summary'!M28/'Input summary'!$C$167)*(C59-D59)+('Input summary'!M28/'Input summary'!$C$167)*D59*(1-'Input summary'!M199)</f>
        <v>0</v>
      </c>
      <c r="F59" s="29">
        <f>('Input summary'!M55/'Input summary'!$C$168)*(C59-D59)+D59*(1-'Input summary'!M227)*('Input summary'!M55/'Input summary'!$C$169)</f>
        <v>0</v>
      </c>
      <c r="G59" s="29">
        <f>('Input summary'!M82/'Input summary'!$C$169)*(C59-D59)+D59*(1-'Input summary'!M227)*('Input summary'!M82/'Input summary'!$C$169)</f>
        <v>0</v>
      </c>
      <c r="H59" s="602">
        <f>('Input summary'!M109/'Input summary'!$C$170)*(C59-D59)+'Calculations Lower'!D59*(1-'Input summary'!M255)*('Input summary'!M109/'Input summary'!$C$170)</f>
        <v>0</v>
      </c>
      <c r="I59" s="29"/>
      <c r="J59" s="609">
        <f>D59*'Input summary'!L343</f>
        <v>0</v>
      </c>
      <c r="K59" s="29">
        <f>D59*'Input summary'!L371</f>
        <v>0</v>
      </c>
      <c r="L59" s="29">
        <f>(F59)*'Input summary'!F454</f>
        <v>0</v>
      </c>
      <c r="M59" s="29">
        <f ca="1">D59*(('Input summary'!J283/'Input summary'!$C$167)*'Input summary'!L399+('Input summary'!J310/'Input summary'!$C$167)*'Input summary'!L427)</f>
        <v>0</v>
      </c>
      <c r="N59" s="602">
        <f>G59*'Input summary'!F481</f>
        <v>0</v>
      </c>
      <c r="O59" s="609">
        <f>D59*'Input summary'!L511</f>
        <v>0</v>
      </c>
      <c r="P59" s="29">
        <f>(E59)*'Input summary'!F538</f>
        <v>0</v>
      </c>
      <c r="Q59" s="29">
        <f>(F59)*'Input summary'!F565</f>
        <v>0</v>
      </c>
      <c r="R59" s="602">
        <f>G59*'Input summary'!F592</f>
        <v>0</v>
      </c>
      <c r="S59" s="609">
        <f>D59*'Input summary'!L622</f>
        <v>0</v>
      </c>
      <c r="T59" s="29">
        <f>(E59)*'Input summary'!F649</f>
        <v>0</v>
      </c>
      <c r="U59" s="29">
        <f>(F59)*'Input summary'!F676</f>
        <v>0</v>
      </c>
      <c r="V59" s="29">
        <f>G59*'Input summary'!F703</f>
        <v>0</v>
      </c>
      <c r="W59" s="602">
        <f>H59*'Input summary'!F730</f>
        <v>0</v>
      </c>
      <c r="X59" s="29"/>
      <c r="Y59" s="609">
        <f>(E59)*'Input summary'!F759*'Input summary'!C136+(E59)*'Input summary'!F786*(1-'Input summary'!C136)</f>
        <v>0</v>
      </c>
      <c r="Z59" s="29">
        <f>(F59-G59*'Input summary'!E163)*'Input summary'!F759</f>
        <v>0</v>
      </c>
      <c r="AA59" s="29">
        <f>G59*'Input summary'!F786</f>
        <v>0</v>
      </c>
      <c r="AB59" s="29">
        <f>H59*'Input summary'!G867</f>
        <v>0</v>
      </c>
      <c r="AC59" s="29">
        <f ca="1">D59*(('Input summary'!J283/'Input summary'!$C$167)*'Input summary'!L813+('Input summary'!J310/'Input summary'!$C$167)*'Input summary'!L840)</f>
        <v>0</v>
      </c>
      <c r="AD59" s="602">
        <f>H59*'Input summary'!E867</f>
        <v>0</v>
      </c>
    </row>
    <row r="60" spans="1:30" x14ac:dyDescent="0.3">
      <c r="A60" s="678"/>
      <c r="B60" s="297" t="s">
        <v>980</v>
      </c>
      <c r="C60" s="29">
        <f>'General input'!H79</f>
        <v>0</v>
      </c>
      <c r="D60" s="29">
        <f>'General input'!H79*'General input'!H109</f>
        <v>0</v>
      </c>
      <c r="E60" s="29">
        <f>('Input summary'!M29/'Input summary'!$C$167)*(C60-D60)+('Input summary'!M29/'Input summary'!$C$167)*D60*(1-'Input summary'!M200)</f>
        <v>0</v>
      </c>
      <c r="F60" s="29">
        <f>('Input summary'!M56/'Input summary'!$C$168)*(C60-D60)+D60*(1-'Input summary'!M228)*('Input summary'!M56/'Input summary'!$C$169)</f>
        <v>0</v>
      </c>
      <c r="G60" s="29">
        <f>('Input summary'!M83/'Input summary'!$C$169)*(C60-D60)+D60*(1-'Input summary'!M228)*('Input summary'!M83/'Input summary'!$C$169)</f>
        <v>0</v>
      </c>
      <c r="H60" s="602">
        <f>('Input summary'!M110/'Input summary'!$C$170)*(C60-D60)+'Calculations Lower'!D60*(1-'Input summary'!M256)*('Input summary'!M110/'Input summary'!$C$170)</f>
        <v>0</v>
      </c>
      <c r="I60" s="29"/>
      <c r="J60" s="609">
        <f>D60*'Input summary'!L344</f>
        <v>0</v>
      </c>
      <c r="K60" s="29">
        <f>D60*'Input summary'!L372</f>
        <v>0</v>
      </c>
      <c r="L60" s="29">
        <f>(F60)*'Input summary'!F455</f>
        <v>0</v>
      </c>
      <c r="M60" s="29">
        <f ca="1">D60*(('Input summary'!J284/'Input summary'!$C$167)*'Input summary'!L400+('Input summary'!J311/'Input summary'!$C$167)*'Input summary'!L428)</f>
        <v>0</v>
      </c>
      <c r="N60" s="602">
        <f>G60*'Input summary'!F482</f>
        <v>0</v>
      </c>
      <c r="O60" s="609">
        <f>D60*'Input summary'!L512</f>
        <v>0</v>
      </c>
      <c r="P60" s="29">
        <f>(E60)*'Input summary'!F539</f>
        <v>0</v>
      </c>
      <c r="Q60" s="29">
        <f>(F60)*'Input summary'!F566</f>
        <v>0</v>
      </c>
      <c r="R60" s="602">
        <f>G60*'Input summary'!F593</f>
        <v>0</v>
      </c>
      <c r="S60" s="609">
        <f>D60*'Input summary'!L623</f>
        <v>0</v>
      </c>
      <c r="T60" s="29">
        <f>(E60)*'Input summary'!F650</f>
        <v>0</v>
      </c>
      <c r="U60" s="29">
        <f>(F60)*'Input summary'!F677</f>
        <v>0</v>
      </c>
      <c r="V60" s="29">
        <f>G60*'Input summary'!F704</f>
        <v>0</v>
      </c>
      <c r="W60" s="602">
        <f>H60*'Input summary'!F731</f>
        <v>0</v>
      </c>
      <c r="X60" s="29"/>
      <c r="Y60" s="609">
        <f>(E60)*'Input summary'!F760*'Input summary'!C137+(E60)*'Input summary'!F787*(1-'Input summary'!C137)</f>
        <v>0</v>
      </c>
      <c r="Z60" s="29">
        <f>(F60-G60*'Input summary'!E164)*'Input summary'!F760</f>
        <v>0</v>
      </c>
      <c r="AA60" s="29">
        <f>G60*'Input summary'!F787</f>
        <v>0</v>
      </c>
      <c r="AB60" s="29">
        <f>H60*'Input summary'!G868</f>
        <v>0</v>
      </c>
      <c r="AC60" s="29">
        <f ca="1">D60*(('Input summary'!J284/'Input summary'!$C$167)*'Input summary'!L814+('Input summary'!J311/'Input summary'!$C$167)*'Input summary'!L841)</f>
        <v>0</v>
      </c>
      <c r="AD60" s="602">
        <f>H60*'Input summary'!E868</f>
        <v>0</v>
      </c>
    </row>
    <row r="61" spans="1:30" x14ac:dyDescent="0.3">
      <c r="A61" s="678"/>
      <c r="B61" s="31" t="s">
        <v>233</v>
      </c>
      <c r="C61" s="29">
        <f>SUM(C37:C60)</f>
        <v>5203824</v>
      </c>
      <c r="D61" s="29">
        <f t="shared" ref="D61:H61" si="4">SUM(D37:D60)</f>
        <v>124891.77600000001</v>
      </c>
      <c r="E61" s="29">
        <f t="shared" si="4"/>
        <v>1243280.3450582018</v>
      </c>
      <c r="F61" s="29">
        <f t="shared" si="4"/>
        <v>345827.65073103365</v>
      </c>
      <c r="G61" s="29">
        <f t="shared" si="4"/>
        <v>15303.014291635202</v>
      </c>
      <c r="H61" s="602">
        <f t="shared" si="4"/>
        <v>1074.7936459008001</v>
      </c>
      <c r="I61" s="29"/>
      <c r="J61" s="609">
        <f>SUM(J37:J60)</f>
        <v>1784703.4790400001</v>
      </c>
      <c r="K61" s="29">
        <f t="shared" ref="K61:Q61" si="5">SUM(K37:K60)</f>
        <v>4216346.35776</v>
      </c>
      <c r="L61" s="29">
        <f t="shared" si="5"/>
        <v>152322119.34213001</v>
      </c>
      <c r="M61" s="29">
        <f t="shared" ca="1" si="5"/>
        <v>3.3386606202283216</v>
      </c>
      <c r="N61" s="602">
        <f t="shared" si="5"/>
        <v>206498067.84495384</v>
      </c>
      <c r="O61" s="609">
        <f t="shared" si="5"/>
        <v>0</v>
      </c>
      <c r="P61" s="29">
        <f t="shared" si="5"/>
        <v>97896975.483226314</v>
      </c>
      <c r="Q61" s="29">
        <f t="shared" si="5"/>
        <v>18153846.62550525</v>
      </c>
      <c r="R61" s="602">
        <f>SUM(R37:R60)</f>
        <v>3815746.7322589653</v>
      </c>
      <c r="S61" s="609">
        <f t="shared" ref="S61:W61" si="6">SUM(S37:S60)</f>
        <v>0</v>
      </c>
      <c r="T61" s="29">
        <f t="shared" si="6"/>
        <v>289872944.40583324</v>
      </c>
      <c r="U61" s="29">
        <f t="shared" si="6"/>
        <v>103667541.15494776</v>
      </c>
      <c r="V61" s="29">
        <f t="shared" si="6"/>
        <v>4757232.0312500196</v>
      </c>
      <c r="W61" s="602">
        <f t="shared" si="6"/>
        <v>598657254.46780419</v>
      </c>
      <c r="X61" s="29"/>
      <c r="Y61" s="609">
        <f t="shared" ref="Y61:AD61" si="7">SUM(Y37:Y60)</f>
        <v>14142.788884595568</v>
      </c>
      <c r="Z61" s="609">
        <f t="shared" si="7"/>
        <v>3720.4770710905786</v>
      </c>
      <c r="AA61" s="29">
        <f t="shared" si="7"/>
        <v>566.21152879050237</v>
      </c>
      <c r="AB61" s="29">
        <f t="shared" si="7"/>
        <v>15992.462627032652</v>
      </c>
      <c r="AC61" s="29">
        <f t="shared" ca="1" si="7"/>
        <v>0</v>
      </c>
      <c r="AD61" s="602">
        <f t="shared" si="7"/>
        <v>20738.893549579396</v>
      </c>
    </row>
    <row r="62" spans="1:30" x14ac:dyDescent="0.3">
      <c r="A62" s="678"/>
      <c r="B62" s="31"/>
      <c r="C62" s="31"/>
      <c r="D62" s="29"/>
      <c r="E62" s="29"/>
      <c r="F62" s="29"/>
      <c r="G62" s="29"/>
      <c r="H62" s="602"/>
      <c r="I62" s="29"/>
      <c r="J62" s="609"/>
      <c r="K62" s="29"/>
      <c r="L62" s="610" t="s">
        <v>1034</v>
      </c>
      <c r="M62" s="610"/>
      <c r="N62" s="602"/>
      <c r="O62" s="609"/>
      <c r="P62" s="610" t="s">
        <v>1034</v>
      </c>
      <c r="Q62" s="610" t="s">
        <v>1034</v>
      </c>
      <c r="R62" s="611" t="s">
        <v>1034</v>
      </c>
      <c r="S62" s="609"/>
      <c r="T62" s="610" t="s">
        <v>1034</v>
      </c>
      <c r="U62" s="610"/>
      <c r="V62" s="29"/>
      <c r="W62" s="602"/>
      <c r="X62" s="29"/>
      <c r="Y62" s="670" t="s">
        <v>1034</v>
      </c>
      <c r="Z62" s="610"/>
      <c r="AA62" s="29"/>
      <c r="AB62" s="29"/>
      <c r="AC62" s="29"/>
      <c r="AD62" s="602"/>
    </row>
    <row r="63" spans="1:30" ht="18" x14ac:dyDescent="0.35">
      <c r="A63" s="678"/>
      <c r="B63" s="673" t="s">
        <v>560</v>
      </c>
      <c r="C63" s="673"/>
      <c r="D63" s="604"/>
      <c r="E63" s="604"/>
      <c r="F63" s="604"/>
      <c r="G63" s="604"/>
      <c r="H63" s="599"/>
      <c r="J63" s="663" t="s">
        <v>560</v>
      </c>
      <c r="K63" s="604"/>
      <c r="L63" s="604"/>
      <c r="M63" s="604"/>
      <c r="N63" s="599"/>
      <c r="O63" s="603"/>
      <c r="P63" s="604"/>
      <c r="Q63" s="604"/>
      <c r="R63" s="599"/>
      <c r="S63" s="603"/>
      <c r="T63" s="604"/>
      <c r="U63" s="604"/>
      <c r="V63" s="604"/>
      <c r="W63" s="599"/>
      <c r="Y63" s="663" t="s">
        <v>560</v>
      </c>
      <c r="Z63" s="673"/>
      <c r="AA63" s="604"/>
      <c r="AB63" s="604"/>
      <c r="AC63" s="604"/>
      <c r="AD63" s="599"/>
    </row>
    <row r="64" spans="1:30" ht="18" x14ac:dyDescent="0.35">
      <c r="A64" s="678"/>
      <c r="B64" s="661" t="s">
        <v>983</v>
      </c>
      <c r="C64" s="661"/>
      <c r="D64" s="650"/>
      <c r="E64" s="662"/>
      <c r="F64" s="662"/>
      <c r="G64" s="650"/>
      <c r="H64" s="600"/>
      <c r="J64" s="649" t="s">
        <v>1024</v>
      </c>
      <c r="K64" s="650"/>
      <c r="L64" s="650"/>
      <c r="M64" s="650"/>
      <c r="N64" s="600"/>
      <c r="O64" s="605" t="s">
        <v>1026</v>
      </c>
      <c r="P64" s="606"/>
      <c r="Q64" s="606"/>
      <c r="R64" s="600"/>
      <c r="S64" s="605" t="s">
        <v>10</v>
      </c>
      <c r="T64" s="606"/>
      <c r="U64" s="606"/>
      <c r="V64" s="650"/>
      <c r="W64" s="600"/>
      <c r="Y64" s="605" t="s">
        <v>564</v>
      </c>
      <c r="Z64" s="606"/>
      <c r="AA64" s="650"/>
      <c r="AB64" s="650"/>
      <c r="AC64" s="650"/>
      <c r="AD64" s="600"/>
    </row>
    <row r="65" spans="1:30" x14ac:dyDescent="0.3">
      <c r="A65" s="678"/>
      <c r="B65" s="608" t="s">
        <v>950</v>
      </c>
      <c r="C65" s="608" t="s">
        <v>1033</v>
      </c>
      <c r="D65" s="608" t="s">
        <v>878</v>
      </c>
      <c r="E65" s="608" t="s">
        <v>224</v>
      </c>
      <c r="F65" s="608" t="s">
        <v>1377</v>
      </c>
      <c r="G65" s="608" t="s">
        <v>877</v>
      </c>
      <c r="H65" s="601" t="s">
        <v>225</v>
      </c>
      <c r="J65" s="607" t="s">
        <v>981</v>
      </c>
      <c r="K65" s="608" t="s">
        <v>982</v>
      </c>
      <c r="L65" s="608" t="s">
        <v>1025</v>
      </c>
      <c r="M65" s="608" t="s">
        <v>1533</v>
      </c>
      <c r="N65" s="601" t="s">
        <v>905</v>
      </c>
      <c r="O65" s="607" t="s">
        <v>938</v>
      </c>
      <c r="P65" s="608" t="s">
        <v>1027</v>
      </c>
      <c r="Q65" s="608" t="s">
        <v>1377</v>
      </c>
      <c r="R65" s="601" t="s">
        <v>1028</v>
      </c>
      <c r="S65" s="607" t="s">
        <v>938</v>
      </c>
      <c r="T65" s="608" t="s">
        <v>1392</v>
      </c>
      <c r="U65" s="608" t="s">
        <v>1025</v>
      </c>
      <c r="V65" s="608" t="s">
        <v>1028</v>
      </c>
      <c r="W65" s="601" t="s">
        <v>225</v>
      </c>
      <c r="Y65" s="607" t="s">
        <v>1029</v>
      </c>
      <c r="Z65" s="652" t="s">
        <v>1555</v>
      </c>
      <c r="AA65" s="608" t="s">
        <v>1030</v>
      </c>
      <c r="AB65" s="608" t="s">
        <v>1031</v>
      </c>
      <c r="AC65" s="608"/>
      <c r="AD65" s="601" t="s">
        <v>1032</v>
      </c>
    </row>
    <row r="66" spans="1:30" x14ac:dyDescent="0.3">
      <c r="A66" s="678"/>
      <c r="B66" s="315" t="s">
        <v>988</v>
      </c>
      <c r="C66" s="22"/>
      <c r="H66" s="87"/>
      <c r="J66" s="198"/>
      <c r="N66" s="87"/>
      <c r="O66" s="198"/>
      <c r="R66" s="87"/>
      <c r="S66" s="198"/>
      <c r="W66" s="87"/>
      <c r="Y66" s="198"/>
      <c r="AD66" s="87"/>
    </row>
    <row r="67" spans="1:30" x14ac:dyDescent="0.3">
      <c r="A67" s="678"/>
      <c r="B67" s="31" t="s">
        <v>1082</v>
      </c>
      <c r="C67" s="29">
        <f t="shared" ref="C67:H73" si="8">C38-C9</f>
        <v>0</v>
      </c>
      <c r="D67" s="29">
        <f t="shared" si="8"/>
        <v>13876.871999999999</v>
      </c>
      <c r="E67" s="29">
        <f>E38-E9</f>
        <v>-2359.6788223680051</v>
      </c>
      <c r="F67" s="29">
        <f>F38-F9</f>
        <v>-656.36216872799559</v>
      </c>
      <c r="G67" s="29">
        <f t="shared" si="8"/>
        <v>-29.044293096000047</v>
      </c>
      <c r="H67" s="602">
        <f t="shared" si="8"/>
        <v>-2.0399001839999897</v>
      </c>
      <c r="I67" s="29"/>
      <c r="J67" s="609">
        <f t="shared" ref="J67:P73" si="9">J38-J9</f>
        <v>198300.50087999998</v>
      </c>
      <c r="K67" s="29">
        <f t="shared" si="9"/>
        <v>468483.19871999993</v>
      </c>
      <c r="L67" s="29">
        <f t="shared" si="9"/>
        <v>-289099.1405265145</v>
      </c>
      <c r="M67" s="29">
        <f t="shared" ca="1" si="9"/>
        <v>0.3709625049959176</v>
      </c>
      <c r="N67" s="602">
        <f t="shared" si="9"/>
        <v>-391922.15938299522</v>
      </c>
      <c r="O67" s="609">
        <f t="shared" si="9"/>
        <v>0</v>
      </c>
      <c r="P67" s="29">
        <f t="shared" si="9"/>
        <v>-185803.16236788593</v>
      </c>
      <c r="Q67" s="29">
        <f t="shared" ref="Q67" si="10">Q38-Q9</f>
        <v>-34455.018610236235</v>
      </c>
      <c r="R67" s="602">
        <f t="shared" ref="R67:W73" si="11">R38-R9</f>
        <v>-7242.0808319059433</v>
      </c>
      <c r="S67" s="609">
        <f t="shared" si="11"/>
        <v>0</v>
      </c>
      <c r="T67" s="29">
        <f t="shared" si="11"/>
        <v>-550163.16377130523</v>
      </c>
      <c r="U67" s="29">
        <f t="shared" si="11"/>
        <v>-196755.38377375528</v>
      </c>
      <c r="V67" s="29">
        <f t="shared" si="11"/>
        <v>-9028.9689866413828</v>
      </c>
      <c r="W67" s="602">
        <f t="shared" si="11"/>
        <v>-1129168.6698081717</v>
      </c>
      <c r="X67" s="29"/>
      <c r="Y67" s="609">
        <f t="shared" ref="Y67:AD73" si="12">Y38-Y9</f>
        <v>-26.842248051978686</v>
      </c>
      <c r="Z67" s="29"/>
      <c r="AA67" s="29">
        <f t="shared" si="12"/>
        <v>-1.0746388445520054</v>
      </c>
      <c r="AB67" s="29">
        <f t="shared" si="12"/>
        <v>-30.483384593690289</v>
      </c>
      <c r="AC67" s="29">
        <f t="shared" ca="1" si="12"/>
        <v>0</v>
      </c>
      <c r="AD67" s="602">
        <f t="shared" si="12"/>
        <v>-39.117055156192237</v>
      </c>
    </row>
    <row r="68" spans="1:30" x14ac:dyDescent="0.3">
      <c r="A68" s="678"/>
      <c r="B68" s="31" t="s">
        <v>1083</v>
      </c>
      <c r="C68" s="29">
        <f t="shared" si="8"/>
        <v>0</v>
      </c>
      <c r="D68" s="29">
        <f t="shared" si="8"/>
        <v>27753.72</v>
      </c>
      <c r="E68" s="29">
        <f>E39-E10</f>
        <v>-4719.3535636799643</v>
      </c>
      <c r="F68" s="29">
        <f>F39-F10</f>
        <v>-1312.7232022799872</v>
      </c>
      <c r="G68" s="29">
        <f t="shared" si="8"/>
        <v>-58.088535959999717</v>
      </c>
      <c r="H68" s="602">
        <f t="shared" si="8"/>
        <v>-4.0797968400000002</v>
      </c>
      <c r="I68" s="29"/>
      <c r="J68" s="609">
        <f t="shared" si="9"/>
        <v>396600.65879999998</v>
      </c>
      <c r="K68" s="29">
        <f t="shared" si="9"/>
        <v>936965.58719999995</v>
      </c>
      <c r="L68" s="29">
        <f t="shared" si="9"/>
        <v>-578197.78105710447</v>
      </c>
      <c r="M68" s="29">
        <f t="shared" ca="1" si="9"/>
        <v>0.74192436841352283</v>
      </c>
      <c r="N68" s="602">
        <f t="shared" si="9"/>
        <v>-783843.64093802869</v>
      </c>
      <c r="O68" s="609">
        <f t="shared" si="9"/>
        <v>0</v>
      </c>
      <c r="P68" s="29">
        <f t="shared" si="9"/>
        <v>-371606.00338986889</v>
      </c>
      <c r="Q68" s="29">
        <f t="shared" ref="Q68" si="13">Q39-Q10</f>
        <v>-68909.977630641777</v>
      </c>
      <c r="R68" s="602">
        <f t="shared" si="11"/>
        <v>-14484.149138659122</v>
      </c>
      <c r="S68" s="609">
        <f t="shared" si="11"/>
        <v>0</v>
      </c>
      <c r="T68" s="29">
        <f t="shared" si="11"/>
        <v>-1100325.3760374039</v>
      </c>
      <c r="U68" s="29">
        <f t="shared" si="11"/>
        <v>-393510.42725978047</v>
      </c>
      <c r="V68" s="29">
        <f t="shared" si="11"/>
        <v>-18057.922357713571</v>
      </c>
      <c r="W68" s="602">
        <f t="shared" si="11"/>
        <v>-2278781.0770597309</v>
      </c>
      <c r="X68" s="29"/>
      <c r="Y68" s="609">
        <f t="shared" si="12"/>
        <v>51.765578885448576</v>
      </c>
      <c r="Z68" s="29"/>
      <c r="AA68" s="29">
        <f t="shared" si="12"/>
        <v>-2.1492758305199828</v>
      </c>
      <c r="AB68" s="29">
        <f t="shared" si="12"/>
        <v>-61.149233693103724</v>
      </c>
      <c r="AC68" s="29">
        <f t="shared" ca="1" si="12"/>
        <v>0</v>
      </c>
      <c r="AD68" s="602">
        <f t="shared" si="12"/>
        <v>-78.942329400068047</v>
      </c>
    </row>
    <row r="69" spans="1:30" x14ac:dyDescent="0.3">
      <c r="A69" s="678"/>
      <c r="B69" s="31" t="s">
        <v>1084</v>
      </c>
      <c r="C69" s="29">
        <f t="shared" si="8"/>
        <v>0</v>
      </c>
      <c r="D69" s="29">
        <f t="shared" si="8"/>
        <v>83261.184000000008</v>
      </c>
      <c r="E69" s="29">
        <f>E40-E11</f>
        <v>-13753.54863575031</v>
      </c>
      <c r="F69" s="29">
        <f t="shared" si="8"/>
        <v>-3825.6515779584006</v>
      </c>
      <c r="G69" s="29">
        <f t="shared" si="8"/>
        <v>-169.28663930880066</v>
      </c>
      <c r="H69" s="602">
        <f t="shared" si="8"/>
        <v>-11.889697075200047</v>
      </c>
      <c r="I69" s="29"/>
      <c r="J69" s="609">
        <f t="shared" si="9"/>
        <v>1189802.3193600001</v>
      </c>
      <c r="K69" s="29">
        <f t="shared" si="9"/>
        <v>2810897.5718400003</v>
      </c>
      <c r="L69" s="29">
        <f t="shared" si="9"/>
        <v>-1685034.0190767646</v>
      </c>
      <c r="M69" s="29">
        <f t="shared" ca="1" si="9"/>
        <v>2.2257737468188812</v>
      </c>
      <c r="N69" s="602">
        <f t="shared" si="9"/>
        <v>-2284344.9834808707</v>
      </c>
      <c r="O69" s="609">
        <f t="shared" si="9"/>
        <v>0</v>
      </c>
      <c r="P69" s="29">
        <f t="shared" si="9"/>
        <v>-1082966.3791864887</v>
      </c>
      <c r="Q69" s="29">
        <f t="shared" ref="Q69" si="14">Q40-Q11</f>
        <v>-200823.42126799375</v>
      </c>
      <c r="R69" s="602">
        <f t="shared" si="11"/>
        <v>-42210.961085669696</v>
      </c>
      <c r="S69" s="609">
        <f t="shared" si="11"/>
        <v>0</v>
      </c>
      <c r="T69" s="29">
        <f t="shared" si="11"/>
        <v>-3206663.4487711787</v>
      </c>
      <c r="U69" s="29">
        <f t="shared" si="11"/>
        <v>-1146802.1471508741</v>
      </c>
      <c r="V69" s="29">
        <f t="shared" si="11"/>
        <v>-52625.960326175671</v>
      </c>
      <c r="W69" s="602">
        <f t="shared" si="11"/>
        <v>-6623215.251589179</v>
      </c>
      <c r="X69" s="29"/>
      <c r="Y69" s="609">
        <f t="shared" si="12"/>
        <v>159.89830700528182</v>
      </c>
      <c r="Z69" s="29"/>
      <c r="AA69" s="29">
        <f t="shared" si="12"/>
        <v>-6.2636056544256462</v>
      </c>
      <c r="AB69" s="29">
        <f t="shared" si="12"/>
        <v>-176.35602119084797</v>
      </c>
      <c r="AC69" s="29">
        <f t="shared" ca="1" si="12"/>
        <v>0</v>
      </c>
      <c r="AD69" s="602">
        <f t="shared" si="12"/>
        <v>-229.44373434640511</v>
      </c>
    </row>
    <row r="70" spans="1:30" x14ac:dyDescent="0.3">
      <c r="A70" s="678"/>
      <c r="B70" s="31" t="s">
        <v>1085</v>
      </c>
      <c r="C70" s="29">
        <f t="shared" si="8"/>
        <v>0</v>
      </c>
      <c r="D70" s="29">
        <f t="shared" si="8"/>
        <v>0</v>
      </c>
      <c r="E70" s="29">
        <f>E41-E12</f>
        <v>0</v>
      </c>
      <c r="F70" s="29">
        <f t="shared" si="8"/>
        <v>0</v>
      </c>
      <c r="G70" s="29">
        <f t="shared" si="8"/>
        <v>0</v>
      </c>
      <c r="H70" s="602">
        <f t="shared" si="8"/>
        <v>0</v>
      </c>
      <c r="I70" s="29"/>
      <c r="J70" s="609">
        <f t="shared" si="9"/>
        <v>0</v>
      </c>
      <c r="K70" s="29">
        <f t="shared" si="9"/>
        <v>0</v>
      </c>
      <c r="L70" s="29">
        <f t="shared" si="9"/>
        <v>0</v>
      </c>
      <c r="M70" s="29">
        <f t="shared" ca="1" si="9"/>
        <v>0</v>
      </c>
      <c r="N70" s="602">
        <f t="shared" si="9"/>
        <v>0</v>
      </c>
      <c r="O70" s="609">
        <f t="shared" si="9"/>
        <v>0</v>
      </c>
      <c r="P70" s="29">
        <f t="shared" si="9"/>
        <v>0</v>
      </c>
      <c r="Q70" s="29">
        <f t="shared" ref="Q70" si="15">Q41-Q12</f>
        <v>0</v>
      </c>
      <c r="R70" s="602">
        <f t="shared" si="11"/>
        <v>0</v>
      </c>
      <c r="S70" s="609">
        <f t="shared" si="11"/>
        <v>0</v>
      </c>
      <c r="T70" s="29">
        <f t="shared" si="11"/>
        <v>0</v>
      </c>
      <c r="U70" s="29">
        <f t="shared" si="11"/>
        <v>0</v>
      </c>
      <c r="V70" s="29">
        <f t="shared" si="11"/>
        <v>0</v>
      </c>
      <c r="W70" s="602">
        <f t="shared" si="11"/>
        <v>0</v>
      </c>
      <c r="X70" s="29"/>
      <c r="Y70" s="609">
        <f t="shared" si="12"/>
        <v>0</v>
      </c>
      <c r="Z70" s="29"/>
      <c r="AA70" s="29">
        <f t="shared" si="12"/>
        <v>0</v>
      </c>
      <c r="AB70" s="29">
        <f t="shared" si="12"/>
        <v>0</v>
      </c>
      <c r="AC70" s="29">
        <f t="shared" ca="1" si="12"/>
        <v>0</v>
      </c>
      <c r="AD70" s="602">
        <f t="shared" si="12"/>
        <v>0</v>
      </c>
    </row>
    <row r="71" spans="1:30" x14ac:dyDescent="0.3">
      <c r="A71" s="678"/>
      <c r="B71" s="31" t="s">
        <v>1086</v>
      </c>
      <c r="C71" s="29">
        <f t="shared" si="8"/>
        <v>0</v>
      </c>
      <c r="D71" s="29">
        <f t="shared" si="8"/>
        <v>0</v>
      </c>
      <c r="E71" s="29">
        <f>E42-E13</f>
        <v>0</v>
      </c>
      <c r="F71" s="29">
        <f t="shared" si="8"/>
        <v>0</v>
      </c>
      <c r="G71" s="29">
        <f t="shared" si="8"/>
        <v>0</v>
      </c>
      <c r="H71" s="602">
        <f t="shared" si="8"/>
        <v>0</v>
      </c>
      <c r="I71" s="29"/>
      <c r="J71" s="609">
        <f t="shared" si="9"/>
        <v>0</v>
      </c>
      <c r="K71" s="29">
        <f t="shared" si="9"/>
        <v>0</v>
      </c>
      <c r="L71" s="29">
        <f t="shared" si="9"/>
        <v>0</v>
      </c>
      <c r="M71" s="29">
        <f t="shared" ca="1" si="9"/>
        <v>0</v>
      </c>
      <c r="N71" s="602">
        <f t="shared" si="9"/>
        <v>0</v>
      </c>
      <c r="O71" s="609">
        <f t="shared" si="9"/>
        <v>0</v>
      </c>
      <c r="P71" s="29">
        <f t="shared" si="9"/>
        <v>0</v>
      </c>
      <c r="Q71" s="29">
        <f t="shared" ref="Q71" si="16">Q42-Q13</f>
        <v>0</v>
      </c>
      <c r="R71" s="602">
        <f t="shared" si="11"/>
        <v>0</v>
      </c>
      <c r="S71" s="609">
        <f t="shared" si="11"/>
        <v>0</v>
      </c>
      <c r="T71" s="29">
        <f t="shared" si="11"/>
        <v>0</v>
      </c>
      <c r="U71" s="29">
        <f t="shared" si="11"/>
        <v>0</v>
      </c>
      <c r="V71" s="29">
        <f t="shared" si="11"/>
        <v>0</v>
      </c>
      <c r="W71" s="602">
        <f t="shared" si="11"/>
        <v>0</v>
      </c>
      <c r="X71" s="29"/>
      <c r="Y71" s="609">
        <f t="shared" si="12"/>
        <v>0</v>
      </c>
      <c r="Z71" s="29"/>
      <c r="AA71" s="29">
        <f t="shared" si="12"/>
        <v>0</v>
      </c>
      <c r="AB71" s="29">
        <f t="shared" si="12"/>
        <v>0</v>
      </c>
      <c r="AC71" s="29">
        <f t="shared" ca="1" si="12"/>
        <v>0</v>
      </c>
      <c r="AD71" s="602">
        <f t="shared" si="12"/>
        <v>0</v>
      </c>
    </row>
    <row r="72" spans="1:30" x14ac:dyDescent="0.3">
      <c r="A72" s="678"/>
      <c r="B72" s="31" t="s">
        <v>1087</v>
      </c>
      <c r="C72" s="29">
        <f t="shared" si="8"/>
        <v>0</v>
      </c>
      <c r="D72" s="29">
        <f t="shared" si="8"/>
        <v>0</v>
      </c>
      <c r="E72" s="29">
        <f>E43-E14</f>
        <v>0</v>
      </c>
      <c r="F72" s="29">
        <f t="shared" si="8"/>
        <v>0</v>
      </c>
      <c r="G72" s="29">
        <f t="shared" si="8"/>
        <v>0</v>
      </c>
      <c r="H72" s="602">
        <f t="shared" si="8"/>
        <v>0</v>
      </c>
      <c r="I72" s="29"/>
      <c r="J72" s="609">
        <f t="shared" si="9"/>
        <v>0</v>
      </c>
      <c r="K72" s="29">
        <f t="shared" si="9"/>
        <v>0</v>
      </c>
      <c r="L72" s="29">
        <f t="shared" si="9"/>
        <v>0</v>
      </c>
      <c r="M72" s="29">
        <f t="shared" ca="1" si="9"/>
        <v>0</v>
      </c>
      <c r="N72" s="602">
        <f t="shared" si="9"/>
        <v>0</v>
      </c>
      <c r="O72" s="609">
        <f t="shared" si="9"/>
        <v>0</v>
      </c>
      <c r="P72" s="29">
        <f t="shared" si="9"/>
        <v>0</v>
      </c>
      <c r="Q72" s="29">
        <f t="shared" ref="Q72" si="17">Q43-Q14</f>
        <v>0</v>
      </c>
      <c r="R72" s="602">
        <f t="shared" si="11"/>
        <v>0</v>
      </c>
      <c r="S72" s="609">
        <f t="shared" si="11"/>
        <v>0</v>
      </c>
      <c r="T72" s="29">
        <f t="shared" si="11"/>
        <v>0</v>
      </c>
      <c r="U72" s="29">
        <f t="shared" si="11"/>
        <v>0</v>
      </c>
      <c r="V72" s="29">
        <f t="shared" si="11"/>
        <v>0</v>
      </c>
      <c r="W72" s="602">
        <f t="shared" si="11"/>
        <v>0</v>
      </c>
      <c r="X72" s="29"/>
      <c r="Y72" s="609">
        <f t="shared" si="12"/>
        <v>0</v>
      </c>
      <c r="Z72" s="29"/>
      <c r="AA72" s="29">
        <f t="shared" si="12"/>
        <v>0</v>
      </c>
      <c r="AB72" s="29">
        <f t="shared" si="12"/>
        <v>0</v>
      </c>
      <c r="AC72" s="29">
        <f t="shared" ca="1" si="12"/>
        <v>0</v>
      </c>
      <c r="AD72" s="602">
        <f t="shared" si="12"/>
        <v>0</v>
      </c>
    </row>
    <row r="73" spans="1:30" x14ac:dyDescent="0.3">
      <c r="A73" s="678"/>
      <c r="B73" s="31" t="s">
        <v>1443</v>
      </c>
      <c r="C73" s="29">
        <f t="shared" si="8"/>
        <v>0</v>
      </c>
      <c r="D73" s="29">
        <f t="shared" si="8"/>
        <v>0</v>
      </c>
      <c r="E73" s="29">
        <f>E44-E15</f>
        <v>0</v>
      </c>
      <c r="F73" s="29">
        <f t="shared" si="8"/>
        <v>0</v>
      </c>
      <c r="G73" s="29">
        <f t="shared" si="8"/>
        <v>0</v>
      </c>
      <c r="H73" s="602">
        <f t="shared" si="8"/>
        <v>0</v>
      </c>
      <c r="I73" s="29"/>
      <c r="J73" s="609">
        <f t="shared" si="9"/>
        <v>0</v>
      </c>
      <c r="K73" s="29">
        <f t="shared" si="9"/>
        <v>0</v>
      </c>
      <c r="L73" s="29">
        <f t="shared" si="9"/>
        <v>0</v>
      </c>
      <c r="M73" s="29">
        <f t="shared" ca="1" si="9"/>
        <v>0</v>
      </c>
      <c r="N73" s="602">
        <f t="shared" si="9"/>
        <v>0</v>
      </c>
      <c r="O73" s="609">
        <f t="shared" si="9"/>
        <v>0</v>
      </c>
      <c r="P73" s="29">
        <f t="shared" si="9"/>
        <v>0</v>
      </c>
      <c r="Q73" s="29">
        <f t="shared" ref="Q73" si="18">Q44-Q15</f>
        <v>0</v>
      </c>
      <c r="R73" s="602">
        <f t="shared" si="11"/>
        <v>0</v>
      </c>
      <c r="S73" s="609">
        <f t="shared" si="11"/>
        <v>0</v>
      </c>
      <c r="T73" s="29">
        <f t="shared" si="11"/>
        <v>0</v>
      </c>
      <c r="U73" s="29">
        <f t="shared" si="11"/>
        <v>0</v>
      </c>
      <c r="V73" s="29">
        <f t="shared" si="11"/>
        <v>0</v>
      </c>
      <c r="W73" s="602">
        <f t="shared" si="11"/>
        <v>0</v>
      </c>
      <c r="X73" s="29"/>
      <c r="Y73" s="609">
        <f t="shared" si="12"/>
        <v>0</v>
      </c>
      <c r="Z73" s="29"/>
      <c r="AA73" s="29">
        <f t="shared" si="12"/>
        <v>0</v>
      </c>
      <c r="AB73" s="29">
        <f t="shared" si="12"/>
        <v>0</v>
      </c>
      <c r="AC73" s="29">
        <f t="shared" ca="1" si="12"/>
        <v>0</v>
      </c>
      <c r="AD73" s="602">
        <f t="shared" si="12"/>
        <v>0</v>
      </c>
    </row>
    <row r="74" spans="1:30" x14ac:dyDescent="0.3">
      <c r="A74" s="678"/>
      <c r="B74" s="315" t="s">
        <v>1444</v>
      </c>
      <c r="C74" s="22"/>
      <c r="H74" s="87"/>
      <c r="J74" s="198"/>
      <c r="M74" s="29"/>
      <c r="N74" s="87"/>
      <c r="O74" s="198"/>
      <c r="R74" s="87"/>
      <c r="S74" s="198"/>
      <c r="W74" s="87"/>
      <c r="Y74" s="198"/>
      <c r="AD74" s="87"/>
    </row>
    <row r="75" spans="1:30" ht="17.399999999999999" customHeight="1" x14ac:dyDescent="0.3">
      <c r="A75" s="678"/>
      <c r="B75" s="31" t="s">
        <v>1082</v>
      </c>
      <c r="C75" s="29">
        <f>'General input'!H107</f>
        <v>0</v>
      </c>
      <c r="D75" s="29">
        <f>'General input'!C137*'General input'!H107</f>
        <v>0</v>
      </c>
      <c r="E75" s="29">
        <f ca="1">('Input summary'!K73/'Input summary'!$C$167)*(C75-D75)+('Input summary'!K73/'Input summary'!$C$167)*D75*(1-'Input summary'!C244)</f>
        <v>0</v>
      </c>
      <c r="F75" s="29">
        <f ca="1">('Input summary'!K100/'Input summary'!$C$168)*(C75-D75)+D75*(1-'Input summary'!C273)*('Input summary'!K100/'Input summary'!$C$169)</f>
        <v>0</v>
      </c>
      <c r="G75" s="29">
        <f ca="1">('Input summary'!K208/'Input summary'!$C$169)*(C75-D75)+D75*(1-'Input summary'!C273)*('Input summary'!K208/'Input summary'!$C$169)</f>
        <v>0</v>
      </c>
      <c r="H75" s="602">
        <f t="shared" ref="H75" si="19">H46-H17</f>
        <v>0</v>
      </c>
      <c r="I75" s="29"/>
      <c r="J75" s="609">
        <f t="shared" ref="J75:K75" si="20">J46-J17</f>
        <v>0</v>
      </c>
      <c r="K75" s="29">
        <f t="shared" si="20"/>
        <v>0</v>
      </c>
      <c r="L75" s="29">
        <f ca="1">(E75-G75)*'Input summary'!C494</f>
        <v>0</v>
      </c>
      <c r="M75" s="29">
        <f t="shared" ref="M75:M81" ca="1" si="21">M46-M17</f>
        <v>0</v>
      </c>
      <c r="N75" s="602">
        <f ca="1">G75*'Input summary'!C526</f>
        <v>0</v>
      </c>
      <c r="O75" s="609">
        <f ca="1">D75*'Input summary'!C556</f>
        <v>0</v>
      </c>
      <c r="P75" s="29">
        <f ca="1">(E75-F75)*'Input summary'!C583</f>
        <v>0</v>
      </c>
      <c r="Q75" s="29">
        <f ca="1">(F75-G75)*'Input summary'!C610</f>
        <v>0</v>
      </c>
      <c r="R75" s="602">
        <f ca="1">G75*'Input summary'!C637</f>
        <v>0</v>
      </c>
      <c r="S75" s="609">
        <f ca="1">D75*'Input summary'!C667</f>
        <v>0</v>
      </c>
      <c r="T75" s="29">
        <f ca="1">(E75-F75-G75)*'Input summary'!C694</f>
        <v>0</v>
      </c>
      <c r="U75" s="29">
        <f ca="1">(F75-G75)*'Input summary'!C721</f>
        <v>0</v>
      </c>
      <c r="V75" s="29">
        <f ca="1">G75*'Input summary'!C748</f>
        <v>0</v>
      </c>
      <c r="W75" s="602">
        <f ca="1">H75*'Input summary'!C775</f>
        <v>0</v>
      </c>
      <c r="X75" s="29"/>
      <c r="Y75" s="609">
        <f ca="1">(E75-G75)*'Input summary'!C858</f>
        <v>0</v>
      </c>
      <c r="Z75" s="29"/>
      <c r="AA75" s="29">
        <f ca="1">G75*('Input summary'!C885)</f>
        <v>0</v>
      </c>
      <c r="AB75" s="29">
        <f>H75*'Input summary'!G912</f>
        <v>0</v>
      </c>
      <c r="AC75" s="29">
        <f t="shared" ref="AC75:AC81" ca="1" si="22">AC46-AC17</f>
        <v>0</v>
      </c>
      <c r="AD75" s="602">
        <f>H75*'Input summary'!E912</f>
        <v>0</v>
      </c>
    </row>
    <row r="76" spans="1:30" x14ac:dyDescent="0.3">
      <c r="A76" s="678"/>
      <c r="B76" s="31" t="s">
        <v>1083</v>
      </c>
      <c r="C76" s="29">
        <f>'General input'!H108</f>
        <v>0</v>
      </c>
      <c r="D76" s="29">
        <f>'General input'!C138*'General input'!H108</f>
        <v>0</v>
      </c>
      <c r="E76" s="29">
        <f ca="1">('Input summary'!K74/'Input summary'!$C$167)*(C76-D76)+('Input summary'!K74/'Input summary'!$C$167)*D76*(1-'Input summary'!C245)</f>
        <v>0</v>
      </c>
      <c r="F76" s="29">
        <f ca="1">('Input summary'!K101/'Input summary'!$C$168)*(C76-D76)+D76*(1-'Input summary'!C274)*('Input summary'!K101/'Input summary'!$C$169)</f>
        <v>0</v>
      </c>
      <c r="G76" s="29">
        <f ca="1">('Input summary'!K209/'Input summary'!$C$169)*(C76-D76)+D76*(1-'Input summary'!C274)*('Input summary'!K209/'Input summary'!$C$169)</f>
        <v>0</v>
      </c>
      <c r="H76" s="602">
        <f t="shared" ref="H76" si="23">H47-H18</f>
        <v>0</v>
      </c>
      <c r="I76" s="29"/>
      <c r="J76" s="609">
        <f t="shared" ref="J76:K76" si="24">J47-J18</f>
        <v>0</v>
      </c>
      <c r="K76" s="29">
        <f t="shared" si="24"/>
        <v>0</v>
      </c>
      <c r="L76" s="29">
        <f ca="1">(E76-G76)*'Input summary'!C495</f>
        <v>0</v>
      </c>
      <c r="M76" s="29">
        <f t="shared" ca="1" si="21"/>
        <v>0</v>
      </c>
      <c r="N76" s="602">
        <f ca="1">G76*'Input summary'!C527</f>
        <v>0</v>
      </c>
      <c r="O76" s="609">
        <f ca="1">D76*'Input summary'!C557</f>
        <v>0</v>
      </c>
      <c r="P76" s="29">
        <f ca="1">(E76-F76)*'Input summary'!C584</f>
        <v>0</v>
      </c>
      <c r="Q76" s="29">
        <f ca="1">(F76-G76)*'Input summary'!C611</f>
        <v>0</v>
      </c>
      <c r="R76" s="602">
        <f ca="1">G76*'Input summary'!C638</f>
        <v>0</v>
      </c>
      <c r="S76" s="609">
        <f ca="1">D76*'Input summary'!C668</f>
        <v>0</v>
      </c>
      <c r="T76" s="29">
        <f ca="1">(E76-F76-G76)*'Input summary'!C695</f>
        <v>0</v>
      </c>
      <c r="U76" s="29">
        <f ca="1">(F76-G76)*'Input summary'!C722</f>
        <v>0</v>
      </c>
      <c r="V76" s="29">
        <f ca="1">G76*'Input summary'!C749</f>
        <v>0</v>
      </c>
      <c r="W76" s="602">
        <f ca="1">H76*'Input summary'!C776</f>
        <v>0</v>
      </c>
      <c r="X76" s="29"/>
      <c r="Y76" s="609">
        <f ca="1">(E76-G76)*'Input summary'!C859</f>
        <v>0</v>
      </c>
      <c r="Z76" s="29"/>
      <c r="AA76" s="29">
        <f ca="1">G76*('Input summary'!C886)</f>
        <v>0</v>
      </c>
      <c r="AB76" s="29">
        <f>H76*'Input summary'!G913</f>
        <v>0</v>
      </c>
      <c r="AC76" s="29">
        <f t="shared" ca="1" si="22"/>
        <v>0</v>
      </c>
      <c r="AD76" s="602">
        <f>H76*'Input summary'!E913</f>
        <v>0</v>
      </c>
    </row>
    <row r="77" spans="1:30" x14ac:dyDescent="0.3">
      <c r="A77" s="678"/>
      <c r="B77" s="31" t="s">
        <v>1084</v>
      </c>
      <c r="C77" s="29">
        <f>'General input'!H109</f>
        <v>0</v>
      </c>
      <c r="D77" s="29">
        <f>'General input'!C139*'General input'!H109</f>
        <v>0</v>
      </c>
      <c r="E77" s="29">
        <f ca="1">('Input summary'!K75/'Input summary'!$C$167)*(C77-D77)+('Input summary'!K75/'Input summary'!$C$167)*D77*(1-'Input summary'!C246)</f>
        <v>0</v>
      </c>
      <c r="F77" s="29">
        <f ca="1">('Input summary'!K102/'Input summary'!$C$168)*(C77-D77)+D77*(1-'Input summary'!C275)*('Input summary'!K102/'Input summary'!$C$169)</f>
        <v>0</v>
      </c>
      <c r="G77" s="29">
        <f ca="1">('Input summary'!K210/'Input summary'!$C$169)*(C77-D77)+D77*(1-'Input summary'!C275)*('Input summary'!K210/'Input summary'!$C$169)</f>
        <v>0</v>
      </c>
      <c r="H77" s="602">
        <f t="shared" ref="H77" si="25">H48-H19</f>
        <v>0</v>
      </c>
      <c r="I77" s="29"/>
      <c r="J77" s="609">
        <f t="shared" ref="J77:K77" si="26">J48-J19</f>
        <v>0</v>
      </c>
      <c r="K77" s="29">
        <f t="shared" si="26"/>
        <v>0</v>
      </c>
      <c r="L77" s="29">
        <f ca="1">(E77-G77)*'Input summary'!C501</f>
        <v>0</v>
      </c>
      <c r="M77" s="29">
        <f t="shared" ca="1" si="21"/>
        <v>0</v>
      </c>
      <c r="N77" s="602">
        <f ca="1">G77*'Input summary'!C528</f>
        <v>0</v>
      </c>
      <c r="O77" s="609">
        <f ca="1">D77*'Input summary'!C558</f>
        <v>0</v>
      </c>
      <c r="P77" s="29">
        <f ca="1">(E77-F77)*'Input summary'!C585</f>
        <v>0</v>
      </c>
      <c r="Q77" s="29">
        <f ca="1">(F77-G77)*'Input summary'!C612</f>
        <v>0</v>
      </c>
      <c r="R77" s="602">
        <f ca="1">G77*'Input summary'!C639</f>
        <v>0</v>
      </c>
      <c r="S77" s="609">
        <f ca="1">D77*'Input summary'!C669</f>
        <v>0</v>
      </c>
      <c r="T77" s="29">
        <f ca="1">(E77-F77-G77)*'Input summary'!C696</f>
        <v>0</v>
      </c>
      <c r="U77" s="29">
        <f ca="1">(F77-G77)*'Input summary'!C723</f>
        <v>0</v>
      </c>
      <c r="V77" s="29">
        <f ca="1">G77*'Input summary'!C750</f>
        <v>0</v>
      </c>
      <c r="W77" s="602">
        <f ca="1">H77*'Input summary'!C777</f>
        <v>0</v>
      </c>
      <c r="X77" s="29"/>
      <c r="Y77" s="609">
        <f ca="1">(E77-G77)*'Input summary'!C860</f>
        <v>0</v>
      </c>
      <c r="Z77" s="29"/>
      <c r="AA77" s="29">
        <f ca="1">G77*('Input summary'!C887)</f>
        <v>0</v>
      </c>
      <c r="AB77" s="29">
        <f>H77*'Input summary'!G914</f>
        <v>0</v>
      </c>
      <c r="AC77" s="29">
        <f t="shared" ca="1" si="22"/>
        <v>0</v>
      </c>
      <c r="AD77" s="602">
        <f>H77*'Input summary'!E914</f>
        <v>0</v>
      </c>
    </row>
    <row r="78" spans="1:30" x14ac:dyDescent="0.3">
      <c r="A78" s="678"/>
      <c r="B78" s="31" t="s">
        <v>1085</v>
      </c>
      <c r="C78" s="29">
        <f>'General input'!H110</f>
        <v>0</v>
      </c>
      <c r="D78" s="29">
        <f>'General input'!C140*'General input'!H110</f>
        <v>0</v>
      </c>
      <c r="E78" s="29">
        <f>('Input summary'!K76/'Input summary'!$C$167)*(C78-D78)+('Input summary'!K76/'Input summary'!$C$167)*D78*(1-'Input summary'!C247)</f>
        <v>0</v>
      </c>
      <c r="F78" s="29">
        <f ca="1">('Input summary'!K103/'Input summary'!$C$168)*(C78-D78)+D78*(1-'Input summary'!C276)*('Input summary'!K103/'Input summary'!$C$169)</f>
        <v>0</v>
      </c>
      <c r="G78" s="29">
        <f ca="1">('Input summary'!K211/'Input summary'!$C$169)*(C78-D78)+D78*(1-'Input summary'!C276)*('Input summary'!K211/'Input summary'!$C$169)</f>
        <v>0</v>
      </c>
      <c r="H78" s="602">
        <f t="shared" ref="H78" si="27">H49-H20</f>
        <v>0</v>
      </c>
      <c r="I78" s="29"/>
      <c r="J78" s="609">
        <f t="shared" ref="J78:K78" si="28">J49-J20</f>
        <v>0</v>
      </c>
      <c r="K78" s="29">
        <f t="shared" si="28"/>
        <v>0</v>
      </c>
      <c r="L78" s="29">
        <f ca="1">(E78-G78)*'Input summary'!C502</f>
        <v>0</v>
      </c>
      <c r="M78" s="29">
        <f t="shared" ca="1" si="21"/>
        <v>0</v>
      </c>
      <c r="N78" s="602">
        <f ca="1">G78*'Input summary'!C529</f>
        <v>0</v>
      </c>
      <c r="O78" s="609">
        <f>D78*'Input summary'!C559</f>
        <v>0</v>
      </c>
      <c r="P78" s="29">
        <f ca="1">(E78-F78)*'Input summary'!C586</f>
        <v>0</v>
      </c>
      <c r="Q78" s="29">
        <f ca="1">(F78-G78)*'Input summary'!C613</f>
        <v>0</v>
      </c>
      <c r="R78" s="602">
        <f ca="1">G78*'Input summary'!C640</f>
        <v>0</v>
      </c>
      <c r="S78" s="609">
        <f>D78*'Input summary'!C670</f>
        <v>0</v>
      </c>
      <c r="T78" s="29">
        <f ca="1">(E78-F78-G78)*'Input summary'!C697</f>
        <v>0</v>
      </c>
      <c r="U78" s="29">
        <f ca="1">(F78-G78)*'Input summary'!C724</f>
        <v>0</v>
      </c>
      <c r="V78" s="29">
        <f ca="1">G78*'Input summary'!C751</f>
        <v>0</v>
      </c>
      <c r="W78" s="602">
        <f ca="1">H78*'Input summary'!C778</f>
        <v>0</v>
      </c>
      <c r="X78" s="29"/>
      <c r="Y78" s="609">
        <f ca="1">(E78-G78)*'Input summary'!C861</f>
        <v>0</v>
      </c>
      <c r="Z78" s="29"/>
      <c r="AA78" s="29">
        <f ca="1">G78*('Input summary'!C888)</f>
        <v>0</v>
      </c>
      <c r="AB78" s="29">
        <f>H78*'Input summary'!G915</f>
        <v>0</v>
      </c>
      <c r="AC78" s="29">
        <f t="shared" ca="1" si="22"/>
        <v>0</v>
      </c>
      <c r="AD78" s="602">
        <f>H78*'Input summary'!E915</f>
        <v>0</v>
      </c>
    </row>
    <row r="79" spans="1:30" x14ac:dyDescent="0.3">
      <c r="A79" s="678"/>
      <c r="B79" s="31" t="s">
        <v>1086</v>
      </c>
      <c r="C79" s="29">
        <f>'General input'!H111</f>
        <v>0</v>
      </c>
      <c r="D79" s="29">
        <f>'General input'!C141*'General input'!H111</f>
        <v>0</v>
      </c>
      <c r="E79" s="29">
        <f ca="1">('Input summary'!K77/'Input summary'!$C$167)*(C79-D79)+('Input summary'!K77/'Input summary'!$C$167)*D79*(1-'Input summary'!C248)</f>
        <v>0</v>
      </c>
      <c r="F79" s="29">
        <f ca="1">('Input summary'!K104/'Input summary'!$C$168)*(C79-D79)+D79*(1-'Input summary'!C277)*('Input summary'!K104/'Input summary'!$C$169)</f>
        <v>0</v>
      </c>
      <c r="G79" s="29">
        <f>('Input summary'!K212/'Input summary'!$C$169)*(C79-D79)+D79*(1-'Input summary'!C277)*('Input summary'!K212/'Input summary'!$C$169)</f>
        <v>0</v>
      </c>
      <c r="H79" s="602">
        <f t="shared" ref="H79" si="29">H50-H21</f>
        <v>0</v>
      </c>
      <c r="I79" s="29"/>
      <c r="J79" s="609">
        <f t="shared" ref="J79:K79" si="30">J50-J21</f>
        <v>0</v>
      </c>
      <c r="K79" s="29">
        <f t="shared" si="30"/>
        <v>0</v>
      </c>
      <c r="L79" s="29">
        <f ca="1">(E79-G79)*'Input summary'!C503</f>
        <v>0</v>
      </c>
      <c r="M79" s="29">
        <f t="shared" ca="1" si="21"/>
        <v>0</v>
      </c>
      <c r="N79" s="602">
        <f ca="1">G79*'Input summary'!C530</f>
        <v>0</v>
      </c>
      <c r="O79" s="609">
        <f ca="1">D79*'Input summary'!C560</f>
        <v>0</v>
      </c>
      <c r="P79" s="29">
        <f ca="1">(E79-F79)*'Input summary'!C587</f>
        <v>0</v>
      </c>
      <c r="Q79" s="29">
        <f ca="1">(F79-G79)*'Input summary'!C614</f>
        <v>0</v>
      </c>
      <c r="R79" s="602">
        <f ca="1">G79*'Input summary'!C641</f>
        <v>0</v>
      </c>
      <c r="S79" s="609">
        <f ca="1">D79*'Input summary'!C671</f>
        <v>0</v>
      </c>
      <c r="T79" s="29">
        <f ca="1">(E79-F79-G79)*'Input summary'!C698</f>
        <v>0</v>
      </c>
      <c r="U79" s="29">
        <f ca="1">(F79-G79)*'Input summary'!C725</f>
        <v>0</v>
      </c>
      <c r="V79" s="29">
        <f ca="1">G79*'Input summary'!C752</f>
        <v>0</v>
      </c>
      <c r="W79" s="602">
        <f ca="1">H79*'Input summary'!C779</f>
        <v>0</v>
      </c>
      <c r="X79" s="29"/>
      <c r="Y79" s="609">
        <f ca="1">(E79-G79)*'Input summary'!C862</f>
        <v>0</v>
      </c>
      <c r="Z79" s="29"/>
      <c r="AA79" s="29">
        <f>G79*('Input summary'!C889)</f>
        <v>0</v>
      </c>
      <c r="AB79" s="29">
        <f>H79*'Input summary'!G916</f>
        <v>0</v>
      </c>
      <c r="AC79" s="29">
        <f t="shared" ca="1" si="22"/>
        <v>0</v>
      </c>
      <c r="AD79" s="602">
        <f>H79*'Input summary'!E916</f>
        <v>0</v>
      </c>
    </row>
    <row r="80" spans="1:30" x14ac:dyDescent="0.3">
      <c r="A80" s="678"/>
      <c r="B80" s="31" t="s">
        <v>1087</v>
      </c>
      <c r="C80" s="29">
        <f>'General input'!H112</f>
        <v>0</v>
      </c>
      <c r="D80" s="29">
        <f>'General input'!C142*'General input'!H112</f>
        <v>0</v>
      </c>
      <c r="E80" s="29">
        <f ca="1">('Input summary'!K78/'Input summary'!$C$167)*(C80-D80)+('Input summary'!K78/'Input summary'!$C$167)*D80*(1-'Input summary'!C249)</f>
        <v>0</v>
      </c>
      <c r="F80" s="29">
        <f ca="1">('Input summary'!K105/'Input summary'!$C$168)*(C80-D80)+D80*(1-'Input summary'!C278)*('Input summary'!K105/'Input summary'!$C$169)</f>
        <v>0</v>
      </c>
      <c r="G80" s="29">
        <f ca="1">('Input summary'!K213/'Input summary'!$C$169)*(C80-D80)+D80*(1-'Input summary'!C278)*('Input summary'!K213/'Input summary'!$C$169)</f>
        <v>0</v>
      </c>
      <c r="H80" s="602">
        <f t="shared" ref="H80" si="31">H51-H22</f>
        <v>0</v>
      </c>
      <c r="I80" s="29"/>
      <c r="J80" s="609">
        <f t="shared" ref="J80:K80" si="32">J51-J22</f>
        <v>0</v>
      </c>
      <c r="K80" s="29">
        <f t="shared" si="32"/>
        <v>0</v>
      </c>
      <c r="L80" s="29">
        <f ca="1">(E80-G80)*'Input summary'!C504</f>
        <v>0</v>
      </c>
      <c r="M80" s="29">
        <f t="shared" ca="1" si="21"/>
        <v>0</v>
      </c>
      <c r="N80" s="602">
        <f ca="1">G80*'Input summary'!C531</f>
        <v>0</v>
      </c>
      <c r="O80" s="609">
        <f ca="1">D80*'Input summary'!C561</f>
        <v>0</v>
      </c>
      <c r="P80" s="29">
        <f ca="1">(E80-F80)*'Input summary'!C588</f>
        <v>0</v>
      </c>
      <c r="Q80" s="29">
        <f ca="1">(F80-G80)*'Input summary'!C615</f>
        <v>0</v>
      </c>
      <c r="R80" s="602">
        <f ca="1">G80*'Input summary'!C642</f>
        <v>0</v>
      </c>
      <c r="S80" s="609">
        <f ca="1">D80*'Input summary'!C672</f>
        <v>0</v>
      </c>
      <c r="T80" s="29">
        <f ca="1">(E80-F80-G80)*'Input summary'!C699</f>
        <v>0</v>
      </c>
      <c r="U80" s="29">
        <f ca="1">(F80-G80)*'Input summary'!C726</f>
        <v>0</v>
      </c>
      <c r="V80" s="29">
        <f ca="1">G80*'Input summary'!C753</f>
        <v>0</v>
      </c>
      <c r="W80" s="602">
        <f>H80*'Input summary'!C780</f>
        <v>0</v>
      </c>
      <c r="X80" s="29"/>
      <c r="Y80" s="609">
        <f ca="1">(E80-G80)*'Input summary'!C863</f>
        <v>0</v>
      </c>
      <c r="Z80" s="29"/>
      <c r="AA80" s="29">
        <f ca="1">G80*('Input summary'!C890)</f>
        <v>0</v>
      </c>
      <c r="AB80" s="29">
        <f>H80*'Input summary'!G917</f>
        <v>0</v>
      </c>
      <c r="AC80" s="29">
        <f t="shared" ca="1" si="22"/>
        <v>0</v>
      </c>
      <c r="AD80" s="602">
        <f>H80*'Input summary'!E917</f>
        <v>0</v>
      </c>
    </row>
    <row r="81" spans="1:30" x14ac:dyDescent="0.3">
      <c r="A81" s="678"/>
      <c r="B81" s="31" t="s">
        <v>1443</v>
      </c>
      <c r="C81" s="29">
        <f>'General input'!H113</f>
        <v>0</v>
      </c>
      <c r="D81" s="29">
        <f>'General input'!C143*'General input'!H113</f>
        <v>0</v>
      </c>
      <c r="E81" s="29">
        <f ca="1">('Input summary'!K79/'Input summary'!$C$167)*(C81-D81)+('Input summary'!K79/'Input summary'!$C$167)*D81*(1-'Input summary'!C250)</f>
        <v>0</v>
      </c>
      <c r="F81" s="29">
        <f ca="1">('Input summary'!K106/'Input summary'!$C$168)*(C81-D81)+D81*(1-'Input summary'!C279)*('Input summary'!K106/'Input summary'!$C$169)</f>
        <v>0</v>
      </c>
      <c r="G81" s="29">
        <f ca="1">('Input summary'!K214/'Input summary'!$C$169)*(C81-D81)+D81*(1-'Input summary'!C279)*('Input summary'!K214/'Input summary'!$C$169)</f>
        <v>0</v>
      </c>
      <c r="H81" s="602">
        <f t="shared" ref="H81" si="33">H52-H23</f>
        <v>0</v>
      </c>
      <c r="I81" s="29"/>
      <c r="J81" s="609">
        <f t="shared" ref="J81:K81" si="34">J52-J23</f>
        <v>0</v>
      </c>
      <c r="K81" s="29">
        <f t="shared" si="34"/>
        <v>0</v>
      </c>
      <c r="L81" s="29">
        <f ca="1">(E81-G81)*'Input summary'!C505</f>
        <v>0</v>
      </c>
      <c r="M81" s="29">
        <f t="shared" ca="1" si="21"/>
        <v>0</v>
      </c>
      <c r="N81" s="602">
        <f ca="1">G81*'Input summary'!C532</f>
        <v>0</v>
      </c>
      <c r="O81" s="609">
        <f ca="1">D81*'Input summary'!C562</f>
        <v>0</v>
      </c>
      <c r="P81" s="29">
        <f ca="1">(E81-F81)*'Input summary'!C589</f>
        <v>0</v>
      </c>
      <c r="Q81" s="29">
        <f ca="1">(F81-G81)*'Input summary'!C616</f>
        <v>0</v>
      </c>
      <c r="R81" s="602">
        <f ca="1">G81*'Input summary'!C643</f>
        <v>0</v>
      </c>
      <c r="S81" s="609">
        <f ca="1">D81*'Input summary'!C673</f>
        <v>0</v>
      </c>
      <c r="T81" s="29">
        <f ca="1">(E81-F81-G81)*'Input summary'!C700</f>
        <v>0</v>
      </c>
      <c r="U81" s="29">
        <f ca="1">(F81-G81)*'Input summary'!C727</f>
        <v>0</v>
      </c>
      <c r="V81" s="29">
        <f ca="1">G81*'Input summary'!C754</f>
        <v>0</v>
      </c>
      <c r="W81" s="602">
        <f ca="1">H81*'Input summary'!C781</f>
        <v>0</v>
      </c>
      <c r="X81" s="29"/>
      <c r="Y81" s="609">
        <f ca="1">(E81-G81)*'Input summary'!C864</f>
        <v>0</v>
      </c>
      <c r="Z81" s="29"/>
      <c r="AA81" s="29">
        <f ca="1">G81*('Input summary'!C891)</f>
        <v>0</v>
      </c>
      <c r="AB81" s="29">
        <f>H81*'Input summary'!G918</f>
        <v>0</v>
      </c>
      <c r="AC81" s="29">
        <f t="shared" ca="1" si="22"/>
        <v>0</v>
      </c>
      <c r="AD81" s="602">
        <f>H81*'Input summary'!E918</f>
        <v>0</v>
      </c>
    </row>
    <row r="82" spans="1:30" x14ac:dyDescent="0.3">
      <c r="A82" s="678"/>
      <c r="B82" s="405" t="s">
        <v>227</v>
      </c>
      <c r="C82" s="29"/>
      <c r="D82" s="29"/>
      <c r="E82" s="29"/>
      <c r="F82" s="29"/>
      <c r="G82" s="29"/>
      <c r="H82" s="602"/>
      <c r="I82" s="29"/>
      <c r="J82" s="609"/>
      <c r="K82" s="29"/>
      <c r="L82" s="29"/>
      <c r="M82" s="29"/>
      <c r="N82" s="602"/>
      <c r="O82" s="609"/>
      <c r="P82" s="29"/>
      <c r="Q82" s="29"/>
      <c r="R82" s="602"/>
      <c r="S82" s="609"/>
      <c r="T82" s="29"/>
      <c r="U82" s="29"/>
      <c r="V82" s="29"/>
      <c r="W82" s="602"/>
      <c r="X82" s="29"/>
      <c r="Y82" s="609"/>
      <c r="Z82" s="29"/>
      <c r="AA82" s="29"/>
      <c r="AB82" s="29"/>
      <c r="AC82" s="29"/>
      <c r="AD82" s="602"/>
    </row>
    <row r="83" spans="1:30" x14ac:dyDescent="0.3">
      <c r="A83" s="678"/>
      <c r="B83" s="31" t="s">
        <v>1437</v>
      </c>
      <c r="C83" s="29">
        <f t="shared" ref="C83:H86" si="35">C54-C25</f>
        <v>0</v>
      </c>
      <c r="D83" s="29">
        <f t="shared" si="35"/>
        <v>0</v>
      </c>
      <c r="E83" s="29">
        <f t="shared" si="35"/>
        <v>0</v>
      </c>
      <c r="F83" s="29">
        <f t="shared" si="35"/>
        <v>0</v>
      </c>
      <c r="G83" s="29">
        <f t="shared" si="35"/>
        <v>0</v>
      </c>
      <c r="H83" s="602">
        <f t="shared" si="35"/>
        <v>0</v>
      </c>
      <c r="I83" s="29"/>
      <c r="J83" s="609">
        <f t="shared" ref="J83:W86" si="36">J54-J25</f>
        <v>0</v>
      </c>
      <c r="K83" s="29">
        <f t="shared" si="36"/>
        <v>0</v>
      </c>
      <c r="L83" s="29">
        <f t="shared" si="36"/>
        <v>0</v>
      </c>
      <c r="M83" s="29">
        <f t="shared" ca="1" si="36"/>
        <v>0</v>
      </c>
      <c r="N83" s="602">
        <f t="shared" si="36"/>
        <v>0</v>
      </c>
      <c r="O83" s="609">
        <f t="shared" si="36"/>
        <v>0</v>
      </c>
      <c r="P83" s="29">
        <f t="shared" si="36"/>
        <v>0</v>
      </c>
      <c r="Q83" s="29">
        <f t="shared" si="36"/>
        <v>0</v>
      </c>
      <c r="R83" s="602">
        <f t="shared" si="36"/>
        <v>0</v>
      </c>
      <c r="S83" s="609">
        <f t="shared" si="36"/>
        <v>0</v>
      </c>
      <c r="T83" s="29">
        <f t="shared" si="36"/>
        <v>0</v>
      </c>
      <c r="U83" s="29">
        <f t="shared" si="36"/>
        <v>0</v>
      </c>
      <c r="V83" s="29">
        <f t="shared" si="36"/>
        <v>0</v>
      </c>
      <c r="W83" s="602">
        <f t="shared" si="36"/>
        <v>0</v>
      </c>
      <c r="X83" s="29"/>
      <c r="Y83" s="609">
        <f t="shared" ref="Y83:AD86" si="37">Y54-Y25</f>
        <v>0</v>
      </c>
      <c r="Z83" s="29"/>
      <c r="AA83" s="29">
        <f t="shared" si="37"/>
        <v>0</v>
      </c>
      <c r="AB83" s="29">
        <f t="shared" si="37"/>
        <v>0</v>
      </c>
      <c r="AC83" s="29">
        <f t="shared" ca="1" si="37"/>
        <v>0</v>
      </c>
      <c r="AD83" s="602">
        <f t="shared" si="37"/>
        <v>0</v>
      </c>
    </row>
    <row r="84" spans="1:30" x14ac:dyDescent="0.3">
      <c r="A84" s="678"/>
      <c r="B84" s="31" t="s">
        <v>1438</v>
      </c>
      <c r="C84" s="29">
        <f t="shared" si="35"/>
        <v>0</v>
      </c>
      <c r="D84" s="29">
        <f t="shared" si="35"/>
        <v>0</v>
      </c>
      <c r="E84" s="29">
        <f t="shared" si="35"/>
        <v>0</v>
      </c>
      <c r="F84" s="29">
        <f t="shared" si="35"/>
        <v>0</v>
      </c>
      <c r="G84" s="29">
        <f t="shared" si="35"/>
        <v>0</v>
      </c>
      <c r="H84" s="602">
        <f t="shared" si="35"/>
        <v>0</v>
      </c>
      <c r="I84" s="29"/>
      <c r="J84" s="609">
        <f t="shared" ref="J84:W84" si="38">J55-J26</f>
        <v>0</v>
      </c>
      <c r="K84" s="29">
        <f t="shared" si="38"/>
        <v>0</v>
      </c>
      <c r="L84" s="29">
        <f t="shared" si="38"/>
        <v>0</v>
      </c>
      <c r="M84" s="29">
        <f t="shared" ca="1" si="36"/>
        <v>0</v>
      </c>
      <c r="N84" s="602">
        <f t="shared" si="38"/>
        <v>0</v>
      </c>
      <c r="O84" s="609">
        <f t="shared" si="38"/>
        <v>0</v>
      </c>
      <c r="P84" s="29">
        <f t="shared" si="38"/>
        <v>0</v>
      </c>
      <c r="Q84" s="29">
        <f t="shared" si="38"/>
        <v>0</v>
      </c>
      <c r="R84" s="602">
        <f t="shared" si="38"/>
        <v>0</v>
      </c>
      <c r="S84" s="609">
        <f t="shared" si="38"/>
        <v>0</v>
      </c>
      <c r="T84" s="29">
        <f t="shared" si="38"/>
        <v>0</v>
      </c>
      <c r="U84" s="29">
        <f t="shared" si="38"/>
        <v>0</v>
      </c>
      <c r="V84" s="29">
        <f t="shared" si="38"/>
        <v>0</v>
      </c>
      <c r="W84" s="602">
        <f t="shared" si="38"/>
        <v>0</v>
      </c>
      <c r="X84" s="29"/>
      <c r="Y84" s="609">
        <f t="shared" si="37"/>
        <v>0</v>
      </c>
      <c r="Z84" s="29"/>
      <c r="AA84" s="29">
        <f t="shared" si="37"/>
        <v>0</v>
      </c>
      <c r="AB84" s="29">
        <f t="shared" si="37"/>
        <v>0</v>
      </c>
      <c r="AC84" s="29">
        <f t="shared" ca="1" si="37"/>
        <v>0</v>
      </c>
      <c r="AD84" s="602">
        <f t="shared" si="37"/>
        <v>0</v>
      </c>
    </row>
    <row r="85" spans="1:30" x14ac:dyDescent="0.3">
      <c r="A85" s="678"/>
      <c r="B85" s="31" t="s">
        <v>1441</v>
      </c>
      <c r="C85" s="29">
        <f t="shared" si="35"/>
        <v>0</v>
      </c>
      <c r="D85" s="29">
        <f t="shared" si="35"/>
        <v>0</v>
      </c>
      <c r="E85" s="29">
        <f t="shared" si="35"/>
        <v>0</v>
      </c>
      <c r="F85" s="29">
        <f t="shared" si="35"/>
        <v>0</v>
      </c>
      <c r="G85" s="29">
        <f t="shared" si="35"/>
        <v>0</v>
      </c>
      <c r="H85" s="602">
        <f t="shared" si="35"/>
        <v>0</v>
      </c>
      <c r="I85" s="29"/>
      <c r="J85" s="609">
        <f t="shared" ref="J85:W85" si="39">J56-J27</f>
        <v>0</v>
      </c>
      <c r="K85" s="29">
        <f t="shared" si="39"/>
        <v>0</v>
      </c>
      <c r="L85" s="29">
        <f t="shared" si="39"/>
        <v>0</v>
      </c>
      <c r="M85" s="29">
        <f t="shared" ca="1" si="36"/>
        <v>0</v>
      </c>
      <c r="N85" s="602">
        <f t="shared" si="39"/>
        <v>0</v>
      </c>
      <c r="O85" s="609">
        <f t="shared" si="39"/>
        <v>0</v>
      </c>
      <c r="P85" s="29">
        <f t="shared" si="39"/>
        <v>0</v>
      </c>
      <c r="Q85" s="29">
        <f t="shared" si="39"/>
        <v>0</v>
      </c>
      <c r="R85" s="602">
        <f t="shared" si="39"/>
        <v>0</v>
      </c>
      <c r="S85" s="609">
        <f t="shared" si="39"/>
        <v>0</v>
      </c>
      <c r="T85" s="29">
        <f t="shared" si="39"/>
        <v>0</v>
      </c>
      <c r="U85" s="29">
        <f t="shared" si="39"/>
        <v>0</v>
      </c>
      <c r="V85" s="29">
        <f t="shared" si="39"/>
        <v>0</v>
      </c>
      <c r="W85" s="602">
        <f t="shared" si="39"/>
        <v>0</v>
      </c>
      <c r="X85" s="29"/>
      <c r="Y85" s="609">
        <f t="shared" si="37"/>
        <v>0</v>
      </c>
      <c r="Z85" s="29"/>
      <c r="AA85" s="29">
        <f t="shared" si="37"/>
        <v>0</v>
      </c>
      <c r="AB85" s="29">
        <f t="shared" si="37"/>
        <v>0</v>
      </c>
      <c r="AC85" s="29">
        <f t="shared" ca="1" si="37"/>
        <v>0</v>
      </c>
      <c r="AD85" s="602">
        <f t="shared" si="37"/>
        <v>0</v>
      </c>
    </row>
    <row r="86" spans="1:30" x14ac:dyDescent="0.3">
      <c r="A86" s="678"/>
      <c r="B86" s="31" t="s">
        <v>1442</v>
      </c>
      <c r="C86" s="29">
        <f t="shared" si="35"/>
        <v>0</v>
      </c>
      <c r="D86" s="29">
        <f t="shared" si="35"/>
        <v>0</v>
      </c>
      <c r="E86" s="29">
        <f t="shared" si="35"/>
        <v>0</v>
      </c>
      <c r="F86" s="29">
        <f t="shared" si="35"/>
        <v>0</v>
      </c>
      <c r="G86" s="29">
        <f t="shared" si="35"/>
        <v>0</v>
      </c>
      <c r="H86" s="602">
        <f t="shared" si="35"/>
        <v>0</v>
      </c>
      <c r="I86" s="29"/>
      <c r="J86" s="609">
        <f t="shared" ref="J86:W86" si="40">J57-J28</f>
        <v>0</v>
      </c>
      <c r="K86" s="29">
        <f t="shared" si="40"/>
        <v>0</v>
      </c>
      <c r="L86" s="29">
        <f t="shared" si="40"/>
        <v>0</v>
      </c>
      <c r="M86" s="29">
        <f t="shared" ca="1" si="36"/>
        <v>0</v>
      </c>
      <c r="N86" s="602">
        <f t="shared" si="40"/>
        <v>0</v>
      </c>
      <c r="O86" s="609">
        <f t="shared" si="40"/>
        <v>0</v>
      </c>
      <c r="P86" s="29">
        <f t="shared" si="40"/>
        <v>0</v>
      </c>
      <c r="Q86" s="29">
        <f t="shared" si="40"/>
        <v>0</v>
      </c>
      <c r="R86" s="602">
        <f t="shared" si="40"/>
        <v>0</v>
      </c>
      <c r="S86" s="609">
        <f t="shared" si="40"/>
        <v>0</v>
      </c>
      <c r="T86" s="29">
        <f t="shared" si="40"/>
        <v>0</v>
      </c>
      <c r="U86" s="29">
        <f t="shared" si="40"/>
        <v>0</v>
      </c>
      <c r="V86" s="29">
        <f t="shared" si="40"/>
        <v>0</v>
      </c>
      <c r="W86" s="602">
        <f t="shared" si="40"/>
        <v>0</v>
      </c>
      <c r="X86" s="29"/>
      <c r="Y86" s="609">
        <f t="shared" si="37"/>
        <v>0</v>
      </c>
      <c r="Z86" s="29"/>
      <c r="AA86" s="29">
        <f t="shared" si="37"/>
        <v>0</v>
      </c>
      <c r="AB86" s="29">
        <f t="shared" si="37"/>
        <v>0</v>
      </c>
      <c r="AC86" s="29">
        <f t="shared" ca="1" si="37"/>
        <v>0</v>
      </c>
      <c r="AD86" s="602">
        <f t="shared" si="37"/>
        <v>0</v>
      </c>
    </row>
    <row r="87" spans="1:30" x14ac:dyDescent="0.3">
      <c r="A87" s="678"/>
      <c r="B87" s="405" t="s">
        <v>920</v>
      </c>
      <c r="C87" s="29"/>
      <c r="D87" s="29"/>
      <c r="E87" s="29"/>
      <c r="F87" s="29"/>
      <c r="G87" s="29"/>
      <c r="H87" s="602"/>
      <c r="I87" s="29"/>
      <c r="J87" s="609"/>
      <c r="K87" s="29"/>
      <c r="L87" s="29"/>
      <c r="M87" s="29"/>
      <c r="N87" s="602"/>
      <c r="O87" s="609"/>
      <c r="P87" s="29"/>
      <c r="Q87" s="29"/>
      <c r="R87" s="602"/>
      <c r="S87" s="609"/>
      <c r="T87" s="29"/>
      <c r="U87" s="29"/>
      <c r="V87" s="29"/>
      <c r="W87" s="602"/>
      <c r="X87" s="29"/>
      <c r="Y87" s="609"/>
      <c r="Z87" s="29"/>
      <c r="AA87" s="29"/>
      <c r="AB87" s="29"/>
      <c r="AC87" s="29"/>
      <c r="AD87" s="602"/>
    </row>
    <row r="88" spans="1:30" x14ac:dyDescent="0.3">
      <c r="A88" s="678"/>
      <c r="B88" s="297" t="s">
        <v>920</v>
      </c>
      <c r="C88" s="29">
        <f t="shared" ref="C88:H89" si="41">C59-C30</f>
        <v>0</v>
      </c>
      <c r="D88" s="29">
        <f t="shared" si="41"/>
        <v>0</v>
      </c>
      <c r="E88" s="29">
        <f t="shared" si="41"/>
        <v>0</v>
      </c>
      <c r="F88" s="29">
        <f t="shared" si="41"/>
        <v>0</v>
      </c>
      <c r="G88" s="29">
        <f t="shared" si="41"/>
        <v>0</v>
      </c>
      <c r="H88" s="602">
        <f t="shared" si="41"/>
        <v>0</v>
      </c>
      <c r="I88" s="29"/>
      <c r="J88" s="609">
        <f t="shared" ref="J88:P89" si="42">J59-J30</f>
        <v>0</v>
      </c>
      <c r="K88" s="29">
        <f t="shared" si="42"/>
        <v>0</v>
      </c>
      <c r="L88" s="29">
        <f t="shared" si="42"/>
        <v>0</v>
      </c>
      <c r="M88" s="29">
        <f t="shared" ca="1" si="42"/>
        <v>0</v>
      </c>
      <c r="N88" s="602">
        <f t="shared" si="42"/>
        <v>0</v>
      </c>
      <c r="O88" s="609">
        <f t="shared" si="42"/>
        <v>0</v>
      </c>
      <c r="P88" s="29">
        <f t="shared" si="42"/>
        <v>0</v>
      </c>
      <c r="Q88" s="29">
        <f t="shared" ref="Q88" si="43">Q59-Q30</f>
        <v>0</v>
      </c>
      <c r="R88" s="602">
        <f t="shared" ref="R88:W89" si="44">R59-R30</f>
        <v>0</v>
      </c>
      <c r="S88" s="609">
        <f t="shared" si="44"/>
        <v>0</v>
      </c>
      <c r="T88" s="29">
        <f t="shared" si="44"/>
        <v>0</v>
      </c>
      <c r="U88" s="29">
        <f t="shared" si="44"/>
        <v>0</v>
      </c>
      <c r="V88" s="29">
        <f t="shared" si="44"/>
        <v>0</v>
      </c>
      <c r="W88" s="602">
        <f t="shared" si="44"/>
        <v>0</v>
      </c>
      <c r="X88" s="29"/>
      <c r="Y88" s="609">
        <f t="shared" ref="Y88:AD89" si="45">Y59-Y30</f>
        <v>0</v>
      </c>
      <c r="Z88" s="29"/>
      <c r="AA88" s="29">
        <f t="shared" si="45"/>
        <v>0</v>
      </c>
      <c r="AB88" s="29">
        <f t="shared" si="45"/>
        <v>0</v>
      </c>
      <c r="AC88" s="29">
        <f t="shared" ca="1" si="45"/>
        <v>0</v>
      </c>
      <c r="AD88" s="602">
        <f t="shared" si="45"/>
        <v>0</v>
      </c>
    </row>
    <row r="89" spans="1:30" x14ac:dyDescent="0.3">
      <c r="A89" s="678"/>
      <c r="B89" s="297" t="s">
        <v>980</v>
      </c>
      <c r="C89" s="29">
        <f t="shared" si="41"/>
        <v>0</v>
      </c>
      <c r="D89" s="29">
        <f t="shared" si="41"/>
        <v>0</v>
      </c>
      <c r="E89" s="29">
        <f t="shared" si="41"/>
        <v>0</v>
      </c>
      <c r="F89" s="29">
        <f t="shared" si="41"/>
        <v>0</v>
      </c>
      <c r="G89" s="29">
        <f t="shared" si="41"/>
        <v>0</v>
      </c>
      <c r="H89" s="602">
        <f t="shared" si="41"/>
        <v>0</v>
      </c>
      <c r="I89" s="29"/>
      <c r="J89" s="609">
        <f t="shared" si="42"/>
        <v>0</v>
      </c>
      <c r="K89" s="29">
        <f t="shared" si="42"/>
        <v>0</v>
      </c>
      <c r="L89" s="29">
        <f t="shared" si="42"/>
        <v>0</v>
      </c>
      <c r="M89" s="29">
        <f t="shared" ca="1" si="42"/>
        <v>0</v>
      </c>
      <c r="N89" s="602">
        <f t="shared" si="42"/>
        <v>0</v>
      </c>
      <c r="O89" s="609">
        <f t="shared" si="42"/>
        <v>0</v>
      </c>
      <c r="P89" s="29">
        <f t="shared" si="42"/>
        <v>0</v>
      </c>
      <c r="Q89" s="29">
        <f t="shared" ref="Q89" si="46">Q60-Q31</f>
        <v>0</v>
      </c>
      <c r="R89" s="602">
        <f t="shared" si="44"/>
        <v>0</v>
      </c>
      <c r="S89" s="609">
        <f t="shared" si="44"/>
        <v>0</v>
      </c>
      <c r="T89" s="29">
        <f t="shared" si="44"/>
        <v>0</v>
      </c>
      <c r="U89" s="29">
        <f t="shared" si="44"/>
        <v>0</v>
      </c>
      <c r="V89" s="29">
        <f t="shared" si="44"/>
        <v>0</v>
      </c>
      <c r="W89" s="602">
        <f t="shared" si="44"/>
        <v>0</v>
      </c>
      <c r="X89" s="29"/>
      <c r="Y89" s="609">
        <f t="shared" si="45"/>
        <v>0</v>
      </c>
      <c r="Z89" s="29"/>
      <c r="AA89" s="29">
        <f t="shared" si="45"/>
        <v>0</v>
      </c>
      <c r="AB89" s="29">
        <f t="shared" si="45"/>
        <v>0</v>
      </c>
      <c r="AC89" s="29">
        <f t="shared" ca="1" si="45"/>
        <v>0</v>
      </c>
      <c r="AD89" s="602">
        <f t="shared" si="45"/>
        <v>0</v>
      </c>
    </row>
    <row r="90" spans="1:30" x14ac:dyDescent="0.3">
      <c r="A90" s="679"/>
      <c r="B90" s="675" t="s">
        <v>233</v>
      </c>
      <c r="C90" s="665">
        <f>SUM(C66:C89)</f>
        <v>0</v>
      </c>
      <c r="D90" s="665">
        <f t="shared" ref="D90:H90" si="47">SUM(D66:D89)</f>
        <v>124891.77600000001</v>
      </c>
      <c r="E90" s="665">
        <f t="shared" ca="1" si="47"/>
        <v>-20832.58102179828</v>
      </c>
      <c r="F90" s="665">
        <f t="shared" ca="1" si="47"/>
        <v>-5794.7369489663834</v>
      </c>
      <c r="G90" s="665">
        <f t="shared" ca="1" si="47"/>
        <v>-256.41946836480042</v>
      </c>
      <c r="H90" s="666">
        <f t="shared" si="47"/>
        <v>-18.009394099200037</v>
      </c>
      <c r="I90" s="29"/>
      <c r="J90" s="664">
        <f>SUM(J66:J89)</f>
        <v>1784703.4790400001</v>
      </c>
      <c r="K90" s="665">
        <f t="shared" ref="K90:P90" si="48">SUM(K66:K89)</f>
        <v>4216346.35776</v>
      </c>
      <c r="L90" s="665">
        <f t="shared" ca="1" si="48"/>
        <v>-2552330.9406603836</v>
      </c>
      <c r="M90" s="665">
        <f t="shared" ca="1" si="48"/>
        <v>3.3386606202283216</v>
      </c>
      <c r="N90" s="666">
        <f t="shared" ca="1" si="48"/>
        <v>-3460110.7838018946</v>
      </c>
      <c r="O90" s="664">
        <f t="shared" ca="1" si="48"/>
        <v>0</v>
      </c>
      <c r="P90" s="665">
        <f t="shared" ca="1" si="48"/>
        <v>-1640375.5449442435</v>
      </c>
      <c r="Q90" s="665">
        <f t="shared" ref="Q90" ca="1" si="49">SUM(Q66:Q89)</f>
        <v>-304188.41750887176</v>
      </c>
      <c r="R90" s="666">
        <f ca="1">SUM(R66:R89)</f>
        <v>-63937.191056234762</v>
      </c>
      <c r="S90" s="664">
        <f t="shared" ref="S90:W90" ca="1" si="50">SUM(S66:S89)</f>
        <v>0</v>
      </c>
      <c r="T90" s="665">
        <f t="shared" ca="1" si="50"/>
        <v>-4857151.9885798879</v>
      </c>
      <c r="U90" s="665">
        <f t="shared" ca="1" si="50"/>
        <v>-1737067.9581844099</v>
      </c>
      <c r="V90" s="665">
        <f t="shared" ca="1" si="50"/>
        <v>-79712.851670530625</v>
      </c>
      <c r="W90" s="666">
        <f t="shared" ca="1" si="50"/>
        <v>-10031164.998457082</v>
      </c>
      <c r="X90" s="29"/>
      <c r="Y90" s="664">
        <f t="shared" ref="Y90:AD90" ca="1" si="51">SUM(Y66:Y89)</f>
        <v>184.82163783875171</v>
      </c>
      <c r="Z90" s="665"/>
      <c r="AA90" s="665">
        <f t="shared" ca="1" si="51"/>
        <v>-9.4875203294976345</v>
      </c>
      <c r="AB90" s="665">
        <f t="shared" si="51"/>
        <v>-267.98863947764198</v>
      </c>
      <c r="AC90" s="665">
        <f t="shared" ca="1" si="51"/>
        <v>0</v>
      </c>
      <c r="AD90" s="666">
        <f t="shared" si="51"/>
        <v>-347.50311890266539</v>
      </c>
    </row>
    <row r="91" spans="1:30" x14ac:dyDescent="0.3">
      <c r="A91" s="676"/>
      <c r="B91" s="31"/>
      <c r="C91" s="31"/>
      <c r="D91" s="29"/>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row>
    <row r="106" spans="2:6" x14ac:dyDescent="0.3">
      <c r="B106" s="31"/>
      <c r="C106" s="31"/>
    </row>
    <row r="107" spans="2:6" x14ac:dyDescent="0.3">
      <c r="B107" s="1"/>
      <c r="C107" s="1"/>
    </row>
    <row r="108" spans="2:6" x14ac:dyDescent="0.3">
      <c r="B108" s="1"/>
      <c r="C108" s="1"/>
    </row>
    <row r="109" spans="2:6" x14ac:dyDescent="0.3">
      <c r="B109" s="31"/>
      <c r="C109" s="31"/>
      <c r="E109" s="23"/>
      <c r="F109" s="23"/>
    </row>
    <row r="110" spans="2:6" x14ac:dyDescent="0.3">
      <c r="B110" s="31"/>
      <c r="C110" s="31"/>
      <c r="E110" s="23"/>
      <c r="F110" s="23"/>
    </row>
    <row r="111" spans="2:6" x14ac:dyDescent="0.3">
      <c r="B111" s="31"/>
      <c r="C111" s="31"/>
      <c r="E111" s="23"/>
      <c r="F111" s="23"/>
    </row>
    <row r="112" spans="2:6" x14ac:dyDescent="0.3">
      <c r="B112" s="31"/>
      <c r="C112" s="31"/>
      <c r="E112" s="23"/>
      <c r="F112" s="23"/>
    </row>
    <row r="113" spans="2:6" x14ac:dyDescent="0.3">
      <c r="B113" s="31"/>
      <c r="C113" s="31"/>
      <c r="E113" s="23"/>
      <c r="F113" s="23"/>
    </row>
    <row r="114" spans="2:6" x14ac:dyDescent="0.3">
      <c r="B114" s="31"/>
      <c r="C114" s="31"/>
      <c r="E114" s="23"/>
      <c r="F114" s="23"/>
    </row>
    <row r="115" spans="2:6" x14ac:dyDescent="0.3">
      <c r="B115" s="31"/>
      <c r="C115" s="31"/>
      <c r="E115" s="23"/>
      <c r="F115" s="23"/>
    </row>
    <row r="116" spans="2:6" x14ac:dyDescent="0.3">
      <c r="B116" s="31"/>
      <c r="C116" s="31"/>
      <c r="E116" s="23"/>
      <c r="F116" s="23"/>
    </row>
    <row r="117" spans="2:6" x14ac:dyDescent="0.3">
      <c r="B117" s="31"/>
      <c r="C117" s="31"/>
      <c r="E117" s="23"/>
      <c r="F117" s="23"/>
    </row>
    <row r="118" spans="2:6" x14ac:dyDescent="0.3">
      <c r="B118" s="31"/>
      <c r="C118" s="31"/>
    </row>
    <row r="119" spans="2:6" x14ac:dyDescent="0.3">
      <c r="B119" s="1"/>
      <c r="C119" s="1"/>
    </row>
    <row r="120" spans="2:6" x14ac:dyDescent="0.3">
      <c r="B120" s="1"/>
      <c r="C120" s="1"/>
    </row>
    <row r="121" spans="2:6" x14ac:dyDescent="0.3">
      <c r="B121" s="31"/>
      <c r="C121" s="31"/>
      <c r="E121" s="23"/>
      <c r="F121" s="23"/>
    </row>
    <row r="122" spans="2:6" x14ac:dyDescent="0.3">
      <c r="B122" s="31"/>
      <c r="C122" s="31"/>
      <c r="E122" s="23"/>
      <c r="F122" s="23"/>
    </row>
    <row r="123" spans="2:6" x14ac:dyDescent="0.3">
      <c r="B123" s="31"/>
      <c r="C123" s="31"/>
      <c r="E123" s="23"/>
      <c r="F123" s="23"/>
    </row>
    <row r="124" spans="2:6" x14ac:dyDescent="0.3">
      <c r="B124" s="31"/>
      <c r="C124" s="31"/>
      <c r="E124" s="23"/>
      <c r="F124" s="23"/>
    </row>
    <row r="125" spans="2:6" x14ac:dyDescent="0.3">
      <c r="B125" s="31"/>
      <c r="C125" s="31"/>
      <c r="E125" s="23"/>
      <c r="F125" s="23"/>
    </row>
    <row r="126" spans="2:6" x14ac:dyDescent="0.3">
      <c r="B126" s="31"/>
      <c r="C126" s="31"/>
      <c r="E126" s="23"/>
      <c r="F126" s="23"/>
    </row>
    <row r="127" spans="2:6" x14ac:dyDescent="0.3">
      <c r="B127" s="31"/>
      <c r="C127" s="31"/>
      <c r="E127" s="23"/>
      <c r="F127" s="23"/>
    </row>
    <row r="128" spans="2:6" x14ac:dyDescent="0.3">
      <c r="B128" s="31"/>
      <c r="C128" s="31"/>
      <c r="E128" s="23"/>
      <c r="F128" s="23"/>
    </row>
    <row r="129" spans="2:6" x14ac:dyDescent="0.3">
      <c r="B129" s="31"/>
      <c r="C129" s="31"/>
      <c r="E129" s="23"/>
      <c r="F129" s="23"/>
    </row>
    <row r="133" spans="2:6" x14ac:dyDescent="0.3">
      <c r="B133" s="31"/>
      <c r="C133" s="31"/>
      <c r="E133" s="23"/>
      <c r="F133" s="23"/>
    </row>
    <row r="134" spans="2:6" x14ac:dyDescent="0.3">
      <c r="B134" s="31"/>
      <c r="C134" s="31"/>
      <c r="E134" s="23"/>
      <c r="F134" s="23"/>
    </row>
    <row r="135" spans="2:6" x14ac:dyDescent="0.3">
      <c r="B135" s="31"/>
      <c r="C135" s="31"/>
      <c r="E135" s="23"/>
      <c r="F135" s="23"/>
    </row>
    <row r="136" spans="2:6" x14ac:dyDescent="0.3">
      <c r="B136" s="31"/>
      <c r="C136" s="31"/>
      <c r="E136" s="23"/>
      <c r="F136" s="23"/>
    </row>
    <row r="137" spans="2:6" x14ac:dyDescent="0.3">
      <c r="B137" s="31"/>
      <c r="C137" s="31"/>
      <c r="E137" s="23"/>
      <c r="F137" s="23"/>
    </row>
    <row r="138" spans="2:6" x14ac:dyDescent="0.3">
      <c r="B138" s="31"/>
      <c r="C138" s="31"/>
      <c r="E138" s="23"/>
      <c r="F138" s="23"/>
    </row>
    <row r="139" spans="2:6" x14ac:dyDescent="0.3">
      <c r="B139" s="31"/>
      <c r="C139" s="31"/>
      <c r="E139" s="23"/>
      <c r="F139" s="23"/>
    </row>
    <row r="140" spans="2:6" x14ac:dyDescent="0.3">
      <c r="B140" s="31"/>
      <c r="C140" s="31"/>
      <c r="E140" s="23"/>
      <c r="F140" s="23"/>
    </row>
    <row r="141" spans="2:6" x14ac:dyDescent="0.3">
      <c r="B141" s="31"/>
      <c r="C141" s="31"/>
      <c r="E141" s="23"/>
      <c r="F141" s="2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rgb="FFFF0000"/>
  </sheetPr>
  <dimension ref="A1:AG141"/>
  <sheetViews>
    <sheetView topLeftCell="U61" zoomScale="70" zoomScaleNormal="70" workbookViewId="0">
      <selection activeCell="C55" sqref="C55"/>
    </sheetView>
  </sheetViews>
  <sheetFormatPr defaultColWidth="9.109375" defaultRowHeight="14.4" x14ac:dyDescent="0.3"/>
  <cols>
    <col min="2" max="2" width="43.33203125" customWidth="1"/>
    <col min="3" max="3" width="16.5546875" customWidth="1"/>
    <col min="4" max="4" width="18.88671875" customWidth="1"/>
    <col min="5" max="5" width="20.6640625" bestFit="1" customWidth="1"/>
    <col min="6" max="6" width="20.6640625" customWidth="1"/>
    <col min="7" max="7" width="21.88671875" customWidth="1"/>
    <col min="8" max="8" width="17" customWidth="1"/>
    <col min="9" max="9" width="7.109375" customWidth="1"/>
    <col min="10" max="10" width="22.88671875" bestFit="1" customWidth="1"/>
    <col min="11" max="13" width="22.88671875" customWidth="1"/>
    <col min="14" max="14" width="24.33203125" bestFit="1" customWidth="1"/>
    <col min="15" max="21" width="24.33203125" customWidth="1"/>
    <col min="22" max="22" width="24.109375" bestFit="1" customWidth="1"/>
    <col min="23" max="23" width="24.109375" customWidth="1"/>
    <col min="24" max="24" width="7.33203125" customWidth="1"/>
    <col min="25" max="25" width="24.44140625" bestFit="1" customWidth="1"/>
    <col min="26" max="26" width="24.44140625" customWidth="1"/>
    <col min="27" max="27" width="30.44140625" customWidth="1"/>
    <col min="28" max="28" width="23" customWidth="1"/>
    <col min="29" max="30" width="27.88671875" customWidth="1"/>
    <col min="31" max="31" width="7.109375" bestFit="1" customWidth="1"/>
    <col min="32" max="32" width="18.88671875" bestFit="1" customWidth="1"/>
    <col min="33" max="33" width="20.44140625" bestFit="1" customWidth="1"/>
    <col min="34" max="34" width="22.88671875" bestFit="1" customWidth="1"/>
    <col min="35" max="35" width="15" customWidth="1"/>
    <col min="36" max="36" width="7.44140625" bestFit="1" customWidth="1"/>
    <col min="37" max="37" width="10.109375" bestFit="1" customWidth="1"/>
    <col min="39" max="39" width="14.5546875" bestFit="1" customWidth="1"/>
    <col min="40" max="40" width="24.6640625" bestFit="1" customWidth="1"/>
    <col min="41" max="41" width="21.44140625" bestFit="1" customWidth="1"/>
    <col min="42" max="42" width="7.109375" bestFit="1" customWidth="1"/>
    <col min="43" max="43" width="18.88671875" bestFit="1" customWidth="1"/>
    <col min="44" max="44" width="20.44140625" bestFit="1" customWidth="1"/>
    <col min="45" max="45" width="22.88671875" bestFit="1" customWidth="1"/>
    <col min="46" max="46" width="7.44140625" bestFit="1" customWidth="1"/>
    <col min="47" max="47" width="10.109375" bestFit="1" customWidth="1"/>
  </cols>
  <sheetData>
    <row r="1" spans="1:33" ht="23.4" x14ac:dyDescent="0.45">
      <c r="A1" s="639"/>
      <c r="B1" s="639" t="s">
        <v>1401</v>
      </c>
      <c r="C1" s="656"/>
      <c r="D1" s="641"/>
      <c r="E1" s="641"/>
      <c r="F1" s="641"/>
      <c r="G1" s="641"/>
      <c r="H1" s="641"/>
      <c r="I1" s="641"/>
      <c r="J1" s="641"/>
      <c r="K1" s="641"/>
      <c r="L1" s="641"/>
      <c r="M1" s="641"/>
      <c r="N1" s="641"/>
      <c r="O1" s="657"/>
      <c r="P1" s="657"/>
      <c r="Q1" s="657"/>
      <c r="R1" s="657"/>
      <c r="S1" s="657"/>
      <c r="T1" s="657"/>
      <c r="U1" s="657"/>
      <c r="V1" s="657"/>
      <c r="W1" s="657"/>
      <c r="X1" s="657"/>
      <c r="Y1" s="641"/>
      <c r="Z1" s="641"/>
      <c r="AA1" s="641"/>
      <c r="AB1" s="641"/>
      <c r="AC1" s="641"/>
      <c r="AD1" s="642"/>
    </row>
    <row r="3" spans="1:33" ht="21" x14ac:dyDescent="0.4">
      <c r="A3" s="658"/>
      <c r="B3" s="640" t="s">
        <v>562</v>
      </c>
      <c r="C3" s="640"/>
      <c r="D3" s="641"/>
      <c r="E3" s="641"/>
      <c r="F3" s="641"/>
      <c r="G3" s="641"/>
      <c r="H3" s="642"/>
      <c r="J3" s="658" t="s">
        <v>563</v>
      </c>
      <c r="K3" s="640"/>
      <c r="L3" s="640"/>
      <c r="M3" s="640"/>
      <c r="N3" s="640"/>
      <c r="O3" s="641"/>
      <c r="P3" s="641"/>
      <c r="Q3" s="641"/>
      <c r="R3" s="641"/>
      <c r="S3" s="641"/>
      <c r="T3" s="641"/>
      <c r="U3" s="641"/>
      <c r="V3" s="641"/>
      <c r="W3" s="641"/>
      <c r="Y3" s="658" t="s">
        <v>564</v>
      </c>
      <c r="Z3" s="643"/>
      <c r="AA3" s="640"/>
      <c r="AB3" s="640"/>
      <c r="AC3" s="640"/>
      <c r="AD3" s="680"/>
    </row>
    <row r="5" spans="1:33" ht="18" x14ac:dyDescent="0.35">
      <c r="A5" s="645"/>
      <c r="B5" s="659" t="s">
        <v>552</v>
      </c>
      <c r="C5" s="659"/>
      <c r="D5" s="646"/>
      <c r="E5" s="660"/>
      <c r="F5" s="660"/>
      <c r="G5" s="646"/>
      <c r="H5" s="647"/>
      <c r="J5" s="645" t="s">
        <v>552</v>
      </c>
      <c r="K5" s="646"/>
      <c r="L5" s="646"/>
      <c r="M5" s="646"/>
      <c r="N5" s="646"/>
      <c r="O5" s="646"/>
      <c r="P5" s="646"/>
      <c r="Q5" s="646"/>
      <c r="R5" s="646"/>
      <c r="S5" s="646"/>
      <c r="T5" s="646"/>
      <c r="U5" s="646"/>
      <c r="V5" s="646"/>
      <c r="W5" s="646"/>
      <c r="Y5" s="634" t="s">
        <v>552</v>
      </c>
      <c r="Z5" s="659"/>
      <c r="AA5" s="636"/>
      <c r="AB5" s="636"/>
      <c r="AC5" s="636"/>
      <c r="AD5" s="638"/>
      <c r="AG5" s="1"/>
    </row>
    <row r="6" spans="1:33" ht="18" x14ac:dyDescent="0.35">
      <c r="A6" s="629"/>
      <c r="B6" s="630" t="s">
        <v>983</v>
      </c>
      <c r="C6" s="630"/>
      <c r="D6" s="631"/>
      <c r="E6" s="632"/>
      <c r="F6" s="632"/>
      <c r="G6" s="631"/>
      <c r="H6" s="633"/>
      <c r="J6" s="629" t="s">
        <v>1024</v>
      </c>
      <c r="K6" s="631"/>
      <c r="L6" s="631"/>
      <c r="M6" s="631"/>
      <c r="N6" s="633"/>
      <c r="O6" s="654" t="s">
        <v>1026</v>
      </c>
      <c r="P6" s="655"/>
      <c r="Q6" s="655"/>
      <c r="R6" s="633"/>
      <c r="S6" s="654" t="s">
        <v>10</v>
      </c>
      <c r="T6" s="655"/>
      <c r="U6" s="655"/>
      <c r="V6" s="631"/>
      <c r="W6" s="633"/>
      <c r="Y6" s="654" t="s">
        <v>564</v>
      </c>
      <c r="Z6" s="655"/>
      <c r="AA6" s="631"/>
      <c r="AB6" s="631"/>
      <c r="AC6" s="631"/>
      <c r="AD6" s="633"/>
      <c r="AF6" s="1"/>
    </row>
    <row r="7" spans="1:33" x14ac:dyDescent="0.3">
      <c r="A7" s="651"/>
      <c r="B7" s="652" t="s">
        <v>950</v>
      </c>
      <c r="C7" s="652" t="s">
        <v>1033</v>
      </c>
      <c r="D7" s="652" t="s">
        <v>878</v>
      </c>
      <c r="E7" s="627" t="s">
        <v>1554</v>
      </c>
      <c r="F7" s="652" t="s">
        <v>1377</v>
      </c>
      <c r="G7" s="652" t="s">
        <v>877</v>
      </c>
      <c r="H7" s="653" t="s">
        <v>225</v>
      </c>
      <c r="J7" s="651" t="s">
        <v>981</v>
      </c>
      <c r="K7" s="652" t="s">
        <v>982</v>
      </c>
      <c r="L7" s="652" t="s">
        <v>1025</v>
      </c>
      <c r="M7" s="652" t="s">
        <v>1493</v>
      </c>
      <c r="N7" s="653" t="s">
        <v>905</v>
      </c>
      <c r="O7" s="651" t="s">
        <v>938</v>
      </c>
      <c r="P7" s="627" t="s">
        <v>1554</v>
      </c>
      <c r="Q7" s="652" t="s">
        <v>1377</v>
      </c>
      <c r="R7" s="653" t="s">
        <v>1028</v>
      </c>
      <c r="S7" s="651" t="s">
        <v>938</v>
      </c>
      <c r="T7" s="627" t="s">
        <v>1554</v>
      </c>
      <c r="U7" s="652" t="s">
        <v>1025</v>
      </c>
      <c r="V7" s="652" t="s">
        <v>1028</v>
      </c>
      <c r="W7" s="653" t="s">
        <v>225</v>
      </c>
      <c r="Y7" s="651" t="s">
        <v>1029</v>
      </c>
      <c r="Z7" s="652" t="s">
        <v>1555</v>
      </c>
      <c r="AA7" s="652" t="s">
        <v>1030</v>
      </c>
      <c r="AB7" s="652" t="s">
        <v>1031</v>
      </c>
      <c r="AC7" s="652" t="s">
        <v>1511</v>
      </c>
      <c r="AD7" s="653" t="s">
        <v>1032</v>
      </c>
    </row>
    <row r="8" spans="1:33" x14ac:dyDescent="0.3">
      <c r="A8" s="677"/>
      <c r="B8" s="671" t="s">
        <v>988</v>
      </c>
      <c r="C8" s="672"/>
      <c r="D8" s="668"/>
      <c r="E8" s="668"/>
      <c r="F8" s="668"/>
      <c r="G8" s="668"/>
      <c r="H8" s="669"/>
      <c r="J8" s="198"/>
      <c r="M8" s="668"/>
      <c r="N8" s="87"/>
      <c r="O8" s="198"/>
      <c r="R8" s="87"/>
      <c r="S8" s="198"/>
      <c r="W8" s="87"/>
      <c r="Y8" s="667"/>
      <c r="Z8" s="668"/>
      <c r="AA8" s="668"/>
      <c r="AB8" s="668"/>
      <c r="AC8" s="668"/>
      <c r="AD8" s="669"/>
    </row>
    <row r="9" spans="1:33" x14ac:dyDescent="0.3">
      <c r="A9" s="678"/>
      <c r="B9" s="31" t="s">
        <v>1082</v>
      </c>
      <c r="C9" s="29">
        <f>'General input'!H57</f>
        <v>578203</v>
      </c>
      <c r="D9" s="29">
        <f>'General input'!C87*'General input'!H57</f>
        <v>0</v>
      </c>
      <c r="E9" s="29">
        <f>('Input summary'!L7/'Input summary'!$C$167)*(C9-D9)+('Input summary'!L7/'Input summary'!$C$167)*D9*(1-'Input summary'!E178)</f>
        <v>79005.657920000012</v>
      </c>
      <c r="F9" s="29">
        <f>('Input summary'!L34/'Input summary'!$C$168)*(C9-D9)+('Input summary'!L34/'Input summary'!$C$169)*D9*(1-'Input summary'!E206)</f>
        <v>21977.496030000002</v>
      </c>
      <c r="G9" s="29">
        <f>('Input summary'!L61/'Input summary'!$C$169)*(C9-D9)+D9*(1-'Input summary'!E206)*('Input summary'!L61/'Input summary'!$C$169)</f>
        <v>971.38103999999998</v>
      </c>
      <c r="H9" s="602">
        <f>('Input summary'!L88/'Input summary'!$C$170)*(C9-D9)+D9*(1-'Input summary'!E234)*('Input summary'!L88/'Input summary'!$C$170)</f>
        <v>69.384360000000001</v>
      </c>
      <c r="I9" s="29"/>
      <c r="J9" s="609">
        <f>$D9*'Input summary'!F322</f>
        <v>0</v>
      </c>
      <c r="K9" s="29">
        <f>D9*'Input summary'!F350</f>
        <v>0</v>
      </c>
      <c r="L9" s="29">
        <f>(F9)*'Input summary'!E433</f>
        <v>4661092.4678060226</v>
      </c>
      <c r="M9" s="29">
        <f ca="1">$D9*(('Input summary'!C262/'Input summary'!$C$167)*'Input summary'!F378+('Input summary'!C289/'Input summary'!$C$167)*'Input summary'!F406)</f>
        <v>0</v>
      </c>
      <c r="N9" s="602">
        <f>G9*'Input summary'!E460</f>
        <v>3786687.5302705024</v>
      </c>
      <c r="O9" s="609">
        <f>D9*'Input summary'!F490</f>
        <v>0</v>
      </c>
      <c r="P9" s="29">
        <f>(E9)*'Input summary'!E517</f>
        <v>4147316.1367952698</v>
      </c>
      <c r="Q9" s="29">
        <f>(F9)*'Input summary'!E544</f>
        <v>576842.38275610434</v>
      </c>
      <c r="R9" s="602">
        <f>G9*'Input summary'!E571</f>
        <v>114731.08165314782</v>
      </c>
      <c r="S9" s="609">
        <f>D9*'Input summary'!F601</f>
        <v>0</v>
      </c>
      <c r="T9" s="29">
        <f>(E9)*'Input summary'!E628</f>
        <v>3947208.1331948992</v>
      </c>
      <c r="U9" s="29">
        <f>(F9)*'Input summary'!E655</f>
        <v>1464025.967434993</v>
      </c>
      <c r="V9" s="29">
        <f>G9*'Input summary'!E682</f>
        <v>64708.330052375379</v>
      </c>
      <c r="W9" s="602">
        <f>H9*'Input summary'!E709</f>
        <v>21603992.40704431</v>
      </c>
      <c r="X9" s="29"/>
      <c r="Y9" s="609">
        <f>(E9)*'Input summary'!E738*'Input summary'!C115+(E9)*'Input summary'!E765*(1-'Input summary'!C115)</f>
        <v>573.57158482989576</v>
      </c>
      <c r="Z9" s="29">
        <f>(F9-G9*'Input summary'!F142)*'Input summary'!E738</f>
        <v>149.642997697872</v>
      </c>
      <c r="AA9" s="29">
        <f>G9*('Input summary'!E765)</f>
        <v>24.284526</v>
      </c>
      <c r="AB9" s="29">
        <f>H9*'Input summary'!G846</f>
        <v>1036.8498161119205</v>
      </c>
      <c r="AC9" s="29">
        <f ca="1">$D9*(('Input summary'!C262/'Input summary'!$C$167)*'Input summary'!F792+('Input summary'!C289/'Input summary'!$C$167)*'Input summary'!F819)</f>
        <v>0</v>
      </c>
      <c r="AD9" s="602">
        <f>H9*'Input summary'!E846</f>
        <v>1330.5120801426133</v>
      </c>
    </row>
    <row r="10" spans="1:33" x14ac:dyDescent="0.3">
      <c r="A10" s="678"/>
      <c r="B10" s="31" t="s">
        <v>1083</v>
      </c>
      <c r="C10" s="29">
        <f>'General input'!H58</f>
        <v>1156405</v>
      </c>
      <c r="D10" s="29">
        <f>'General input'!C88*'General input'!H58</f>
        <v>0</v>
      </c>
      <c r="E10" s="29">
        <f>('Input summary'!L8/'Input summary'!$C$167)*(C10-D10)+('Input summary'!L8/'Input summary'!$C$167)*D10*(1-'Input summary'!E179)</f>
        <v>158011.17920000001</v>
      </c>
      <c r="F10" s="29">
        <f>('Input summary'!L35/'Input summary'!$C$168)*(C10-D10)+('Input summary'!L35/'Input summary'!$C$169)*D10*(1-'Input summary'!E207)</f>
        <v>43954.95405</v>
      </c>
      <c r="G10" s="29">
        <f>('Input summary'!L62/'Input summary'!$C$169)*(C10-D10)+D10*(1-'Input summary'!E207)*('Input summary'!L62/'Input summary'!$C$169)</f>
        <v>1942.7604000000001</v>
      </c>
      <c r="H10" s="602">
        <f>('Input summary'!L89/'Input summary'!$C$170)*(C10-D10)+D10*(1-'Input summary'!E235)*('Input summary'!L89/'Input summary'!$C$170)</f>
        <v>138.76859999999999</v>
      </c>
      <c r="I10" s="29"/>
      <c r="J10" s="609">
        <f>$D10*'Input summary'!F323</f>
        <v>0</v>
      </c>
      <c r="K10" s="29">
        <f>D10*'Input summary'!F351</f>
        <v>0</v>
      </c>
      <c r="L10" s="29">
        <f>(F10)*'Input summary'!E434</f>
        <v>9322176.8742694575</v>
      </c>
      <c r="M10" s="29">
        <f ca="1">$D10*(('Input summary'!C263/'Input summary'!$C$167)*'Input summary'!F379+('Input summary'!C290/'Input summary'!$C$167)*'Input summary'!F407)</f>
        <v>0</v>
      </c>
      <c r="N10" s="602">
        <f>G10*'Input summary'!E461</f>
        <v>7573368.5114786001</v>
      </c>
      <c r="O10" s="609">
        <f>D10*'Input summary'!F491</f>
        <v>0</v>
      </c>
      <c r="P10" s="29">
        <f>(E10)*'Input summary'!E518</f>
        <v>8294625.1008222615</v>
      </c>
      <c r="Q10" s="29">
        <f>(F10)*'Input summary'!E545</f>
        <v>1153683.7678653912</v>
      </c>
      <c r="R10" s="602">
        <f>G10*'Input summary'!E572</f>
        <v>229461.96487930435</v>
      </c>
      <c r="S10" s="609">
        <f>D10*'Input summary'!F602</f>
        <v>0</v>
      </c>
      <c r="T10" s="29">
        <f>(E10)*'Input summary'!E629</f>
        <v>7894409.4397075884</v>
      </c>
      <c r="U10" s="29">
        <f>(F10)*'Input summary'!E656</f>
        <v>2928049.4028423633</v>
      </c>
      <c r="V10" s="29">
        <f>G10*'Input summary'!E683</f>
        <v>129416.54819192766</v>
      </c>
      <c r="W10" s="602">
        <f>H10*'Input summary'!E710</f>
        <v>43599127.749867052</v>
      </c>
      <c r="X10" s="29"/>
      <c r="Y10" s="609">
        <f>(E10)*'Input summary'!E739*'Input summary'!C116+(E10)*'Input summary'!E766*(1-'Input summary'!C116)</f>
        <v>1147.1421776698073</v>
      </c>
      <c r="Z10" s="29">
        <f>(F10-G10*'Input summary'!F143)*'Input summary'!E739</f>
        <v>301.13388455723998</v>
      </c>
      <c r="AA10" s="29">
        <f>G10*('Input summary'!E766)</f>
        <v>48.569010000000006</v>
      </c>
      <c r="AB10" s="29">
        <f>H10*'Input summary'!G847</f>
        <v>2079.9059079286976</v>
      </c>
      <c r="AC10" s="29">
        <f ca="1">$D10*(('Input summary'!C263/'Input summary'!$C$167)*'Input summary'!F793+('Input summary'!C290/'Input summary'!$C$167)*'Input summary'!F820)</f>
        <v>0</v>
      </c>
      <c r="AD10" s="602">
        <f>H10*'Input summary'!E847</f>
        <v>2685.1132449002516</v>
      </c>
    </row>
    <row r="11" spans="1:33" x14ac:dyDescent="0.3">
      <c r="A11" s="678"/>
      <c r="B11" s="31" t="s">
        <v>1084</v>
      </c>
      <c r="C11" s="29">
        <f>'General input'!H59</f>
        <v>3469216</v>
      </c>
      <c r="D11" s="29">
        <f>'General input'!C89*'General input'!H59</f>
        <v>0</v>
      </c>
      <c r="E11" s="29">
        <f>('Input summary'!L9/'Input summary'!$C$167)*(C11-D11)+('Input summary'!L9/'Input summary'!$C$167)*D11*(1-'Input summary'!E180)</f>
        <v>474033.67424000002</v>
      </c>
      <c r="F11" s="29">
        <f>('Input summary'!L36/'Input summary'!$C$168)*(C11-D11)+('Input summary'!L36/'Input summary'!$C$169)*D11*(1-'Input summary'!E208)</f>
        <v>131864.90016000002</v>
      </c>
      <c r="G11" s="29">
        <f>('Input summary'!L63/'Input summary'!$C$169)*(C11-D11)+D11*(1-'Input summary'!E208)*('Input summary'!L63/'Input summary'!$C$169)</f>
        <v>5828.2828800000007</v>
      </c>
      <c r="H11" s="602">
        <f>('Input summary'!L90/'Input summary'!$C$170)*(C11-D11)+D11*(1-'Input summary'!E236)*('Input summary'!L90/'Input summary'!$C$170)</f>
        <v>416.30592000000001</v>
      </c>
      <c r="I11" s="29"/>
      <c r="J11" s="609">
        <f>$D11*'Input summary'!F324</f>
        <v>0</v>
      </c>
      <c r="K11" s="29">
        <f>D11*'Input summary'!F352</f>
        <v>0</v>
      </c>
      <c r="L11" s="29">
        <f>(F11)*'Input summary'!E435</f>
        <v>27966538.68415096</v>
      </c>
      <c r="M11" s="29">
        <f ca="1">$D11*(('Input summary'!C264/'Input summary'!$C$167)*'Input summary'!F380+('Input summary'!C291/'Input summary'!$C$167)*'Input summary'!F408)</f>
        <v>0</v>
      </c>
      <c r="N11" s="602">
        <f>G11*'Input summary'!E462</f>
        <v>22720112.083498206</v>
      </c>
      <c r="O11" s="609">
        <f>D11*'Input summary'!F492</f>
        <v>0</v>
      </c>
      <c r="P11" s="29">
        <f>(E11)*'Input summary'!E519</f>
        <v>24883882.47523506</v>
      </c>
      <c r="Q11" s="29">
        <f>(F11)*'Input summary'!E546</f>
        <v>3461052.3012429918</v>
      </c>
      <c r="R11" s="602">
        <f>G11*'Input summary'!E573</f>
        <v>688386.09306490433</v>
      </c>
      <c r="S11" s="609">
        <f>D11*'Input summary'!F603</f>
        <v>0</v>
      </c>
      <c r="T11" s="29">
        <f>(E11)*'Input summary'!E630</f>
        <v>23683235.145804975</v>
      </c>
      <c r="U11" s="29">
        <f>(F11)*'Input summary'!E657</f>
        <v>8784150.7405547146</v>
      </c>
      <c r="V11" s="29">
        <f>G11*'Input summary'!E684</f>
        <v>388249.7564886061</v>
      </c>
      <c r="W11" s="602">
        <f>H11*'Input summary'!E711</f>
        <v>130446728.95724407</v>
      </c>
      <c r="X11" s="29"/>
      <c r="Y11" s="609">
        <f>(E11)*'Input summary'!E740*'Input summary'!C117+(E11)*'Input summary'!E767*(1-'Input summary'!C117)</f>
        <v>3441.4275249994062</v>
      </c>
      <c r="Z11" s="29">
        <f>(F11-G11*'Input summary'!F144)*'Input summary'!E740</f>
        <v>903.40191407692816</v>
      </c>
      <c r="AA11" s="29">
        <f>G11*('Input summary'!E767)</f>
        <v>145.70707200000001</v>
      </c>
      <c r="AB11" s="29">
        <f>H11*'Input summary'!G848</f>
        <v>6174.9307139652628</v>
      </c>
      <c r="AC11" s="29">
        <f ca="1">$D11*(('Input summary'!C264/'Input summary'!$C$167)*'Input summary'!F794+('Input summary'!C291/'Input summary'!$C$167)*'Input summary'!F821)</f>
        <v>0</v>
      </c>
      <c r="AD11" s="602">
        <f>H11*'Input summary'!E848</f>
        <v>8033.7441998040258</v>
      </c>
    </row>
    <row r="12" spans="1:33" x14ac:dyDescent="0.3">
      <c r="A12" s="678"/>
      <c r="B12" s="31" t="s">
        <v>1085</v>
      </c>
      <c r="C12" s="29">
        <f>'General input'!H60</f>
        <v>0</v>
      </c>
      <c r="D12" s="29">
        <f>'General input'!C90*'General input'!H60</f>
        <v>0</v>
      </c>
      <c r="E12" s="29">
        <f>('Input summary'!L10/'Input summary'!$C$167)*(C12-D12)+('Input summary'!L10/'Input summary'!$C$167)*D12*(1-'Input summary'!E181)</f>
        <v>0</v>
      </c>
      <c r="F12" s="29">
        <f>('Input summary'!L37/'Input summary'!$C$168)*(C12-D12)+('Input summary'!L37/'Input summary'!$C$169)*D12*(1-'Input summary'!E209)</f>
        <v>0</v>
      </c>
      <c r="G12" s="29">
        <f>('Input summary'!L64/'Input summary'!$C$169)*(C12-D12)+D12*(1-'Input summary'!E209)*('Input summary'!L64/'Input summary'!$C$169)</f>
        <v>0</v>
      </c>
      <c r="H12" s="602">
        <f>('Input summary'!L91/'Input summary'!$C$170)*(C12-D12)+D12*(1-'Input summary'!E237)*('Input summary'!L91/'Input summary'!$C$170)</f>
        <v>0</v>
      </c>
      <c r="I12" s="29"/>
      <c r="J12" s="609">
        <f>$D12*'Input summary'!F325</f>
        <v>0</v>
      </c>
      <c r="K12" s="29">
        <f>D12*'Input summary'!F353</f>
        <v>0</v>
      </c>
      <c r="L12" s="29">
        <f>(F12)*'Input summary'!E436</f>
        <v>0</v>
      </c>
      <c r="M12" s="29">
        <f ca="1">$D12*(('Input summary'!C265/'Input summary'!$C$167)*'Input summary'!F381+('Input summary'!C292/'Input summary'!$C$167)*'Input summary'!F409)</f>
        <v>0</v>
      </c>
      <c r="N12" s="602">
        <f>G12*'Input summary'!E463</f>
        <v>0</v>
      </c>
      <c r="O12" s="609">
        <f>D12*'Input summary'!F493</f>
        <v>0</v>
      </c>
      <c r="P12" s="29">
        <f>(E12)*'Input summary'!E520</f>
        <v>0</v>
      </c>
      <c r="Q12" s="29">
        <f>(F12)*'Input summary'!E547</f>
        <v>0</v>
      </c>
      <c r="R12" s="602">
        <f>G12*'Input summary'!E574</f>
        <v>0</v>
      </c>
      <c r="S12" s="609">
        <f>D12*'Input summary'!F604</f>
        <v>0</v>
      </c>
      <c r="T12" s="29">
        <f>(E12)*'Input summary'!E631</f>
        <v>0</v>
      </c>
      <c r="U12" s="29">
        <f>(F12)*'Input summary'!E658</f>
        <v>0</v>
      </c>
      <c r="V12" s="29">
        <f>G12*'Input summary'!E685</f>
        <v>0</v>
      </c>
      <c r="W12" s="602">
        <f>H12*'Input summary'!E712</f>
        <v>0</v>
      </c>
      <c r="X12" s="29"/>
      <c r="Y12" s="609">
        <f>(E12)*'Input summary'!E741*'Input summary'!C118+(E12)*'Input summary'!E768*(1-'Input summary'!C118)</f>
        <v>0</v>
      </c>
      <c r="Z12" s="29">
        <f>(F12-G12*'Input summary'!F145)*'Input summary'!E741</f>
        <v>0</v>
      </c>
      <c r="AA12" s="29">
        <f>G12*('Input summary'!E768)</f>
        <v>0</v>
      </c>
      <c r="AB12" s="29">
        <f>H12*'Input summary'!G849</f>
        <v>0</v>
      </c>
      <c r="AC12" s="29">
        <f ca="1">$D12*(('Input summary'!C265/'Input summary'!$C$167)*'Input summary'!F795+('Input summary'!C292/'Input summary'!$C$167)*'Input summary'!F822)</f>
        <v>0</v>
      </c>
      <c r="AD12" s="602">
        <f>H12*'Input summary'!E849</f>
        <v>0</v>
      </c>
    </row>
    <row r="13" spans="1:33" x14ac:dyDescent="0.3">
      <c r="A13" s="678"/>
      <c r="B13" s="31" t="s">
        <v>1086</v>
      </c>
      <c r="C13" s="29">
        <f>'General input'!H61</f>
        <v>0</v>
      </c>
      <c r="D13" s="29">
        <f>'General input'!C91*'General input'!H61</f>
        <v>0</v>
      </c>
      <c r="E13" s="29">
        <f>('Input summary'!L11/'Input summary'!$C$167)*(C13-D13)+('Input summary'!L11/'Input summary'!$C$167)*D13*(1-'Input summary'!E182)</f>
        <v>0</v>
      </c>
      <c r="F13" s="29">
        <f>('Input summary'!L38/'Input summary'!$C$168)*(C13-D13)+('Input summary'!L38/'Input summary'!$C$169)*D13*(1-'Input summary'!E210)</f>
        <v>0</v>
      </c>
      <c r="G13" s="29">
        <f>('Input summary'!L65/'Input summary'!$C$169)*(C13-D13)+D13*(1-'Input summary'!E210)*('Input summary'!L65/'Input summary'!$C$169)</f>
        <v>0</v>
      </c>
      <c r="H13" s="602">
        <f>('Input summary'!L92/'Input summary'!$C$170)*(C13-D13)+D13*(1-'Input summary'!E238)*('Input summary'!L92/'Input summary'!$C$170)</f>
        <v>0</v>
      </c>
      <c r="I13" s="29"/>
      <c r="J13" s="609">
        <f>$D13*'Input summary'!F326</f>
        <v>0</v>
      </c>
      <c r="K13" s="29">
        <f>D13*'Input summary'!F354</f>
        <v>0</v>
      </c>
      <c r="L13" s="29">
        <f>(F13)*'Input summary'!E437</f>
        <v>0</v>
      </c>
      <c r="M13" s="29">
        <f ca="1">$D13*(('Input summary'!C266/'Input summary'!$C$167)*'Input summary'!F382+('Input summary'!C293/'Input summary'!$C$167)*'Input summary'!F410)</f>
        <v>0</v>
      </c>
      <c r="N13" s="602">
        <f>G13*'Input summary'!E464</f>
        <v>0</v>
      </c>
      <c r="O13" s="609">
        <f>D13*'Input summary'!F494</f>
        <v>0</v>
      </c>
      <c r="P13" s="29">
        <f>(E13)*'Input summary'!E521</f>
        <v>0</v>
      </c>
      <c r="Q13" s="29">
        <f>(F13)*'Input summary'!E548</f>
        <v>0</v>
      </c>
      <c r="R13" s="602">
        <f>G13*'Input summary'!E575</f>
        <v>0</v>
      </c>
      <c r="S13" s="609">
        <f>D13*'Input summary'!F605</f>
        <v>0</v>
      </c>
      <c r="T13" s="29">
        <f>(E13)*'Input summary'!E632</f>
        <v>0</v>
      </c>
      <c r="U13" s="29">
        <f>(F13)*'Input summary'!E659</f>
        <v>0</v>
      </c>
      <c r="V13" s="29">
        <f>G13*'Input summary'!E686</f>
        <v>0</v>
      </c>
      <c r="W13" s="602">
        <f>H13*'Input summary'!E713</f>
        <v>0</v>
      </c>
      <c r="X13" s="29"/>
      <c r="Y13" s="609">
        <f>(E13)*'Input summary'!E742*'Input summary'!C119+(E13)*'Input summary'!E769*(1-'Input summary'!C119)</f>
        <v>0</v>
      </c>
      <c r="Z13" s="29">
        <f>(F13-G13*'Input summary'!F146)*'Input summary'!E742</f>
        <v>0</v>
      </c>
      <c r="AA13" s="29">
        <f>G13*('Input summary'!E769)</f>
        <v>0</v>
      </c>
      <c r="AB13" s="29">
        <f>H13*'Input summary'!G850</f>
        <v>0</v>
      </c>
      <c r="AC13" s="29">
        <f ca="1">$D13*(('Input summary'!C266/'Input summary'!$C$167)*'Input summary'!F796+('Input summary'!C293/'Input summary'!$C$167)*'Input summary'!F823)</f>
        <v>0</v>
      </c>
      <c r="AD13" s="602">
        <f>H13*'Input summary'!E850</f>
        <v>0</v>
      </c>
    </row>
    <row r="14" spans="1:33" x14ac:dyDescent="0.3">
      <c r="A14" s="678"/>
      <c r="B14" s="31" t="s">
        <v>1087</v>
      </c>
      <c r="C14" s="29">
        <f>'General input'!H62</f>
        <v>0</v>
      </c>
      <c r="D14" s="29">
        <f>'General input'!C92*'General input'!H62</f>
        <v>0</v>
      </c>
      <c r="E14" s="29">
        <f>('Input summary'!L12/'Input summary'!$C$167)*(C14-D14)+('Input summary'!L12/'Input summary'!$C$167)*D14*(1-'Input summary'!E183)</f>
        <v>0</v>
      </c>
      <c r="F14" s="29">
        <f>('Input summary'!L39/'Input summary'!$C$168)*(C14-D14)+('Input summary'!L39/'Input summary'!$C$169)*D14*(1-'Input summary'!E211)</f>
        <v>0</v>
      </c>
      <c r="G14" s="29">
        <f>('Input summary'!L66/'Input summary'!$C$169)*(C14-D14)+D14*(1-'Input summary'!E211)*('Input summary'!L66/'Input summary'!$C$169)</f>
        <v>0</v>
      </c>
      <c r="H14" s="602">
        <f>('Input summary'!L93/'Input summary'!$C$170)*(C14-D14)+D14*(1-'Input summary'!E239)*('Input summary'!L93/'Input summary'!$C$170)</f>
        <v>0</v>
      </c>
      <c r="I14" s="29"/>
      <c r="J14" s="609">
        <f>$D14*'Input summary'!F327</f>
        <v>0</v>
      </c>
      <c r="K14" s="29">
        <f>D14*'Input summary'!F355</f>
        <v>0</v>
      </c>
      <c r="L14" s="29">
        <f>(F14)*'Input summary'!E438</f>
        <v>0</v>
      </c>
      <c r="M14" s="29">
        <f ca="1">$D14*(('Input summary'!C267/'Input summary'!$C$167)*'Input summary'!F383+('Input summary'!C294/'Input summary'!$C$167)*'Input summary'!F411)</f>
        <v>0</v>
      </c>
      <c r="N14" s="602">
        <f>G14*'Input summary'!E465</f>
        <v>0</v>
      </c>
      <c r="O14" s="609">
        <f>D14*'Input summary'!F495</f>
        <v>0</v>
      </c>
      <c r="P14" s="29">
        <f>(E14)*'Input summary'!E522</f>
        <v>0</v>
      </c>
      <c r="Q14" s="29">
        <f>(F14)*'Input summary'!E549</f>
        <v>0</v>
      </c>
      <c r="R14" s="602">
        <f>G14*'Input summary'!E576</f>
        <v>0</v>
      </c>
      <c r="S14" s="609">
        <f>D14*'Input summary'!F606</f>
        <v>0</v>
      </c>
      <c r="T14" s="29">
        <f>(E14)*'Input summary'!E633</f>
        <v>0</v>
      </c>
      <c r="U14" s="29">
        <f>(F14)*'Input summary'!E660</f>
        <v>0</v>
      </c>
      <c r="V14" s="29">
        <f>G14*'Input summary'!E687</f>
        <v>0</v>
      </c>
      <c r="W14" s="602">
        <f>H14*'Input summary'!E714</f>
        <v>0</v>
      </c>
      <c r="X14" s="29"/>
      <c r="Y14" s="609">
        <f>(E14)*'Input summary'!E743*'Input summary'!C120+(E14)*'Input summary'!E770*(1-'Input summary'!C120)</f>
        <v>0</v>
      </c>
      <c r="Z14" s="29">
        <f>(F14-G14*'Input summary'!F147)*'Input summary'!E743</f>
        <v>0</v>
      </c>
      <c r="AA14" s="29">
        <f>G14*('Input summary'!E770)</f>
        <v>0</v>
      </c>
      <c r="AB14" s="29">
        <f>H14*'Input summary'!G851</f>
        <v>0</v>
      </c>
      <c r="AC14" s="29">
        <f ca="1">$D14*(('Input summary'!C267/'Input summary'!$C$167)*'Input summary'!F797+('Input summary'!C294/'Input summary'!$C$167)*'Input summary'!F824)</f>
        <v>0</v>
      </c>
      <c r="AD14" s="602">
        <f>H14*'Input summary'!E851</f>
        <v>0</v>
      </c>
    </row>
    <row r="15" spans="1:33" x14ac:dyDescent="0.3">
      <c r="A15" s="678"/>
      <c r="B15" s="31" t="s">
        <v>1443</v>
      </c>
      <c r="C15" s="29">
        <f>'General input'!H63</f>
        <v>0</v>
      </c>
      <c r="D15" s="29">
        <f>'General input'!C93*'General input'!H63</f>
        <v>0</v>
      </c>
      <c r="E15" s="29">
        <f>('Input summary'!L13/'Input summary'!$C$167)*(C15-D15)+('Input summary'!L13/'Input summary'!$C$167)*D15*(1-'Input summary'!E184)</f>
        <v>0</v>
      </c>
      <c r="F15" s="29">
        <f>('Input summary'!L40/'Input summary'!$C$168)*(C15-D15)+('Input summary'!L40/'Input summary'!$C$169)*D15*(1-'Input summary'!E212)</f>
        <v>0</v>
      </c>
      <c r="G15" s="29">
        <f>('Input summary'!L67/'Input summary'!$C$169)*(C15-D15)+D15*(1-'Input summary'!E212)*('Input summary'!L67/'Input summary'!$C$169)</f>
        <v>0</v>
      </c>
      <c r="H15" s="602">
        <f>('Input summary'!L94/'Input summary'!$C$170)*(C15-D15)+D15*(1-'Input summary'!E240)*('Input summary'!L94/'Input summary'!$C$170)</f>
        <v>0</v>
      </c>
      <c r="I15" s="29"/>
      <c r="J15" s="609">
        <f>$D15*'Input summary'!F328</f>
        <v>0</v>
      </c>
      <c r="K15" s="29">
        <f>D15*'Input summary'!F356</f>
        <v>0</v>
      </c>
      <c r="L15" s="29">
        <f>(F15)*'Input summary'!E439</f>
        <v>0</v>
      </c>
      <c r="M15" s="29">
        <f ca="1">$D15*(('Input summary'!C268/'Input summary'!$C$167)*'Input summary'!F384+('Input summary'!C295/'Input summary'!$C$167)*'Input summary'!F412)</f>
        <v>0</v>
      </c>
      <c r="N15" s="602">
        <f>G15*'Input summary'!E466</f>
        <v>0</v>
      </c>
      <c r="O15" s="609">
        <f>D15*'Input summary'!F496</f>
        <v>0</v>
      </c>
      <c r="P15" s="29">
        <f>(E15)*'Input summary'!E523</f>
        <v>0</v>
      </c>
      <c r="Q15" s="29">
        <f>(F15)*'Input summary'!E550</f>
        <v>0</v>
      </c>
      <c r="R15" s="602">
        <f>G15*'Input summary'!E577</f>
        <v>0</v>
      </c>
      <c r="S15" s="609">
        <f>D15*'Input summary'!F607</f>
        <v>0</v>
      </c>
      <c r="T15" s="29">
        <f>(E15)*'Input summary'!E634</f>
        <v>0</v>
      </c>
      <c r="U15" s="29">
        <f>(F15)*'Input summary'!E661</f>
        <v>0</v>
      </c>
      <c r="V15" s="29">
        <f>G15*'Input summary'!E688</f>
        <v>0</v>
      </c>
      <c r="W15" s="602">
        <f>H15*'Input summary'!E715</f>
        <v>0</v>
      </c>
      <c r="X15" s="29"/>
      <c r="Y15" s="609">
        <f>(E15)*'Input summary'!E744*'Input summary'!C121+(E15)*'Input summary'!E771*(1-'Input summary'!C121)</f>
        <v>0</v>
      </c>
      <c r="Z15" s="29">
        <f>(F15-G15*'Input summary'!F148)*'Input summary'!E744</f>
        <v>0</v>
      </c>
      <c r="AA15" s="29">
        <f>G15*('Input summary'!E771)</f>
        <v>0</v>
      </c>
      <c r="AB15" s="29">
        <f>H15*'Input summary'!G852</f>
        <v>0</v>
      </c>
      <c r="AC15" s="29">
        <f ca="1">$D15*(('Input summary'!C268/'Input summary'!$C$167)*'Input summary'!F798+('Input summary'!C295/'Input summary'!$C$167)*'Input summary'!F825)</f>
        <v>0</v>
      </c>
      <c r="AD15" s="602">
        <f>H15*'Input summary'!E852</f>
        <v>0</v>
      </c>
    </row>
    <row r="16" spans="1:33" x14ac:dyDescent="0.3">
      <c r="A16" s="678"/>
      <c r="B16" s="315" t="s">
        <v>1444</v>
      </c>
      <c r="E16" s="29"/>
      <c r="F16" s="29"/>
      <c r="G16" s="29"/>
      <c r="H16" s="602"/>
      <c r="J16" s="198"/>
      <c r="N16" s="87"/>
      <c r="O16" s="198"/>
      <c r="R16" s="87"/>
      <c r="S16" s="198"/>
      <c r="W16" s="87"/>
      <c r="Y16" s="198"/>
      <c r="AC16" s="29"/>
      <c r="AD16" s="602"/>
    </row>
    <row r="17" spans="1:30" ht="17.399999999999999" customHeight="1" x14ac:dyDescent="0.3">
      <c r="A17" s="678"/>
      <c r="B17" s="31" t="s">
        <v>1082</v>
      </c>
      <c r="C17" s="29">
        <f>'General input'!H65</f>
        <v>0</v>
      </c>
      <c r="D17" s="29">
        <f>'General input'!C95*'General input'!H65</f>
        <v>0</v>
      </c>
      <c r="E17" s="29">
        <f>('Input summary'!L15/'Input summary'!$C$167)*(C17-D17)+('Input summary'!L15/'Input summary'!$C$167)*D17*(1-'Input summary'!E186)</f>
        <v>0</v>
      </c>
      <c r="F17" s="29">
        <f>('Input summary'!L42/'Input summary'!$C$168)*(C17-D17)+('Input summary'!L42/'Input summary'!$C$169)*D17*(1-'Input summary'!E214)</f>
        <v>0</v>
      </c>
      <c r="G17" s="29">
        <f>('Input summary'!L69/'Input summary'!$C$169)*(C17-D17)+D17*(1-'Input summary'!E214)*('Input summary'!L69/'Input summary'!$C$169)</f>
        <v>0</v>
      </c>
      <c r="H17" s="602">
        <f>('Input summary'!L96/'Input summary'!$C$170)*(C17-D17)+D17*(1-'Input summary'!E242)*('Input summary'!L96/'Input summary'!$C$170)</f>
        <v>0</v>
      </c>
      <c r="I17" s="29"/>
      <c r="J17" s="609">
        <f ca="1">$D17*'Input summary'!C330</f>
        <v>0</v>
      </c>
      <c r="K17" s="29">
        <f ca="1">D17*'Input summary'!C358</f>
        <v>0</v>
      </c>
      <c r="L17" s="29">
        <f>(F17)*'Input summary'!E441</f>
        <v>0</v>
      </c>
      <c r="M17" s="29">
        <f ca="1">$D17*(('Input summary'!C270/'Input summary'!$C$167)*'Input summary'!F386+('Input summary'!C297/'Input summary'!$C$167)*'Input summary'!F414)</f>
        <v>0</v>
      </c>
      <c r="N17" s="602">
        <f>G17*'Input summary'!E468</f>
        <v>0</v>
      </c>
      <c r="O17" s="609">
        <f>D17*'Input summary'!C493</f>
        <v>0</v>
      </c>
      <c r="P17" s="29">
        <f>(E17)*'Input summary'!E525</f>
        <v>0</v>
      </c>
      <c r="Q17" s="29">
        <f>(F17)*'Input summary'!E552</f>
        <v>0</v>
      </c>
      <c r="R17" s="602">
        <f>G17*'Input summary'!E579</f>
        <v>0</v>
      </c>
      <c r="S17" s="609">
        <f ca="1">D17*'Input summary'!C609</f>
        <v>0</v>
      </c>
      <c r="T17" s="29">
        <f>(E17)*'Input summary'!E636</f>
        <v>0</v>
      </c>
      <c r="U17" s="29">
        <f>(F17)*'Input summary'!E663</f>
        <v>0</v>
      </c>
      <c r="V17" s="29">
        <f>G17*'Input summary'!E690</f>
        <v>0</v>
      </c>
      <c r="W17" s="602">
        <f>H17*'Input summary'!E717</f>
        <v>0</v>
      </c>
      <c r="X17" s="29"/>
      <c r="Y17" s="609">
        <f>(E17)*'Input summary'!E746*'Input summary'!C123+(E17)*'Input summary'!E773*(1-'Input summary'!C123)</f>
        <v>0</v>
      </c>
      <c r="Z17" s="29">
        <f>(F17-G17*'Input summary'!F150)*'Input summary'!E746</f>
        <v>0</v>
      </c>
      <c r="AA17" s="29">
        <f>G17*('Input summary'!E773)</f>
        <v>0</v>
      </c>
      <c r="AB17" s="29">
        <f>H17*'Input summary'!G854</f>
        <v>0</v>
      </c>
      <c r="AC17" s="29">
        <f ca="1">$D17*(('Input summary'!C270/'Input summary'!$C$167)*'Input summary'!F800+('Input summary'!C297/'Input summary'!$C$167)*'Input summary'!F827)</f>
        <v>0</v>
      </c>
      <c r="AD17" s="602">
        <f>H17*'Input summary'!E854</f>
        <v>0</v>
      </c>
    </row>
    <row r="18" spans="1:30" x14ac:dyDescent="0.3">
      <c r="A18" s="678"/>
      <c r="B18" s="31" t="s">
        <v>1083</v>
      </c>
      <c r="C18" s="29">
        <f>'General input'!H66</f>
        <v>0</v>
      </c>
      <c r="D18" s="29">
        <f>'General input'!C96*'General input'!H66</f>
        <v>0</v>
      </c>
      <c r="E18" s="29">
        <f>('Input summary'!L16/'Input summary'!$C$167)*(C18-D18)+('Input summary'!L16/'Input summary'!$C$167)*D18*(1-'Input summary'!E187)</f>
        <v>0</v>
      </c>
      <c r="F18" s="29">
        <f>('Input summary'!L43/'Input summary'!$C$168)*(C18-D18)+('Input summary'!L43/'Input summary'!$C$169)*D18*(1-'Input summary'!E215)</f>
        <v>0</v>
      </c>
      <c r="G18" s="29">
        <f>('Input summary'!L70/'Input summary'!$C$169)*(C18-D18)+D18*(1-'Input summary'!E215)*('Input summary'!L70/'Input summary'!$C$169)</f>
        <v>0</v>
      </c>
      <c r="H18" s="602">
        <f>('Input summary'!L97/'Input summary'!$C$170)*(C18-D18)+D18*(1-'Input summary'!E243)*('Input summary'!L97/'Input summary'!$C$170)</f>
        <v>0</v>
      </c>
      <c r="I18" s="29"/>
      <c r="J18" s="609">
        <f ca="1">$D18*'Input summary'!C331</f>
        <v>0</v>
      </c>
      <c r="K18" s="29">
        <f ca="1">D18*'Input summary'!C359</f>
        <v>0</v>
      </c>
      <c r="L18" s="29">
        <f>(F18)*'Input summary'!E442</f>
        <v>0</v>
      </c>
      <c r="M18" s="29">
        <f ca="1">$D18*(('Input summary'!C271/'Input summary'!$C$167)*'Input summary'!F387+('Input summary'!C298/'Input summary'!$C$167)*'Input summary'!F415)</f>
        <v>0</v>
      </c>
      <c r="N18" s="602">
        <f>G18*'Input summary'!E469</f>
        <v>0</v>
      </c>
      <c r="O18" s="609">
        <f>D18*'Input summary'!C494</f>
        <v>0</v>
      </c>
      <c r="P18" s="29">
        <f>(E18)*'Input summary'!E526</f>
        <v>0</v>
      </c>
      <c r="Q18" s="29">
        <f>(F18)*'Input summary'!E553</f>
        <v>0</v>
      </c>
      <c r="R18" s="602">
        <f>G18*'Input summary'!E580</f>
        <v>0</v>
      </c>
      <c r="S18" s="609">
        <f ca="1">D18*'Input summary'!C610</f>
        <v>0</v>
      </c>
      <c r="T18" s="29">
        <f>(E18)*'Input summary'!E637</f>
        <v>0</v>
      </c>
      <c r="U18" s="29">
        <f>(F18)*'Input summary'!E664</f>
        <v>0</v>
      </c>
      <c r="V18" s="29">
        <f>G18*'Input summary'!E691</f>
        <v>0</v>
      </c>
      <c r="W18" s="602">
        <f>H18*'Input summary'!E718</f>
        <v>0</v>
      </c>
      <c r="X18" s="29"/>
      <c r="Y18" s="609">
        <f>(E18)*'Input summary'!E747*'Input summary'!C124+(E18)*'Input summary'!E774*(1-'Input summary'!C124)</f>
        <v>0</v>
      </c>
      <c r="Z18" s="29">
        <f>(F18-G18*'Input summary'!F151)*'Input summary'!E747</f>
        <v>0</v>
      </c>
      <c r="AA18" s="29">
        <f>G18*('Input summary'!E774)</f>
        <v>0</v>
      </c>
      <c r="AB18" s="29">
        <f>H18*'Input summary'!G855</f>
        <v>0</v>
      </c>
      <c r="AC18" s="29">
        <f ca="1">$D18*(('Input summary'!C271/'Input summary'!$C$167)*'Input summary'!F801+('Input summary'!C298/'Input summary'!$C$167)*'Input summary'!F828)</f>
        <v>0</v>
      </c>
      <c r="AD18" s="602">
        <f>H18*'Input summary'!E855</f>
        <v>0</v>
      </c>
    </row>
    <row r="19" spans="1:30" x14ac:dyDescent="0.3">
      <c r="A19" s="678"/>
      <c r="B19" s="31" t="s">
        <v>1084</v>
      </c>
      <c r="C19" s="29">
        <f>'General input'!H67</f>
        <v>0</v>
      </c>
      <c r="D19" s="29">
        <f>'General input'!C97*'General input'!H67</f>
        <v>0</v>
      </c>
      <c r="E19" s="29">
        <f>('Input summary'!L17/'Input summary'!$C$167)*(C19-D19)+('Input summary'!L17/'Input summary'!$C$167)*D19*(1-'Input summary'!E188)</f>
        <v>0</v>
      </c>
      <c r="F19" s="29">
        <f>('Input summary'!L44/'Input summary'!$C$168)*(C19-D19)+('Input summary'!L44/'Input summary'!$C$169)*D19*(1-'Input summary'!E216)</f>
        <v>0</v>
      </c>
      <c r="G19" s="29">
        <f>('Input summary'!L71/'Input summary'!$C$169)*(C19-D19)+D19*(1-'Input summary'!E216)*('Input summary'!L71/'Input summary'!$C$169)</f>
        <v>0</v>
      </c>
      <c r="H19" s="602">
        <f>('Input summary'!L98/'Input summary'!$C$170)*(C19-D19)+D19*(1-'Input summary'!E244)*('Input summary'!L98/'Input summary'!$C$170)</f>
        <v>0</v>
      </c>
      <c r="I19" s="29"/>
      <c r="J19" s="609">
        <f ca="1">$D19*'Input summary'!C332</f>
        <v>0</v>
      </c>
      <c r="K19" s="29">
        <f ca="1">D19*'Input summary'!C360</f>
        <v>0</v>
      </c>
      <c r="L19" s="29">
        <f>(F19)*'Input summary'!E443</f>
        <v>0</v>
      </c>
      <c r="M19" s="29">
        <f ca="1">$D19*(('Input summary'!C272/'Input summary'!$C$167)*'Input summary'!F388+('Input summary'!C299/'Input summary'!$C$167)*'Input summary'!F416)</f>
        <v>0</v>
      </c>
      <c r="N19" s="602">
        <f>G19*'Input summary'!E470</f>
        <v>0</v>
      </c>
      <c r="O19" s="609">
        <f>D19*'Input summary'!C495</f>
        <v>0</v>
      </c>
      <c r="P19" s="29">
        <f>(E19)*'Input summary'!E527</f>
        <v>0</v>
      </c>
      <c r="Q19" s="29">
        <f>(F19)*'Input summary'!E554</f>
        <v>0</v>
      </c>
      <c r="R19" s="602">
        <f>G19*'Input summary'!E581</f>
        <v>0</v>
      </c>
      <c r="S19" s="609">
        <f ca="1">D19*'Input summary'!C611</f>
        <v>0</v>
      </c>
      <c r="T19" s="29">
        <f>(E19)*'Input summary'!E638</f>
        <v>0</v>
      </c>
      <c r="U19" s="29">
        <f>(F19)*'Input summary'!E665</f>
        <v>0</v>
      </c>
      <c r="V19" s="29">
        <f>G19*'Input summary'!E692</f>
        <v>0</v>
      </c>
      <c r="W19" s="602">
        <f>H19*'Input summary'!E719</f>
        <v>0</v>
      </c>
      <c r="X19" s="29"/>
      <c r="Y19" s="609">
        <f>(E19)*'Input summary'!E748*'Input summary'!C125+(E19)*'Input summary'!E775*(1-'Input summary'!C125)</f>
        <v>0</v>
      </c>
      <c r="Z19" s="29">
        <f>(F19-G19*'Input summary'!F152)*'Input summary'!E748</f>
        <v>0</v>
      </c>
      <c r="AA19" s="29">
        <f>G19*('Input summary'!E775)</f>
        <v>0</v>
      </c>
      <c r="AB19" s="29">
        <f>H19*'Input summary'!G856</f>
        <v>0</v>
      </c>
      <c r="AC19" s="29">
        <f ca="1">$D19*(('Input summary'!C272/'Input summary'!$C$167)*'Input summary'!F802+('Input summary'!C299/'Input summary'!$C$167)*'Input summary'!F829)</f>
        <v>0</v>
      </c>
      <c r="AD19" s="602">
        <f>H19*'Input summary'!E856</f>
        <v>0</v>
      </c>
    </row>
    <row r="20" spans="1:30" x14ac:dyDescent="0.3">
      <c r="A20" s="678"/>
      <c r="B20" s="31" t="s">
        <v>1085</v>
      </c>
      <c r="C20" s="29">
        <f>'General input'!H68</f>
        <v>0</v>
      </c>
      <c r="D20" s="29">
        <f>'General input'!C98*'General input'!H68</f>
        <v>0</v>
      </c>
      <c r="E20" s="29">
        <f>('Input summary'!L18/'Input summary'!$C$167)*(C20-D20)+('Input summary'!L18/'Input summary'!$C$167)*D20*(1-'Input summary'!E189)</f>
        <v>0</v>
      </c>
      <c r="F20" s="29">
        <f>('Input summary'!L45/'Input summary'!$C$168)*(C20-D20)+('Input summary'!L45/'Input summary'!$C$169)*D20*(1-'Input summary'!E217)</f>
        <v>0</v>
      </c>
      <c r="G20" s="29">
        <f>('Input summary'!L72/'Input summary'!$C$169)*(C20-D20)+D20*(1-'Input summary'!E217)*('Input summary'!L72/'Input summary'!$C$169)</f>
        <v>0</v>
      </c>
      <c r="H20" s="602">
        <f>('Input summary'!L99/'Input summary'!$C$170)*(C20-D20)+D20*(1-'Input summary'!E245)*('Input summary'!L99/'Input summary'!$C$170)</f>
        <v>0</v>
      </c>
      <c r="I20" s="29"/>
      <c r="J20" s="609">
        <f ca="1">$D20*'Input summary'!C333</f>
        <v>0</v>
      </c>
      <c r="K20" s="29">
        <f ca="1">D20*'Input summary'!C361</f>
        <v>0</v>
      </c>
      <c r="L20" s="29">
        <f>(F20)*'Input summary'!E444</f>
        <v>0</v>
      </c>
      <c r="M20" s="29">
        <f ca="1">$D20*(('Input summary'!C273/'Input summary'!$C$167)*'Input summary'!F389+('Input summary'!C300/'Input summary'!$C$167)*'Input summary'!F417)</f>
        <v>0</v>
      </c>
      <c r="N20" s="602">
        <f>G20*'Input summary'!E471</f>
        <v>0</v>
      </c>
      <c r="O20" s="609">
        <f>D20*'Input summary'!C501</f>
        <v>0</v>
      </c>
      <c r="P20" s="29">
        <f>(E20)*'Input summary'!E528</f>
        <v>0</v>
      </c>
      <c r="Q20" s="29">
        <f>(F20)*'Input summary'!E555</f>
        <v>0</v>
      </c>
      <c r="R20" s="602">
        <f>G20*'Input summary'!E582</f>
        <v>0</v>
      </c>
      <c r="S20" s="609">
        <f ca="1">D20*'Input summary'!C612</f>
        <v>0</v>
      </c>
      <c r="T20" s="29">
        <f>(E20)*'Input summary'!E639</f>
        <v>0</v>
      </c>
      <c r="U20" s="29">
        <f>(F20)*'Input summary'!E666</f>
        <v>0</v>
      </c>
      <c r="V20" s="29">
        <f>G20*'Input summary'!E693</f>
        <v>0</v>
      </c>
      <c r="W20" s="602">
        <f>H20*'Input summary'!E720</f>
        <v>0</v>
      </c>
      <c r="X20" s="29"/>
      <c r="Y20" s="609">
        <f>(E20)*'Input summary'!E749*'Input summary'!C126+(E20)*'Input summary'!E776*(1-'Input summary'!C126)</f>
        <v>0</v>
      </c>
      <c r="Z20" s="29">
        <f>(F20-G20*'Input summary'!F153)*'Input summary'!E749</f>
        <v>0</v>
      </c>
      <c r="AA20" s="29">
        <f>G20*('Input summary'!E776)</f>
        <v>0</v>
      </c>
      <c r="AB20" s="29">
        <f>H20*'Input summary'!G857</f>
        <v>0</v>
      </c>
      <c r="AC20" s="29">
        <f ca="1">$D20*(('Input summary'!C273/'Input summary'!$C$167)*'Input summary'!F803+('Input summary'!C300/'Input summary'!$C$167)*'Input summary'!F830)</f>
        <v>0</v>
      </c>
      <c r="AD20" s="602">
        <f>H20*'Input summary'!E857</f>
        <v>0</v>
      </c>
    </row>
    <row r="21" spans="1:30" x14ac:dyDescent="0.3">
      <c r="A21" s="678"/>
      <c r="B21" s="31" t="s">
        <v>1086</v>
      </c>
      <c r="C21" s="29">
        <f>'General input'!H69</f>
        <v>0</v>
      </c>
      <c r="D21" s="29">
        <f>'General input'!C99*'General input'!H69</f>
        <v>0</v>
      </c>
      <c r="E21" s="29">
        <f>('Input summary'!L19/'Input summary'!$C$167)*(C21-D21)+('Input summary'!L19/'Input summary'!$C$167)*D21*(1-'Input summary'!E190)</f>
        <v>0</v>
      </c>
      <c r="F21" s="29">
        <f>('Input summary'!L46/'Input summary'!$C$168)*(C21-D21)+('Input summary'!L46/'Input summary'!$C$169)*D21*(1-'Input summary'!E218)</f>
        <v>0</v>
      </c>
      <c r="G21" s="29">
        <f>('Input summary'!L73/'Input summary'!$C$169)*(C21-D21)+D21*(1-'Input summary'!E218)*('Input summary'!L73/'Input summary'!$C$169)</f>
        <v>0</v>
      </c>
      <c r="H21" s="602">
        <f>('Input summary'!L100/'Input summary'!$C$170)*(C21-D21)+D21*(1-'Input summary'!E246)*('Input summary'!L100/'Input summary'!$C$170)</f>
        <v>0</v>
      </c>
      <c r="I21" s="29"/>
      <c r="J21" s="609">
        <f ca="1">$D21*'Input summary'!C334</f>
        <v>0</v>
      </c>
      <c r="K21" s="29">
        <f ca="1">D21*'Input summary'!C362</f>
        <v>0</v>
      </c>
      <c r="L21" s="29">
        <f>(F21)*'Input summary'!E445</f>
        <v>0</v>
      </c>
      <c r="M21" s="29">
        <f ca="1">$D21*(('Input summary'!C274/'Input summary'!$C$167)*'Input summary'!F390+('Input summary'!C301/'Input summary'!$C$167)*'Input summary'!F418)</f>
        <v>0</v>
      </c>
      <c r="N21" s="602">
        <f>G21*'Input summary'!E472</f>
        <v>0</v>
      </c>
      <c r="O21" s="609">
        <f>D21*'Input summary'!C502</f>
        <v>0</v>
      </c>
      <c r="P21" s="29">
        <f>(E21)*'Input summary'!E529</f>
        <v>0</v>
      </c>
      <c r="Q21" s="29">
        <f>(F21)*'Input summary'!E556</f>
        <v>0</v>
      </c>
      <c r="R21" s="602">
        <f>G21*'Input summary'!E583</f>
        <v>0</v>
      </c>
      <c r="S21" s="609">
        <f ca="1">D21*'Input summary'!C613</f>
        <v>0</v>
      </c>
      <c r="T21" s="29">
        <f>(E21)*'Input summary'!E640</f>
        <v>0</v>
      </c>
      <c r="U21" s="29">
        <f>(F21)*'Input summary'!E667</f>
        <v>0</v>
      </c>
      <c r="V21" s="29">
        <f>G21*'Input summary'!E694</f>
        <v>0</v>
      </c>
      <c r="W21" s="602">
        <f>H21*'Input summary'!E721</f>
        <v>0</v>
      </c>
      <c r="X21" s="29"/>
      <c r="Y21" s="609">
        <f>(E21)*'Input summary'!E750*'Input summary'!C127+(E21)*'Input summary'!E777*(1-'Input summary'!C127)</f>
        <v>0</v>
      </c>
      <c r="Z21" s="29">
        <f>(F21-G21*'Input summary'!F154)*'Input summary'!E750</f>
        <v>0</v>
      </c>
      <c r="AA21" s="29">
        <f>G21*('Input summary'!E777)</f>
        <v>0</v>
      </c>
      <c r="AB21" s="29">
        <f>H21*'Input summary'!G858</f>
        <v>0</v>
      </c>
      <c r="AC21" s="29">
        <f ca="1">$D21*(('Input summary'!C274/'Input summary'!$C$167)*'Input summary'!F804+('Input summary'!C301/'Input summary'!$C$167)*'Input summary'!F831)</f>
        <v>0</v>
      </c>
      <c r="AD21" s="602">
        <f>H21*'Input summary'!E858</f>
        <v>0</v>
      </c>
    </row>
    <row r="22" spans="1:30" x14ac:dyDescent="0.3">
      <c r="A22" s="678"/>
      <c r="B22" s="31" t="s">
        <v>1087</v>
      </c>
      <c r="C22" s="29">
        <f>'General input'!H70</f>
        <v>0</v>
      </c>
      <c r="D22" s="29">
        <f>'General input'!C100*'General input'!H70</f>
        <v>0</v>
      </c>
      <c r="E22" s="29">
        <f>('Input summary'!L20/'Input summary'!$C$167)*(C22-D22)+('Input summary'!L20/'Input summary'!$C$167)*D22*(1-'Input summary'!E191)</f>
        <v>0</v>
      </c>
      <c r="F22" s="29">
        <f>('Input summary'!L47/'Input summary'!$C$168)*(C22-D22)+('Input summary'!L47/'Input summary'!$C$169)*D22*(1-'Input summary'!E219)</f>
        <v>0</v>
      </c>
      <c r="G22" s="29">
        <f>('Input summary'!L74/'Input summary'!$C$169)*(C22-D22)+D22*(1-'Input summary'!E219)*('Input summary'!L74/'Input summary'!$C$169)</f>
        <v>0</v>
      </c>
      <c r="H22" s="602">
        <f>('Input summary'!L101/'Input summary'!$C$170)*(C22-D22)+D22*(1-'Input summary'!E247)*('Input summary'!L101/'Input summary'!$C$170)</f>
        <v>0</v>
      </c>
      <c r="I22" s="29"/>
      <c r="J22" s="609">
        <f ca="1">$D22*'Input summary'!C335</f>
        <v>0</v>
      </c>
      <c r="K22" s="29">
        <f ca="1">D22*'Input summary'!C363</f>
        <v>0</v>
      </c>
      <c r="L22" s="29">
        <f>(F22)*'Input summary'!E446</f>
        <v>0</v>
      </c>
      <c r="M22" s="29">
        <f ca="1">$D22*(('Input summary'!C275/'Input summary'!$C$167)*'Input summary'!F391+('Input summary'!C302/'Input summary'!$C$167)*'Input summary'!F419)</f>
        <v>0</v>
      </c>
      <c r="N22" s="602">
        <f>G22*'Input summary'!E473</f>
        <v>0</v>
      </c>
      <c r="O22" s="609">
        <f>D22*'Input summary'!C503</f>
        <v>0</v>
      </c>
      <c r="P22" s="29">
        <f>(E22)*'Input summary'!E530</f>
        <v>0</v>
      </c>
      <c r="Q22" s="29">
        <f>(F22)*'Input summary'!E557</f>
        <v>0</v>
      </c>
      <c r="R22" s="602">
        <f>G22*'Input summary'!E584</f>
        <v>0</v>
      </c>
      <c r="S22" s="609">
        <f ca="1">D22*'Input summary'!C614</f>
        <v>0</v>
      </c>
      <c r="T22" s="29">
        <f>(E22)*'Input summary'!E641</f>
        <v>0</v>
      </c>
      <c r="U22" s="29">
        <f>(F22)*'Input summary'!E668</f>
        <v>0</v>
      </c>
      <c r="V22" s="29">
        <f>G22*'Input summary'!E695</f>
        <v>0</v>
      </c>
      <c r="W22" s="602">
        <f>H22*'Input summary'!E722</f>
        <v>0</v>
      </c>
      <c r="X22" s="29"/>
      <c r="Y22" s="609">
        <f>(E22)*'Input summary'!E751*'Input summary'!C128+(E22)*'Input summary'!E778*(1-'Input summary'!C128)</f>
        <v>0</v>
      </c>
      <c r="Z22" s="29">
        <f>(F22-G22*'Input summary'!F155)*'Input summary'!E751</f>
        <v>0</v>
      </c>
      <c r="AA22" s="29">
        <f>G22*('Input summary'!E778)</f>
        <v>0</v>
      </c>
      <c r="AB22" s="29">
        <f>H22*'Input summary'!G859</f>
        <v>0</v>
      </c>
      <c r="AC22" s="29">
        <f ca="1">$D22*(('Input summary'!C275/'Input summary'!$C$167)*'Input summary'!F805+('Input summary'!C302/'Input summary'!$C$167)*'Input summary'!F832)</f>
        <v>0</v>
      </c>
      <c r="AD22" s="602">
        <f>H22*'Input summary'!E859</f>
        <v>0</v>
      </c>
    </row>
    <row r="23" spans="1:30" x14ac:dyDescent="0.3">
      <c r="A23" s="678"/>
      <c r="B23" s="31" t="s">
        <v>1443</v>
      </c>
      <c r="C23" s="29">
        <f>'General input'!H71</f>
        <v>0</v>
      </c>
      <c r="D23" s="29">
        <f>'General input'!C101*'General input'!H71</f>
        <v>0</v>
      </c>
      <c r="E23" s="29">
        <f>('Input summary'!L21/'Input summary'!$C$167)*(C23-D23)+('Input summary'!L21/'Input summary'!$C$167)*D23*(1-'Input summary'!E192)</f>
        <v>0</v>
      </c>
      <c r="F23" s="29">
        <f>('Input summary'!L48/'Input summary'!$C$168)*(C23-D23)+('Input summary'!L48/'Input summary'!$C$169)*D23*(1-'Input summary'!E220)</f>
        <v>0</v>
      </c>
      <c r="G23" s="29">
        <f>('Input summary'!L75/'Input summary'!$C$169)*(C23-D23)+D23*(1-'Input summary'!E220)*('Input summary'!L75/'Input summary'!$C$169)</f>
        <v>0</v>
      </c>
      <c r="H23" s="602">
        <f>('Input summary'!L102/'Input summary'!$C$170)*(C23-D23)+D23*(1-'Input summary'!E248)*('Input summary'!L102/'Input summary'!$C$170)</f>
        <v>0</v>
      </c>
      <c r="I23" s="29"/>
      <c r="J23" s="609">
        <f ca="1">$D23*'Input summary'!C336</f>
        <v>0</v>
      </c>
      <c r="K23" s="29">
        <f ca="1">D23*'Input summary'!C364</f>
        <v>0</v>
      </c>
      <c r="L23" s="29">
        <f>(F23)*'Input summary'!E447</f>
        <v>0</v>
      </c>
      <c r="M23" s="29">
        <f ca="1">$D23*(('Input summary'!C276/'Input summary'!$C$167)*'Input summary'!F392+('Input summary'!C303/'Input summary'!$C$167)*'Input summary'!F420)</f>
        <v>0</v>
      </c>
      <c r="N23" s="602">
        <f>G23*'Input summary'!E474</f>
        <v>0</v>
      </c>
      <c r="O23" s="609">
        <f>D23*'Input summary'!C504</f>
        <v>0</v>
      </c>
      <c r="P23" s="29">
        <f>(E23)*'Input summary'!E531</f>
        <v>0</v>
      </c>
      <c r="Q23" s="29">
        <f>(F23)*'Input summary'!E558</f>
        <v>0</v>
      </c>
      <c r="R23" s="602">
        <f>G23*'Input summary'!E585</f>
        <v>0</v>
      </c>
      <c r="S23" s="609">
        <f ca="1">D23*'Input summary'!C615</f>
        <v>0</v>
      </c>
      <c r="T23" s="29">
        <f>(E23)*'Input summary'!E642</f>
        <v>0</v>
      </c>
      <c r="U23" s="29">
        <f>(F23)*'Input summary'!E669</f>
        <v>0</v>
      </c>
      <c r="V23" s="29">
        <f>G23*'Input summary'!E696</f>
        <v>0</v>
      </c>
      <c r="W23" s="602">
        <f>H23*'Input summary'!E723</f>
        <v>0</v>
      </c>
      <c r="X23" s="29"/>
      <c r="Y23" s="609">
        <f>(E23)*'Input summary'!E752*'Input summary'!C129+(E23)*'Input summary'!E779*(1-'Input summary'!C129)</f>
        <v>0</v>
      </c>
      <c r="Z23" s="29">
        <f>(F23-G23*'Input summary'!F156)*'Input summary'!E752</f>
        <v>0</v>
      </c>
      <c r="AA23" s="29">
        <f>G23*('Input summary'!E779)</f>
        <v>0</v>
      </c>
      <c r="AB23" s="29">
        <f>H23*'Input summary'!G860</f>
        <v>0</v>
      </c>
      <c r="AC23" s="29">
        <f ca="1">$D23*(('Input summary'!C276/'Input summary'!$C$167)*'Input summary'!F806+('Input summary'!C303/'Input summary'!$C$167)*'Input summary'!F833)</f>
        <v>0</v>
      </c>
      <c r="AD23" s="602">
        <f>H23*'Input summary'!E860</f>
        <v>0</v>
      </c>
    </row>
    <row r="24" spans="1:30" x14ac:dyDescent="0.3">
      <c r="A24" s="678"/>
      <c r="B24" s="405" t="s">
        <v>227</v>
      </c>
      <c r="C24" s="29"/>
      <c r="D24" s="29"/>
      <c r="E24" s="29"/>
      <c r="F24" s="29"/>
      <c r="G24" s="29"/>
      <c r="H24" s="602"/>
      <c r="I24" s="29"/>
      <c r="J24" s="609"/>
      <c r="K24" s="29"/>
      <c r="L24" s="29"/>
      <c r="M24" s="29"/>
      <c r="N24" s="602"/>
      <c r="O24" s="609"/>
      <c r="P24" s="29"/>
      <c r="Q24" s="29"/>
      <c r="R24" s="602"/>
      <c r="S24" s="609"/>
      <c r="T24" s="29"/>
      <c r="U24" s="29"/>
      <c r="V24" s="29"/>
      <c r="W24" s="602"/>
      <c r="X24" s="29"/>
      <c r="Y24" s="609"/>
      <c r="Z24" s="29"/>
      <c r="AA24" s="29"/>
      <c r="AB24" s="29"/>
      <c r="AC24" s="29"/>
      <c r="AD24" s="602"/>
    </row>
    <row r="25" spans="1:30" x14ac:dyDescent="0.3">
      <c r="A25" s="678"/>
      <c r="B25" s="31" t="s">
        <v>1437</v>
      </c>
      <c r="C25" s="29">
        <f>'General input'!H73</f>
        <v>0</v>
      </c>
      <c r="D25" s="29">
        <f>'General input'!C103*'General input'!H71</f>
        <v>0</v>
      </c>
      <c r="E25" s="29">
        <f>('Input summary'!L23/'Input summary'!$C$167)*(C25-D25)+('Input summary'!L23/'Input summary'!$C$167)*D25*(1-'Input summary'!E194)</f>
        <v>0</v>
      </c>
      <c r="F25" s="29">
        <f>('Input summary'!L50/'Input summary'!$C$168)*(C25-D25)+('Input summary'!L50/'Input summary'!$C$169)*D25*(1-'Input summary'!E222)</f>
        <v>0</v>
      </c>
      <c r="G25" s="29">
        <f>('Input summary'!L77/'Input summary'!$C$169)*(C25-D25)+D25*(1-'Input summary'!E222)*('Input summary'!L77/'Input summary'!$C$169)</f>
        <v>0</v>
      </c>
      <c r="H25" s="602">
        <f>('Input summary'!L104/'Input summary'!$C$170)*(C25-D25)+D25*(1-'Input summary'!E250)*('Input summary'!L104/'Input summary'!$C$170)</f>
        <v>0</v>
      </c>
      <c r="I25" s="29"/>
      <c r="J25" s="609">
        <f>$D25*'Input summary'!F338</f>
        <v>0</v>
      </c>
      <c r="K25" s="29">
        <f>D25*'Input summary'!F366</f>
        <v>0</v>
      </c>
      <c r="L25" s="29">
        <f>(F25)*'Input summary'!E449</f>
        <v>0</v>
      </c>
      <c r="M25" s="29">
        <f ca="1">$D25*(('Input summary'!C278/'Input summary'!$C$167)*'Input summary'!F394+('Input summary'!C305/'Input summary'!$C$167)*'Input summary'!F422)</f>
        <v>0</v>
      </c>
      <c r="N25" s="602">
        <f>G25*'Input summary'!E476</f>
        <v>0</v>
      </c>
      <c r="O25" s="609">
        <f>D25*'Input summary'!F506</f>
        <v>0</v>
      </c>
      <c r="P25" s="29">
        <f>(E25)*'Input summary'!E533</f>
        <v>0</v>
      </c>
      <c r="Q25" s="29">
        <f>(F25)*'Input summary'!E560</f>
        <v>0</v>
      </c>
      <c r="R25" s="602">
        <f>G25*'Input summary'!E587</f>
        <v>0</v>
      </c>
      <c r="S25" s="609">
        <f>D25*'Input summary'!F617</f>
        <v>0</v>
      </c>
      <c r="T25" s="29">
        <f>(E25)*'Input summary'!E644</f>
        <v>0</v>
      </c>
      <c r="U25" s="29">
        <f>(F25)*'Input summary'!E671</f>
        <v>0</v>
      </c>
      <c r="V25" s="29">
        <f>G25*'Input summary'!E698</f>
        <v>0</v>
      </c>
      <c r="W25" s="602">
        <f>H25*'Input summary'!E725</f>
        <v>0</v>
      </c>
      <c r="X25" s="29"/>
      <c r="Y25" s="609">
        <f>(E25)*'Input summary'!E754*'Input summary'!C131+(E25)*'Input summary'!E781*(1-'Input summary'!C131)</f>
        <v>0</v>
      </c>
      <c r="Z25" s="29">
        <f>(F25-G25*'Input summary'!F158)*'Input summary'!E754</f>
        <v>0</v>
      </c>
      <c r="AA25" s="29">
        <f>G25*('Input summary'!E781)</f>
        <v>0</v>
      </c>
      <c r="AB25" s="29">
        <f>H25*'Input summary'!G862</f>
        <v>0</v>
      </c>
      <c r="AC25" s="29">
        <f ca="1">$D25*(('Input summary'!C278/'Input summary'!$C$167)*'Input summary'!F808+('Input summary'!C305/'Input summary'!$C$167)*'Input summary'!F835)</f>
        <v>0</v>
      </c>
      <c r="AD25" s="602">
        <f>H25*'Input summary'!E862</f>
        <v>0</v>
      </c>
    </row>
    <row r="26" spans="1:30" x14ac:dyDescent="0.3">
      <c r="A26" s="678"/>
      <c r="B26" s="31" t="s">
        <v>1438</v>
      </c>
      <c r="C26" s="29">
        <f>'General input'!H74</f>
        <v>0</v>
      </c>
      <c r="D26" s="29">
        <f>'General input'!C104*'General input'!H73</f>
        <v>0</v>
      </c>
      <c r="E26" s="29">
        <f>('Input summary'!L24/'Input summary'!$C$167)*(C26-D26)+('Input summary'!L24/'Input summary'!$C$167)*D26*(1-'Input summary'!E195)</f>
        <v>0</v>
      </c>
      <c r="F26" s="29">
        <f>('Input summary'!L51/'Input summary'!$C$168)*(C26-D26)+('Input summary'!L51/'Input summary'!$C$169)*D26*(1-'Input summary'!E223)</f>
        <v>0</v>
      </c>
      <c r="G26" s="29">
        <f>('Input summary'!L78/'Input summary'!$C$169)*(C26-D26)+D26*(1-'Input summary'!E223)*('Input summary'!L78/'Input summary'!$C$169)</f>
        <v>0</v>
      </c>
      <c r="H26" s="602">
        <f>('Input summary'!L105/'Input summary'!$C$170)*(C26-D26)+D26*(1-'Input summary'!E251)*('Input summary'!L105/'Input summary'!$C$170)</f>
        <v>0</v>
      </c>
      <c r="I26" s="29"/>
      <c r="J26" s="609">
        <f>$D26*'Input summary'!F339</f>
        <v>0</v>
      </c>
      <c r="K26" s="29">
        <f>D26*'Input summary'!F367</f>
        <v>0</v>
      </c>
      <c r="L26" s="29">
        <f>(F26)*'Input summary'!E450</f>
        <v>0</v>
      </c>
      <c r="M26" s="29">
        <f ca="1">$D26*(('Input summary'!C279/'Input summary'!$C$167)*'Input summary'!F395+('Input summary'!C306/'Input summary'!$C$167)*'Input summary'!F423)</f>
        <v>0</v>
      </c>
      <c r="N26" s="602">
        <f>G26*'Input summary'!E477</f>
        <v>0</v>
      </c>
      <c r="O26" s="609">
        <f>D26*'Input summary'!F507</f>
        <v>0</v>
      </c>
      <c r="P26" s="29">
        <f>(E26)*'Input summary'!E534</f>
        <v>0</v>
      </c>
      <c r="Q26" s="29">
        <f>(F26)*'Input summary'!E561</f>
        <v>0</v>
      </c>
      <c r="R26" s="602">
        <f>G26*'Input summary'!E588</f>
        <v>0</v>
      </c>
      <c r="S26" s="609">
        <f>D26*'Input summary'!F618</f>
        <v>0</v>
      </c>
      <c r="T26" s="29">
        <f>(E26)*'Input summary'!E645</f>
        <v>0</v>
      </c>
      <c r="U26" s="29">
        <f>(F26)*'Input summary'!E672</f>
        <v>0</v>
      </c>
      <c r="V26" s="29">
        <f>G26*'Input summary'!E699</f>
        <v>0</v>
      </c>
      <c r="W26" s="602">
        <f>H26*'Input summary'!E726</f>
        <v>0</v>
      </c>
      <c r="X26" s="29"/>
      <c r="Y26" s="609">
        <f>(E26)*'Input summary'!E755*'Input summary'!C132+(E26)*'Input summary'!E782*(1-'Input summary'!C132)</f>
        <v>0</v>
      </c>
      <c r="Z26" s="29">
        <f>(F26-G26*'Input summary'!F159)*'Input summary'!E755</f>
        <v>0</v>
      </c>
      <c r="AA26" s="29">
        <f>G26*('Input summary'!E782)</f>
        <v>0</v>
      </c>
      <c r="AB26" s="29">
        <f>H26*'Input summary'!G863</f>
        <v>0</v>
      </c>
      <c r="AC26" s="29">
        <f ca="1">$D26*(('Input summary'!C279/'Input summary'!$C$167)*'Input summary'!F809+('Input summary'!C306/'Input summary'!$C$167)*'Input summary'!F836)</f>
        <v>0</v>
      </c>
      <c r="AD26" s="602">
        <f>H26*'Input summary'!E863</f>
        <v>0</v>
      </c>
    </row>
    <row r="27" spans="1:30" x14ac:dyDescent="0.3">
      <c r="A27" s="678"/>
      <c r="B27" s="31" t="s">
        <v>1441</v>
      </c>
      <c r="C27" s="29">
        <f>'General input'!H75</f>
        <v>0</v>
      </c>
      <c r="D27" s="29">
        <f>'General input'!C105*'General input'!H73</f>
        <v>0</v>
      </c>
      <c r="E27" s="29">
        <f>('Input summary'!L25/'Input summary'!$C$167)*(C27-D27)+('Input summary'!L25/'Input summary'!$C$167)*D27*(1-'Input summary'!E196)</f>
        <v>0</v>
      </c>
      <c r="F27" s="29">
        <f>('Input summary'!L52/'Input summary'!$C$168)*(C27-D27)+('Input summary'!L52/'Input summary'!$C$169)*D27*(1-'Input summary'!E224)</f>
        <v>0</v>
      </c>
      <c r="G27" s="29">
        <f>('Input summary'!L79/'Input summary'!$C$169)*(C27-D27)+D27*(1-'Input summary'!E224)*('Input summary'!L79/'Input summary'!$C$169)</f>
        <v>0</v>
      </c>
      <c r="H27" s="602">
        <f>('Input summary'!L106/'Input summary'!$C$170)*(C27-D27)+D27*(1-'Input summary'!E252)*('Input summary'!L106/'Input summary'!$C$170)</f>
        <v>0</v>
      </c>
      <c r="I27" s="29"/>
      <c r="J27" s="609">
        <f>$D27*'Input summary'!F340</f>
        <v>0</v>
      </c>
      <c r="K27" s="29">
        <f>D27*'Input summary'!F368</f>
        <v>0</v>
      </c>
      <c r="L27" s="29">
        <f>(F27)*'Input summary'!E451</f>
        <v>0</v>
      </c>
      <c r="M27" s="29">
        <f ca="1">$D27*(('Input summary'!C280/'Input summary'!$C$167)*'Input summary'!F396+('Input summary'!C307/'Input summary'!$C$167)*'Input summary'!F424)</f>
        <v>0</v>
      </c>
      <c r="N27" s="602">
        <f>G27*'Input summary'!E478</f>
        <v>0</v>
      </c>
      <c r="O27" s="609">
        <f>D27*'Input summary'!F508</f>
        <v>0</v>
      </c>
      <c r="P27" s="29">
        <f>(E27)*'Input summary'!E535</f>
        <v>0</v>
      </c>
      <c r="Q27" s="29">
        <f>(F27)*'Input summary'!E562</f>
        <v>0</v>
      </c>
      <c r="R27" s="602">
        <f>G27*'Input summary'!E589</f>
        <v>0</v>
      </c>
      <c r="S27" s="609">
        <f>D27*'Input summary'!F619</f>
        <v>0</v>
      </c>
      <c r="T27" s="29">
        <f>(E27)*'Input summary'!E646</f>
        <v>0</v>
      </c>
      <c r="U27" s="29">
        <f>(F27)*'Input summary'!E673</f>
        <v>0</v>
      </c>
      <c r="V27" s="29">
        <f>G27*'Input summary'!E700</f>
        <v>0</v>
      </c>
      <c r="W27" s="602">
        <f>H27*'Input summary'!E727</f>
        <v>0</v>
      </c>
      <c r="X27" s="29"/>
      <c r="Y27" s="609">
        <f>(E27)*'Input summary'!E756*'Input summary'!C133+(E27)*'Input summary'!E783*(1-'Input summary'!C133)</f>
        <v>0</v>
      </c>
      <c r="Z27" s="29">
        <f>(F27-G27*'Input summary'!F160)*'Input summary'!E756</f>
        <v>0</v>
      </c>
      <c r="AA27" s="29">
        <f>G27*('Input summary'!E783)</f>
        <v>0</v>
      </c>
      <c r="AB27" s="29">
        <f>H27*'Input summary'!G864</f>
        <v>0</v>
      </c>
      <c r="AC27" s="29">
        <f ca="1">$D27*(('Input summary'!C280/'Input summary'!$C$167)*'Input summary'!F810+('Input summary'!C307/'Input summary'!$C$167)*'Input summary'!F837)</f>
        <v>0</v>
      </c>
      <c r="AD27" s="602">
        <f>H27*'Input summary'!E864</f>
        <v>0</v>
      </c>
    </row>
    <row r="28" spans="1:30" x14ac:dyDescent="0.3">
      <c r="A28" s="678"/>
      <c r="B28" s="31" t="s">
        <v>1442</v>
      </c>
      <c r="C28" s="29">
        <f>'General input'!H76</f>
        <v>0</v>
      </c>
      <c r="D28" s="29">
        <f>'General input'!C106*'General input'!H75</f>
        <v>0</v>
      </c>
      <c r="E28" s="29">
        <f>('Input summary'!L26/'Input summary'!$C$167)*(C28-D28)+('Input summary'!L26/'Input summary'!$C$167)*D28*(1-'Input summary'!E197)</f>
        <v>0</v>
      </c>
      <c r="F28" s="29">
        <f>('Input summary'!L53/'Input summary'!$C$168)*(C28-D28)+('Input summary'!L53/'Input summary'!$C$169)*D28*(1-'Input summary'!E225)</f>
        <v>0</v>
      </c>
      <c r="G28" s="29">
        <f>('Input summary'!L80/'Input summary'!$C$169)*(C28-D28)+D28*(1-'Input summary'!E225)*('Input summary'!L80/'Input summary'!$C$169)</f>
        <v>0</v>
      </c>
      <c r="H28" s="602">
        <f>('Input summary'!L107/'Input summary'!$C$170)*(C28-D28)+D28*(1-'Input summary'!E253)*('Input summary'!L107/'Input summary'!$C$170)</f>
        <v>0</v>
      </c>
      <c r="I28" s="29"/>
      <c r="J28" s="609">
        <f>$D28*'Input summary'!F341</f>
        <v>0</v>
      </c>
      <c r="K28" s="29">
        <f>D28*'Input summary'!F369</f>
        <v>0</v>
      </c>
      <c r="L28" s="29">
        <f>(F28)*'Input summary'!E452</f>
        <v>0</v>
      </c>
      <c r="M28" s="29">
        <f ca="1">$D28*(('Input summary'!C281/'Input summary'!$C$167)*'Input summary'!F397+('Input summary'!C308/'Input summary'!$C$167)*'Input summary'!F425)</f>
        <v>0</v>
      </c>
      <c r="N28" s="602">
        <f>G28*'Input summary'!E479</f>
        <v>0</v>
      </c>
      <c r="O28" s="609">
        <f>D28*'Input summary'!F509</f>
        <v>0</v>
      </c>
      <c r="P28" s="29">
        <f>(E28)*'Input summary'!E536</f>
        <v>0</v>
      </c>
      <c r="Q28" s="29">
        <f>(F28)*'Input summary'!E563</f>
        <v>0</v>
      </c>
      <c r="R28" s="602">
        <f>G28*'Input summary'!E590</f>
        <v>0</v>
      </c>
      <c r="S28" s="609">
        <f>D28*'Input summary'!F620</f>
        <v>0</v>
      </c>
      <c r="T28" s="29">
        <f>(E28)*'Input summary'!E647</f>
        <v>0</v>
      </c>
      <c r="U28" s="29">
        <f>(F28)*'Input summary'!E674</f>
        <v>0</v>
      </c>
      <c r="V28" s="29">
        <f>G28*'Input summary'!E701</f>
        <v>0</v>
      </c>
      <c r="W28" s="602">
        <f>H28*'Input summary'!E728</f>
        <v>0</v>
      </c>
      <c r="X28" s="29"/>
      <c r="Y28" s="609">
        <f>(E28)*'Input summary'!E757*'Input summary'!C134+(E28)*'Input summary'!E784*(1-'Input summary'!C134)</f>
        <v>0</v>
      </c>
      <c r="Z28" s="29">
        <f>(F28-G28*'Input summary'!F161)*'Input summary'!E757</f>
        <v>0</v>
      </c>
      <c r="AA28" s="29">
        <f>G28*('Input summary'!E784)</f>
        <v>0</v>
      </c>
      <c r="AB28" s="29">
        <f>H28*'Input summary'!G865</f>
        <v>0</v>
      </c>
      <c r="AC28" s="29">
        <f ca="1">$D28*(('Input summary'!C281/'Input summary'!$C$167)*'Input summary'!F811+('Input summary'!C308/'Input summary'!$C$167)*'Input summary'!F838)</f>
        <v>0</v>
      </c>
      <c r="AD28" s="602">
        <f>H28*'Input summary'!E865</f>
        <v>0</v>
      </c>
    </row>
    <row r="29" spans="1:30" x14ac:dyDescent="0.3">
      <c r="A29" s="678"/>
      <c r="B29" s="405" t="s">
        <v>920</v>
      </c>
      <c r="C29" s="29"/>
      <c r="D29" s="29"/>
      <c r="E29" s="29"/>
      <c r="F29" s="29"/>
      <c r="G29" s="29"/>
      <c r="H29" s="602"/>
      <c r="I29" s="29"/>
      <c r="J29" s="609"/>
      <c r="K29" s="29"/>
      <c r="L29" s="29"/>
      <c r="M29" s="29"/>
      <c r="N29" s="602"/>
      <c r="O29" s="609"/>
      <c r="P29" s="29"/>
      <c r="Q29" s="29"/>
      <c r="R29" s="602"/>
      <c r="S29" s="609"/>
      <c r="T29" s="29"/>
      <c r="U29" s="29"/>
      <c r="V29" s="29"/>
      <c r="W29" s="602"/>
      <c r="X29" s="29"/>
      <c r="Y29" s="609"/>
      <c r="Z29" s="29"/>
      <c r="AA29" s="29"/>
      <c r="AB29" s="29"/>
      <c r="AC29" s="29"/>
      <c r="AD29" s="602"/>
    </row>
    <row r="30" spans="1:30" x14ac:dyDescent="0.3">
      <c r="A30" s="678"/>
      <c r="B30" s="297" t="s">
        <v>920</v>
      </c>
      <c r="C30" s="29">
        <f>'General input'!H78</f>
        <v>0</v>
      </c>
      <c r="D30" s="29">
        <f>'General input'!C108*'General input'!H78</f>
        <v>0</v>
      </c>
      <c r="E30" s="29">
        <f>('Input summary'!L28/'Input summary'!$C$167)*(C30-D30)+('Input summary'!L28/'Input summary'!$C$167)*D30*(1-'Input summary'!E199)</f>
        <v>0</v>
      </c>
      <c r="F30" s="29">
        <f>('Input summary'!L55/'Input summary'!$C$168)*(C30-D30)+('Input summary'!L55/'Input summary'!$C$169)*D30*(1-'Input summary'!E227)</f>
        <v>0</v>
      </c>
      <c r="G30" s="29">
        <f>('Input summary'!L82/'Input summary'!$C$169)*(C30-D30)+D30*(1-'Input summary'!E227)*('Input summary'!L82/'Input summary'!$C$169)</f>
        <v>0</v>
      </c>
      <c r="H30" s="602">
        <f>('Input summary'!L109/'Input summary'!$C$170)*(C30-D30)+D30*(1-'Input summary'!E255)*('Input summary'!L109/'Input summary'!$C$170)</f>
        <v>0</v>
      </c>
      <c r="I30" s="29"/>
      <c r="J30" s="609">
        <f>$D30*'Input summary'!F343</f>
        <v>0</v>
      </c>
      <c r="K30" s="29">
        <f>D30*'Input summary'!F371</f>
        <v>0</v>
      </c>
      <c r="L30" s="29">
        <f>(F30)*'Input summary'!E454</f>
        <v>0</v>
      </c>
      <c r="M30" s="29">
        <f ca="1">$D30*(('Input summary'!C283/'Input summary'!$C$167)*'Input summary'!F399+('Input summary'!C310/'Input summary'!$C$167)*'Input summary'!F427)</f>
        <v>0</v>
      </c>
      <c r="N30" s="602">
        <f>G30*'Input summary'!E481</f>
        <v>0</v>
      </c>
      <c r="O30" s="609">
        <f>D30*'Input summary'!F511</f>
        <v>0</v>
      </c>
      <c r="P30" s="29">
        <f>(E30)*'Input summary'!E538</f>
        <v>0</v>
      </c>
      <c r="Q30" s="29">
        <f>(F30)*'Input summary'!E565</f>
        <v>0</v>
      </c>
      <c r="R30" s="602">
        <f>G30*'Input summary'!E592</f>
        <v>0</v>
      </c>
      <c r="S30" s="609">
        <f>D30*'Input summary'!F622</f>
        <v>0</v>
      </c>
      <c r="T30" s="29">
        <f>(E30)*'Input summary'!E649</f>
        <v>0</v>
      </c>
      <c r="U30" s="29">
        <f>(F30)*'Input summary'!E676</f>
        <v>0</v>
      </c>
      <c r="V30" s="29">
        <f>G30*'Input summary'!E703</f>
        <v>0</v>
      </c>
      <c r="W30" s="602">
        <f>H30*'Input summary'!E730</f>
        <v>0</v>
      </c>
      <c r="X30" s="29"/>
      <c r="Y30" s="609">
        <f>(E30)*'Input summary'!E759*'Input summary'!C136+(E30)*'Input summary'!E786*(1-'Input summary'!C136)</f>
        <v>0</v>
      </c>
      <c r="Z30" s="29">
        <f>(F30-G30*'Input summary'!F163)*'Input summary'!E759</f>
        <v>0</v>
      </c>
      <c r="AA30" s="29">
        <f>G30*('Input summary'!E786)</f>
        <v>0</v>
      </c>
      <c r="AB30" s="29">
        <f>H30*'Input summary'!G867</f>
        <v>0</v>
      </c>
      <c r="AC30" s="29">
        <f ca="1">$D30*(('Input summary'!C283/'Input summary'!$C$167)*'Input summary'!F813+('Input summary'!C310/'Input summary'!$C$167)*'Input summary'!F840)</f>
        <v>0</v>
      </c>
      <c r="AD30" s="602">
        <f>H30*'Input summary'!E867</f>
        <v>0</v>
      </c>
    </row>
    <row r="31" spans="1:30" x14ac:dyDescent="0.3">
      <c r="A31" s="678"/>
      <c r="B31" s="297" t="s">
        <v>980</v>
      </c>
      <c r="C31" s="29">
        <f>'General input'!H79</f>
        <v>0</v>
      </c>
      <c r="D31" s="29">
        <f>'General input'!C109*'General input'!H79</f>
        <v>0</v>
      </c>
      <c r="E31" s="29">
        <f>('Input summary'!L29/'Input summary'!$C$167)*(C31-D31)+('Input summary'!L29/'Input summary'!$C$167)*D31*(1-'Input summary'!E200)</f>
        <v>0</v>
      </c>
      <c r="F31" s="29">
        <f>('Input summary'!L56/'Input summary'!$C$168)*(C31-D31)+('Input summary'!L56/'Input summary'!$C$169)*D31*(1-'Input summary'!E228)</f>
        <v>0</v>
      </c>
      <c r="G31" s="29">
        <f>('Input summary'!L83/'Input summary'!$C$169)*(C31-D31)+D31*(1-'Input summary'!E228)*('Input summary'!L83/'Input summary'!$C$169)</f>
        <v>0</v>
      </c>
      <c r="H31" s="602">
        <f>('Input summary'!L110/'Input summary'!$C$170)*(C31-D31)+D31*(1-'Input summary'!E256)*('Input summary'!L110/'Input summary'!$C$170)</f>
        <v>0</v>
      </c>
      <c r="I31" s="29"/>
      <c r="J31" s="609">
        <f>$D31*'Input summary'!F344</f>
        <v>0</v>
      </c>
      <c r="K31" s="29">
        <f>D31*'Input summary'!F372</f>
        <v>0</v>
      </c>
      <c r="L31" s="29">
        <f>(F31)*'Input summary'!E455</f>
        <v>0</v>
      </c>
      <c r="M31" s="29">
        <f ca="1">$D31*(('Input summary'!C284/'Input summary'!$C$167)*'Input summary'!F400+('Input summary'!C311/'Input summary'!$C$167)*'Input summary'!F428)</f>
        <v>0</v>
      </c>
      <c r="N31" s="602">
        <f>G31*'Input summary'!E482</f>
        <v>0</v>
      </c>
      <c r="O31" s="609">
        <f>D31*'Input summary'!F512</f>
        <v>0</v>
      </c>
      <c r="P31" s="29">
        <f>(E31)*'Input summary'!E539</f>
        <v>0</v>
      </c>
      <c r="Q31" s="29">
        <f>(F31)*'Input summary'!E566</f>
        <v>0</v>
      </c>
      <c r="R31" s="602">
        <f>G31*'Input summary'!E593</f>
        <v>0</v>
      </c>
      <c r="S31" s="609">
        <f>D31*'Input summary'!F623</f>
        <v>0</v>
      </c>
      <c r="T31" s="29">
        <f>(E31)*'Input summary'!E650</f>
        <v>0</v>
      </c>
      <c r="U31" s="29">
        <f>(F31)*'Input summary'!E677</f>
        <v>0</v>
      </c>
      <c r="V31" s="29">
        <f>G31*'Input summary'!E704</f>
        <v>0</v>
      </c>
      <c r="W31" s="602">
        <f>H31*'Input summary'!E731</f>
        <v>0</v>
      </c>
      <c r="X31" s="29"/>
      <c r="Y31" s="609">
        <f>(E31)*'Input summary'!E760*'Input summary'!C137+(E31)*'Input summary'!E787*(1-'Input summary'!C137)</f>
        <v>0</v>
      </c>
      <c r="Z31" s="29">
        <f>(F31-G31*'Input summary'!F164)*'Input summary'!E760</f>
        <v>0</v>
      </c>
      <c r="AA31" s="29">
        <f>G31*('Input summary'!E787)</f>
        <v>0</v>
      </c>
      <c r="AB31" s="29">
        <f>H31*'Input summary'!G868</f>
        <v>0</v>
      </c>
      <c r="AC31" s="29">
        <f ca="1">$D31*(('Input summary'!C284/'Input summary'!$C$167)*'Input summary'!F814+('Input summary'!C311/'Input summary'!$C$167)*'Input summary'!F841)</f>
        <v>0</v>
      </c>
      <c r="AD31" s="602">
        <f>H31*'Input summary'!E868</f>
        <v>0</v>
      </c>
    </row>
    <row r="32" spans="1:30" x14ac:dyDescent="0.3">
      <c r="A32" s="678"/>
      <c r="B32" s="31" t="s">
        <v>233</v>
      </c>
      <c r="C32" s="29">
        <f t="shared" ref="C32:H32" si="0">SUM(C8:C31)</f>
        <v>5203824</v>
      </c>
      <c r="D32" s="29">
        <f t="shared" si="0"/>
        <v>0</v>
      </c>
      <c r="E32" s="29">
        <f t="shared" si="0"/>
        <v>711050.51136000012</v>
      </c>
      <c r="F32" s="29">
        <f t="shared" si="0"/>
        <v>197797.35024000003</v>
      </c>
      <c r="G32" s="29">
        <f t="shared" si="0"/>
        <v>8742.4243200000019</v>
      </c>
      <c r="H32" s="602">
        <f t="shared" si="0"/>
        <v>624.45888000000002</v>
      </c>
      <c r="I32" s="29"/>
      <c r="J32" s="609">
        <f t="shared" ref="J32:W32" ca="1" si="1">SUM(J8:J31)</f>
        <v>0</v>
      </c>
      <c r="K32" s="29">
        <f t="shared" ca="1" si="1"/>
        <v>0</v>
      </c>
      <c r="L32" s="29">
        <f t="shared" si="1"/>
        <v>41949808.026226439</v>
      </c>
      <c r="M32" s="29">
        <f t="shared" ca="1" si="1"/>
        <v>0</v>
      </c>
      <c r="N32" s="602">
        <f t="shared" si="1"/>
        <v>34080168.125247307</v>
      </c>
      <c r="O32" s="609">
        <f t="shared" si="1"/>
        <v>0</v>
      </c>
      <c r="P32" s="29">
        <f t="shared" si="1"/>
        <v>37325823.71285259</v>
      </c>
      <c r="Q32" s="29">
        <f t="shared" si="1"/>
        <v>5191578.4518644875</v>
      </c>
      <c r="R32" s="602">
        <f t="shared" si="1"/>
        <v>1032579.1395973566</v>
      </c>
      <c r="S32" s="609">
        <f t="shared" ca="1" si="1"/>
        <v>0</v>
      </c>
      <c r="T32" s="29">
        <f t="shared" si="1"/>
        <v>35524852.718707465</v>
      </c>
      <c r="U32" s="29">
        <f t="shared" si="1"/>
        <v>13176226.110832071</v>
      </c>
      <c r="V32" s="29">
        <f t="shared" si="1"/>
        <v>582374.63473290915</v>
      </c>
      <c r="W32" s="602">
        <f t="shared" si="1"/>
        <v>195649849.11415541</v>
      </c>
      <c r="X32" s="29"/>
      <c r="Y32" s="609">
        <f>SUM(Y8:Y31)</f>
        <v>5162.1412874991092</v>
      </c>
      <c r="Z32" s="609">
        <f>SUM(Z8:Z31)</f>
        <v>1354.1787963320403</v>
      </c>
      <c r="AA32" s="29">
        <f>SUM(AA8:AA31)</f>
        <v>218.560608</v>
      </c>
      <c r="AB32" s="29">
        <f>SUM(AB8:AB31)</f>
        <v>9291.6864380058814</v>
      </c>
      <c r="AC32" s="29">
        <f t="shared" ref="AC32" ca="1" si="2">SUM(AC8:AC31)</f>
        <v>0</v>
      </c>
      <c r="AD32" s="602">
        <f>SUM(AD8:AD31)</f>
        <v>12049.36952484689</v>
      </c>
    </row>
    <row r="33" spans="1:30" x14ac:dyDescent="0.3">
      <c r="A33" s="678"/>
      <c r="B33" s="31"/>
      <c r="C33" s="31"/>
      <c r="D33" s="29"/>
      <c r="E33" s="29"/>
      <c r="F33" s="29"/>
      <c r="G33" s="29"/>
      <c r="H33" s="602"/>
      <c r="I33" s="29"/>
      <c r="J33" s="609"/>
      <c r="K33" s="29"/>
      <c r="L33" s="610" t="s">
        <v>1034</v>
      </c>
      <c r="M33" s="610"/>
      <c r="N33" s="602"/>
      <c r="O33" s="609"/>
      <c r="P33" s="610" t="s">
        <v>1034</v>
      </c>
      <c r="Q33" s="610" t="s">
        <v>1034</v>
      </c>
      <c r="R33" s="611" t="s">
        <v>1034</v>
      </c>
      <c r="S33" s="609"/>
      <c r="T33" s="610" t="s">
        <v>1034</v>
      </c>
      <c r="U33" s="610"/>
      <c r="V33" s="610"/>
      <c r="W33" s="611"/>
      <c r="X33" s="29"/>
      <c r="Y33" s="670" t="s">
        <v>1034</v>
      </c>
      <c r="Z33" s="610"/>
      <c r="AA33" s="29"/>
      <c r="AB33" s="29"/>
      <c r="AC33" s="29"/>
      <c r="AD33" s="602"/>
    </row>
    <row r="34" spans="1:30" ht="18" x14ac:dyDescent="0.35">
      <c r="A34" s="678"/>
      <c r="B34" s="673" t="s">
        <v>553</v>
      </c>
      <c r="C34" s="673"/>
      <c r="D34" s="604"/>
      <c r="E34" s="604"/>
      <c r="F34" s="604"/>
      <c r="G34" s="604"/>
      <c r="H34" s="599"/>
      <c r="J34" s="663" t="s">
        <v>553</v>
      </c>
      <c r="K34" s="604"/>
      <c r="L34" s="604"/>
      <c r="M34" s="604"/>
      <c r="N34" s="599"/>
      <c r="O34" s="603"/>
      <c r="P34" s="604"/>
      <c r="Q34" s="604"/>
      <c r="R34" s="599"/>
      <c r="S34" s="603"/>
      <c r="T34" s="604"/>
      <c r="U34" s="604"/>
      <c r="V34" s="604"/>
      <c r="W34" s="599"/>
      <c r="Y34" s="663" t="s">
        <v>553</v>
      </c>
      <c r="Z34" s="673"/>
      <c r="AA34" s="604"/>
      <c r="AB34" s="604"/>
      <c r="AC34" s="604"/>
      <c r="AD34" s="599"/>
    </row>
    <row r="35" spans="1:30" ht="18" x14ac:dyDescent="0.35">
      <c r="A35" s="678"/>
      <c r="B35" s="661" t="s">
        <v>983</v>
      </c>
      <c r="C35" s="661"/>
      <c r="D35" s="650"/>
      <c r="E35" s="662"/>
      <c r="F35" s="662"/>
      <c r="G35" s="650"/>
      <c r="H35" s="600"/>
      <c r="J35" s="649" t="s">
        <v>1024</v>
      </c>
      <c r="K35" s="650"/>
      <c r="L35" s="650"/>
      <c r="M35" s="650"/>
      <c r="N35" s="600"/>
      <c r="O35" s="605" t="s">
        <v>1026</v>
      </c>
      <c r="P35" s="606"/>
      <c r="Q35" s="606"/>
      <c r="R35" s="600"/>
      <c r="S35" s="605" t="s">
        <v>10</v>
      </c>
      <c r="T35" s="606"/>
      <c r="U35" s="606"/>
      <c r="V35" s="650"/>
      <c r="W35" s="600"/>
      <c r="Y35" s="605" t="s">
        <v>564</v>
      </c>
      <c r="Z35" s="606"/>
      <c r="AA35" s="650"/>
      <c r="AB35" s="650"/>
      <c r="AC35" s="650"/>
      <c r="AD35" s="600"/>
    </row>
    <row r="36" spans="1:30" x14ac:dyDescent="0.3">
      <c r="A36" s="678"/>
      <c r="B36" s="608" t="s">
        <v>950</v>
      </c>
      <c r="C36" s="608" t="s">
        <v>1033</v>
      </c>
      <c r="D36" s="608" t="s">
        <v>878</v>
      </c>
      <c r="E36" s="608" t="s">
        <v>224</v>
      </c>
      <c r="F36" s="608" t="s">
        <v>1377</v>
      </c>
      <c r="G36" s="608" t="s">
        <v>877</v>
      </c>
      <c r="H36" s="601" t="s">
        <v>225</v>
      </c>
      <c r="J36" s="607" t="s">
        <v>981</v>
      </c>
      <c r="K36" s="608" t="s">
        <v>982</v>
      </c>
      <c r="L36" s="608" t="s">
        <v>1025</v>
      </c>
      <c r="M36" s="608" t="s">
        <v>1533</v>
      </c>
      <c r="N36" s="601" t="s">
        <v>905</v>
      </c>
      <c r="O36" s="607" t="s">
        <v>938</v>
      </c>
      <c r="P36" s="608" t="s">
        <v>1392</v>
      </c>
      <c r="Q36" s="608" t="s">
        <v>1377</v>
      </c>
      <c r="R36" s="601" t="s">
        <v>1028</v>
      </c>
      <c r="S36" s="607" t="s">
        <v>938</v>
      </c>
      <c r="T36" s="608" t="s">
        <v>1392</v>
      </c>
      <c r="U36" s="608" t="s">
        <v>1025</v>
      </c>
      <c r="V36" s="608" t="s">
        <v>1028</v>
      </c>
      <c r="W36" s="601" t="s">
        <v>225</v>
      </c>
      <c r="Y36" s="607" t="s">
        <v>1029</v>
      </c>
      <c r="Z36" s="652" t="s">
        <v>1555</v>
      </c>
      <c r="AA36" s="608" t="s">
        <v>1030</v>
      </c>
      <c r="AB36" s="608" t="s">
        <v>1031</v>
      </c>
      <c r="AC36" s="608" t="s">
        <v>1511</v>
      </c>
      <c r="AD36" s="601" t="s">
        <v>1032</v>
      </c>
    </row>
    <row r="37" spans="1:30" x14ac:dyDescent="0.3">
      <c r="A37" s="678"/>
      <c r="B37" s="315" t="s">
        <v>988</v>
      </c>
      <c r="C37" s="22"/>
      <c r="H37" s="87"/>
      <c r="J37" s="198"/>
      <c r="N37" s="87"/>
      <c r="O37" s="198"/>
      <c r="R37" s="87"/>
      <c r="S37" s="198"/>
      <c r="W37" s="87"/>
      <c r="Y37" s="198"/>
      <c r="AD37" s="87"/>
    </row>
    <row r="38" spans="1:30" x14ac:dyDescent="0.3">
      <c r="A38" s="678"/>
      <c r="B38" s="31" t="s">
        <v>1082</v>
      </c>
      <c r="C38" s="29">
        <f>'General input'!H57</f>
        <v>578203</v>
      </c>
      <c r="D38" s="29">
        <f>'General input'!H57*'General input'!H87</f>
        <v>13876.871999999999</v>
      </c>
      <c r="E38" s="29">
        <f>('Input summary'!L7/'Input summary'!$C$167)*(C38-D38)+('Input summary'!L7/'Input summary'!$C$167)*D38*(1-'Input summary'!L178)</f>
        <v>79005.657920000012</v>
      </c>
      <c r="F38" s="29">
        <f>('Input summary'!L34/'Input summary'!$C$168)*(C38-D38)+D38*(1-'Input summary'!L206)*('Input summary'!L34/'Input summary'!$C$169)</f>
        <v>21977.496030000002</v>
      </c>
      <c r="G38" s="29">
        <f>('Input summary'!L61/'Input summary'!$C$169)*(C38-D38)+D38*(1-'Input summary'!L206)*('Input summary'!L61/'Input summary'!$C$169)</f>
        <v>971.3810400000001</v>
      </c>
      <c r="H38" s="602">
        <f>('Input summary'!L88/'Input summary'!$C$170)*(C38-D38)+'Calculations Upper'!D38*(1-'Input summary'!L234)*('Input summary'!L88/'Input summary'!$C$170)</f>
        <v>69.384360000000015</v>
      </c>
      <c r="I38" s="29"/>
      <c r="J38" s="609">
        <f>D38*'Input summary'!M322</f>
        <v>786119.98508475919</v>
      </c>
      <c r="K38" s="29">
        <f>D38*'Input summary'!M350</f>
        <v>1405449.59616</v>
      </c>
      <c r="L38" s="29">
        <f>(F38)*'Input summary'!E433</f>
        <v>4661092.4678060226</v>
      </c>
      <c r="M38" s="29">
        <f ca="1">D38*(('Input summary'!J262/'Input summary'!$C$167)*'Input summary'!M378+('Input summary'!J289/'Input summary'!$C$167)*'Input summary'!M406)</f>
        <v>0.77152561346370374</v>
      </c>
      <c r="N38" s="602">
        <f>G38*'Input summary'!E460</f>
        <v>3786687.5302705029</v>
      </c>
      <c r="O38" s="609">
        <f>D38*'Input summary'!M490</f>
        <v>0</v>
      </c>
      <c r="P38" s="29">
        <f>(E38)*'Input summary'!E517</f>
        <v>4147316.1367952698</v>
      </c>
      <c r="Q38" s="29">
        <f>(F38)*'Input summary'!E544</f>
        <v>576842.38275610434</v>
      </c>
      <c r="R38" s="602">
        <f>G38*'Input summary'!E571</f>
        <v>114731.08165314783</v>
      </c>
      <c r="S38" s="609">
        <f>D38*'Input summary'!M601</f>
        <v>0</v>
      </c>
      <c r="T38" s="29">
        <f>(E38)*'Input summary'!E628</f>
        <v>3947208.1331948992</v>
      </c>
      <c r="U38" s="29">
        <f>(F38)*'Input summary'!E655</f>
        <v>1464025.967434993</v>
      </c>
      <c r="V38" s="29">
        <f>G38*'Input summary'!E682</f>
        <v>64708.330052375386</v>
      </c>
      <c r="W38" s="602">
        <f>H38*'Input summary'!E709</f>
        <v>21603992.407044314</v>
      </c>
      <c r="X38" s="29"/>
      <c r="Y38" s="609">
        <f>(E38)*'Input summary'!E738*'Input summary'!C115+(E38)*'Input summary'!E765*(1-'Input summary'!C115)</f>
        <v>573.57158482989576</v>
      </c>
      <c r="Z38" s="29">
        <f>(F38-G38*'Input summary'!F142)*'Input summary'!E738</f>
        <v>149.642997697872</v>
      </c>
      <c r="AA38" s="29">
        <f>G38*'Input summary'!E765</f>
        <v>24.284526000000003</v>
      </c>
      <c r="AB38" s="29">
        <f>H38*'Input summary'!G846</f>
        <v>1036.8498161119207</v>
      </c>
      <c r="AC38" s="29">
        <f ca="1">D38*(('Input summary'!J262/'Input summary'!$C$167)*'Input summary'!M792+('Input summary'!J289/'Input summary'!$C$167)*'Input summary'!M819)</f>
        <v>0</v>
      </c>
      <c r="AD38" s="602">
        <f>H38*'Input summary'!E846</f>
        <v>1330.5120801426135</v>
      </c>
    </row>
    <row r="39" spans="1:30" x14ac:dyDescent="0.3">
      <c r="A39" s="678"/>
      <c r="B39" s="31" t="s">
        <v>1083</v>
      </c>
      <c r="C39" s="29">
        <f>'General input'!H58</f>
        <v>1156405</v>
      </c>
      <c r="D39" s="29">
        <f>'General input'!H58*'General input'!H88</f>
        <v>27753.72</v>
      </c>
      <c r="E39" s="29">
        <f>('Input summary'!L8/'Input summary'!$C$167)*(C39-D39)+('Input summary'!L8/'Input summary'!$C$167)*D39*(1-'Input summary'!L179)</f>
        <v>158011.17920000001</v>
      </c>
      <c r="F39" s="29">
        <f>('Input summary'!L35/'Input summary'!$C$168)*(C39-D39)+D39*(1-'Input summary'!L207)*('Input summary'!L35/'Input summary'!$C$169)</f>
        <v>43954.95405</v>
      </c>
      <c r="G39" s="29">
        <f>('Input summary'!L62/'Input summary'!$C$169)*(C39-D39)+D39*(1-'Input summary'!L207)*('Input summary'!L62/'Input summary'!$C$169)</f>
        <v>1942.7604000000001</v>
      </c>
      <c r="H39" s="602">
        <f>('Input summary'!L89/'Input summary'!$C$170)*(C39-D39)+'Calculations Upper'!D39*(1-'Input summary'!L235)*('Input summary'!L89/'Input summary'!$C$170)</f>
        <v>138.76859999999999</v>
      </c>
      <c r="I39" s="29"/>
      <c r="J39" s="609">
        <f>D39*'Input summary'!M323</f>
        <v>1572238.6105778439</v>
      </c>
      <c r="K39" s="29">
        <f>D39*'Input summary'!M351</f>
        <v>2810896.7616000003</v>
      </c>
      <c r="L39" s="29">
        <f>(F39)*'Input summary'!E434</f>
        <v>9322176.8742694575</v>
      </c>
      <c r="M39" s="29">
        <f ca="1">D39*(('Input summary'!J263/'Input summary'!$C$167)*'Input summary'!M379+('Input summary'!J290/'Input summary'!$C$167)*'Input summary'!M407)</f>
        <v>1.543049892576646</v>
      </c>
      <c r="N39" s="602">
        <f>G39*'Input summary'!E461</f>
        <v>7573368.5114786001</v>
      </c>
      <c r="O39" s="609">
        <f>D39*'Input summary'!M491</f>
        <v>0</v>
      </c>
      <c r="P39" s="29">
        <f>(E39)*'Input summary'!E518</f>
        <v>8294625.1008222615</v>
      </c>
      <c r="Q39" s="29">
        <f>(F39)*'Input summary'!E545</f>
        <v>1153683.7678653912</v>
      </c>
      <c r="R39" s="602">
        <f>G39*'Input summary'!E572</f>
        <v>229461.96487930435</v>
      </c>
      <c r="S39" s="609">
        <f>D39*'Input summary'!M602</f>
        <v>0</v>
      </c>
      <c r="T39" s="29">
        <f>(E39)*'Input summary'!E629</f>
        <v>7894409.4397075884</v>
      </c>
      <c r="U39" s="29">
        <f>(F39)*'Input summary'!E656</f>
        <v>2928049.4028423633</v>
      </c>
      <c r="V39" s="29">
        <f>G39*'Input summary'!E683</f>
        <v>129416.54819192766</v>
      </c>
      <c r="W39" s="602">
        <f>H39*'Input summary'!E710</f>
        <v>43599127.749867052</v>
      </c>
      <c r="X39" s="29"/>
      <c r="Y39" s="609">
        <f>(E39)*'Input summary'!E739*'Input summary'!C116+(E39)*'Input summary'!E766*(1-'Input summary'!C116)</f>
        <v>1147.1421776698073</v>
      </c>
      <c r="Z39" s="29">
        <f>(F39-G39*'Input summary'!F143)*'Input summary'!E739</f>
        <v>301.13388455723998</v>
      </c>
      <c r="AA39" s="29">
        <f>G39*'Input summary'!E766</f>
        <v>48.569010000000006</v>
      </c>
      <c r="AB39" s="29">
        <f>H39*'Input summary'!G847</f>
        <v>2079.9059079286976</v>
      </c>
      <c r="AC39" s="29">
        <f ca="1">D39*(('Input summary'!J263/'Input summary'!$C$167)*'Input summary'!M793+('Input summary'!J290/'Input summary'!$C$167)*'Input summary'!M820)</f>
        <v>0</v>
      </c>
      <c r="AD39" s="602">
        <f>H39*'Input summary'!E847</f>
        <v>2685.1132449002516</v>
      </c>
    </row>
    <row r="40" spans="1:30" x14ac:dyDescent="0.3">
      <c r="A40" s="678"/>
      <c r="B40" s="31" t="s">
        <v>1084</v>
      </c>
      <c r="C40" s="29">
        <f>'General input'!H59</f>
        <v>3469216</v>
      </c>
      <c r="D40" s="29">
        <f>'General input'!H59*'General input'!H89</f>
        <v>83261.184000000008</v>
      </c>
      <c r="E40" s="29">
        <f>('Input summary'!L9/'Input summary'!$C$167)*(C40-D40)+('Input summary'!L9/'Input summary'!$C$167)*D40*(1-'Input summary'!L180)</f>
        <v>474033.67424000008</v>
      </c>
      <c r="F40" s="29">
        <f>('Input summary'!L36/'Input summary'!$C$168)*(C40-D40)+D40*(1-'Input summary'!L208)*('Input summary'!L36/'Input summary'!$C$169)</f>
        <v>131864.90016000002</v>
      </c>
      <c r="G40" s="29">
        <f>('Input summary'!L63/'Input summary'!$C$169)*(C40-D40)+D40*(1-'Input summary'!L208)*('Input summary'!L63/'Input summary'!$C$169)</f>
        <v>5828.2828800000007</v>
      </c>
      <c r="H40" s="602">
        <f>('Input summary'!L90/'Input summary'!$C$170)*(C40-D40)+'Calculations Upper'!D40*(1-'Input summary'!L236)*('Input summary'!L90/'Input summary'!$C$170)</f>
        <v>416.30592000000001</v>
      </c>
      <c r="I40" s="29"/>
      <c r="J40" s="609">
        <f>D40*'Input summary'!M324</f>
        <v>4716717.1913252063</v>
      </c>
      <c r="K40" s="29">
        <f>D40*'Input summary'!M352</f>
        <v>8432692.7155200001</v>
      </c>
      <c r="L40" s="29">
        <f>(F40)*'Input summary'!E435</f>
        <v>27966538.68415096</v>
      </c>
      <c r="M40" s="29">
        <f ca="1">D40*(('Input summary'!J264/'Input summary'!$C$167)*'Input summary'!M380+('Input summary'!J291/'Input summary'!$C$167)*'Input summary'!M408)</f>
        <v>4.6291510120807002</v>
      </c>
      <c r="N40" s="602">
        <f>G40*'Input summary'!E462</f>
        <v>22720112.083498206</v>
      </c>
      <c r="O40" s="609">
        <f>D40*'Input summary'!M492</f>
        <v>0</v>
      </c>
      <c r="P40" s="29">
        <f>(E40)*'Input summary'!E519</f>
        <v>24883882.475235064</v>
      </c>
      <c r="Q40" s="29">
        <f>(F40)*'Input summary'!E546</f>
        <v>3461052.3012429918</v>
      </c>
      <c r="R40" s="602">
        <f>G40*'Input summary'!E573</f>
        <v>688386.09306490433</v>
      </c>
      <c r="S40" s="609">
        <f>D40*'Input summary'!M603</f>
        <v>0</v>
      </c>
      <c r="T40" s="29">
        <f>(E40)*'Input summary'!E630</f>
        <v>23683235.145804975</v>
      </c>
      <c r="U40" s="29">
        <f>(F40)*'Input summary'!E657</f>
        <v>8784150.7405547146</v>
      </c>
      <c r="V40" s="29">
        <f>G40*'Input summary'!E684</f>
        <v>388249.7564886061</v>
      </c>
      <c r="W40" s="602">
        <f>H40*'Input summary'!E711</f>
        <v>130446728.95724407</v>
      </c>
      <c r="X40" s="29"/>
      <c r="Y40" s="609">
        <f>(E40)*'Input summary'!E740*'Input summary'!C117+(E40)*'Input summary'!E767*(1-'Input summary'!C117)</f>
        <v>3441.4275249994066</v>
      </c>
      <c r="Z40" s="29">
        <f>(F40-G40*'Input summary'!F144)*'Input summary'!E740</f>
        <v>903.40191407692816</v>
      </c>
      <c r="AA40" s="29">
        <f>G40*'Input summary'!E767</f>
        <v>145.70707200000001</v>
      </c>
      <c r="AB40" s="29">
        <f>H40*'Input summary'!G848</f>
        <v>6174.9307139652628</v>
      </c>
      <c r="AC40" s="29">
        <f ca="1">D40*(('Input summary'!J264/'Input summary'!$C$167)*'Input summary'!M794+('Input summary'!J291/'Input summary'!$C$167)*'Input summary'!M821)</f>
        <v>0</v>
      </c>
      <c r="AD40" s="602">
        <f>H40*'Input summary'!E848</f>
        <v>8033.7441998040258</v>
      </c>
    </row>
    <row r="41" spans="1:30" x14ac:dyDescent="0.3">
      <c r="A41" s="678"/>
      <c r="B41" s="31" t="s">
        <v>1085</v>
      </c>
      <c r="C41" s="29">
        <f>'General input'!H60</f>
        <v>0</v>
      </c>
      <c r="D41" s="29">
        <f>'General input'!H60*'General input'!H90</f>
        <v>0</v>
      </c>
      <c r="E41" s="29">
        <f>('Input summary'!L10/'Input summary'!$C$167)*(C41-D41)+('Input summary'!L10/'Input summary'!$C$167)*D41*(1-'Input summary'!L181)</f>
        <v>0</v>
      </c>
      <c r="F41" s="29">
        <f>('Input summary'!L37/'Input summary'!$C$168)*(C41-D41)+D41*(1-'Input summary'!L209)*('Input summary'!L37/'Input summary'!$C$169)</f>
        <v>0</v>
      </c>
      <c r="G41" s="29">
        <f>('Input summary'!L64/'Input summary'!$C$169)*(C41-D41)+D41*(1-'Input summary'!L209)*('Input summary'!L64/'Input summary'!$C$169)</f>
        <v>0</v>
      </c>
      <c r="H41" s="602">
        <f>('Input summary'!L91/'Input summary'!$C$170)*(C41-D41)+'Calculations Upper'!D41*(1-'Input summary'!L237)*('Input summary'!L91/'Input summary'!$C$170)</f>
        <v>0</v>
      </c>
      <c r="I41" s="29"/>
      <c r="J41" s="609">
        <f>D41*'Input summary'!M325</f>
        <v>0</v>
      </c>
      <c r="K41" s="29">
        <f>D41*'Input summary'!M353</f>
        <v>0</v>
      </c>
      <c r="L41" s="29">
        <f>(F41)*'Input summary'!E436</f>
        <v>0</v>
      </c>
      <c r="M41" s="29">
        <f ca="1">D41*(('Input summary'!J265/'Input summary'!$C$167)*'Input summary'!M381+('Input summary'!J292/'Input summary'!$C$167)*'Input summary'!M409)</f>
        <v>0</v>
      </c>
      <c r="N41" s="602">
        <f>G41*'Input summary'!E463</f>
        <v>0</v>
      </c>
      <c r="O41" s="609">
        <f>D41*'Input summary'!M493</f>
        <v>0</v>
      </c>
      <c r="P41" s="29">
        <f>(E41)*'Input summary'!E520</f>
        <v>0</v>
      </c>
      <c r="Q41" s="29">
        <f>(F41)*'Input summary'!E547</f>
        <v>0</v>
      </c>
      <c r="R41" s="602">
        <f>G41*'Input summary'!E574</f>
        <v>0</v>
      </c>
      <c r="S41" s="609">
        <f>D41*'Input summary'!M604</f>
        <v>0</v>
      </c>
      <c r="T41" s="29">
        <f>(E41)*'Input summary'!E631</f>
        <v>0</v>
      </c>
      <c r="U41" s="29">
        <f>(F41)*'Input summary'!E658</f>
        <v>0</v>
      </c>
      <c r="V41" s="29">
        <f>G41*'Input summary'!E685</f>
        <v>0</v>
      </c>
      <c r="W41" s="602">
        <f>H41*'Input summary'!E712</f>
        <v>0</v>
      </c>
      <c r="X41" s="29"/>
      <c r="Y41" s="609">
        <f>(E41)*'Input summary'!E741*'Input summary'!C118+(E41)*'Input summary'!E768*(1-'Input summary'!C118)</f>
        <v>0</v>
      </c>
      <c r="Z41" s="29">
        <f>(F41-G41*'Input summary'!F145)*'Input summary'!E741</f>
        <v>0</v>
      </c>
      <c r="AA41" s="29">
        <f>G41*'Input summary'!E768</f>
        <v>0</v>
      </c>
      <c r="AB41" s="29">
        <f>H41*'Input summary'!G849</f>
        <v>0</v>
      </c>
      <c r="AC41" s="29">
        <f ca="1">D41*(('Input summary'!J265/'Input summary'!$C$167)*'Input summary'!M795+('Input summary'!J292/'Input summary'!$C$167)*'Input summary'!M822)</f>
        <v>0</v>
      </c>
      <c r="AD41" s="602">
        <f>H41*'Input summary'!E849</f>
        <v>0</v>
      </c>
    </row>
    <row r="42" spans="1:30" x14ac:dyDescent="0.3">
      <c r="A42" s="678"/>
      <c r="B42" s="31" t="s">
        <v>1086</v>
      </c>
      <c r="C42" s="29">
        <f>'General input'!H61</f>
        <v>0</v>
      </c>
      <c r="D42" s="29">
        <f>'General input'!H61*'General input'!H91</f>
        <v>0</v>
      </c>
      <c r="E42" s="29">
        <f>('Input summary'!L11/'Input summary'!$C$167)*(C42-D42)+('Input summary'!L11/'Input summary'!$C$167)*D42*(1-'Input summary'!L182)</f>
        <v>0</v>
      </c>
      <c r="F42" s="29">
        <f>('Input summary'!L38/'Input summary'!$C$168)*(C42-D42)+D42*(1-'Input summary'!L210)*('Input summary'!L38/'Input summary'!$C$169)</f>
        <v>0</v>
      </c>
      <c r="G42" s="29">
        <f>('Input summary'!L65/'Input summary'!$C$169)*(C42-D42)+D42*(1-'Input summary'!L210)*('Input summary'!L65/'Input summary'!$C$169)</f>
        <v>0</v>
      </c>
      <c r="H42" s="602">
        <f>('Input summary'!L92/'Input summary'!$C$170)*(C42-D42)+'Calculations Upper'!D42*(1-'Input summary'!L238)*('Input summary'!L92/'Input summary'!$C$170)</f>
        <v>0</v>
      </c>
      <c r="I42" s="29"/>
      <c r="J42" s="609">
        <f>D42*'Input summary'!M326</f>
        <v>0</v>
      </c>
      <c r="K42" s="29">
        <f>D42*'Input summary'!M354</f>
        <v>0</v>
      </c>
      <c r="L42" s="29">
        <f>(F42)*'Input summary'!E437</f>
        <v>0</v>
      </c>
      <c r="M42" s="29">
        <f ca="1">D42*(('Input summary'!J266/'Input summary'!$C$167)*'Input summary'!M382+('Input summary'!J293/'Input summary'!$C$167)*'Input summary'!M410)</f>
        <v>0</v>
      </c>
      <c r="N42" s="602">
        <f>G42*'Input summary'!E464</f>
        <v>0</v>
      </c>
      <c r="O42" s="609">
        <f>D42*'Input summary'!M494</f>
        <v>0</v>
      </c>
      <c r="P42" s="29">
        <f>(E42)*'Input summary'!E521</f>
        <v>0</v>
      </c>
      <c r="Q42" s="29">
        <f>(F42)*'Input summary'!E548</f>
        <v>0</v>
      </c>
      <c r="R42" s="602">
        <f>G42*'Input summary'!E575</f>
        <v>0</v>
      </c>
      <c r="S42" s="609">
        <f>D42*'Input summary'!M605</f>
        <v>0</v>
      </c>
      <c r="T42" s="29">
        <f>(E42)*'Input summary'!E632</f>
        <v>0</v>
      </c>
      <c r="U42" s="29">
        <f>(F42)*'Input summary'!E659</f>
        <v>0</v>
      </c>
      <c r="V42" s="29">
        <f>G42*'Input summary'!E686</f>
        <v>0</v>
      </c>
      <c r="W42" s="602">
        <f>H42*'Input summary'!E713</f>
        <v>0</v>
      </c>
      <c r="X42" s="29"/>
      <c r="Y42" s="609">
        <f>(E42)*'Input summary'!E742*'Input summary'!C119+(E42)*'Input summary'!E769*(1-'Input summary'!C119)</f>
        <v>0</v>
      </c>
      <c r="Z42" s="29">
        <f>(F42-G42*'Input summary'!F146)*'Input summary'!E742</f>
        <v>0</v>
      </c>
      <c r="AA42" s="29">
        <f>G42*'Input summary'!E769</f>
        <v>0</v>
      </c>
      <c r="AB42" s="29">
        <f>H42*'Input summary'!G850</f>
        <v>0</v>
      </c>
      <c r="AC42" s="29">
        <f ca="1">D42*(('Input summary'!J266/'Input summary'!$C$167)*'Input summary'!M796+('Input summary'!J293/'Input summary'!$C$167)*'Input summary'!M823)</f>
        <v>0</v>
      </c>
      <c r="AD42" s="602">
        <f>H42*'Input summary'!E850</f>
        <v>0</v>
      </c>
    </row>
    <row r="43" spans="1:30" x14ac:dyDescent="0.3">
      <c r="A43" s="678"/>
      <c r="B43" s="31" t="s">
        <v>1087</v>
      </c>
      <c r="C43" s="29">
        <f>'General input'!H62</f>
        <v>0</v>
      </c>
      <c r="D43" s="29">
        <f>'General input'!H62*'General input'!H92</f>
        <v>0</v>
      </c>
      <c r="E43" s="29">
        <f>('Input summary'!L12/'Input summary'!$C$167)*(C43-D43)+('Input summary'!L12/'Input summary'!$C$167)*D43*(1-'Input summary'!L183)</f>
        <v>0</v>
      </c>
      <c r="F43" s="29">
        <f>('Input summary'!L39/'Input summary'!$C$168)*(C43-D43)+D43*(1-'Input summary'!L211)*('Input summary'!L39/'Input summary'!$C$169)</f>
        <v>0</v>
      </c>
      <c r="G43" s="29">
        <f>('Input summary'!L66/'Input summary'!$C$169)*(C43-D43)+D43*(1-'Input summary'!L211)*('Input summary'!L66/'Input summary'!$C$169)</f>
        <v>0</v>
      </c>
      <c r="H43" s="602">
        <f>('Input summary'!L93/'Input summary'!$C$170)*(C43-D43)+'Calculations Upper'!D43*(1-'Input summary'!L239)*('Input summary'!L93/'Input summary'!$C$170)</f>
        <v>0</v>
      </c>
      <c r="I43" s="29"/>
      <c r="J43" s="609">
        <f>D43*'Input summary'!M327</f>
        <v>0</v>
      </c>
      <c r="K43" s="29">
        <f>D43*'Input summary'!M355</f>
        <v>0</v>
      </c>
      <c r="L43" s="29">
        <f>(F43)*'Input summary'!E438</f>
        <v>0</v>
      </c>
      <c r="M43" s="29">
        <f ca="1">D43*(('Input summary'!J267/'Input summary'!$C$167)*'Input summary'!M383+('Input summary'!J294/'Input summary'!$C$167)*'Input summary'!M411)</f>
        <v>0</v>
      </c>
      <c r="N43" s="602">
        <f>G43*'Input summary'!E465</f>
        <v>0</v>
      </c>
      <c r="O43" s="609">
        <f>D43*'Input summary'!M495</f>
        <v>0</v>
      </c>
      <c r="P43" s="29">
        <f>(E43)*'Input summary'!E522</f>
        <v>0</v>
      </c>
      <c r="Q43" s="29">
        <f>(F43)*'Input summary'!E549</f>
        <v>0</v>
      </c>
      <c r="R43" s="602">
        <f>G43*'Input summary'!E576</f>
        <v>0</v>
      </c>
      <c r="S43" s="609">
        <f>D43*'Input summary'!M606</f>
        <v>0</v>
      </c>
      <c r="T43" s="29">
        <f>(E43)*'Input summary'!E633</f>
        <v>0</v>
      </c>
      <c r="U43" s="29">
        <f>(F43)*'Input summary'!E660</f>
        <v>0</v>
      </c>
      <c r="V43" s="29">
        <f>G43*'Input summary'!E687</f>
        <v>0</v>
      </c>
      <c r="W43" s="602">
        <f>H43*'Input summary'!E714</f>
        <v>0</v>
      </c>
      <c r="X43" s="29"/>
      <c r="Y43" s="609">
        <f>(E43)*'Input summary'!E743*'Input summary'!C120+(E43)*'Input summary'!E770*(1-'Input summary'!C120)</f>
        <v>0</v>
      </c>
      <c r="Z43" s="29">
        <f>(F43-G43*'Input summary'!F147)*'Input summary'!E743</f>
        <v>0</v>
      </c>
      <c r="AA43" s="29">
        <f>G43*'Input summary'!E770</f>
        <v>0</v>
      </c>
      <c r="AB43" s="29">
        <f>H43*'Input summary'!G851</f>
        <v>0</v>
      </c>
      <c r="AC43" s="29">
        <f ca="1">D43*(('Input summary'!J267/'Input summary'!$C$167)*'Input summary'!M797+('Input summary'!J294/'Input summary'!$C$167)*'Input summary'!M824)</f>
        <v>0</v>
      </c>
      <c r="AD43" s="602">
        <f>H43*'Input summary'!E851</f>
        <v>0</v>
      </c>
    </row>
    <row r="44" spans="1:30" x14ac:dyDescent="0.3">
      <c r="A44" s="678"/>
      <c r="B44" s="31" t="s">
        <v>1443</v>
      </c>
      <c r="C44" s="29">
        <f>'General input'!H63</f>
        <v>0</v>
      </c>
      <c r="D44" s="29">
        <f>'General input'!H63*'General input'!H93</f>
        <v>0</v>
      </c>
      <c r="E44" s="29">
        <f>('Input summary'!L13/'Input summary'!$C$167)*(C44-D44)+('Input summary'!L13/'Input summary'!$C$167)*D44*(1-'Input summary'!L184)</f>
        <v>0</v>
      </c>
      <c r="F44" s="29">
        <f>('Input summary'!L40/'Input summary'!$C$168)*(C44-D44)+D44*(1-'Input summary'!L212)*('Input summary'!L40/'Input summary'!$C$169)</f>
        <v>0</v>
      </c>
      <c r="G44" s="29">
        <f>('Input summary'!L67/'Input summary'!$C$169)*(C44-D44)+D44*(1-'Input summary'!L212)*('Input summary'!L67/'Input summary'!$C$169)</f>
        <v>0</v>
      </c>
      <c r="H44" s="602">
        <f>('Input summary'!L94/'Input summary'!$C$170)*(C44-D44)+'Calculations Upper'!D44*(1-'Input summary'!L240)*('Input summary'!L94/'Input summary'!$C$170)</f>
        <v>0</v>
      </c>
      <c r="I44" s="29"/>
      <c r="J44" s="609">
        <f>D44*'Input summary'!M328</f>
        <v>0</v>
      </c>
      <c r="K44" s="29">
        <f>D44*'Input summary'!M356</f>
        <v>0</v>
      </c>
      <c r="L44" s="29">
        <f>(F44)*'Input summary'!E439</f>
        <v>0</v>
      </c>
      <c r="M44" s="29">
        <f ca="1">D44*(('Input summary'!J268/'Input summary'!$C$167)*'Input summary'!M384+('Input summary'!J295/'Input summary'!$C$167)*'Input summary'!M412)</f>
        <v>0</v>
      </c>
      <c r="N44" s="602">
        <f>G44*'Input summary'!E466</f>
        <v>0</v>
      </c>
      <c r="O44" s="609">
        <f>D44*'Input summary'!M496</f>
        <v>0</v>
      </c>
      <c r="P44" s="29">
        <f>(E44)*'Input summary'!E523</f>
        <v>0</v>
      </c>
      <c r="Q44" s="29">
        <f>(F44)*'Input summary'!E550</f>
        <v>0</v>
      </c>
      <c r="R44" s="602">
        <f>G44*'Input summary'!E577</f>
        <v>0</v>
      </c>
      <c r="S44" s="609">
        <f>D44*'Input summary'!M607</f>
        <v>0</v>
      </c>
      <c r="T44" s="29">
        <f>(E44)*'Input summary'!E634</f>
        <v>0</v>
      </c>
      <c r="U44" s="29">
        <f>(F44)*'Input summary'!E661</f>
        <v>0</v>
      </c>
      <c r="V44" s="29">
        <f>G44*'Input summary'!E688</f>
        <v>0</v>
      </c>
      <c r="W44" s="602">
        <f>H44*'Input summary'!E715</f>
        <v>0</v>
      </c>
      <c r="X44" s="29"/>
      <c r="Y44" s="609">
        <f>(E44)*'Input summary'!E744*'Input summary'!C121+(E44)*'Input summary'!E771*(1-'Input summary'!C121)</f>
        <v>0</v>
      </c>
      <c r="Z44" s="29">
        <f>(F44-G44*'Input summary'!F148)*'Input summary'!E744</f>
        <v>0</v>
      </c>
      <c r="AA44" s="29">
        <f>G44*'Input summary'!E771</f>
        <v>0</v>
      </c>
      <c r="AB44" s="29">
        <f>H44*'Input summary'!G852</f>
        <v>0</v>
      </c>
      <c r="AC44" s="29">
        <f ca="1">D44*(('Input summary'!J268/'Input summary'!$C$167)*'Input summary'!M798+('Input summary'!J295/'Input summary'!$C$167)*'Input summary'!M825)</f>
        <v>0</v>
      </c>
      <c r="AD44" s="602">
        <f>H44*'Input summary'!E852</f>
        <v>0</v>
      </c>
    </row>
    <row r="45" spans="1:30" x14ac:dyDescent="0.3">
      <c r="A45" s="678"/>
      <c r="B45" s="315" t="s">
        <v>1444</v>
      </c>
      <c r="E45" s="29"/>
      <c r="F45" s="29"/>
      <c r="G45" s="29"/>
      <c r="H45" s="602"/>
      <c r="J45" s="198"/>
      <c r="N45" s="87"/>
      <c r="O45" s="198"/>
      <c r="P45" s="29"/>
      <c r="R45" s="87"/>
      <c r="S45" s="198"/>
      <c r="W45" s="87"/>
      <c r="Y45" s="198"/>
      <c r="AD45" s="87"/>
    </row>
    <row r="46" spans="1:30" ht="17.399999999999999" customHeight="1" x14ac:dyDescent="0.3">
      <c r="A46" s="678"/>
      <c r="B46" s="31" t="s">
        <v>1082</v>
      </c>
      <c r="C46" s="29">
        <f>'General input'!H65</f>
        <v>0</v>
      </c>
      <c r="D46" s="29">
        <f>'General input'!H65*'General input'!H95</f>
        <v>0</v>
      </c>
      <c r="E46" s="29">
        <f>('Input summary'!L15/'Input summary'!$C$167)*(C46-D46)+('Input summary'!L15/'Input summary'!$C$167)*D46*(1-'Input summary'!L186)</f>
        <v>0</v>
      </c>
      <c r="F46" s="29">
        <f>('Input summary'!L42/'Input summary'!$C$168)*(C46-D46)+D46*(1-'Input summary'!L214)*('Input summary'!L42/'Input summary'!$C$169)</f>
        <v>0</v>
      </c>
      <c r="G46" s="29">
        <f>('Input summary'!L69/'Input summary'!$C$169)*(C46-D46)+D46*(1-'Input summary'!L214)*('Input summary'!L69/'Input summary'!$C$169)</f>
        <v>0</v>
      </c>
      <c r="H46" s="602">
        <f>('Input summary'!L96/'Input summary'!$C$170)*(C46-D46)+'Calculations Upper'!D46*(1-'Input summary'!L242)*('Input summary'!L96/'Input summary'!$C$170)</f>
        <v>0</v>
      </c>
      <c r="I46" s="29"/>
      <c r="J46" s="609">
        <f>D46*'Input summary'!M330</f>
        <v>0</v>
      </c>
      <c r="K46" s="29">
        <f>D46*'Input summary'!M358</f>
        <v>0</v>
      </c>
      <c r="L46" s="29">
        <f>(F46)*'Input summary'!E441</f>
        <v>0</v>
      </c>
      <c r="M46" s="29">
        <f ca="1">D46*(('Input summary'!J270/'Input summary'!$C$167)*'Input summary'!M386+('Input summary'!J297/'Input summary'!$C$167)*'Input summary'!M414)</f>
        <v>0</v>
      </c>
      <c r="N46" s="602">
        <f>G46*'Input summary'!E468</f>
        <v>0</v>
      </c>
      <c r="O46" s="609">
        <f>D46*'Input summary'!M498</f>
        <v>0</v>
      </c>
      <c r="P46" s="29">
        <f>(E46)*'Input summary'!E525</f>
        <v>0</v>
      </c>
      <c r="Q46" s="29">
        <f>(F46)*'Input summary'!E552</f>
        <v>0</v>
      </c>
      <c r="R46" s="602">
        <f>G46*'Input summary'!E579</f>
        <v>0</v>
      </c>
      <c r="S46" s="609">
        <f>D46*'Input summary'!M609</f>
        <v>0</v>
      </c>
      <c r="T46" s="29">
        <f>(E46)*'Input summary'!E636</f>
        <v>0</v>
      </c>
      <c r="U46" s="29">
        <f>(F46)*'Input summary'!E663</f>
        <v>0</v>
      </c>
      <c r="V46" s="29">
        <f>G46*'Input summary'!E690</f>
        <v>0</v>
      </c>
      <c r="W46" s="602">
        <f>H46*'Input summary'!E717</f>
        <v>0</v>
      </c>
      <c r="X46" s="29"/>
      <c r="Y46" s="609">
        <f>(E46)*'Input summary'!E746*'Input summary'!C123+(E46)*'Input summary'!E773*(1-'Input summary'!C123)</f>
        <v>0</v>
      </c>
      <c r="Z46" s="29">
        <f>(F46-G46*'Input summary'!F150)*'Input summary'!E746</f>
        <v>0</v>
      </c>
      <c r="AA46" s="29">
        <f>G46*'Input summary'!E773</f>
        <v>0</v>
      </c>
      <c r="AB46" s="29">
        <f>H46*'Input summary'!G854</f>
        <v>0</v>
      </c>
      <c r="AC46" s="29">
        <f ca="1">D46*(('Input summary'!J270/'Input summary'!$C$167)*'Input summary'!M800+('Input summary'!J297/'Input summary'!$C$167)*'Input summary'!M827)</f>
        <v>0</v>
      </c>
      <c r="AD46" s="602">
        <f>H46*'Input summary'!E854</f>
        <v>0</v>
      </c>
    </row>
    <row r="47" spans="1:30" x14ac:dyDescent="0.3">
      <c r="A47" s="678"/>
      <c r="B47" s="31" t="s">
        <v>1083</v>
      </c>
      <c r="C47" s="29">
        <f>'General input'!H66</f>
        <v>0</v>
      </c>
      <c r="D47" s="29">
        <f>'General input'!H66*'General input'!H96</f>
        <v>0</v>
      </c>
      <c r="E47" s="29">
        <f>('Input summary'!L16/'Input summary'!$C$167)*(C47-D47)+('Input summary'!L16/'Input summary'!$C$167)*D47*(1-'Input summary'!L187)</f>
        <v>0</v>
      </c>
      <c r="F47" s="29">
        <f>('Input summary'!L43/'Input summary'!$C$168)*(C47-D47)+D47*(1-'Input summary'!L215)*('Input summary'!L43/'Input summary'!$C$169)</f>
        <v>0</v>
      </c>
      <c r="G47" s="29">
        <f>('Input summary'!L70/'Input summary'!$C$169)*(C47-D47)+D47*(1-'Input summary'!L215)*('Input summary'!L70/'Input summary'!$C$169)</f>
        <v>0</v>
      </c>
      <c r="H47" s="602">
        <f>('Input summary'!L97/'Input summary'!$C$170)*(C47-D47)+'Calculations Upper'!D47*(1-'Input summary'!L243)*('Input summary'!L97/'Input summary'!$C$170)</f>
        <v>0</v>
      </c>
      <c r="I47" s="29"/>
      <c r="J47" s="609">
        <f>D47*'Input summary'!M331</f>
        <v>0</v>
      </c>
      <c r="K47" s="29">
        <f>D47*'Input summary'!M359</f>
        <v>0</v>
      </c>
      <c r="L47" s="29">
        <f>(F47)*'Input summary'!E442</f>
        <v>0</v>
      </c>
      <c r="M47" s="29">
        <f ca="1">D47*(('Input summary'!J271/'Input summary'!$C$167)*'Input summary'!M387+('Input summary'!J298/'Input summary'!$C$167)*'Input summary'!M415)</f>
        <v>0</v>
      </c>
      <c r="N47" s="602">
        <f>G47*'Input summary'!E469</f>
        <v>0</v>
      </c>
      <c r="O47" s="609">
        <f>D47*'Input summary'!M499</f>
        <v>0</v>
      </c>
      <c r="P47" s="29">
        <f>(E47)*'Input summary'!E526</f>
        <v>0</v>
      </c>
      <c r="Q47" s="29">
        <f>(F47)*'Input summary'!E553</f>
        <v>0</v>
      </c>
      <c r="R47" s="602">
        <f>G47*'Input summary'!E580</f>
        <v>0</v>
      </c>
      <c r="S47" s="609">
        <f>D47*'Input summary'!M610</f>
        <v>0</v>
      </c>
      <c r="T47" s="29">
        <f>(E47)*'Input summary'!E637</f>
        <v>0</v>
      </c>
      <c r="U47" s="29">
        <f>(F47)*'Input summary'!E664</f>
        <v>0</v>
      </c>
      <c r="V47" s="29">
        <f>G47*'Input summary'!E691</f>
        <v>0</v>
      </c>
      <c r="W47" s="602">
        <f>H47*'Input summary'!E718</f>
        <v>0</v>
      </c>
      <c r="X47" s="29"/>
      <c r="Y47" s="609">
        <f>(E47)*'Input summary'!E747*'Input summary'!C124+(E47)*'Input summary'!E774*(1-'Input summary'!C124)</f>
        <v>0</v>
      </c>
      <c r="Z47" s="29">
        <f>(F47-G47*'Input summary'!F151)*'Input summary'!E747</f>
        <v>0</v>
      </c>
      <c r="AA47" s="29">
        <f>G47*'Input summary'!E774</f>
        <v>0</v>
      </c>
      <c r="AB47" s="29">
        <f>H47*'Input summary'!G855</f>
        <v>0</v>
      </c>
      <c r="AC47" s="29">
        <f ca="1">D47*(('Input summary'!J271/'Input summary'!$C$167)*'Input summary'!M801+('Input summary'!J298/'Input summary'!$C$167)*'Input summary'!M828)</f>
        <v>0</v>
      </c>
      <c r="AD47" s="602">
        <f>H47*'Input summary'!E855</f>
        <v>0</v>
      </c>
    </row>
    <row r="48" spans="1:30" x14ac:dyDescent="0.3">
      <c r="A48" s="678"/>
      <c r="B48" s="31" t="s">
        <v>1084</v>
      </c>
      <c r="C48" s="29">
        <f>'General input'!H67</f>
        <v>0</v>
      </c>
      <c r="D48" s="29">
        <f>'General input'!H67*'General input'!H97</f>
        <v>0</v>
      </c>
      <c r="E48" s="29">
        <f>('Input summary'!L17/'Input summary'!$C$167)*(C48-D48)+('Input summary'!L17/'Input summary'!$C$167)*D48*(1-'Input summary'!L188)</f>
        <v>0</v>
      </c>
      <c r="F48" s="29">
        <f>('Input summary'!L44/'Input summary'!$C$168)*(C48-D48)+D48*(1-'Input summary'!L216)*('Input summary'!L44/'Input summary'!$C$169)</f>
        <v>0</v>
      </c>
      <c r="G48" s="29">
        <f>('Input summary'!L71/'Input summary'!$C$169)*(C48-D48)+D48*(1-'Input summary'!L216)*('Input summary'!L71/'Input summary'!$C$169)</f>
        <v>0</v>
      </c>
      <c r="H48" s="602">
        <f>('Input summary'!L98/'Input summary'!$C$170)*(C48-D48)+'Calculations Upper'!D48*(1-'Input summary'!L244)*('Input summary'!L98/'Input summary'!$C$170)</f>
        <v>0</v>
      </c>
      <c r="I48" s="29"/>
      <c r="J48" s="609">
        <f>D48*'Input summary'!M332</f>
        <v>0</v>
      </c>
      <c r="K48" s="29">
        <f>D48*'Input summary'!M360</f>
        <v>0</v>
      </c>
      <c r="L48" s="29">
        <f>(F48)*'Input summary'!E443</f>
        <v>0</v>
      </c>
      <c r="M48" s="29">
        <f ca="1">D48*(('Input summary'!J272/'Input summary'!$C$167)*'Input summary'!M388+('Input summary'!J299/'Input summary'!$C$167)*'Input summary'!M416)</f>
        <v>0</v>
      </c>
      <c r="N48" s="602">
        <f>G48*'Input summary'!E470</f>
        <v>0</v>
      </c>
      <c r="O48" s="609">
        <f>D48*'Input summary'!M500</f>
        <v>0</v>
      </c>
      <c r="P48" s="29">
        <f>(E48)*'Input summary'!E527</f>
        <v>0</v>
      </c>
      <c r="Q48" s="29">
        <f>(F48)*'Input summary'!E554</f>
        <v>0</v>
      </c>
      <c r="R48" s="602">
        <f>G48*'Input summary'!E581</f>
        <v>0</v>
      </c>
      <c r="S48" s="609">
        <f>D48*'Input summary'!M611</f>
        <v>0</v>
      </c>
      <c r="T48" s="29">
        <f>(E48)*'Input summary'!E638</f>
        <v>0</v>
      </c>
      <c r="U48" s="29">
        <f>(F48)*'Input summary'!E665</f>
        <v>0</v>
      </c>
      <c r="V48" s="29">
        <f>G48*'Input summary'!E692</f>
        <v>0</v>
      </c>
      <c r="W48" s="602">
        <f>H48*'Input summary'!E719</f>
        <v>0</v>
      </c>
      <c r="X48" s="29"/>
      <c r="Y48" s="609">
        <f>(E48)*'Input summary'!E748*'Input summary'!C125+(E48)*'Input summary'!E775*(1-'Input summary'!C125)</f>
        <v>0</v>
      </c>
      <c r="Z48" s="29">
        <f>(F48-G48*'Input summary'!F152)*'Input summary'!E748</f>
        <v>0</v>
      </c>
      <c r="AA48" s="29">
        <f>G48*'Input summary'!E775</f>
        <v>0</v>
      </c>
      <c r="AB48" s="29">
        <f>H48*'Input summary'!G856</f>
        <v>0</v>
      </c>
      <c r="AC48" s="29">
        <f ca="1">D48*(('Input summary'!J272/'Input summary'!$C$167)*'Input summary'!M802+('Input summary'!J299/'Input summary'!$C$167)*'Input summary'!M829)</f>
        <v>0</v>
      </c>
      <c r="AD48" s="602">
        <f>H48*'Input summary'!E856</f>
        <v>0</v>
      </c>
    </row>
    <row r="49" spans="1:30" x14ac:dyDescent="0.3">
      <c r="A49" s="678"/>
      <c r="B49" s="31" t="s">
        <v>1085</v>
      </c>
      <c r="C49" s="29">
        <f>'General input'!H68</f>
        <v>0</v>
      </c>
      <c r="D49" s="29">
        <f>'General input'!H68*'General input'!H98</f>
        <v>0</v>
      </c>
      <c r="E49" s="29">
        <f>('Input summary'!L18/'Input summary'!$C$167)*(C49-D49)+('Input summary'!L18/'Input summary'!$C$167)*D49*(1-'Input summary'!L189)</f>
        <v>0</v>
      </c>
      <c r="F49" s="29">
        <f>('Input summary'!L45/'Input summary'!$C$168)*(C49-D49)+D49*(1-'Input summary'!L217)*('Input summary'!L45/'Input summary'!$C$169)</f>
        <v>0</v>
      </c>
      <c r="G49" s="29">
        <f>('Input summary'!L72/'Input summary'!$C$169)*(C49-D49)+D49*(1-'Input summary'!L217)*('Input summary'!L72/'Input summary'!$C$169)</f>
        <v>0</v>
      </c>
      <c r="H49" s="602">
        <f>('Input summary'!L99/'Input summary'!$C$170)*(C49-D49)+'Calculations Upper'!D49*(1-'Input summary'!L245)*('Input summary'!L99/'Input summary'!$C$170)</f>
        <v>0</v>
      </c>
      <c r="I49" s="29"/>
      <c r="J49" s="609">
        <f>D49*'Input summary'!M333</f>
        <v>0</v>
      </c>
      <c r="K49" s="29">
        <f>D49*'Input summary'!M361</f>
        <v>0</v>
      </c>
      <c r="L49" s="29">
        <f>(F49)*'Input summary'!E444</f>
        <v>0</v>
      </c>
      <c r="M49" s="29">
        <f ca="1">D49*(('Input summary'!J273/'Input summary'!$C$167)*'Input summary'!M389+('Input summary'!J300/'Input summary'!$C$167)*'Input summary'!M417)</f>
        <v>0</v>
      </c>
      <c r="N49" s="602">
        <f>G49*'Input summary'!E471</f>
        <v>0</v>
      </c>
      <c r="O49" s="609">
        <f>D49*'Input summary'!M501</f>
        <v>0</v>
      </c>
      <c r="P49" s="29">
        <f>(E49)*'Input summary'!E528</f>
        <v>0</v>
      </c>
      <c r="Q49" s="29">
        <f>(F49)*'Input summary'!E555</f>
        <v>0</v>
      </c>
      <c r="R49" s="602">
        <f>G49*'Input summary'!E582</f>
        <v>0</v>
      </c>
      <c r="S49" s="609">
        <f>D49*'Input summary'!M612</f>
        <v>0</v>
      </c>
      <c r="T49" s="29">
        <f>(E49)*'Input summary'!E639</f>
        <v>0</v>
      </c>
      <c r="U49" s="29">
        <f>(F49)*'Input summary'!E666</f>
        <v>0</v>
      </c>
      <c r="V49" s="29">
        <f>G49*'Input summary'!E693</f>
        <v>0</v>
      </c>
      <c r="W49" s="602">
        <f>H49*'Input summary'!E720</f>
        <v>0</v>
      </c>
      <c r="X49" s="29"/>
      <c r="Y49" s="609">
        <f>(E49)*'Input summary'!E749*'Input summary'!C126+(E49)*'Input summary'!E776*(1-'Input summary'!C126)</f>
        <v>0</v>
      </c>
      <c r="Z49" s="29">
        <f>(F49-G49*'Input summary'!F153)*'Input summary'!E749</f>
        <v>0</v>
      </c>
      <c r="AA49" s="29">
        <f>G49*'Input summary'!E776</f>
        <v>0</v>
      </c>
      <c r="AB49" s="29">
        <f>H49*'Input summary'!G857</f>
        <v>0</v>
      </c>
      <c r="AC49" s="29">
        <f ca="1">D49*(('Input summary'!J273/'Input summary'!$C$167)*'Input summary'!M803+('Input summary'!J300/'Input summary'!$C$167)*'Input summary'!M830)</f>
        <v>0</v>
      </c>
      <c r="AD49" s="602">
        <f>H49*'Input summary'!E857</f>
        <v>0</v>
      </c>
    </row>
    <row r="50" spans="1:30" x14ac:dyDescent="0.3">
      <c r="A50" s="678"/>
      <c r="B50" s="31" t="s">
        <v>1086</v>
      </c>
      <c r="C50" s="29">
        <f>'General input'!H69</f>
        <v>0</v>
      </c>
      <c r="D50" s="29">
        <f>'General input'!H69*'General input'!H99</f>
        <v>0</v>
      </c>
      <c r="E50" s="29">
        <f>('Input summary'!L19/'Input summary'!$C$167)*(C50-D50)+('Input summary'!L19/'Input summary'!$C$167)*D50*(1-'Input summary'!L190)</f>
        <v>0</v>
      </c>
      <c r="F50" s="29">
        <f>('Input summary'!L46/'Input summary'!$C$168)*(C50-D50)+D50*(1-'Input summary'!L218)*('Input summary'!L46/'Input summary'!$C$169)</f>
        <v>0</v>
      </c>
      <c r="G50" s="29">
        <f>('Input summary'!L73/'Input summary'!$C$169)*(C50-D50)+D50*(1-'Input summary'!L218)*('Input summary'!L73/'Input summary'!$C$169)</f>
        <v>0</v>
      </c>
      <c r="H50" s="602">
        <f>('Input summary'!L100/'Input summary'!$C$170)*(C50-D50)+'Calculations Upper'!D50*(1-'Input summary'!L246)*('Input summary'!L100/'Input summary'!$C$170)</f>
        <v>0</v>
      </c>
      <c r="I50" s="29"/>
      <c r="J50" s="609">
        <f>D50*'Input summary'!M334</f>
        <v>0</v>
      </c>
      <c r="K50" s="29">
        <f>D50*'Input summary'!M362</f>
        <v>0</v>
      </c>
      <c r="L50" s="29">
        <f>(F50)*'Input summary'!E445</f>
        <v>0</v>
      </c>
      <c r="M50" s="29">
        <f ca="1">D50*(('Input summary'!J274/'Input summary'!$C$167)*'Input summary'!M390+('Input summary'!J301/'Input summary'!$C$167)*'Input summary'!M418)</f>
        <v>0</v>
      </c>
      <c r="N50" s="602">
        <f>G50*'Input summary'!E472</f>
        <v>0</v>
      </c>
      <c r="O50" s="609">
        <f>D50*'Input summary'!M502</f>
        <v>0</v>
      </c>
      <c r="P50" s="29">
        <f>(E50)*'Input summary'!E529</f>
        <v>0</v>
      </c>
      <c r="Q50" s="29">
        <f>(F50)*'Input summary'!E556</f>
        <v>0</v>
      </c>
      <c r="R50" s="602">
        <f>G50*'Input summary'!E583</f>
        <v>0</v>
      </c>
      <c r="S50" s="609">
        <f>D50*'Input summary'!M613</f>
        <v>0</v>
      </c>
      <c r="T50" s="29">
        <f>(E50)*'Input summary'!E640</f>
        <v>0</v>
      </c>
      <c r="U50" s="29">
        <f>(F50)*'Input summary'!E667</f>
        <v>0</v>
      </c>
      <c r="V50" s="29">
        <f>G50*'Input summary'!E694</f>
        <v>0</v>
      </c>
      <c r="W50" s="602">
        <f>H50*'Input summary'!E721</f>
        <v>0</v>
      </c>
      <c r="X50" s="29"/>
      <c r="Y50" s="609">
        <f>(E50)*'Input summary'!E750*'Input summary'!C127+(E50)*'Input summary'!E777*(1-'Input summary'!C127)</f>
        <v>0</v>
      </c>
      <c r="Z50" s="29">
        <f>(F50-G50*'Input summary'!F154)*'Input summary'!E750</f>
        <v>0</v>
      </c>
      <c r="AA50" s="29">
        <f>G50*'Input summary'!E777</f>
        <v>0</v>
      </c>
      <c r="AB50" s="29">
        <f>H50*'Input summary'!G858</f>
        <v>0</v>
      </c>
      <c r="AC50" s="29">
        <f ca="1">D50*(('Input summary'!J274/'Input summary'!$C$167)*'Input summary'!M804+('Input summary'!J301/'Input summary'!$C$167)*'Input summary'!M831)</f>
        <v>0</v>
      </c>
      <c r="AD50" s="602">
        <f>H50*'Input summary'!E858</f>
        <v>0</v>
      </c>
    </row>
    <row r="51" spans="1:30" x14ac:dyDescent="0.3">
      <c r="A51" s="678"/>
      <c r="B51" s="31" t="s">
        <v>1087</v>
      </c>
      <c r="C51" s="29">
        <f>'General input'!H70</f>
        <v>0</v>
      </c>
      <c r="D51" s="29">
        <f>'General input'!H70*'General input'!H100</f>
        <v>0</v>
      </c>
      <c r="E51" s="29">
        <f>('Input summary'!L20/'Input summary'!$C$167)*(C51-D51)+('Input summary'!L20/'Input summary'!$C$167)*D51*(1-'Input summary'!L191)</f>
        <v>0</v>
      </c>
      <c r="F51" s="29">
        <f>('Input summary'!L47/'Input summary'!$C$168)*(C51-D51)+D51*(1-'Input summary'!L219)*('Input summary'!L47/'Input summary'!$C$169)</f>
        <v>0</v>
      </c>
      <c r="G51" s="29">
        <f>('Input summary'!L74/'Input summary'!$C$169)*(C51-D51)+D51*(1-'Input summary'!L219)*('Input summary'!L74/'Input summary'!$C$169)</f>
        <v>0</v>
      </c>
      <c r="H51" s="602">
        <f>('Input summary'!L101/'Input summary'!$C$170)*(C51-D51)+'Calculations Upper'!D51*(1-'Input summary'!L247)*('Input summary'!L101/'Input summary'!$C$170)</f>
        <v>0</v>
      </c>
      <c r="I51" s="29"/>
      <c r="J51" s="609">
        <f>D51*'Input summary'!M335</f>
        <v>0</v>
      </c>
      <c r="K51" s="29">
        <f>D51*'Input summary'!M363</f>
        <v>0</v>
      </c>
      <c r="L51" s="29">
        <f>(F51)*'Input summary'!E446</f>
        <v>0</v>
      </c>
      <c r="M51" s="29">
        <f ca="1">D51*(('Input summary'!J275/'Input summary'!$C$167)*'Input summary'!M391+('Input summary'!J302/'Input summary'!$C$167)*'Input summary'!M419)</f>
        <v>0</v>
      </c>
      <c r="N51" s="602">
        <f>G51*'Input summary'!E473</f>
        <v>0</v>
      </c>
      <c r="O51" s="609">
        <f>D51*'Input summary'!M503</f>
        <v>0</v>
      </c>
      <c r="P51" s="29">
        <f>(E51)*'Input summary'!E530</f>
        <v>0</v>
      </c>
      <c r="Q51" s="29">
        <f>(F51)*'Input summary'!E557</f>
        <v>0</v>
      </c>
      <c r="R51" s="602">
        <f>G51*'Input summary'!E584</f>
        <v>0</v>
      </c>
      <c r="S51" s="609">
        <f>D51*'Input summary'!M614</f>
        <v>0</v>
      </c>
      <c r="T51" s="29">
        <f>(E51)*'Input summary'!E641</f>
        <v>0</v>
      </c>
      <c r="U51" s="29">
        <f>(F51)*'Input summary'!E668</f>
        <v>0</v>
      </c>
      <c r="V51" s="29">
        <f>G51*'Input summary'!E695</f>
        <v>0</v>
      </c>
      <c r="W51" s="602">
        <f>H51*'Input summary'!E722</f>
        <v>0</v>
      </c>
      <c r="X51" s="29"/>
      <c r="Y51" s="609">
        <f>(E51)*'Input summary'!E751*'Input summary'!C128+(E51)*'Input summary'!E778*(1-'Input summary'!C128)</f>
        <v>0</v>
      </c>
      <c r="Z51" s="29">
        <f>(F51-G51*'Input summary'!F155)*'Input summary'!E751</f>
        <v>0</v>
      </c>
      <c r="AA51" s="29">
        <f>G51*'Input summary'!E778</f>
        <v>0</v>
      </c>
      <c r="AB51" s="29">
        <f>H51*'Input summary'!G859</f>
        <v>0</v>
      </c>
      <c r="AC51" s="29">
        <f ca="1">D51*(('Input summary'!J275/'Input summary'!$C$167)*'Input summary'!M805+('Input summary'!J302/'Input summary'!$C$167)*'Input summary'!M832)</f>
        <v>0</v>
      </c>
      <c r="AD51" s="602">
        <f>H51*'Input summary'!E859</f>
        <v>0</v>
      </c>
    </row>
    <row r="52" spans="1:30" x14ac:dyDescent="0.3">
      <c r="A52" s="678"/>
      <c r="B52" s="31" t="s">
        <v>1443</v>
      </c>
      <c r="C52" s="29">
        <f>'General input'!H71</f>
        <v>0</v>
      </c>
      <c r="D52" s="29">
        <f>'General input'!H71*'General input'!H101</f>
        <v>0</v>
      </c>
      <c r="E52" s="29">
        <f>('Input summary'!L21/'Input summary'!$C$167)*(C52-D52)+('Input summary'!L21/'Input summary'!$C$167)*D52*(1-'Input summary'!L192)</f>
        <v>0</v>
      </c>
      <c r="F52" s="29">
        <f>('Input summary'!L48/'Input summary'!$C$168)*(C52-D52)+D52*(1-'Input summary'!L220)*('Input summary'!L48/'Input summary'!$C$169)</f>
        <v>0</v>
      </c>
      <c r="G52" s="29">
        <f>('Input summary'!L75/'Input summary'!$C$169)*(C52-D52)+D52*(1-'Input summary'!L220)*('Input summary'!L75/'Input summary'!$C$169)</f>
        <v>0</v>
      </c>
      <c r="H52" s="602">
        <f>('Input summary'!L102/'Input summary'!$C$170)*(C52-D52)+'Calculations Upper'!D52*(1-'Input summary'!L248)*('Input summary'!L102/'Input summary'!$C$170)</f>
        <v>0</v>
      </c>
      <c r="I52" s="29"/>
      <c r="J52" s="609">
        <f>D52*'Input summary'!M336</f>
        <v>0</v>
      </c>
      <c r="K52" s="29">
        <f>D52*'Input summary'!M364</f>
        <v>0</v>
      </c>
      <c r="L52" s="29">
        <f>(F52)*'Input summary'!E447</f>
        <v>0</v>
      </c>
      <c r="M52" s="29">
        <f ca="1">D52*(('Input summary'!J276/'Input summary'!$C$167)*'Input summary'!M392+('Input summary'!J303/'Input summary'!$C$167)*'Input summary'!M420)</f>
        <v>0</v>
      </c>
      <c r="N52" s="602">
        <f>G52*'Input summary'!E474</f>
        <v>0</v>
      </c>
      <c r="O52" s="609">
        <f>D52*'Input summary'!M504</f>
        <v>0</v>
      </c>
      <c r="P52" s="29">
        <f>(E52)*'Input summary'!E531</f>
        <v>0</v>
      </c>
      <c r="Q52" s="29">
        <f>(F52)*'Input summary'!E558</f>
        <v>0</v>
      </c>
      <c r="R52" s="602">
        <f>G52*'Input summary'!E585</f>
        <v>0</v>
      </c>
      <c r="S52" s="609">
        <f>D52*'Input summary'!M615</f>
        <v>0</v>
      </c>
      <c r="T52" s="29">
        <f>(E52)*'Input summary'!E642</f>
        <v>0</v>
      </c>
      <c r="U52" s="29">
        <f>(F52)*'Input summary'!E669</f>
        <v>0</v>
      </c>
      <c r="V52" s="29">
        <f>G52*'Input summary'!E696</f>
        <v>0</v>
      </c>
      <c r="W52" s="602">
        <f>H52*'Input summary'!E723</f>
        <v>0</v>
      </c>
      <c r="X52" s="29"/>
      <c r="Y52" s="609">
        <f>(E52)*'Input summary'!E752*'Input summary'!C129+(E52)*'Input summary'!E779*(1-'Input summary'!C129)</f>
        <v>0</v>
      </c>
      <c r="Z52" s="29">
        <f>(F52-G52*'Input summary'!F156)*'Input summary'!E752</f>
        <v>0</v>
      </c>
      <c r="AA52" s="29">
        <f>G52*'Input summary'!E779</f>
        <v>0</v>
      </c>
      <c r="AB52" s="29">
        <f>H52*'Input summary'!G860</f>
        <v>0</v>
      </c>
      <c r="AC52" s="29">
        <f ca="1">D52*(('Input summary'!J276/'Input summary'!$C$167)*'Input summary'!M806+('Input summary'!J303/'Input summary'!$C$167)*'Input summary'!M833)</f>
        <v>0</v>
      </c>
      <c r="AD52" s="602">
        <f>H52*'Input summary'!E860</f>
        <v>0</v>
      </c>
    </row>
    <row r="53" spans="1:30" x14ac:dyDescent="0.3">
      <c r="A53" s="678"/>
      <c r="B53" s="405" t="s">
        <v>227</v>
      </c>
      <c r="C53" s="29"/>
      <c r="D53" s="29"/>
      <c r="E53" s="29"/>
      <c r="F53" s="29"/>
      <c r="G53" s="29"/>
      <c r="H53" s="602"/>
      <c r="I53" s="29"/>
      <c r="J53" s="609"/>
      <c r="K53" s="29"/>
      <c r="L53" s="29"/>
      <c r="M53" s="29"/>
      <c r="N53" s="602"/>
      <c r="O53" s="609"/>
      <c r="P53" s="29"/>
      <c r="Q53" s="29"/>
      <c r="R53" s="602"/>
      <c r="S53" s="609"/>
      <c r="T53" s="29"/>
      <c r="U53" s="29"/>
      <c r="V53" s="29"/>
      <c r="W53" s="602"/>
      <c r="X53" s="29"/>
      <c r="Y53" s="609"/>
      <c r="Z53" s="29"/>
      <c r="AA53" s="29"/>
      <c r="AB53" s="29"/>
      <c r="AC53" s="29"/>
      <c r="AD53" s="602"/>
    </row>
    <row r="54" spans="1:30" x14ac:dyDescent="0.3">
      <c r="A54" s="678"/>
      <c r="B54" s="31" t="s">
        <v>1437</v>
      </c>
      <c r="C54" s="29">
        <f>'General input'!H73</f>
        <v>0</v>
      </c>
      <c r="D54" s="29">
        <f>'General input'!H73*'General input'!H103</f>
        <v>0</v>
      </c>
      <c r="E54" s="29">
        <f>('Input summary'!L23/'Input summary'!$C$167)*(C54-D54)+('Input summary'!L23/'Input summary'!$C$167)*D54*(1-'Input summary'!L194)</f>
        <v>0</v>
      </c>
      <c r="F54" s="29">
        <f>('Input summary'!L50/'Input summary'!$C$168)*(C54-D54)+D54*(1-'Input summary'!L222)*('Input summary'!L50/'Input summary'!$C$169)</f>
        <v>0</v>
      </c>
      <c r="G54" s="29">
        <f>('Input summary'!L77/'Input summary'!$C$169)*(C54-D54)+D54*(1-'Input summary'!L222)*('Input summary'!L77/'Input summary'!$C$169)</f>
        <v>0</v>
      </c>
      <c r="H54" s="602">
        <f>('Input summary'!L104/'Input summary'!$C$170)*(C54-D54)+'Calculations Upper'!D54*(1-'Input summary'!L250)*('Input summary'!L104/'Input summary'!$C$170)</f>
        <v>0</v>
      </c>
      <c r="I54" s="29"/>
      <c r="J54" s="609">
        <f>D54*'Input summary'!M338</f>
        <v>0</v>
      </c>
      <c r="K54" s="29">
        <f>D54*'Input summary'!M366</f>
        <v>0</v>
      </c>
      <c r="L54" s="29">
        <f>(F54)*'Input summary'!E449</f>
        <v>0</v>
      </c>
      <c r="M54" s="29">
        <f ca="1">D54*(('Input summary'!J278/'Input summary'!$C$167)*'Input summary'!M394+('Input summary'!J305/'Input summary'!$C$167)*'Input summary'!M422)</f>
        <v>0</v>
      </c>
      <c r="N54" s="602">
        <f>G54*'Input summary'!E476</f>
        <v>0</v>
      </c>
      <c r="O54" s="609">
        <f>D54*'Input summary'!M506</f>
        <v>0</v>
      </c>
      <c r="P54" s="29">
        <f>(E54)*'Input summary'!E533</f>
        <v>0</v>
      </c>
      <c r="Q54" s="29">
        <f>(F54)*'Input summary'!E560</f>
        <v>0</v>
      </c>
      <c r="R54" s="602">
        <f>G54*'Input summary'!E587</f>
        <v>0</v>
      </c>
      <c r="S54" s="609">
        <f>D54*'Input summary'!M617</f>
        <v>0</v>
      </c>
      <c r="T54" s="29">
        <f>(E54)*'Input summary'!E644</f>
        <v>0</v>
      </c>
      <c r="U54" s="29">
        <f>(F54)*'Input summary'!E671</f>
        <v>0</v>
      </c>
      <c r="V54" s="29">
        <f>G54*'Input summary'!E698</f>
        <v>0</v>
      </c>
      <c r="W54" s="602">
        <f>H54*'Input summary'!E725</f>
        <v>0</v>
      </c>
      <c r="X54" s="29"/>
      <c r="Y54" s="609">
        <f>(E54)*'Input summary'!E754*'Input summary'!C131+(E54)*'Input summary'!E781*(1-'Input summary'!C131)</f>
        <v>0</v>
      </c>
      <c r="Z54" s="29">
        <f>(F54-G54*'Input summary'!F158)*'Input summary'!E754</f>
        <v>0</v>
      </c>
      <c r="AA54" s="29">
        <f>G54*'Input summary'!E781</f>
        <v>0</v>
      </c>
      <c r="AB54" s="29">
        <f>H54*'Input summary'!G862</f>
        <v>0</v>
      </c>
      <c r="AC54" s="29">
        <f ca="1">D54*(('Input summary'!J278/'Input summary'!$C$167)*'Input summary'!M808+('Input summary'!J305/'Input summary'!$C$167)*'Input summary'!M835)</f>
        <v>0</v>
      </c>
      <c r="AD54" s="602">
        <f>H54*'Input summary'!E862</f>
        <v>0</v>
      </c>
    </row>
    <row r="55" spans="1:30" x14ac:dyDescent="0.3">
      <c r="A55" s="678"/>
      <c r="B55" s="31" t="s">
        <v>1438</v>
      </c>
      <c r="C55" s="29">
        <f>'General input'!H74</f>
        <v>0</v>
      </c>
      <c r="D55" s="29">
        <f>'General input'!H74*'General input'!H104</f>
        <v>0</v>
      </c>
      <c r="E55" s="29">
        <f>('Input summary'!L24/'Input summary'!$C$167)*(C55-D55)+('Input summary'!L24/'Input summary'!$C$167)*D55*(1-'Input summary'!L195)</f>
        <v>0</v>
      </c>
      <c r="F55" s="29">
        <f>('Input summary'!L51/'Input summary'!$C$168)*(C55-D55)+D55*(1-'Input summary'!L223)*('Input summary'!L51/'Input summary'!$C$169)</f>
        <v>0</v>
      </c>
      <c r="G55" s="29">
        <f>('Input summary'!L78/'Input summary'!$C$169)*(C55-D55)+D55*(1-'Input summary'!L223)*('Input summary'!L78/'Input summary'!$C$169)</f>
        <v>0</v>
      </c>
      <c r="H55" s="602">
        <f>('Input summary'!L105/'Input summary'!$C$170)*(C55-D55)+'Calculations Upper'!D55*(1-'Input summary'!L251)*('Input summary'!L105/'Input summary'!$C$170)</f>
        <v>0</v>
      </c>
      <c r="I55" s="29"/>
      <c r="J55" s="609">
        <f>D55*'Input summary'!M339</f>
        <v>0</v>
      </c>
      <c r="K55" s="29">
        <f>D55*'Input summary'!M367</f>
        <v>0</v>
      </c>
      <c r="L55" s="29">
        <f>(F55)*'Input summary'!E450</f>
        <v>0</v>
      </c>
      <c r="M55" s="29">
        <f ca="1">D55*(('Input summary'!J279/'Input summary'!$C$167)*'Input summary'!M395+('Input summary'!J306/'Input summary'!$C$167)*'Input summary'!M423)</f>
        <v>0</v>
      </c>
      <c r="N55" s="602">
        <f>G55*'Input summary'!E477</f>
        <v>0</v>
      </c>
      <c r="O55" s="609">
        <f>D55*'Input summary'!M507</f>
        <v>0</v>
      </c>
      <c r="P55" s="29">
        <f>(E55)*'Input summary'!E534</f>
        <v>0</v>
      </c>
      <c r="Q55" s="29">
        <f>(F55)*'Input summary'!E561</f>
        <v>0</v>
      </c>
      <c r="R55" s="602">
        <f>G55*'Input summary'!E588</f>
        <v>0</v>
      </c>
      <c r="S55" s="609">
        <f>D55*'Input summary'!M618</f>
        <v>0</v>
      </c>
      <c r="T55" s="29">
        <f>(E55)*'Input summary'!E645</f>
        <v>0</v>
      </c>
      <c r="U55" s="29">
        <f>(F55)*'Input summary'!E672</f>
        <v>0</v>
      </c>
      <c r="V55" s="29">
        <f>G55*'Input summary'!E699</f>
        <v>0</v>
      </c>
      <c r="W55" s="602">
        <f>H55*'Input summary'!E726</f>
        <v>0</v>
      </c>
      <c r="X55" s="29"/>
      <c r="Y55" s="609">
        <f>(E55)*'Input summary'!E755*'Input summary'!C132+(E55)*'Input summary'!E782*(1-'Input summary'!C132)</f>
        <v>0</v>
      </c>
      <c r="Z55" s="29">
        <f>(F55-G55*'Input summary'!F159)*'Input summary'!E755</f>
        <v>0</v>
      </c>
      <c r="AA55" s="29">
        <f>G55*'Input summary'!E782</f>
        <v>0</v>
      </c>
      <c r="AB55" s="29">
        <f>H55*'Input summary'!G863</f>
        <v>0</v>
      </c>
      <c r="AC55" s="29">
        <f ca="1">D55*(('Input summary'!J279/'Input summary'!$C$167)*'Input summary'!M809+('Input summary'!J306/'Input summary'!$C$167)*'Input summary'!M836)</f>
        <v>0</v>
      </c>
      <c r="AD55" s="602">
        <f>H55*'Input summary'!E863</f>
        <v>0</v>
      </c>
    </row>
    <row r="56" spans="1:30" x14ac:dyDescent="0.3">
      <c r="A56" s="678"/>
      <c r="B56" s="31" t="s">
        <v>1441</v>
      </c>
      <c r="C56" s="29">
        <f>'General input'!H75</f>
        <v>0</v>
      </c>
      <c r="D56" s="29">
        <f>'General input'!H75*'General input'!H105</f>
        <v>0</v>
      </c>
      <c r="E56" s="29">
        <f>('Input summary'!L25/'Input summary'!$C$167)*(C56-D56)+('Input summary'!L25/'Input summary'!$C$167)*D56*(1-'Input summary'!L196)</f>
        <v>0</v>
      </c>
      <c r="F56" s="29">
        <f>('Input summary'!L52/'Input summary'!$C$168)*(C56-D56)+D56*(1-'Input summary'!L224)*('Input summary'!L52/'Input summary'!$C$169)</f>
        <v>0</v>
      </c>
      <c r="G56" s="29">
        <f>('Input summary'!L79/'Input summary'!$C$169)*(C56-D56)+D56*(1-'Input summary'!L224)*('Input summary'!L79/'Input summary'!$C$169)</f>
        <v>0</v>
      </c>
      <c r="H56" s="602">
        <f>('Input summary'!L106/'Input summary'!$C$170)*(C56-D56)+'Calculations Upper'!D56*(1-'Input summary'!L252)*('Input summary'!L106/'Input summary'!$C$170)</f>
        <v>0</v>
      </c>
      <c r="I56" s="29"/>
      <c r="J56" s="609">
        <f>D56*'Input summary'!M340</f>
        <v>0</v>
      </c>
      <c r="K56" s="29">
        <f>D56*'Input summary'!M368</f>
        <v>0</v>
      </c>
      <c r="L56" s="29">
        <f>(F56)*'Input summary'!E451</f>
        <v>0</v>
      </c>
      <c r="M56" s="29">
        <f ca="1">D56*(('Input summary'!J280/'Input summary'!$C$167)*'Input summary'!M396+('Input summary'!J307/'Input summary'!$C$167)*'Input summary'!M424)</f>
        <v>0</v>
      </c>
      <c r="N56" s="602">
        <f>G56*'Input summary'!E478</f>
        <v>0</v>
      </c>
      <c r="O56" s="609">
        <f>D56*'Input summary'!M508</f>
        <v>0</v>
      </c>
      <c r="P56" s="29">
        <f>(E56)*'Input summary'!E535</f>
        <v>0</v>
      </c>
      <c r="Q56" s="29">
        <f>(F56)*'Input summary'!E562</f>
        <v>0</v>
      </c>
      <c r="R56" s="602">
        <f>G56*'Input summary'!E589</f>
        <v>0</v>
      </c>
      <c r="S56" s="609">
        <f>D56*'Input summary'!M619</f>
        <v>0</v>
      </c>
      <c r="T56" s="29">
        <f>(E56)*'Input summary'!E646</f>
        <v>0</v>
      </c>
      <c r="U56" s="29">
        <f>(F56)*'Input summary'!E673</f>
        <v>0</v>
      </c>
      <c r="V56" s="29">
        <f>G56*'Input summary'!E700</f>
        <v>0</v>
      </c>
      <c r="W56" s="602">
        <f>H56*'Input summary'!E727</f>
        <v>0</v>
      </c>
      <c r="X56" s="29"/>
      <c r="Y56" s="609">
        <f>(E56)*'Input summary'!E756*'Input summary'!C133+(E56)*'Input summary'!E783*(1-'Input summary'!C133)</f>
        <v>0</v>
      </c>
      <c r="Z56" s="29">
        <f>(F56-G56*'Input summary'!F160)*'Input summary'!E756</f>
        <v>0</v>
      </c>
      <c r="AA56" s="29">
        <f>G56*'Input summary'!E783</f>
        <v>0</v>
      </c>
      <c r="AB56" s="29">
        <f>H56*'Input summary'!G864</f>
        <v>0</v>
      </c>
      <c r="AC56" s="29">
        <f ca="1">D56*(('Input summary'!J280/'Input summary'!$C$167)*'Input summary'!M810+('Input summary'!J307/'Input summary'!$C$167)*'Input summary'!M837)</f>
        <v>0</v>
      </c>
      <c r="AD56" s="602">
        <f>H56*'Input summary'!E864</f>
        <v>0</v>
      </c>
    </row>
    <row r="57" spans="1:30" x14ac:dyDescent="0.3">
      <c r="A57" s="678"/>
      <c r="B57" s="31" t="s">
        <v>1442</v>
      </c>
      <c r="C57" s="29">
        <f>'General input'!H76</f>
        <v>0</v>
      </c>
      <c r="D57" s="29">
        <f>'General input'!H76*'General input'!H106</f>
        <v>0</v>
      </c>
      <c r="E57" s="29">
        <f>('Input summary'!L26/'Input summary'!$C$167)*(C57-D57)+('Input summary'!L26/'Input summary'!$C$167)*D57*(1-'Input summary'!L197)</f>
        <v>0</v>
      </c>
      <c r="F57" s="29">
        <f>('Input summary'!L53/'Input summary'!$C$168)*(C57-D57)+D57*(1-'Input summary'!L225)*('Input summary'!L53/'Input summary'!$C$169)</f>
        <v>0</v>
      </c>
      <c r="G57" s="29">
        <f>('Input summary'!L80/'Input summary'!$C$169)*(C57-D57)+D57*(1-'Input summary'!L225)*('Input summary'!L80/'Input summary'!$C$169)</f>
        <v>0</v>
      </c>
      <c r="H57" s="602">
        <f>('Input summary'!L107/'Input summary'!$C$170)*(C57-D57)+'Calculations Upper'!D57*(1-'Input summary'!L253)*('Input summary'!L107/'Input summary'!$C$170)</f>
        <v>0</v>
      </c>
      <c r="I57" s="29"/>
      <c r="J57" s="609">
        <f>D57*'Input summary'!M341</f>
        <v>0</v>
      </c>
      <c r="K57" s="29">
        <f>D57*'Input summary'!M369</f>
        <v>0</v>
      </c>
      <c r="L57" s="29">
        <f>(F57)*'Input summary'!E452</f>
        <v>0</v>
      </c>
      <c r="M57" s="29">
        <f ca="1">D57*(('Input summary'!J281/'Input summary'!$C$167)*'Input summary'!M397+('Input summary'!J308/'Input summary'!$C$167)*'Input summary'!M425)</f>
        <v>0</v>
      </c>
      <c r="N57" s="602">
        <f>G57*'Input summary'!E479</f>
        <v>0</v>
      </c>
      <c r="O57" s="609">
        <f>D57*'Input summary'!M509</f>
        <v>0</v>
      </c>
      <c r="P57" s="29">
        <f>(E57)*'Input summary'!E536</f>
        <v>0</v>
      </c>
      <c r="Q57" s="29">
        <f>(F57)*'Input summary'!E563</f>
        <v>0</v>
      </c>
      <c r="R57" s="602">
        <f>G57*'Input summary'!E590</f>
        <v>0</v>
      </c>
      <c r="S57" s="609">
        <f>D57*'Input summary'!M620</f>
        <v>0</v>
      </c>
      <c r="T57" s="29">
        <f>(E57)*'Input summary'!E647</f>
        <v>0</v>
      </c>
      <c r="U57" s="29">
        <f>(F57)*'Input summary'!E674</f>
        <v>0</v>
      </c>
      <c r="V57" s="29">
        <f>G57*'Input summary'!E701</f>
        <v>0</v>
      </c>
      <c r="W57" s="602">
        <f>H57*'Input summary'!E728</f>
        <v>0</v>
      </c>
      <c r="X57" s="29"/>
      <c r="Y57" s="609">
        <f>(E57)*'Input summary'!E757*'Input summary'!C134+(E57)*'Input summary'!E784*(1-'Input summary'!C134)</f>
        <v>0</v>
      </c>
      <c r="Z57" s="29">
        <f>(F57-G57*'Input summary'!F161)*'Input summary'!E757</f>
        <v>0</v>
      </c>
      <c r="AA57" s="29">
        <f>G57*'Input summary'!E784</f>
        <v>0</v>
      </c>
      <c r="AB57" s="29">
        <f>H57*'Input summary'!G865</f>
        <v>0</v>
      </c>
      <c r="AC57" s="29">
        <f ca="1">D57*(('Input summary'!J281/'Input summary'!$C$167)*'Input summary'!M811+('Input summary'!J308/'Input summary'!$C$167)*'Input summary'!M838)</f>
        <v>0</v>
      </c>
      <c r="AD57" s="602">
        <f>H57*'Input summary'!E865</f>
        <v>0</v>
      </c>
    </row>
    <row r="58" spans="1:30" x14ac:dyDescent="0.3">
      <c r="A58" s="678"/>
      <c r="B58" s="405" t="s">
        <v>920</v>
      </c>
      <c r="C58" s="29"/>
      <c r="D58" s="29"/>
      <c r="E58" s="29"/>
      <c r="F58" s="29"/>
      <c r="G58" s="29"/>
      <c r="H58" s="602"/>
      <c r="I58" s="29"/>
      <c r="J58" s="609"/>
      <c r="K58" s="29"/>
      <c r="L58" s="29"/>
      <c r="M58" s="29">
        <f>D58*(('Input summary'!J282/'Input summary'!$C$167)*'Input summary'!M398+('Input summary'!J309/'Input summary'!$C$167)*'Input summary'!M426)</f>
        <v>0</v>
      </c>
      <c r="N58" s="602"/>
      <c r="O58" s="609"/>
      <c r="P58" s="29"/>
      <c r="Q58" s="29"/>
      <c r="R58" s="602"/>
      <c r="S58" s="609"/>
      <c r="T58" s="29"/>
      <c r="U58" s="29"/>
      <c r="V58" s="29"/>
      <c r="W58" s="602"/>
      <c r="X58" s="29"/>
      <c r="Y58" s="609"/>
      <c r="Z58" s="29"/>
      <c r="AA58" s="29"/>
      <c r="AB58" s="29"/>
      <c r="AC58" s="29"/>
      <c r="AD58" s="602"/>
    </row>
    <row r="59" spans="1:30" x14ac:dyDescent="0.3">
      <c r="A59" s="678"/>
      <c r="B59" s="297" t="s">
        <v>920</v>
      </c>
      <c r="C59" s="29">
        <f>'General input'!H78</f>
        <v>0</v>
      </c>
      <c r="D59" s="29">
        <f>'General input'!H78*'General input'!H108</f>
        <v>0</v>
      </c>
      <c r="E59" s="29">
        <f>('Input summary'!L28/'Input summary'!$C$167)*(C59-D59)+('Input summary'!L28/'Input summary'!$C$167)*D59*(1-'Input summary'!L199)</f>
        <v>0</v>
      </c>
      <c r="F59" s="29">
        <f>('Input summary'!L55/'Input summary'!$C$168)*(C59-D59)+D59*(1-'Input summary'!L227)*('Input summary'!L55/'Input summary'!$C$169)</f>
        <v>0</v>
      </c>
      <c r="G59" s="29">
        <f>('Input summary'!L82/'Input summary'!$C$169)*(C59-D59)+D59*(1-'Input summary'!L227)*('Input summary'!L82/'Input summary'!$C$169)</f>
        <v>0</v>
      </c>
      <c r="H59" s="602">
        <f>('Input summary'!L109/'Input summary'!$C$170)*(C59-D59)+'Calculations Upper'!D59*(1-'Input summary'!L255)*('Input summary'!L109/'Input summary'!$C$170)</f>
        <v>0</v>
      </c>
      <c r="I59" s="29"/>
      <c r="J59" s="609">
        <f>D59*'Input summary'!M343</f>
        <v>0</v>
      </c>
      <c r="K59" s="29">
        <f>D59*'Input summary'!M371</f>
        <v>0</v>
      </c>
      <c r="L59" s="29">
        <f>(F59)*'Input summary'!E454</f>
        <v>0</v>
      </c>
      <c r="M59" s="29">
        <f ca="1">D59*(('Input summary'!J283/'Input summary'!$C$167)*'Input summary'!M399+('Input summary'!J310/'Input summary'!$C$167)*'Input summary'!M427)</f>
        <v>0</v>
      </c>
      <c r="N59" s="602">
        <f>G59*'Input summary'!E481</f>
        <v>0</v>
      </c>
      <c r="O59" s="609">
        <f>D59*'Input summary'!M511</f>
        <v>0</v>
      </c>
      <c r="P59" s="29">
        <f>(E59)*'Input summary'!E538</f>
        <v>0</v>
      </c>
      <c r="Q59" s="29">
        <f>(F59)*'Input summary'!E565</f>
        <v>0</v>
      </c>
      <c r="R59" s="602">
        <f>G59*'Input summary'!E592</f>
        <v>0</v>
      </c>
      <c r="S59" s="609">
        <f>D59*'Input summary'!M622</f>
        <v>0</v>
      </c>
      <c r="T59" s="29">
        <f>(E59)*'Input summary'!E649</f>
        <v>0</v>
      </c>
      <c r="U59" s="29">
        <f>(F59)*'Input summary'!E676</f>
        <v>0</v>
      </c>
      <c r="V59" s="29">
        <f>G59*'Input summary'!E703</f>
        <v>0</v>
      </c>
      <c r="W59" s="602">
        <f>H59*'Input summary'!E730</f>
        <v>0</v>
      </c>
      <c r="X59" s="29"/>
      <c r="Y59" s="609">
        <f>(E59)*'Input summary'!E759*'Input summary'!C136+(E59)*'Input summary'!E786*(1-'Input summary'!C136)</f>
        <v>0</v>
      </c>
      <c r="Z59" s="29">
        <f>(F59-G59*'Input summary'!F163)*'Input summary'!E759</f>
        <v>0</v>
      </c>
      <c r="AA59" s="29">
        <f>G59*'Input summary'!E786</f>
        <v>0</v>
      </c>
      <c r="AB59" s="29">
        <f>H59*'Input summary'!G867</f>
        <v>0</v>
      </c>
      <c r="AC59" s="29">
        <f ca="1">D59*(('Input summary'!J283/'Input summary'!$C$167)*'Input summary'!M813+('Input summary'!J310/'Input summary'!$C$167)*'Input summary'!M840)</f>
        <v>0</v>
      </c>
      <c r="AD59" s="602">
        <f>H59*'Input summary'!E867</f>
        <v>0</v>
      </c>
    </row>
    <row r="60" spans="1:30" x14ac:dyDescent="0.3">
      <c r="A60" s="678"/>
      <c r="B60" s="297" t="s">
        <v>980</v>
      </c>
      <c r="C60" s="29">
        <f>'General input'!H79</f>
        <v>0</v>
      </c>
      <c r="D60" s="29">
        <f>'General input'!H79*'General input'!H109</f>
        <v>0</v>
      </c>
      <c r="E60" s="29">
        <f>('Input summary'!L29/'Input summary'!$C$167)*(C60-D60)+('Input summary'!L29/'Input summary'!$C$167)*D60*(1-'Input summary'!L200)</f>
        <v>0</v>
      </c>
      <c r="F60" s="29">
        <f>('Input summary'!L56/'Input summary'!$C$168)*(C60-D60)+D60*(1-'Input summary'!L228)*('Input summary'!L56/'Input summary'!$C$169)</f>
        <v>0</v>
      </c>
      <c r="G60" s="29">
        <f>('Input summary'!L83/'Input summary'!$C$169)*(C60-D60)+D60*(1-'Input summary'!L228)*('Input summary'!L83/'Input summary'!$C$169)</f>
        <v>0</v>
      </c>
      <c r="H60" s="602">
        <f>('Input summary'!L110/'Input summary'!$C$170)*(C60-D60)+'Calculations Upper'!D60*(1-'Input summary'!L256)*('Input summary'!L110/'Input summary'!$C$170)</f>
        <v>0</v>
      </c>
      <c r="I60" s="29"/>
      <c r="J60" s="609">
        <f>D60*'Input summary'!M344</f>
        <v>0</v>
      </c>
      <c r="K60" s="29">
        <f>D60*'Input summary'!M372</f>
        <v>0</v>
      </c>
      <c r="L60" s="29">
        <f>(F60)*'Input summary'!E455</f>
        <v>0</v>
      </c>
      <c r="M60" s="29">
        <f ca="1">D60*(('Input summary'!J284/'Input summary'!$C$167)*'Input summary'!M400+('Input summary'!J311/'Input summary'!$C$167)*'Input summary'!M428)</f>
        <v>0</v>
      </c>
      <c r="N60" s="602">
        <f>G60*'Input summary'!E482</f>
        <v>0</v>
      </c>
      <c r="O60" s="609">
        <f>D60*'Input summary'!M512</f>
        <v>0</v>
      </c>
      <c r="P60" s="29">
        <f>(E60)*'Input summary'!E539</f>
        <v>0</v>
      </c>
      <c r="Q60" s="29">
        <f>(F60)*'Input summary'!E566</f>
        <v>0</v>
      </c>
      <c r="R60" s="602">
        <f>G60*'Input summary'!E593</f>
        <v>0</v>
      </c>
      <c r="S60" s="609">
        <f>D60*'Input summary'!M623</f>
        <v>0</v>
      </c>
      <c r="T60" s="29">
        <f>(E60)*'Input summary'!E650</f>
        <v>0</v>
      </c>
      <c r="U60" s="29">
        <f>(F60)*'Input summary'!E677</f>
        <v>0</v>
      </c>
      <c r="V60" s="29">
        <f>G60*'Input summary'!E704</f>
        <v>0</v>
      </c>
      <c r="W60" s="602">
        <f>H60*'Input summary'!E731</f>
        <v>0</v>
      </c>
      <c r="X60" s="29"/>
      <c r="Y60" s="609">
        <f>(E60)*'Input summary'!E760*'Input summary'!C137+(E60)*'Input summary'!E787*(1-'Input summary'!C137)</f>
        <v>0</v>
      </c>
      <c r="Z60" s="29">
        <f>(F60-G60*'Input summary'!F164)*'Input summary'!E760</f>
        <v>0</v>
      </c>
      <c r="AA60" s="29">
        <f>G60*'Input summary'!E787</f>
        <v>0</v>
      </c>
      <c r="AB60" s="29">
        <f>H60*'Input summary'!G868</f>
        <v>0</v>
      </c>
      <c r="AC60" s="29">
        <f ca="1">D60*(('Input summary'!J284/'Input summary'!$C$167)*'Input summary'!M814+('Input summary'!J311/'Input summary'!$C$167)*'Input summary'!M841)</f>
        <v>0</v>
      </c>
      <c r="AD60" s="602">
        <f>H60*'Input summary'!E868</f>
        <v>0</v>
      </c>
    </row>
    <row r="61" spans="1:30" x14ac:dyDescent="0.3">
      <c r="A61" s="678"/>
      <c r="B61" s="31" t="s">
        <v>233</v>
      </c>
      <c r="C61" s="29">
        <f>SUM(C37:C60)</f>
        <v>5203824</v>
      </c>
      <c r="D61" s="29">
        <f t="shared" ref="D61:H61" si="3">SUM(D37:D60)</f>
        <v>124891.77600000001</v>
      </c>
      <c r="E61" s="29">
        <f t="shared" si="3"/>
        <v>711050.51136000012</v>
      </c>
      <c r="F61" s="29">
        <f t="shared" si="3"/>
        <v>197797.35024000003</v>
      </c>
      <c r="G61" s="29">
        <f t="shared" si="3"/>
        <v>8742.4243200000019</v>
      </c>
      <c r="H61" s="602">
        <f t="shared" si="3"/>
        <v>624.45888000000002</v>
      </c>
      <c r="I61" s="29"/>
      <c r="J61" s="609">
        <f>SUM(J37:J60)</f>
        <v>7075075.7869878095</v>
      </c>
      <c r="K61" s="29">
        <f t="shared" ref="K61:Q61" si="4">SUM(K37:K60)</f>
        <v>12649039.073279999</v>
      </c>
      <c r="L61" s="29">
        <f t="shared" si="4"/>
        <v>41949808.026226439</v>
      </c>
      <c r="M61" s="29">
        <f t="shared" ca="1" si="4"/>
        <v>6.9437265181210499</v>
      </c>
      <c r="N61" s="602">
        <f t="shared" si="4"/>
        <v>34080168.125247307</v>
      </c>
      <c r="O61" s="609">
        <f t="shared" si="4"/>
        <v>0</v>
      </c>
      <c r="P61" s="29">
        <f t="shared" si="4"/>
        <v>37325823.712852597</v>
      </c>
      <c r="Q61" s="29">
        <f t="shared" si="4"/>
        <v>5191578.4518644875</v>
      </c>
      <c r="R61" s="602">
        <f>SUM(R37:R60)</f>
        <v>1032579.1395973566</v>
      </c>
      <c r="S61" s="609">
        <f t="shared" ref="S61:W61" si="5">SUM(S37:S60)</f>
        <v>0</v>
      </c>
      <c r="T61" s="29">
        <f t="shared" si="5"/>
        <v>35524852.718707465</v>
      </c>
      <c r="U61" s="29">
        <f t="shared" si="5"/>
        <v>13176226.110832071</v>
      </c>
      <c r="V61" s="29">
        <f t="shared" si="5"/>
        <v>582374.63473290915</v>
      </c>
      <c r="W61" s="602">
        <f t="shared" si="5"/>
        <v>195649849.11415544</v>
      </c>
      <c r="X61" s="29"/>
      <c r="Y61" s="609">
        <f t="shared" ref="Y61:AC61" si="6">SUM(Y37:Y60)</f>
        <v>5162.1412874991092</v>
      </c>
      <c r="Z61" s="609">
        <f t="shared" si="6"/>
        <v>1354.1787963320403</v>
      </c>
      <c r="AA61" s="29">
        <f t="shared" si="6"/>
        <v>218.560608</v>
      </c>
      <c r="AB61" s="29">
        <f t="shared" si="6"/>
        <v>9291.6864380058814</v>
      </c>
      <c r="AC61" s="29">
        <f t="shared" ca="1" si="6"/>
        <v>0</v>
      </c>
      <c r="AD61" s="602">
        <f>SUM(AD37:AD60)</f>
        <v>12049.36952484689</v>
      </c>
    </row>
    <row r="62" spans="1:30" x14ac:dyDescent="0.3">
      <c r="A62" s="678"/>
      <c r="B62" s="31"/>
      <c r="C62" s="31"/>
      <c r="D62" s="29"/>
      <c r="E62" s="29"/>
      <c r="F62" s="29"/>
      <c r="G62" s="29"/>
      <c r="H62" s="602"/>
      <c r="I62" s="29"/>
      <c r="J62" s="609"/>
      <c r="K62" s="29"/>
      <c r="L62" s="610" t="s">
        <v>1034</v>
      </c>
      <c r="M62" s="610"/>
      <c r="N62" s="602"/>
      <c r="O62" s="609"/>
      <c r="P62" s="610" t="s">
        <v>1034</v>
      </c>
      <c r="Q62" s="610" t="s">
        <v>1034</v>
      </c>
      <c r="R62" s="611" t="s">
        <v>1034</v>
      </c>
      <c r="S62" s="609"/>
      <c r="T62" s="610" t="s">
        <v>1034</v>
      </c>
      <c r="U62" s="610"/>
      <c r="V62" s="29"/>
      <c r="W62" s="602"/>
      <c r="X62" s="29"/>
      <c r="Y62" s="670" t="s">
        <v>1034</v>
      </c>
      <c r="Z62" s="610"/>
      <c r="AA62" s="29"/>
      <c r="AB62" s="29"/>
      <c r="AC62" s="29"/>
      <c r="AD62" s="602"/>
    </row>
    <row r="63" spans="1:30" ht="18" x14ac:dyDescent="0.35">
      <c r="A63" s="678"/>
      <c r="B63" s="673" t="s">
        <v>560</v>
      </c>
      <c r="C63" s="673"/>
      <c r="D63" s="604"/>
      <c r="E63" s="604"/>
      <c r="F63" s="604"/>
      <c r="G63" s="604"/>
      <c r="H63" s="599"/>
      <c r="J63" s="663" t="s">
        <v>560</v>
      </c>
      <c r="K63" s="604"/>
      <c r="L63" s="604"/>
      <c r="M63" s="604"/>
      <c r="N63" s="599"/>
      <c r="O63" s="603"/>
      <c r="P63" s="604"/>
      <c r="Q63" s="604"/>
      <c r="R63" s="599"/>
      <c r="S63" s="603"/>
      <c r="T63" s="604"/>
      <c r="U63" s="604"/>
      <c r="V63" s="604"/>
      <c r="W63" s="599"/>
      <c r="Y63" s="663" t="s">
        <v>560</v>
      </c>
      <c r="Z63" s="673"/>
      <c r="AA63" s="604"/>
      <c r="AB63" s="604"/>
      <c r="AC63" s="604"/>
      <c r="AD63" s="599"/>
    </row>
    <row r="64" spans="1:30" ht="18" x14ac:dyDescent="0.35">
      <c r="A64" s="678"/>
      <c r="B64" s="661" t="s">
        <v>983</v>
      </c>
      <c r="C64" s="661"/>
      <c r="D64" s="650"/>
      <c r="E64" s="662"/>
      <c r="F64" s="662"/>
      <c r="G64" s="650"/>
      <c r="H64" s="600"/>
      <c r="J64" s="649" t="s">
        <v>1024</v>
      </c>
      <c r="K64" s="650"/>
      <c r="L64" s="650"/>
      <c r="M64" s="650"/>
      <c r="N64" s="600"/>
      <c r="O64" s="605" t="s">
        <v>1026</v>
      </c>
      <c r="P64" s="606"/>
      <c r="Q64" s="606"/>
      <c r="R64" s="600"/>
      <c r="S64" s="605" t="s">
        <v>10</v>
      </c>
      <c r="T64" s="606"/>
      <c r="U64" s="606"/>
      <c r="V64" s="650"/>
      <c r="W64" s="600"/>
      <c r="Y64" s="605" t="s">
        <v>564</v>
      </c>
      <c r="Z64" s="606"/>
      <c r="AA64" s="650"/>
      <c r="AB64" s="650"/>
      <c r="AC64" s="650"/>
      <c r="AD64" s="600"/>
    </row>
    <row r="65" spans="1:30" x14ac:dyDescent="0.3">
      <c r="A65" s="678"/>
      <c r="B65" s="608" t="s">
        <v>950</v>
      </c>
      <c r="C65" s="608" t="s">
        <v>1033</v>
      </c>
      <c r="D65" s="608" t="s">
        <v>878</v>
      </c>
      <c r="E65" s="608" t="s">
        <v>224</v>
      </c>
      <c r="F65" s="608" t="s">
        <v>1377</v>
      </c>
      <c r="G65" s="608" t="s">
        <v>877</v>
      </c>
      <c r="H65" s="601" t="s">
        <v>225</v>
      </c>
      <c r="J65" s="607" t="s">
        <v>981</v>
      </c>
      <c r="K65" s="608" t="s">
        <v>982</v>
      </c>
      <c r="L65" s="608" t="s">
        <v>1025</v>
      </c>
      <c r="M65" s="608" t="s">
        <v>1533</v>
      </c>
      <c r="N65" s="601" t="s">
        <v>905</v>
      </c>
      <c r="O65" s="607" t="s">
        <v>938</v>
      </c>
      <c r="P65" s="608" t="s">
        <v>1027</v>
      </c>
      <c r="Q65" s="608" t="s">
        <v>1377</v>
      </c>
      <c r="R65" s="601" t="s">
        <v>1028</v>
      </c>
      <c r="S65" s="607" t="s">
        <v>938</v>
      </c>
      <c r="T65" s="608" t="s">
        <v>1392</v>
      </c>
      <c r="U65" s="608" t="s">
        <v>1025</v>
      </c>
      <c r="V65" s="608" t="s">
        <v>1028</v>
      </c>
      <c r="W65" s="601" t="s">
        <v>225</v>
      </c>
      <c r="Y65" s="607" t="s">
        <v>1029</v>
      </c>
      <c r="Z65" s="652" t="s">
        <v>1555</v>
      </c>
      <c r="AA65" s="608" t="s">
        <v>1030</v>
      </c>
      <c r="AB65" s="608" t="s">
        <v>1031</v>
      </c>
      <c r="AC65" s="608"/>
      <c r="AD65" s="601" t="s">
        <v>1032</v>
      </c>
    </row>
    <row r="66" spans="1:30" x14ac:dyDescent="0.3">
      <c r="A66" s="678"/>
      <c r="B66" s="315" t="s">
        <v>988</v>
      </c>
      <c r="C66" s="22"/>
      <c r="H66" s="87"/>
      <c r="J66" s="198"/>
      <c r="N66" s="87"/>
      <c r="O66" s="198"/>
      <c r="R66" s="87"/>
      <c r="S66" s="198"/>
      <c r="W66" s="87"/>
      <c r="Y66" s="198"/>
      <c r="AD66" s="87"/>
    </row>
    <row r="67" spans="1:30" x14ac:dyDescent="0.3">
      <c r="A67" s="678"/>
      <c r="B67" s="31" t="s">
        <v>1082</v>
      </c>
      <c r="C67" s="29">
        <f t="shared" ref="C67:H73" si="7">C38-C9</f>
        <v>0</v>
      </c>
      <c r="D67" s="29">
        <f t="shared" si="7"/>
        <v>13876.871999999999</v>
      </c>
      <c r="E67" s="29">
        <f t="shared" si="7"/>
        <v>0</v>
      </c>
      <c r="F67" s="29">
        <f t="shared" si="7"/>
        <v>0</v>
      </c>
      <c r="G67" s="29">
        <f t="shared" si="7"/>
        <v>0</v>
      </c>
      <c r="H67" s="602">
        <f t="shared" si="7"/>
        <v>0</v>
      </c>
      <c r="I67" s="29"/>
      <c r="J67" s="609">
        <f t="shared" ref="J67:W73" si="8">J38-J9</f>
        <v>786119.98508475919</v>
      </c>
      <c r="K67" s="29">
        <f t="shared" si="8"/>
        <v>1405449.59616</v>
      </c>
      <c r="L67" s="29">
        <f t="shared" si="8"/>
        <v>0</v>
      </c>
      <c r="M67" s="29">
        <f t="shared" ca="1" si="8"/>
        <v>0.77152561346370374</v>
      </c>
      <c r="N67" s="602">
        <f t="shared" si="8"/>
        <v>0</v>
      </c>
      <c r="O67" s="609">
        <f t="shared" si="8"/>
        <v>0</v>
      </c>
      <c r="P67" s="29">
        <f t="shared" si="8"/>
        <v>0</v>
      </c>
      <c r="Q67" s="29">
        <f t="shared" si="8"/>
        <v>0</v>
      </c>
      <c r="R67" s="602">
        <f t="shared" si="8"/>
        <v>0</v>
      </c>
      <c r="S67" s="609">
        <f t="shared" si="8"/>
        <v>0</v>
      </c>
      <c r="T67" s="29">
        <f t="shared" si="8"/>
        <v>0</v>
      </c>
      <c r="U67" s="29">
        <f t="shared" si="8"/>
        <v>0</v>
      </c>
      <c r="V67" s="29">
        <f t="shared" si="8"/>
        <v>0</v>
      </c>
      <c r="W67" s="602">
        <f t="shared" si="8"/>
        <v>0</v>
      </c>
      <c r="X67" s="29"/>
      <c r="Y67" s="609">
        <f t="shared" ref="Y67:AC73" si="9">Y38-Y9</f>
        <v>0</v>
      </c>
      <c r="Z67" s="609">
        <f t="shared" ref="Z67" si="10">Z38-Z9</f>
        <v>0</v>
      </c>
      <c r="AA67" s="29">
        <f t="shared" si="9"/>
        <v>0</v>
      </c>
      <c r="AB67" s="29">
        <f t="shared" si="9"/>
        <v>0</v>
      </c>
      <c r="AC67" s="29">
        <f t="shared" ca="1" si="9"/>
        <v>0</v>
      </c>
      <c r="AD67" s="602">
        <f t="shared" ref="AD67:AD73" si="11">AD38-AD9</f>
        <v>0</v>
      </c>
    </row>
    <row r="68" spans="1:30" x14ac:dyDescent="0.3">
      <c r="A68" s="678"/>
      <c r="B68" s="31" t="s">
        <v>1083</v>
      </c>
      <c r="C68" s="29">
        <f t="shared" si="7"/>
        <v>0</v>
      </c>
      <c r="D68" s="29">
        <f t="shared" si="7"/>
        <v>27753.72</v>
      </c>
      <c r="E68" s="29">
        <f t="shared" si="7"/>
        <v>0</v>
      </c>
      <c r="F68" s="29">
        <f t="shared" si="7"/>
        <v>0</v>
      </c>
      <c r="G68" s="29">
        <f t="shared" si="7"/>
        <v>0</v>
      </c>
      <c r="H68" s="602">
        <f t="shared" si="7"/>
        <v>0</v>
      </c>
      <c r="I68" s="29"/>
      <c r="J68" s="609">
        <f t="shared" ref="J68:W68" si="12">J39-J10</f>
        <v>1572238.6105778439</v>
      </c>
      <c r="K68" s="29">
        <f t="shared" si="12"/>
        <v>2810896.7616000003</v>
      </c>
      <c r="L68" s="29">
        <f t="shared" si="12"/>
        <v>0</v>
      </c>
      <c r="M68" s="29">
        <f t="shared" ca="1" si="8"/>
        <v>1.543049892576646</v>
      </c>
      <c r="N68" s="602">
        <f t="shared" si="12"/>
        <v>0</v>
      </c>
      <c r="O68" s="609">
        <f t="shared" si="12"/>
        <v>0</v>
      </c>
      <c r="P68" s="29">
        <f t="shared" si="12"/>
        <v>0</v>
      </c>
      <c r="Q68" s="29">
        <f t="shared" si="12"/>
        <v>0</v>
      </c>
      <c r="R68" s="602">
        <f t="shared" si="12"/>
        <v>0</v>
      </c>
      <c r="S68" s="609">
        <f t="shared" si="12"/>
        <v>0</v>
      </c>
      <c r="T68" s="29">
        <f t="shared" si="12"/>
        <v>0</v>
      </c>
      <c r="U68" s="29">
        <f t="shared" si="12"/>
        <v>0</v>
      </c>
      <c r="V68" s="29">
        <f t="shared" si="12"/>
        <v>0</v>
      </c>
      <c r="W68" s="602">
        <f t="shared" si="12"/>
        <v>0</v>
      </c>
      <c r="X68" s="29"/>
      <c r="Y68" s="609">
        <f t="shared" si="9"/>
        <v>0</v>
      </c>
      <c r="Z68" s="609">
        <f t="shared" ref="Z68" si="13">Z39-Z10</f>
        <v>0</v>
      </c>
      <c r="AA68" s="29">
        <f t="shared" si="9"/>
        <v>0</v>
      </c>
      <c r="AB68" s="29">
        <f t="shared" si="9"/>
        <v>0</v>
      </c>
      <c r="AC68" s="29">
        <f t="shared" ca="1" si="9"/>
        <v>0</v>
      </c>
      <c r="AD68" s="602">
        <f t="shared" si="11"/>
        <v>0</v>
      </c>
    </row>
    <row r="69" spans="1:30" x14ac:dyDescent="0.3">
      <c r="A69" s="678"/>
      <c r="B69" s="31" t="s">
        <v>1084</v>
      </c>
      <c r="C69" s="29">
        <f t="shared" si="7"/>
        <v>0</v>
      </c>
      <c r="D69" s="29">
        <f t="shared" si="7"/>
        <v>83261.184000000008</v>
      </c>
      <c r="E69" s="29">
        <f t="shared" si="7"/>
        <v>0</v>
      </c>
      <c r="F69" s="29">
        <f t="shared" si="7"/>
        <v>0</v>
      </c>
      <c r="G69" s="29">
        <f t="shared" si="7"/>
        <v>0</v>
      </c>
      <c r="H69" s="602">
        <f t="shared" si="7"/>
        <v>0</v>
      </c>
      <c r="I69" s="29"/>
      <c r="J69" s="609">
        <f t="shared" ref="J69:W69" si="14">J40-J11</f>
        <v>4716717.1913252063</v>
      </c>
      <c r="K69" s="29">
        <f t="shared" si="14"/>
        <v>8432692.7155200001</v>
      </c>
      <c r="L69" s="29">
        <f t="shared" si="14"/>
        <v>0</v>
      </c>
      <c r="M69" s="29">
        <f t="shared" ca="1" si="8"/>
        <v>4.6291510120807002</v>
      </c>
      <c r="N69" s="602">
        <f t="shared" si="14"/>
        <v>0</v>
      </c>
      <c r="O69" s="609">
        <f t="shared" si="14"/>
        <v>0</v>
      </c>
      <c r="P69" s="29">
        <f t="shared" si="14"/>
        <v>0</v>
      </c>
      <c r="Q69" s="29">
        <f t="shared" si="14"/>
        <v>0</v>
      </c>
      <c r="R69" s="602">
        <f t="shared" si="14"/>
        <v>0</v>
      </c>
      <c r="S69" s="609">
        <f t="shared" si="14"/>
        <v>0</v>
      </c>
      <c r="T69" s="29">
        <f t="shared" si="14"/>
        <v>0</v>
      </c>
      <c r="U69" s="29">
        <f t="shared" si="14"/>
        <v>0</v>
      </c>
      <c r="V69" s="29">
        <f t="shared" si="14"/>
        <v>0</v>
      </c>
      <c r="W69" s="602">
        <f t="shared" si="14"/>
        <v>0</v>
      </c>
      <c r="X69" s="29"/>
      <c r="Y69" s="609">
        <f t="shared" si="9"/>
        <v>0</v>
      </c>
      <c r="Z69" s="609">
        <f t="shared" ref="Z69" si="15">Z40-Z11</f>
        <v>0</v>
      </c>
      <c r="AA69" s="29">
        <f t="shared" si="9"/>
        <v>0</v>
      </c>
      <c r="AB69" s="29">
        <f t="shared" si="9"/>
        <v>0</v>
      </c>
      <c r="AC69" s="29">
        <f t="shared" ca="1" si="9"/>
        <v>0</v>
      </c>
      <c r="AD69" s="602">
        <f t="shared" si="11"/>
        <v>0</v>
      </c>
    </row>
    <row r="70" spans="1:30" x14ac:dyDescent="0.3">
      <c r="A70" s="678"/>
      <c r="B70" s="31" t="s">
        <v>1085</v>
      </c>
      <c r="C70" s="29">
        <f t="shared" si="7"/>
        <v>0</v>
      </c>
      <c r="D70" s="29">
        <f t="shared" si="7"/>
        <v>0</v>
      </c>
      <c r="E70" s="29">
        <f t="shared" si="7"/>
        <v>0</v>
      </c>
      <c r="F70" s="29">
        <f t="shared" si="7"/>
        <v>0</v>
      </c>
      <c r="G70" s="29">
        <f t="shared" si="7"/>
        <v>0</v>
      </c>
      <c r="H70" s="602">
        <f t="shared" si="7"/>
        <v>0</v>
      </c>
      <c r="I70" s="29"/>
      <c r="J70" s="609">
        <f t="shared" ref="J70:W70" si="16">J41-J12</f>
        <v>0</v>
      </c>
      <c r="K70" s="29">
        <f t="shared" si="16"/>
        <v>0</v>
      </c>
      <c r="L70" s="29">
        <f t="shared" si="16"/>
        <v>0</v>
      </c>
      <c r="M70" s="29">
        <f t="shared" ca="1" si="8"/>
        <v>0</v>
      </c>
      <c r="N70" s="602">
        <f t="shared" si="16"/>
        <v>0</v>
      </c>
      <c r="O70" s="609">
        <f t="shared" si="16"/>
        <v>0</v>
      </c>
      <c r="P70" s="29">
        <f t="shared" si="16"/>
        <v>0</v>
      </c>
      <c r="Q70" s="29">
        <f t="shared" si="16"/>
        <v>0</v>
      </c>
      <c r="R70" s="602">
        <f t="shared" si="16"/>
        <v>0</v>
      </c>
      <c r="S70" s="609">
        <f t="shared" si="16"/>
        <v>0</v>
      </c>
      <c r="T70" s="29">
        <f t="shared" si="16"/>
        <v>0</v>
      </c>
      <c r="U70" s="29">
        <f t="shared" si="16"/>
        <v>0</v>
      </c>
      <c r="V70" s="29">
        <f t="shared" si="16"/>
        <v>0</v>
      </c>
      <c r="W70" s="602">
        <f t="shared" si="16"/>
        <v>0</v>
      </c>
      <c r="X70" s="29"/>
      <c r="Y70" s="609">
        <f t="shared" si="9"/>
        <v>0</v>
      </c>
      <c r="Z70" s="609">
        <f t="shared" ref="Z70" si="17">Z41-Z12</f>
        <v>0</v>
      </c>
      <c r="AA70" s="29">
        <f t="shared" si="9"/>
        <v>0</v>
      </c>
      <c r="AB70" s="29">
        <f t="shared" si="9"/>
        <v>0</v>
      </c>
      <c r="AC70" s="29">
        <f t="shared" ca="1" si="9"/>
        <v>0</v>
      </c>
      <c r="AD70" s="602">
        <f t="shared" si="11"/>
        <v>0</v>
      </c>
    </row>
    <row r="71" spans="1:30" x14ac:dyDescent="0.3">
      <c r="A71" s="678"/>
      <c r="B71" s="31" t="s">
        <v>1086</v>
      </c>
      <c r="C71" s="29">
        <f t="shared" si="7"/>
        <v>0</v>
      </c>
      <c r="D71" s="29">
        <f t="shared" si="7"/>
        <v>0</v>
      </c>
      <c r="E71" s="29">
        <f t="shared" si="7"/>
        <v>0</v>
      </c>
      <c r="F71" s="29">
        <f t="shared" si="7"/>
        <v>0</v>
      </c>
      <c r="G71" s="29">
        <f t="shared" si="7"/>
        <v>0</v>
      </c>
      <c r="H71" s="602">
        <f t="shared" si="7"/>
        <v>0</v>
      </c>
      <c r="I71" s="29"/>
      <c r="J71" s="609">
        <f t="shared" ref="J71:W71" si="18">J42-J13</f>
        <v>0</v>
      </c>
      <c r="K71" s="29">
        <f t="shared" si="18"/>
        <v>0</v>
      </c>
      <c r="L71" s="29">
        <f t="shared" si="18"/>
        <v>0</v>
      </c>
      <c r="M71" s="29">
        <f t="shared" ca="1" si="8"/>
        <v>0</v>
      </c>
      <c r="N71" s="602">
        <f t="shared" si="18"/>
        <v>0</v>
      </c>
      <c r="O71" s="609">
        <f t="shared" si="18"/>
        <v>0</v>
      </c>
      <c r="P71" s="29">
        <f t="shared" si="18"/>
        <v>0</v>
      </c>
      <c r="Q71" s="29">
        <f t="shared" si="18"/>
        <v>0</v>
      </c>
      <c r="R71" s="602">
        <f t="shared" si="18"/>
        <v>0</v>
      </c>
      <c r="S71" s="609">
        <f t="shared" si="18"/>
        <v>0</v>
      </c>
      <c r="T71" s="29">
        <f t="shared" si="18"/>
        <v>0</v>
      </c>
      <c r="U71" s="29">
        <f t="shared" si="18"/>
        <v>0</v>
      </c>
      <c r="V71" s="29">
        <f t="shared" si="18"/>
        <v>0</v>
      </c>
      <c r="W71" s="602">
        <f t="shared" si="18"/>
        <v>0</v>
      </c>
      <c r="X71" s="29"/>
      <c r="Y71" s="609">
        <f t="shared" si="9"/>
        <v>0</v>
      </c>
      <c r="Z71" s="609">
        <f t="shared" ref="Z71" si="19">Z42-Z13</f>
        <v>0</v>
      </c>
      <c r="AA71" s="29">
        <f t="shared" si="9"/>
        <v>0</v>
      </c>
      <c r="AB71" s="29">
        <f t="shared" si="9"/>
        <v>0</v>
      </c>
      <c r="AC71" s="29">
        <f t="shared" ca="1" si="9"/>
        <v>0</v>
      </c>
      <c r="AD71" s="602">
        <f t="shared" si="11"/>
        <v>0</v>
      </c>
    </row>
    <row r="72" spans="1:30" x14ac:dyDescent="0.3">
      <c r="A72" s="678"/>
      <c r="B72" s="31" t="s">
        <v>1087</v>
      </c>
      <c r="C72" s="29">
        <f t="shared" si="7"/>
        <v>0</v>
      </c>
      <c r="D72" s="29">
        <f t="shared" si="7"/>
        <v>0</v>
      </c>
      <c r="E72" s="29">
        <f t="shared" si="7"/>
        <v>0</v>
      </c>
      <c r="F72" s="29">
        <f t="shared" si="7"/>
        <v>0</v>
      </c>
      <c r="G72" s="29">
        <f t="shared" si="7"/>
        <v>0</v>
      </c>
      <c r="H72" s="602">
        <f t="shared" si="7"/>
        <v>0</v>
      </c>
      <c r="I72" s="29"/>
      <c r="J72" s="609">
        <f t="shared" ref="J72:W73" si="20">J43-J14</f>
        <v>0</v>
      </c>
      <c r="K72" s="29">
        <f t="shared" si="20"/>
        <v>0</v>
      </c>
      <c r="L72" s="29">
        <f t="shared" si="20"/>
        <v>0</v>
      </c>
      <c r="M72" s="29">
        <f t="shared" ca="1" si="8"/>
        <v>0</v>
      </c>
      <c r="N72" s="602">
        <f t="shared" si="20"/>
        <v>0</v>
      </c>
      <c r="O72" s="609">
        <f t="shared" si="20"/>
        <v>0</v>
      </c>
      <c r="P72" s="29">
        <f t="shared" si="20"/>
        <v>0</v>
      </c>
      <c r="Q72" s="29">
        <f t="shared" si="20"/>
        <v>0</v>
      </c>
      <c r="R72" s="602">
        <f t="shared" si="20"/>
        <v>0</v>
      </c>
      <c r="S72" s="609">
        <f t="shared" si="20"/>
        <v>0</v>
      </c>
      <c r="T72" s="29">
        <f t="shared" si="20"/>
        <v>0</v>
      </c>
      <c r="U72" s="29">
        <f t="shared" si="20"/>
        <v>0</v>
      </c>
      <c r="V72" s="29">
        <f t="shared" si="20"/>
        <v>0</v>
      </c>
      <c r="W72" s="602">
        <f t="shared" si="20"/>
        <v>0</v>
      </c>
      <c r="X72" s="29"/>
      <c r="Y72" s="609">
        <f t="shared" si="9"/>
        <v>0</v>
      </c>
      <c r="Z72" s="609">
        <f t="shared" ref="Z72" si="21">Z43-Z14</f>
        <v>0</v>
      </c>
      <c r="AA72" s="29">
        <f t="shared" si="9"/>
        <v>0</v>
      </c>
      <c r="AB72" s="29">
        <f t="shared" si="9"/>
        <v>0</v>
      </c>
      <c r="AC72" s="29">
        <f t="shared" ca="1" si="9"/>
        <v>0</v>
      </c>
      <c r="AD72" s="602">
        <f t="shared" si="11"/>
        <v>0</v>
      </c>
    </row>
    <row r="73" spans="1:30" x14ac:dyDescent="0.3">
      <c r="A73" s="678"/>
      <c r="B73" s="31" t="s">
        <v>1443</v>
      </c>
      <c r="D73" s="29">
        <f t="shared" si="7"/>
        <v>0</v>
      </c>
      <c r="E73" s="29">
        <f t="shared" si="7"/>
        <v>0</v>
      </c>
      <c r="F73" s="29">
        <f t="shared" si="7"/>
        <v>0</v>
      </c>
      <c r="G73" s="29">
        <f t="shared" si="7"/>
        <v>0</v>
      </c>
      <c r="H73" s="602">
        <f t="shared" si="7"/>
        <v>0</v>
      </c>
      <c r="I73" s="29"/>
      <c r="J73" s="609">
        <f t="shared" ref="J73:W73" si="22">J44-J15</f>
        <v>0</v>
      </c>
      <c r="K73" s="29">
        <f t="shared" si="22"/>
        <v>0</v>
      </c>
      <c r="L73" s="29">
        <f t="shared" si="20"/>
        <v>0</v>
      </c>
      <c r="M73" s="29">
        <f t="shared" ca="1" si="8"/>
        <v>0</v>
      </c>
      <c r="N73" s="602">
        <f t="shared" si="22"/>
        <v>0</v>
      </c>
      <c r="O73" s="609">
        <f t="shared" si="22"/>
        <v>0</v>
      </c>
      <c r="P73" s="29">
        <f t="shared" si="22"/>
        <v>0</v>
      </c>
      <c r="Q73" s="29">
        <f t="shared" si="22"/>
        <v>0</v>
      </c>
      <c r="R73" s="602">
        <f t="shared" si="22"/>
        <v>0</v>
      </c>
      <c r="S73" s="609">
        <f t="shared" si="22"/>
        <v>0</v>
      </c>
      <c r="T73" s="29">
        <f t="shared" si="22"/>
        <v>0</v>
      </c>
      <c r="U73" s="29">
        <f t="shared" si="22"/>
        <v>0</v>
      </c>
      <c r="V73" s="29">
        <f t="shared" si="22"/>
        <v>0</v>
      </c>
      <c r="W73" s="602">
        <f t="shared" si="22"/>
        <v>0</v>
      </c>
      <c r="X73" s="29"/>
      <c r="Y73" s="609">
        <f t="shared" si="9"/>
        <v>0</v>
      </c>
      <c r="Z73" s="609">
        <f t="shared" ref="Z73" si="23">Z44-Z15</f>
        <v>0</v>
      </c>
      <c r="AA73" s="29">
        <f t="shared" si="9"/>
        <v>0</v>
      </c>
      <c r="AB73" s="29">
        <f t="shared" si="9"/>
        <v>0</v>
      </c>
      <c r="AC73" s="29">
        <f t="shared" ca="1" si="9"/>
        <v>0</v>
      </c>
      <c r="AD73" s="602">
        <f t="shared" si="11"/>
        <v>0</v>
      </c>
    </row>
    <row r="74" spans="1:30" x14ac:dyDescent="0.3">
      <c r="A74" s="678"/>
      <c r="B74" s="315" t="s">
        <v>1444</v>
      </c>
      <c r="C74" s="22"/>
      <c r="H74" s="87"/>
      <c r="J74" s="198"/>
      <c r="M74" s="29"/>
      <c r="N74" s="87"/>
      <c r="O74" s="198"/>
      <c r="R74" s="87"/>
      <c r="S74" s="198"/>
      <c r="W74" s="87"/>
      <c r="Y74" s="198"/>
      <c r="Z74" s="198"/>
      <c r="AD74" s="87"/>
    </row>
    <row r="75" spans="1:30" ht="17.399999999999999" customHeight="1" x14ac:dyDescent="0.3">
      <c r="A75" s="678"/>
      <c r="B75" s="31" t="s">
        <v>1082</v>
      </c>
      <c r="C75" s="29">
        <f>C44-C15</f>
        <v>0</v>
      </c>
      <c r="D75" s="29">
        <f t="shared" ref="D75:H75" si="24">D46-D17</f>
        <v>0</v>
      </c>
      <c r="E75" s="29">
        <f t="shared" si="24"/>
        <v>0</v>
      </c>
      <c r="F75" s="29">
        <f t="shared" si="24"/>
        <v>0</v>
      </c>
      <c r="G75" s="29">
        <f t="shared" si="24"/>
        <v>0</v>
      </c>
      <c r="H75" s="602">
        <f t="shared" si="24"/>
        <v>0</v>
      </c>
      <c r="I75" s="29"/>
      <c r="J75" s="609">
        <f t="shared" ref="J75:L75" ca="1" si="25">J46-J17</f>
        <v>0</v>
      </c>
      <c r="K75" s="29">
        <f t="shared" ca="1" si="25"/>
        <v>0</v>
      </c>
      <c r="L75" s="29">
        <f t="shared" si="25"/>
        <v>0</v>
      </c>
      <c r="M75" s="29">
        <f t="shared" ref="M75:M81" ca="1" si="26">M46-M17</f>
        <v>0</v>
      </c>
      <c r="N75" s="602">
        <f ca="1">G75*'Input summary'!C526</f>
        <v>0</v>
      </c>
      <c r="O75" s="609">
        <f ca="1">D75*'Input summary'!C556</f>
        <v>0</v>
      </c>
      <c r="P75" s="29">
        <f ca="1">(E75-F75)*'Input summary'!C583</f>
        <v>0</v>
      </c>
      <c r="Q75" s="29">
        <f ca="1">(F75-G75)*'Input summary'!C610</f>
        <v>0</v>
      </c>
      <c r="R75" s="602">
        <f ca="1">G75*'Input summary'!C637</f>
        <v>0</v>
      </c>
      <c r="S75" s="609">
        <f ca="1">D75*'Input summary'!C667</f>
        <v>0</v>
      </c>
      <c r="T75" s="29">
        <f ca="1">(E75-F75-G75)*'Input summary'!C694</f>
        <v>0</v>
      </c>
      <c r="U75" s="29">
        <f ca="1">(F75-G75)*'Input summary'!C721</f>
        <v>0</v>
      </c>
      <c r="V75" s="29">
        <f ca="1">G75*'Input summary'!C748</f>
        <v>0</v>
      </c>
      <c r="W75" s="602">
        <f ca="1">H75*'Input summary'!C775</f>
        <v>0</v>
      </c>
      <c r="X75" s="29"/>
      <c r="Y75" s="609">
        <f>(E75-G75)*'Input summary'!C858</f>
        <v>0</v>
      </c>
      <c r="Z75" s="609">
        <f>(F75-H75)*'Input summary'!D858</f>
        <v>0</v>
      </c>
      <c r="AA75" s="29">
        <f>G75*('Input summary'!C885)</f>
        <v>0</v>
      </c>
      <c r="AB75" s="29">
        <f>H75*'Input summary'!G912</f>
        <v>0</v>
      </c>
      <c r="AC75" s="29">
        <f t="shared" ref="AC75:AC81" ca="1" si="27">AC46-AC17</f>
        <v>0</v>
      </c>
      <c r="AD75" s="602">
        <f>H75*'Input summary'!E912</f>
        <v>0</v>
      </c>
    </row>
    <row r="76" spans="1:30" x14ac:dyDescent="0.3">
      <c r="A76" s="678"/>
      <c r="B76" s="31" t="s">
        <v>1083</v>
      </c>
      <c r="C76" s="29">
        <f t="shared" ref="C76:C78" si="28">C45-C16</f>
        <v>0</v>
      </c>
      <c r="D76" s="29">
        <f t="shared" ref="D76:H76" si="29">D47-D18</f>
        <v>0</v>
      </c>
      <c r="E76" s="29">
        <f t="shared" si="29"/>
        <v>0</v>
      </c>
      <c r="F76" s="29">
        <f t="shared" si="29"/>
        <v>0</v>
      </c>
      <c r="G76" s="29">
        <f t="shared" si="29"/>
        <v>0</v>
      </c>
      <c r="H76" s="602">
        <f t="shared" si="29"/>
        <v>0</v>
      </c>
      <c r="I76" s="29"/>
      <c r="J76" s="609">
        <f t="shared" ref="J76:L76" ca="1" si="30">J47-J18</f>
        <v>0</v>
      </c>
      <c r="K76" s="29">
        <f t="shared" ca="1" si="30"/>
        <v>0</v>
      </c>
      <c r="L76" s="29">
        <f t="shared" si="30"/>
        <v>0</v>
      </c>
      <c r="M76" s="29">
        <f t="shared" ca="1" si="26"/>
        <v>0</v>
      </c>
      <c r="N76" s="602">
        <f ca="1">G76*'Input summary'!C527</f>
        <v>0</v>
      </c>
      <c r="O76" s="609">
        <f ca="1">D76*'Input summary'!C557</f>
        <v>0</v>
      </c>
      <c r="P76" s="29">
        <f ca="1">(E76-F76)*'Input summary'!C584</f>
        <v>0</v>
      </c>
      <c r="Q76" s="29">
        <f ca="1">(F76-G76)*'Input summary'!C611</f>
        <v>0</v>
      </c>
      <c r="R76" s="602">
        <f ca="1">G76*'Input summary'!C638</f>
        <v>0</v>
      </c>
      <c r="S76" s="609">
        <f ca="1">D76*'Input summary'!C668</f>
        <v>0</v>
      </c>
      <c r="T76" s="29">
        <f ca="1">(E76-F76-G76)*'Input summary'!C695</f>
        <v>0</v>
      </c>
      <c r="U76" s="29">
        <f ca="1">(F76-G76)*'Input summary'!C722</f>
        <v>0</v>
      </c>
      <c r="V76" s="29">
        <f ca="1">G76*'Input summary'!C749</f>
        <v>0</v>
      </c>
      <c r="W76" s="602">
        <f ca="1">H76*'Input summary'!C776</f>
        <v>0</v>
      </c>
      <c r="X76" s="29"/>
      <c r="Y76" s="609">
        <f>(E76-G76)*'Input summary'!C859</f>
        <v>0</v>
      </c>
      <c r="Z76" s="609">
        <f>(F76-H76)*'Input summary'!D859</f>
        <v>0</v>
      </c>
      <c r="AA76" s="29">
        <f>G76*('Input summary'!C886)</f>
        <v>0</v>
      </c>
      <c r="AB76" s="29">
        <f>H76*'Input summary'!G913</f>
        <v>0</v>
      </c>
      <c r="AC76" s="29">
        <f t="shared" ca="1" si="27"/>
        <v>0</v>
      </c>
      <c r="AD76" s="602">
        <f>H76*'Input summary'!E913</f>
        <v>0</v>
      </c>
    </row>
    <row r="77" spans="1:30" x14ac:dyDescent="0.3">
      <c r="A77" s="678"/>
      <c r="B77" s="31" t="s">
        <v>1084</v>
      </c>
      <c r="C77" s="29">
        <f t="shared" si="28"/>
        <v>0</v>
      </c>
      <c r="D77" s="29">
        <f t="shared" ref="D77:H77" si="31">D48-D19</f>
        <v>0</v>
      </c>
      <c r="E77" s="29">
        <f t="shared" si="31"/>
        <v>0</v>
      </c>
      <c r="F77" s="29">
        <f t="shared" si="31"/>
        <v>0</v>
      </c>
      <c r="G77" s="29">
        <f t="shared" si="31"/>
        <v>0</v>
      </c>
      <c r="H77" s="602">
        <f t="shared" si="31"/>
        <v>0</v>
      </c>
      <c r="I77" s="29"/>
      <c r="J77" s="609">
        <f t="shared" ref="J77:L77" ca="1" si="32">J48-J19</f>
        <v>0</v>
      </c>
      <c r="K77" s="29">
        <f t="shared" ca="1" si="32"/>
        <v>0</v>
      </c>
      <c r="L77" s="29">
        <f t="shared" si="32"/>
        <v>0</v>
      </c>
      <c r="M77" s="29">
        <f t="shared" ca="1" si="26"/>
        <v>0</v>
      </c>
      <c r="N77" s="602">
        <f ca="1">G77*'Input summary'!C528</f>
        <v>0</v>
      </c>
      <c r="O77" s="609">
        <f ca="1">D77*'Input summary'!C558</f>
        <v>0</v>
      </c>
      <c r="P77" s="29">
        <f ca="1">(E77-F77)*'Input summary'!C585</f>
        <v>0</v>
      </c>
      <c r="Q77" s="29">
        <f ca="1">(F77-G77)*'Input summary'!C612</f>
        <v>0</v>
      </c>
      <c r="R77" s="602">
        <f ca="1">G77*'Input summary'!C639</f>
        <v>0</v>
      </c>
      <c r="S77" s="609">
        <f ca="1">D77*'Input summary'!C669</f>
        <v>0</v>
      </c>
      <c r="T77" s="29">
        <f ca="1">(E77-F77-G77)*'Input summary'!C696</f>
        <v>0</v>
      </c>
      <c r="U77" s="29">
        <f ca="1">(F77-G77)*'Input summary'!C723</f>
        <v>0</v>
      </c>
      <c r="V77" s="29">
        <f ca="1">G77*'Input summary'!C750</f>
        <v>0</v>
      </c>
      <c r="W77" s="602">
        <f ca="1">H77*'Input summary'!C777</f>
        <v>0</v>
      </c>
      <c r="X77" s="29"/>
      <c r="Y77" s="609">
        <f>(E77-G77)*'Input summary'!C860</f>
        <v>0</v>
      </c>
      <c r="Z77" s="609">
        <f>(F77-H77)*'Input summary'!D860</f>
        <v>0</v>
      </c>
      <c r="AA77" s="29">
        <f>G77*('Input summary'!C887)</f>
        <v>0</v>
      </c>
      <c r="AB77" s="29">
        <f>H77*'Input summary'!G914</f>
        <v>0</v>
      </c>
      <c r="AC77" s="29">
        <f t="shared" ca="1" si="27"/>
        <v>0</v>
      </c>
      <c r="AD77" s="602">
        <f>H77*'Input summary'!E914</f>
        <v>0</v>
      </c>
    </row>
    <row r="78" spans="1:30" x14ac:dyDescent="0.3">
      <c r="A78" s="678"/>
      <c r="B78" s="31" t="s">
        <v>1085</v>
      </c>
      <c r="C78" s="29">
        <f t="shared" si="28"/>
        <v>0</v>
      </c>
      <c r="D78" s="29">
        <f t="shared" ref="D78:H78" si="33">D49-D20</f>
        <v>0</v>
      </c>
      <c r="E78" s="29">
        <f t="shared" si="33"/>
        <v>0</v>
      </c>
      <c r="F78" s="29">
        <f t="shared" si="33"/>
        <v>0</v>
      </c>
      <c r="G78" s="29">
        <f t="shared" si="33"/>
        <v>0</v>
      </c>
      <c r="H78" s="602">
        <f t="shared" si="33"/>
        <v>0</v>
      </c>
      <c r="I78" s="29"/>
      <c r="J78" s="609">
        <f t="shared" ref="J78:L78" ca="1" si="34">J49-J20</f>
        <v>0</v>
      </c>
      <c r="K78" s="29">
        <f t="shared" ca="1" si="34"/>
        <v>0</v>
      </c>
      <c r="L78" s="29">
        <f t="shared" si="34"/>
        <v>0</v>
      </c>
      <c r="M78" s="29">
        <f t="shared" ca="1" si="26"/>
        <v>0</v>
      </c>
      <c r="N78" s="602">
        <f ca="1">G78*'Input summary'!C529</f>
        <v>0</v>
      </c>
      <c r="O78" s="609">
        <f>D78*'Input summary'!C559</f>
        <v>0</v>
      </c>
      <c r="P78" s="29">
        <f>(E78-F78)*'Input summary'!C586</f>
        <v>0</v>
      </c>
      <c r="Q78" s="29">
        <f ca="1">(F78-G78)*'Input summary'!C613</f>
        <v>0</v>
      </c>
      <c r="R78" s="602">
        <f ca="1">G78*'Input summary'!C640</f>
        <v>0</v>
      </c>
      <c r="S78" s="609">
        <f>D78*'Input summary'!C670</f>
        <v>0</v>
      </c>
      <c r="T78" s="29">
        <f>(E78-F78-G78)*'Input summary'!C697</f>
        <v>0</v>
      </c>
      <c r="U78" s="29">
        <f>(F78-G78)*'Input summary'!C724</f>
        <v>0</v>
      </c>
      <c r="V78" s="29">
        <f ca="1">G78*'Input summary'!C751</f>
        <v>0</v>
      </c>
      <c r="W78" s="602">
        <f ca="1">H78*'Input summary'!C778</f>
        <v>0</v>
      </c>
      <c r="X78" s="29"/>
      <c r="Y78" s="609">
        <f>(E78-G78)*'Input summary'!C861</f>
        <v>0</v>
      </c>
      <c r="Z78" s="609">
        <f>(F78-H78)*'Input summary'!D861</f>
        <v>0</v>
      </c>
      <c r="AA78" s="29">
        <f>G78*('Input summary'!C888)</f>
        <v>0</v>
      </c>
      <c r="AB78" s="29">
        <f>H78*'Input summary'!G915</f>
        <v>0</v>
      </c>
      <c r="AC78" s="29">
        <f t="shared" ca="1" si="27"/>
        <v>0</v>
      </c>
      <c r="AD78" s="602">
        <f>H78*'Input summary'!E915</f>
        <v>0</v>
      </c>
    </row>
    <row r="79" spans="1:30" x14ac:dyDescent="0.3">
      <c r="A79" s="678"/>
      <c r="B79" s="31" t="s">
        <v>1086</v>
      </c>
      <c r="C79" s="29">
        <f>'General input'!H111</f>
        <v>0</v>
      </c>
      <c r="D79" s="29">
        <f t="shared" ref="D79:H79" si="35">D50-D21</f>
        <v>0</v>
      </c>
      <c r="E79" s="29">
        <f t="shared" si="35"/>
        <v>0</v>
      </c>
      <c r="F79" s="29">
        <f t="shared" si="35"/>
        <v>0</v>
      </c>
      <c r="G79" s="29">
        <f t="shared" si="35"/>
        <v>0</v>
      </c>
      <c r="H79" s="602">
        <f t="shared" si="35"/>
        <v>0</v>
      </c>
      <c r="I79" s="29"/>
      <c r="J79" s="609">
        <f t="shared" ref="J79:L79" ca="1" si="36">J50-J21</f>
        <v>0</v>
      </c>
      <c r="K79" s="29">
        <f t="shared" ca="1" si="36"/>
        <v>0</v>
      </c>
      <c r="L79" s="29">
        <f t="shared" si="36"/>
        <v>0</v>
      </c>
      <c r="M79" s="29">
        <f t="shared" ca="1" si="26"/>
        <v>0</v>
      </c>
      <c r="N79" s="602">
        <f ca="1">G79*'Input summary'!C530</f>
        <v>0</v>
      </c>
      <c r="O79" s="609">
        <f ca="1">D79*'Input summary'!C560</f>
        <v>0</v>
      </c>
      <c r="P79" s="29">
        <f ca="1">(E79-F79)*'Input summary'!C587</f>
        <v>0</v>
      </c>
      <c r="Q79" s="29">
        <f ca="1">(F79-G79)*'Input summary'!C614</f>
        <v>0</v>
      </c>
      <c r="R79" s="602">
        <f ca="1">G79*'Input summary'!C641</f>
        <v>0</v>
      </c>
      <c r="S79" s="609">
        <f ca="1">D79*'Input summary'!C671</f>
        <v>0</v>
      </c>
      <c r="T79" s="29">
        <f ca="1">(E79-F79-G79)*'Input summary'!C698</f>
        <v>0</v>
      </c>
      <c r="U79" s="29">
        <f ca="1">(F79-G79)*'Input summary'!C725</f>
        <v>0</v>
      </c>
      <c r="V79" s="29">
        <f ca="1">G79*'Input summary'!C752</f>
        <v>0</v>
      </c>
      <c r="W79" s="602">
        <f ca="1">H79*'Input summary'!C779</f>
        <v>0</v>
      </c>
      <c r="X79" s="29"/>
      <c r="Y79" s="609">
        <f>(E79-G79)*'Input summary'!C862</f>
        <v>0</v>
      </c>
      <c r="Z79" s="609">
        <f>(F79-H79)*'Input summary'!D862</f>
        <v>0</v>
      </c>
      <c r="AA79" s="29">
        <f>G79*('Input summary'!C889)</f>
        <v>0</v>
      </c>
      <c r="AB79" s="29">
        <f>H79*'Input summary'!G916</f>
        <v>0</v>
      </c>
      <c r="AC79" s="29">
        <f t="shared" ca="1" si="27"/>
        <v>0</v>
      </c>
      <c r="AD79" s="602">
        <f>H79*'Input summary'!E916</f>
        <v>0</v>
      </c>
    </row>
    <row r="80" spans="1:30" x14ac:dyDescent="0.3">
      <c r="A80" s="678"/>
      <c r="B80" s="31" t="s">
        <v>1087</v>
      </c>
      <c r="C80" s="29">
        <f>'General input'!H112</f>
        <v>0</v>
      </c>
      <c r="D80" s="29">
        <f t="shared" ref="D80:H80" si="37">D51-D22</f>
        <v>0</v>
      </c>
      <c r="E80" s="29">
        <f t="shared" si="37"/>
        <v>0</v>
      </c>
      <c r="F80" s="29">
        <f t="shared" si="37"/>
        <v>0</v>
      </c>
      <c r="G80" s="29">
        <f t="shared" si="37"/>
        <v>0</v>
      </c>
      <c r="H80" s="602">
        <f t="shared" si="37"/>
        <v>0</v>
      </c>
      <c r="I80" s="29"/>
      <c r="J80" s="609">
        <f t="shared" ref="J80:L80" ca="1" si="38">J51-J22</f>
        <v>0</v>
      </c>
      <c r="K80" s="29">
        <f t="shared" ca="1" si="38"/>
        <v>0</v>
      </c>
      <c r="L80" s="29">
        <f t="shared" si="38"/>
        <v>0</v>
      </c>
      <c r="M80" s="29">
        <f t="shared" ca="1" si="26"/>
        <v>0</v>
      </c>
      <c r="N80" s="602">
        <f ca="1">G80*'Input summary'!C531</f>
        <v>0</v>
      </c>
      <c r="O80" s="609">
        <f ca="1">D80*'Input summary'!C561</f>
        <v>0</v>
      </c>
      <c r="P80" s="29">
        <f ca="1">(E80-F80)*'Input summary'!C588</f>
        <v>0</v>
      </c>
      <c r="Q80" s="29">
        <f ca="1">(F80-G80)*'Input summary'!C615</f>
        <v>0</v>
      </c>
      <c r="R80" s="602">
        <f ca="1">G80*'Input summary'!C642</f>
        <v>0</v>
      </c>
      <c r="S80" s="609">
        <f ca="1">D80*'Input summary'!C672</f>
        <v>0</v>
      </c>
      <c r="T80" s="29">
        <f ca="1">(E80-F80-G80)*'Input summary'!C699</f>
        <v>0</v>
      </c>
      <c r="U80" s="29">
        <f ca="1">(F80-G80)*'Input summary'!C726</f>
        <v>0</v>
      </c>
      <c r="V80" s="29">
        <f>G80*'Input summary'!C753</f>
        <v>0</v>
      </c>
      <c r="W80" s="602">
        <f>H80*'Input summary'!C780</f>
        <v>0</v>
      </c>
      <c r="X80" s="29"/>
      <c r="Y80" s="609">
        <f>(E80-G80)*'Input summary'!C863</f>
        <v>0</v>
      </c>
      <c r="Z80" s="609">
        <f>(F80-H80)*'Input summary'!D863</f>
        <v>0</v>
      </c>
      <c r="AA80" s="29">
        <f>G80*('Input summary'!C890)</f>
        <v>0</v>
      </c>
      <c r="AB80" s="29">
        <f>H80*'Input summary'!G917</f>
        <v>0</v>
      </c>
      <c r="AC80" s="29">
        <f t="shared" ca="1" si="27"/>
        <v>0</v>
      </c>
      <c r="AD80" s="602">
        <f>H80*'Input summary'!E917</f>
        <v>0</v>
      </c>
    </row>
    <row r="81" spans="1:30" x14ac:dyDescent="0.3">
      <c r="A81" s="678"/>
      <c r="B81" s="31" t="s">
        <v>1443</v>
      </c>
      <c r="C81" s="29">
        <f>'General input'!H113</f>
        <v>0</v>
      </c>
      <c r="D81" s="29">
        <f t="shared" ref="D81:H81" si="39">D52-D23</f>
        <v>0</v>
      </c>
      <c r="E81" s="29">
        <f t="shared" si="39"/>
        <v>0</v>
      </c>
      <c r="F81" s="29">
        <f t="shared" si="39"/>
        <v>0</v>
      </c>
      <c r="G81" s="29">
        <f t="shared" si="39"/>
        <v>0</v>
      </c>
      <c r="H81" s="602">
        <f t="shared" si="39"/>
        <v>0</v>
      </c>
      <c r="I81" s="29"/>
      <c r="J81" s="609">
        <f t="shared" ref="J81:L81" ca="1" si="40">J52-J23</f>
        <v>0</v>
      </c>
      <c r="K81" s="29">
        <f t="shared" ca="1" si="40"/>
        <v>0</v>
      </c>
      <c r="L81" s="29">
        <f t="shared" si="40"/>
        <v>0</v>
      </c>
      <c r="M81" s="29">
        <f t="shared" ca="1" si="26"/>
        <v>0</v>
      </c>
      <c r="N81" s="602">
        <f>G81*'Input summary'!C532</f>
        <v>0</v>
      </c>
      <c r="O81" s="609">
        <f ca="1">D81*'Input summary'!C562</f>
        <v>0</v>
      </c>
      <c r="P81" s="29">
        <f ca="1">(E81-F81)*'Input summary'!C589</f>
        <v>0</v>
      </c>
      <c r="Q81" s="29">
        <f>(F81-G81)*'Input summary'!C616</f>
        <v>0</v>
      </c>
      <c r="R81" s="602">
        <f>G81*'Input summary'!C643</f>
        <v>0</v>
      </c>
      <c r="S81" s="609">
        <f ca="1">D81*'Input summary'!C673</f>
        <v>0</v>
      </c>
      <c r="T81" s="29">
        <f ca="1">(E81-F81-G81)*'Input summary'!C700</f>
        <v>0</v>
      </c>
      <c r="U81" s="29">
        <f ca="1">(F81-G81)*'Input summary'!C727</f>
        <v>0</v>
      </c>
      <c r="V81" s="29">
        <f ca="1">G81*'Input summary'!C754</f>
        <v>0</v>
      </c>
      <c r="W81" s="602">
        <f ca="1">H81*'Input summary'!C781</f>
        <v>0</v>
      </c>
      <c r="X81" s="29"/>
      <c r="Y81" s="609">
        <f>(E81-G81)*'Input summary'!C864</f>
        <v>0</v>
      </c>
      <c r="Z81" s="609">
        <f>(F81-H81)*'Input summary'!D864</f>
        <v>0</v>
      </c>
      <c r="AA81" s="29">
        <f>G81*('Input summary'!C891)</f>
        <v>0</v>
      </c>
      <c r="AB81" s="29">
        <f>H81*'Input summary'!G918</f>
        <v>0</v>
      </c>
      <c r="AC81" s="29">
        <f t="shared" ca="1" si="27"/>
        <v>0</v>
      </c>
      <c r="AD81" s="602">
        <f>H81*'Input summary'!E918</f>
        <v>0</v>
      </c>
    </row>
    <row r="82" spans="1:30" x14ac:dyDescent="0.3">
      <c r="A82" s="678"/>
      <c r="B82" s="405" t="s">
        <v>227</v>
      </c>
      <c r="C82" s="29"/>
      <c r="D82" s="29"/>
      <c r="E82" s="29"/>
      <c r="F82" s="29"/>
      <c r="G82" s="29"/>
      <c r="H82" s="602"/>
      <c r="I82" s="29"/>
      <c r="J82" s="609"/>
      <c r="K82" s="29"/>
      <c r="L82" s="29"/>
      <c r="M82" s="29"/>
      <c r="N82" s="602"/>
      <c r="O82" s="609"/>
      <c r="P82" s="29"/>
      <c r="Q82" s="29"/>
      <c r="R82" s="602"/>
      <c r="S82" s="609"/>
      <c r="T82" s="29"/>
      <c r="U82" s="29"/>
      <c r="V82" s="29"/>
      <c r="W82" s="602"/>
      <c r="X82" s="29"/>
      <c r="Y82" s="609"/>
      <c r="Z82" s="609"/>
      <c r="AA82" s="29"/>
      <c r="AB82" s="29"/>
      <c r="AC82" s="29"/>
      <c r="AD82" s="602"/>
    </row>
    <row r="83" spans="1:30" x14ac:dyDescent="0.3">
      <c r="A83" s="678"/>
      <c r="B83" s="31" t="s">
        <v>1437</v>
      </c>
      <c r="C83" s="29">
        <f>C54-C25</f>
        <v>0</v>
      </c>
      <c r="D83" s="29">
        <f t="shared" ref="C83:H86" si="41">D54-D25</f>
        <v>0</v>
      </c>
      <c r="E83" s="29">
        <f t="shared" si="41"/>
        <v>0</v>
      </c>
      <c r="F83" s="29">
        <f t="shared" si="41"/>
        <v>0</v>
      </c>
      <c r="G83" s="29">
        <f t="shared" si="41"/>
        <v>0</v>
      </c>
      <c r="H83" s="602">
        <f t="shared" si="41"/>
        <v>0</v>
      </c>
      <c r="I83" s="29"/>
      <c r="J83" s="609">
        <f t="shared" ref="J83:W86" si="42">J54-J25</f>
        <v>0</v>
      </c>
      <c r="K83" s="29">
        <f t="shared" si="42"/>
        <v>0</v>
      </c>
      <c r="L83" s="29">
        <f t="shared" si="42"/>
        <v>0</v>
      </c>
      <c r="M83" s="29">
        <f t="shared" ca="1" si="42"/>
        <v>0</v>
      </c>
      <c r="N83" s="602">
        <f t="shared" si="42"/>
        <v>0</v>
      </c>
      <c r="O83" s="609">
        <f t="shared" si="42"/>
        <v>0</v>
      </c>
      <c r="P83" s="29">
        <f t="shared" si="42"/>
        <v>0</v>
      </c>
      <c r="Q83" s="29">
        <f t="shared" si="42"/>
        <v>0</v>
      </c>
      <c r="R83" s="602">
        <f t="shared" si="42"/>
        <v>0</v>
      </c>
      <c r="S83" s="609">
        <f t="shared" si="42"/>
        <v>0</v>
      </c>
      <c r="T83" s="29">
        <f t="shared" si="42"/>
        <v>0</v>
      </c>
      <c r="U83" s="29">
        <f t="shared" si="42"/>
        <v>0</v>
      </c>
      <c r="V83" s="29">
        <f t="shared" si="42"/>
        <v>0</v>
      </c>
      <c r="W83" s="602">
        <f t="shared" si="42"/>
        <v>0</v>
      </c>
      <c r="X83" s="29"/>
      <c r="Y83" s="609">
        <f t="shared" ref="Y83:AC86" si="43">Y54-Y25</f>
        <v>0</v>
      </c>
      <c r="Z83" s="609">
        <f t="shared" ref="Z83" si="44">Z54-Z25</f>
        <v>0</v>
      </c>
      <c r="AA83" s="29">
        <f t="shared" si="43"/>
        <v>0</v>
      </c>
      <c r="AB83" s="29">
        <f t="shared" si="43"/>
        <v>0</v>
      </c>
      <c r="AC83" s="29">
        <f t="shared" ca="1" si="43"/>
        <v>0</v>
      </c>
      <c r="AD83" s="602">
        <f>AD54-AD25</f>
        <v>0</v>
      </c>
    </row>
    <row r="84" spans="1:30" x14ac:dyDescent="0.3">
      <c r="A84" s="678"/>
      <c r="B84" s="31" t="s">
        <v>1438</v>
      </c>
      <c r="C84" s="29">
        <f>C55-C26</f>
        <v>0</v>
      </c>
      <c r="D84" s="29">
        <f t="shared" si="41"/>
        <v>0</v>
      </c>
      <c r="E84" s="29">
        <f t="shared" si="41"/>
        <v>0</v>
      </c>
      <c r="F84" s="29">
        <f t="shared" si="41"/>
        <v>0</v>
      </c>
      <c r="G84" s="29">
        <f t="shared" si="41"/>
        <v>0</v>
      </c>
      <c r="H84" s="602">
        <f t="shared" si="41"/>
        <v>0</v>
      </c>
      <c r="I84" s="29"/>
      <c r="J84" s="609">
        <f t="shared" ref="J84:W84" si="45">J55-J26</f>
        <v>0</v>
      </c>
      <c r="K84" s="29">
        <f t="shared" si="45"/>
        <v>0</v>
      </c>
      <c r="L84" s="29">
        <f t="shared" si="45"/>
        <v>0</v>
      </c>
      <c r="M84" s="29">
        <f t="shared" ca="1" si="42"/>
        <v>0</v>
      </c>
      <c r="N84" s="602">
        <f t="shared" si="45"/>
        <v>0</v>
      </c>
      <c r="O84" s="609">
        <f t="shared" si="45"/>
        <v>0</v>
      </c>
      <c r="P84" s="29">
        <f t="shared" si="45"/>
        <v>0</v>
      </c>
      <c r="Q84" s="29">
        <f t="shared" si="45"/>
        <v>0</v>
      </c>
      <c r="R84" s="602">
        <f t="shared" si="45"/>
        <v>0</v>
      </c>
      <c r="S84" s="609">
        <f t="shared" si="45"/>
        <v>0</v>
      </c>
      <c r="T84" s="29">
        <f t="shared" si="45"/>
        <v>0</v>
      </c>
      <c r="U84" s="29">
        <f t="shared" si="45"/>
        <v>0</v>
      </c>
      <c r="V84" s="29">
        <f t="shared" si="45"/>
        <v>0</v>
      </c>
      <c r="W84" s="602">
        <f t="shared" si="45"/>
        <v>0</v>
      </c>
      <c r="X84" s="29"/>
      <c r="Y84" s="609">
        <f t="shared" si="43"/>
        <v>0</v>
      </c>
      <c r="Z84" s="609">
        <f t="shared" ref="Z84" si="46">Z55-Z26</f>
        <v>0</v>
      </c>
      <c r="AA84" s="29">
        <f t="shared" si="43"/>
        <v>0</v>
      </c>
      <c r="AB84" s="29">
        <f t="shared" si="43"/>
        <v>0</v>
      </c>
      <c r="AC84" s="29">
        <f t="shared" ca="1" si="43"/>
        <v>0</v>
      </c>
      <c r="AD84" s="602">
        <f>AD55-AD26</f>
        <v>0</v>
      </c>
    </row>
    <row r="85" spans="1:30" x14ac:dyDescent="0.3">
      <c r="A85" s="678"/>
      <c r="B85" s="31" t="s">
        <v>1441</v>
      </c>
      <c r="C85" s="29">
        <f t="shared" si="41"/>
        <v>0</v>
      </c>
      <c r="D85" s="29">
        <f t="shared" si="41"/>
        <v>0</v>
      </c>
      <c r="E85" s="29">
        <f t="shared" si="41"/>
        <v>0</v>
      </c>
      <c r="F85" s="29">
        <f t="shared" si="41"/>
        <v>0</v>
      </c>
      <c r="G85" s="29">
        <f t="shared" si="41"/>
        <v>0</v>
      </c>
      <c r="H85" s="602">
        <f t="shared" si="41"/>
        <v>0</v>
      </c>
      <c r="I85" s="29"/>
      <c r="J85" s="609">
        <f t="shared" ref="J85:W85" si="47">J56-J27</f>
        <v>0</v>
      </c>
      <c r="K85" s="29">
        <f t="shared" si="47"/>
        <v>0</v>
      </c>
      <c r="L85" s="29">
        <f t="shared" si="47"/>
        <v>0</v>
      </c>
      <c r="M85" s="29">
        <f t="shared" ca="1" si="42"/>
        <v>0</v>
      </c>
      <c r="N85" s="602">
        <f t="shared" si="47"/>
        <v>0</v>
      </c>
      <c r="O85" s="609">
        <f t="shared" si="47"/>
        <v>0</v>
      </c>
      <c r="P85" s="29">
        <f t="shared" si="47"/>
        <v>0</v>
      </c>
      <c r="Q85" s="29">
        <f t="shared" si="47"/>
        <v>0</v>
      </c>
      <c r="R85" s="602">
        <f t="shared" si="47"/>
        <v>0</v>
      </c>
      <c r="S85" s="609">
        <f t="shared" si="47"/>
        <v>0</v>
      </c>
      <c r="T85" s="29">
        <f t="shared" si="47"/>
        <v>0</v>
      </c>
      <c r="U85" s="29">
        <f t="shared" si="47"/>
        <v>0</v>
      </c>
      <c r="V85" s="29">
        <f t="shared" si="47"/>
        <v>0</v>
      </c>
      <c r="W85" s="602">
        <f t="shared" si="47"/>
        <v>0</v>
      </c>
      <c r="X85" s="29"/>
      <c r="Y85" s="609">
        <f t="shared" si="43"/>
        <v>0</v>
      </c>
      <c r="Z85" s="609">
        <f t="shared" ref="Z85" si="48">Z56-Z27</f>
        <v>0</v>
      </c>
      <c r="AA85" s="29">
        <f t="shared" si="43"/>
        <v>0</v>
      </c>
      <c r="AB85" s="29">
        <f t="shared" si="43"/>
        <v>0</v>
      </c>
      <c r="AC85" s="29">
        <f t="shared" ca="1" si="43"/>
        <v>0</v>
      </c>
      <c r="AD85" s="602">
        <f>AD56-AD27</f>
        <v>0</v>
      </c>
    </row>
    <row r="86" spans="1:30" x14ac:dyDescent="0.3">
      <c r="A86" s="678"/>
      <c r="B86" s="31" t="s">
        <v>1442</v>
      </c>
      <c r="C86" s="29">
        <f t="shared" si="41"/>
        <v>0</v>
      </c>
      <c r="D86" s="29">
        <f t="shared" si="41"/>
        <v>0</v>
      </c>
      <c r="E86" s="29">
        <f t="shared" si="41"/>
        <v>0</v>
      </c>
      <c r="F86" s="29">
        <f t="shared" si="41"/>
        <v>0</v>
      </c>
      <c r="G86" s="29">
        <f t="shared" si="41"/>
        <v>0</v>
      </c>
      <c r="H86" s="602">
        <f t="shared" si="41"/>
        <v>0</v>
      </c>
      <c r="I86" s="29"/>
      <c r="J86" s="609">
        <f t="shared" ref="J86:W86" si="49">J57-J28</f>
        <v>0</v>
      </c>
      <c r="K86" s="29">
        <f t="shared" si="49"/>
        <v>0</v>
      </c>
      <c r="L86" s="29">
        <f t="shared" si="49"/>
        <v>0</v>
      </c>
      <c r="M86" s="29">
        <f t="shared" ca="1" si="42"/>
        <v>0</v>
      </c>
      <c r="N86" s="602">
        <f t="shared" si="49"/>
        <v>0</v>
      </c>
      <c r="O86" s="609">
        <f t="shared" si="49"/>
        <v>0</v>
      </c>
      <c r="P86" s="29">
        <f t="shared" si="49"/>
        <v>0</v>
      </c>
      <c r="Q86" s="29">
        <f t="shared" si="49"/>
        <v>0</v>
      </c>
      <c r="R86" s="602">
        <f t="shared" si="49"/>
        <v>0</v>
      </c>
      <c r="S86" s="609">
        <f t="shared" si="49"/>
        <v>0</v>
      </c>
      <c r="T86" s="29">
        <f t="shared" si="49"/>
        <v>0</v>
      </c>
      <c r="U86" s="29">
        <f t="shared" si="49"/>
        <v>0</v>
      </c>
      <c r="V86" s="29">
        <f t="shared" si="49"/>
        <v>0</v>
      </c>
      <c r="W86" s="602">
        <f t="shared" si="49"/>
        <v>0</v>
      </c>
      <c r="X86" s="29"/>
      <c r="Y86" s="609">
        <f t="shared" si="43"/>
        <v>0</v>
      </c>
      <c r="Z86" s="609">
        <f t="shared" ref="Z86" si="50">Z57-Z28</f>
        <v>0</v>
      </c>
      <c r="AA86" s="29">
        <f t="shared" si="43"/>
        <v>0</v>
      </c>
      <c r="AB86" s="29">
        <f t="shared" si="43"/>
        <v>0</v>
      </c>
      <c r="AC86" s="29">
        <f t="shared" ca="1" si="43"/>
        <v>0</v>
      </c>
      <c r="AD86" s="602">
        <f>AD57-AD28</f>
        <v>0</v>
      </c>
    </row>
    <row r="87" spans="1:30" x14ac:dyDescent="0.3">
      <c r="A87" s="678"/>
      <c r="B87" s="405" t="s">
        <v>920</v>
      </c>
      <c r="C87" s="29"/>
      <c r="D87" s="29"/>
      <c r="E87" s="29"/>
      <c r="F87" s="29"/>
      <c r="G87" s="29"/>
      <c r="H87" s="602"/>
      <c r="I87" s="29"/>
      <c r="J87" s="609"/>
      <c r="K87" s="29"/>
      <c r="L87" s="29"/>
      <c r="M87" s="29"/>
      <c r="N87" s="602"/>
      <c r="O87" s="609"/>
      <c r="P87" s="29"/>
      <c r="Q87" s="29"/>
      <c r="R87" s="602"/>
      <c r="S87" s="609"/>
      <c r="T87" s="29"/>
      <c r="U87" s="29"/>
      <c r="V87" s="29"/>
      <c r="W87" s="602"/>
      <c r="X87" s="29"/>
      <c r="Y87" s="609"/>
      <c r="Z87" s="609"/>
      <c r="AA87" s="29"/>
      <c r="AB87" s="29"/>
      <c r="AC87" s="29"/>
      <c r="AD87" s="602"/>
    </row>
    <row r="88" spans="1:30" x14ac:dyDescent="0.3">
      <c r="A88" s="678"/>
      <c r="B88" s="297" t="s">
        <v>920</v>
      </c>
      <c r="C88" s="29">
        <f t="shared" ref="C88:H89" si="51">C59-C30</f>
        <v>0</v>
      </c>
      <c r="D88" s="29">
        <f t="shared" si="51"/>
        <v>0</v>
      </c>
      <c r="E88" s="29">
        <f t="shared" si="51"/>
        <v>0</v>
      </c>
      <c r="F88" s="29">
        <f t="shared" si="51"/>
        <v>0</v>
      </c>
      <c r="G88" s="29">
        <f t="shared" si="51"/>
        <v>0</v>
      </c>
      <c r="H88" s="602">
        <f t="shared" si="51"/>
        <v>0</v>
      </c>
      <c r="I88" s="29"/>
      <c r="J88" s="609">
        <f t="shared" ref="J88:W89" si="52">J59-J30</f>
        <v>0</v>
      </c>
      <c r="K88" s="29">
        <f t="shared" si="52"/>
        <v>0</v>
      </c>
      <c r="L88" s="29">
        <f t="shared" si="52"/>
        <v>0</v>
      </c>
      <c r="M88" s="29">
        <f t="shared" ca="1" si="52"/>
        <v>0</v>
      </c>
      <c r="N88" s="602">
        <f t="shared" si="52"/>
        <v>0</v>
      </c>
      <c r="O88" s="609">
        <f t="shared" si="52"/>
        <v>0</v>
      </c>
      <c r="P88" s="29">
        <f t="shared" si="52"/>
        <v>0</v>
      </c>
      <c r="Q88" s="29">
        <f t="shared" si="52"/>
        <v>0</v>
      </c>
      <c r="R88" s="602">
        <f t="shared" si="52"/>
        <v>0</v>
      </c>
      <c r="S88" s="609">
        <f t="shared" si="52"/>
        <v>0</v>
      </c>
      <c r="T88" s="29">
        <f t="shared" si="52"/>
        <v>0</v>
      </c>
      <c r="U88" s="29">
        <f t="shared" si="52"/>
        <v>0</v>
      </c>
      <c r="V88" s="29">
        <f t="shared" si="52"/>
        <v>0</v>
      </c>
      <c r="W88" s="602">
        <f t="shared" si="52"/>
        <v>0</v>
      </c>
      <c r="X88" s="29"/>
      <c r="Y88" s="609">
        <f t="shared" ref="Y88:AC89" si="53">Y59-Y30</f>
        <v>0</v>
      </c>
      <c r="Z88" s="609">
        <f t="shared" ref="Z88" si="54">Z59-Z30</f>
        <v>0</v>
      </c>
      <c r="AA88" s="29">
        <f t="shared" si="53"/>
        <v>0</v>
      </c>
      <c r="AB88" s="29">
        <f t="shared" si="53"/>
        <v>0</v>
      </c>
      <c r="AC88" s="29">
        <f t="shared" ca="1" si="53"/>
        <v>0</v>
      </c>
      <c r="AD88" s="602">
        <f>AD59-AD30</f>
        <v>0</v>
      </c>
    </row>
    <row r="89" spans="1:30" x14ac:dyDescent="0.3">
      <c r="A89" s="678"/>
      <c r="B89" s="297" t="s">
        <v>980</v>
      </c>
      <c r="C89" s="29">
        <f t="shared" si="51"/>
        <v>0</v>
      </c>
      <c r="D89" s="29">
        <f t="shared" si="51"/>
        <v>0</v>
      </c>
      <c r="E89" s="29">
        <f t="shared" si="51"/>
        <v>0</v>
      </c>
      <c r="F89" s="29">
        <f t="shared" si="51"/>
        <v>0</v>
      </c>
      <c r="G89" s="29">
        <f t="shared" si="51"/>
        <v>0</v>
      </c>
      <c r="H89" s="602">
        <f t="shared" si="51"/>
        <v>0</v>
      </c>
      <c r="I89" s="29"/>
      <c r="J89" s="609">
        <f t="shared" ref="J89:W89" si="55">J60-J31</f>
        <v>0</v>
      </c>
      <c r="K89" s="29">
        <f t="shared" si="55"/>
        <v>0</v>
      </c>
      <c r="L89" s="29">
        <f t="shared" si="55"/>
        <v>0</v>
      </c>
      <c r="M89" s="29">
        <f t="shared" ca="1" si="52"/>
        <v>0</v>
      </c>
      <c r="N89" s="602">
        <f t="shared" si="55"/>
        <v>0</v>
      </c>
      <c r="O89" s="609">
        <f t="shared" si="55"/>
        <v>0</v>
      </c>
      <c r="P89" s="29">
        <f t="shared" si="55"/>
        <v>0</v>
      </c>
      <c r="Q89" s="29">
        <f t="shared" si="55"/>
        <v>0</v>
      </c>
      <c r="R89" s="602">
        <f t="shared" si="55"/>
        <v>0</v>
      </c>
      <c r="S89" s="609">
        <f t="shared" si="55"/>
        <v>0</v>
      </c>
      <c r="T89" s="29">
        <f t="shared" si="55"/>
        <v>0</v>
      </c>
      <c r="U89" s="29">
        <f t="shared" si="55"/>
        <v>0</v>
      </c>
      <c r="V89" s="29">
        <f t="shared" si="55"/>
        <v>0</v>
      </c>
      <c r="W89" s="602">
        <f t="shared" si="55"/>
        <v>0</v>
      </c>
      <c r="X89" s="29"/>
      <c r="Y89" s="609">
        <f t="shared" si="53"/>
        <v>0</v>
      </c>
      <c r="Z89" s="609">
        <f t="shared" ref="Z89" si="56">Z60-Z31</f>
        <v>0</v>
      </c>
      <c r="AA89" s="29">
        <f t="shared" si="53"/>
        <v>0</v>
      </c>
      <c r="AB89" s="29">
        <f t="shared" si="53"/>
        <v>0</v>
      </c>
      <c r="AC89" s="29">
        <f t="shared" ca="1" si="53"/>
        <v>0</v>
      </c>
      <c r="AD89" s="602">
        <f>AD60-AD31</f>
        <v>0</v>
      </c>
    </row>
    <row r="90" spans="1:30" x14ac:dyDescent="0.3">
      <c r="A90" s="679"/>
      <c r="B90" s="675" t="s">
        <v>233</v>
      </c>
      <c r="C90" s="665">
        <f t="shared" ref="C90:H90" si="57">SUM(C66:C89)</f>
        <v>0</v>
      </c>
      <c r="D90" s="665">
        <f t="shared" si="57"/>
        <v>124891.77600000001</v>
      </c>
      <c r="E90" s="665">
        <f t="shared" si="57"/>
        <v>0</v>
      </c>
      <c r="F90" s="665">
        <f t="shared" si="57"/>
        <v>0</v>
      </c>
      <c r="G90" s="665">
        <f t="shared" si="57"/>
        <v>0</v>
      </c>
      <c r="H90" s="666">
        <f t="shared" si="57"/>
        <v>0</v>
      </c>
      <c r="I90" s="29"/>
      <c r="J90" s="664">
        <f t="shared" ref="J90:W90" ca="1" si="58">SUM(J66:J89)</f>
        <v>7075075.7869878095</v>
      </c>
      <c r="K90" s="665">
        <f t="shared" ca="1" si="58"/>
        <v>12649039.073279999</v>
      </c>
      <c r="L90" s="665">
        <f t="shared" si="58"/>
        <v>0</v>
      </c>
      <c r="M90" s="665">
        <f t="shared" ca="1" si="58"/>
        <v>6.9437265181210499</v>
      </c>
      <c r="N90" s="666">
        <f t="shared" ca="1" si="58"/>
        <v>0</v>
      </c>
      <c r="O90" s="664">
        <f t="shared" ca="1" si="58"/>
        <v>0</v>
      </c>
      <c r="P90" s="665">
        <f t="shared" ca="1" si="58"/>
        <v>0</v>
      </c>
      <c r="Q90" s="665">
        <f t="shared" ca="1" si="58"/>
        <v>0</v>
      </c>
      <c r="R90" s="666">
        <f t="shared" ca="1" si="58"/>
        <v>0</v>
      </c>
      <c r="S90" s="664">
        <f t="shared" ca="1" si="58"/>
        <v>0</v>
      </c>
      <c r="T90" s="665">
        <f t="shared" ca="1" si="58"/>
        <v>0</v>
      </c>
      <c r="U90" s="665">
        <f t="shared" ca="1" si="58"/>
        <v>0</v>
      </c>
      <c r="V90" s="665">
        <f t="shared" ca="1" si="58"/>
        <v>0</v>
      </c>
      <c r="W90" s="666">
        <f t="shared" ca="1" si="58"/>
        <v>0</v>
      </c>
      <c r="X90" s="29"/>
      <c r="Y90" s="664">
        <f t="shared" ref="Y90:AC90" si="59">SUM(Y66:Y89)</f>
        <v>0</v>
      </c>
      <c r="Z90" s="664">
        <f t="shared" ref="Z90" si="60">SUM(Z66:Z89)</f>
        <v>0</v>
      </c>
      <c r="AA90" s="665">
        <f t="shared" si="59"/>
        <v>0</v>
      </c>
      <c r="AB90" s="665">
        <f t="shared" si="59"/>
        <v>0</v>
      </c>
      <c r="AC90" s="665">
        <f t="shared" ca="1" si="59"/>
        <v>0</v>
      </c>
      <c r="AD90" s="666">
        <f>SUM(AD66:AD89)</f>
        <v>0</v>
      </c>
    </row>
    <row r="91" spans="1:30" x14ac:dyDescent="0.3">
      <c r="B91" s="31"/>
      <c r="C91" s="31"/>
      <c r="D91" s="29"/>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row>
    <row r="106" spans="2:6" x14ac:dyDescent="0.3">
      <c r="B106" s="31"/>
      <c r="C106" s="31"/>
    </row>
    <row r="107" spans="2:6" x14ac:dyDescent="0.3">
      <c r="B107" s="1"/>
      <c r="C107" s="1"/>
    </row>
    <row r="108" spans="2:6" x14ac:dyDescent="0.3">
      <c r="B108" s="1"/>
      <c r="C108" s="1"/>
    </row>
    <row r="109" spans="2:6" x14ac:dyDescent="0.3">
      <c r="B109" s="31"/>
      <c r="C109" s="31"/>
      <c r="E109" s="23"/>
      <c r="F109" s="23"/>
    </row>
    <row r="110" spans="2:6" x14ac:dyDescent="0.3">
      <c r="B110" s="31"/>
      <c r="C110" s="31"/>
      <c r="E110" s="23"/>
      <c r="F110" s="23"/>
    </row>
    <row r="111" spans="2:6" x14ac:dyDescent="0.3">
      <c r="B111" s="31"/>
      <c r="C111" s="31"/>
      <c r="E111" s="23"/>
      <c r="F111" s="23"/>
    </row>
    <row r="112" spans="2:6" x14ac:dyDescent="0.3">
      <c r="B112" s="31"/>
      <c r="C112" s="31"/>
      <c r="E112" s="23"/>
      <c r="F112" s="23"/>
    </row>
    <row r="113" spans="2:6" x14ac:dyDescent="0.3">
      <c r="B113" s="31"/>
      <c r="C113" s="31"/>
      <c r="E113" s="23"/>
      <c r="F113" s="23"/>
    </row>
    <row r="114" spans="2:6" x14ac:dyDescent="0.3">
      <c r="B114" s="31"/>
      <c r="C114" s="31"/>
      <c r="E114" s="23"/>
      <c r="F114" s="23"/>
    </row>
    <row r="115" spans="2:6" x14ac:dyDescent="0.3">
      <c r="B115" s="31"/>
      <c r="C115" s="31"/>
      <c r="E115" s="23"/>
      <c r="F115" s="23"/>
    </row>
    <row r="116" spans="2:6" x14ac:dyDescent="0.3">
      <c r="B116" s="31"/>
      <c r="C116" s="31"/>
      <c r="E116" s="23"/>
      <c r="F116" s="23"/>
    </row>
    <row r="117" spans="2:6" x14ac:dyDescent="0.3">
      <c r="B117" s="31"/>
      <c r="C117" s="31"/>
      <c r="E117" s="23"/>
      <c r="F117" s="23"/>
    </row>
    <row r="118" spans="2:6" x14ac:dyDescent="0.3">
      <c r="B118" s="31"/>
      <c r="C118" s="31"/>
    </row>
    <row r="119" spans="2:6" x14ac:dyDescent="0.3">
      <c r="B119" s="1"/>
      <c r="C119" s="1"/>
    </row>
    <row r="120" spans="2:6" x14ac:dyDescent="0.3">
      <c r="B120" s="1"/>
      <c r="C120" s="1"/>
    </row>
    <row r="121" spans="2:6" x14ac:dyDescent="0.3">
      <c r="B121" s="31"/>
      <c r="C121" s="31"/>
      <c r="E121" s="23"/>
      <c r="F121" s="23"/>
    </row>
    <row r="122" spans="2:6" x14ac:dyDescent="0.3">
      <c r="B122" s="31"/>
      <c r="C122" s="31"/>
      <c r="E122" s="23"/>
      <c r="F122" s="23"/>
    </row>
    <row r="123" spans="2:6" x14ac:dyDescent="0.3">
      <c r="B123" s="31"/>
      <c r="C123" s="31"/>
      <c r="E123" s="23"/>
      <c r="F123" s="23"/>
    </row>
    <row r="124" spans="2:6" x14ac:dyDescent="0.3">
      <c r="B124" s="31"/>
      <c r="C124" s="31"/>
      <c r="E124" s="23"/>
      <c r="F124" s="23"/>
    </row>
    <row r="125" spans="2:6" x14ac:dyDescent="0.3">
      <c r="B125" s="31"/>
      <c r="C125" s="31"/>
      <c r="E125" s="23"/>
      <c r="F125" s="23"/>
    </row>
    <row r="126" spans="2:6" x14ac:dyDescent="0.3">
      <c r="B126" s="31"/>
      <c r="C126" s="31"/>
      <c r="E126" s="23"/>
      <c r="F126" s="23"/>
    </row>
    <row r="127" spans="2:6" x14ac:dyDescent="0.3">
      <c r="B127" s="31"/>
      <c r="C127" s="31"/>
      <c r="E127" s="23"/>
      <c r="F127" s="23"/>
    </row>
    <row r="128" spans="2:6" x14ac:dyDescent="0.3">
      <c r="B128" s="31"/>
      <c r="C128" s="31"/>
      <c r="E128" s="23"/>
      <c r="F128" s="23"/>
    </row>
    <row r="129" spans="2:6" x14ac:dyDescent="0.3">
      <c r="B129" s="31"/>
      <c r="C129" s="31"/>
      <c r="E129" s="23"/>
      <c r="F129" s="23"/>
    </row>
    <row r="133" spans="2:6" x14ac:dyDescent="0.3">
      <c r="B133" s="31"/>
      <c r="C133" s="31"/>
      <c r="E133" s="23"/>
      <c r="F133" s="23"/>
    </row>
    <row r="134" spans="2:6" x14ac:dyDescent="0.3">
      <c r="B134" s="31"/>
      <c r="C134" s="31"/>
      <c r="E134" s="23"/>
      <c r="F134" s="23"/>
    </row>
    <row r="135" spans="2:6" x14ac:dyDescent="0.3">
      <c r="B135" s="31"/>
      <c r="C135" s="31"/>
      <c r="E135" s="23"/>
      <c r="F135" s="23"/>
    </row>
    <row r="136" spans="2:6" x14ac:dyDescent="0.3">
      <c r="B136" s="31"/>
      <c r="C136" s="31"/>
      <c r="E136" s="23"/>
      <c r="F136" s="23"/>
    </row>
    <row r="137" spans="2:6" x14ac:dyDescent="0.3">
      <c r="B137" s="31"/>
      <c r="C137" s="31"/>
      <c r="E137" s="23"/>
      <c r="F137" s="23"/>
    </row>
    <row r="138" spans="2:6" x14ac:dyDescent="0.3">
      <c r="B138" s="31"/>
      <c r="C138" s="31"/>
      <c r="E138" s="23"/>
      <c r="F138" s="23"/>
    </row>
    <row r="139" spans="2:6" x14ac:dyDescent="0.3">
      <c r="B139" s="31"/>
      <c r="C139" s="31"/>
      <c r="E139" s="23"/>
      <c r="F139" s="23"/>
    </row>
    <row r="140" spans="2:6" x14ac:dyDescent="0.3">
      <c r="B140" s="31"/>
      <c r="C140" s="31"/>
      <c r="E140" s="23"/>
      <c r="F140" s="23"/>
    </row>
    <row r="141" spans="2:6" x14ac:dyDescent="0.3">
      <c r="B141" s="31"/>
      <c r="C141" s="31"/>
      <c r="E141" s="23"/>
      <c r="F141" s="2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tabColor rgb="FFFF0000"/>
  </sheetPr>
  <dimension ref="A1:AG141"/>
  <sheetViews>
    <sheetView topLeftCell="A7" zoomScale="70" zoomScaleNormal="70" workbookViewId="0">
      <selection activeCell="C55" sqref="C55"/>
    </sheetView>
  </sheetViews>
  <sheetFormatPr defaultColWidth="9.109375" defaultRowHeight="14.4" x14ac:dyDescent="0.3"/>
  <cols>
    <col min="2" max="2" width="44.88671875" bestFit="1" customWidth="1"/>
    <col min="3" max="3" width="12" bestFit="1" customWidth="1"/>
    <col min="4" max="4" width="11.5546875" bestFit="1" customWidth="1"/>
    <col min="5" max="5" width="16.33203125" bestFit="1" customWidth="1"/>
    <col min="6" max="6" width="16.44140625" bestFit="1" customWidth="1"/>
    <col min="7" max="7" width="16.33203125" bestFit="1" customWidth="1"/>
    <col min="8" max="8" width="8.109375" bestFit="1" customWidth="1"/>
    <col min="9" max="9" width="7.109375" customWidth="1"/>
    <col min="10" max="10" width="24.44140625" bestFit="1" customWidth="1"/>
    <col min="11" max="11" width="14.33203125" bestFit="1" customWidth="1"/>
    <col min="12" max="12" width="21.6640625" bestFit="1" customWidth="1"/>
    <col min="13" max="13" width="20.109375" customWidth="1"/>
    <col min="14" max="14" width="15" bestFit="1" customWidth="1"/>
    <col min="15" max="15" width="24.33203125" customWidth="1"/>
    <col min="16" max="18" width="21.6640625" bestFit="1" customWidth="1"/>
    <col min="19" max="19" width="23.44140625" bestFit="1" customWidth="1"/>
    <col min="20" max="20" width="23" bestFit="1" customWidth="1"/>
    <col min="21" max="21" width="15.33203125" bestFit="1" customWidth="1"/>
    <col min="22" max="22" width="16.33203125" bestFit="1" customWidth="1"/>
    <col min="23" max="23" width="13.5546875" bestFit="1" customWidth="1"/>
    <col min="24" max="24" width="7.33203125" customWidth="1"/>
    <col min="25" max="25" width="24.44140625" bestFit="1" customWidth="1"/>
    <col min="26" max="26" width="24.44140625" customWidth="1"/>
    <col min="27" max="27" width="28.88671875" bestFit="1" customWidth="1"/>
    <col min="28" max="28" width="19.5546875" bestFit="1" customWidth="1"/>
    <col min="29" max="29" width="27.88671875" customWidth="1"/>
    <col min="30" max="30" width="22.5546875" bestFit="1" customWidth="1"/>
    <col min="31" max="31" width="21.44140625" bestFit="1" customWidth="1"/>
    <col min="32" max="32" width="7.109375" bestFit="1" customWidth="1"/>
    <col min="33" max="33" width="18.88671875" bestFit="1" customWidth="1"/>
    <col min="34" max="34" width="20.44140625" bestFit="1" customWidth="1"/>
    <col min="35" max="35" width="22.88671875" bestFit="1" customWidth="1"/>
    <col min="36" max="36" width="15" customWidth="1"/>
    <col min="37" max="37" width="7.44140625" bestFit="1" customWidth="1"/>
    <col min="38" max="38" width="10.109375" bestFit="1" customWidth="1"/>
    <col min="40" max="40" width="14.5546875" bestFit="1" customWidth="1"/>
    <col min="41" max="41" width="24.6640625" bestFit="1" customWidth="1"/>
    <col min="42" max="42" width="21.44140625" bestFit="1" customWidth="1"/>
    <col min="43" max="43" width="7.109375" bestFit="1" customWidth="1"/>
    <col min="44" max="44" width="18.88671875" bestFit="1" customWidth="1"/>
    <col min="45" max="45" width="20.44140625" bestFit="1" customWidth="1"/>
    <col min="46" max="46" width="22.88671875" bestFit="1" customWidth="1"/>
    <col min="47" max="47" width="7.44140625" bestFit="1" customWidth="1"/>
    <col min="48" max="48" width="10.109375" bestFit="1" customWidth="1"/>
  </cols>
  <sheetData>
    <row r="1" spans="1:33" ht="23.4" x14ac:dyDescent="0.45">
      <c r="A1" s="639"/>
      <c r="B1" s="639" t="s">
        <v>1472</v>
      </c>
      <c r="C1" s="656"/>
      <c r="D1" s="641"/>
      <c r="E1" s="641"/>
      <c r="F1" s="641"/>
      <c r="G1" s="641"/>
      <c r="H1" s="641"/>
      <c r="I1" s="641"/>
      <c r="J1" s="641"/>
      <c r="K1" s="641"/>
      <c r="L1" s="641"/>
      <c r="M1" s="641"/>
      <c r="N1" s="641"/>
      <c r="O1" s="657"/>
      <c r="P1" s="657"/>
      <c r="Q1" s="657"/>
      <c r="R1" s="657"/>
      <c r="S1" s="657"/>
      <c r="T1" s="657"/>
      <c r="U1" s="657"/>
      <c r="V1" s="657"/>
      <c r="W1" s="657"/>
      <c r="X1" s="657"/>
      <c r="Y1" s="641"/>
      <c r="Z1" s="641"/>
      <c r="AA1" s="641"/>
      <c r="AB1" s="641"/>
      <c r="AC1" s="641"/>
      <c r="AD1" s="642"/>
    </row>
    <row r="3" spans="1:33" ht="21" x14ac:dyDescent="0.4">
      <c r="A3" s="658"/>
      <c r="B3" s="640" t="s">
        <v>562</v>
      </c>
      <c r="C3" s="640"/>
      <c r="D3" s="641"/>
      <c r="E3" s="641"/>
      <c r="F3" s="641"/>
      <c r="G3" s="641"/>
      <c r="H3" s="642"/>
      <c r="J3" s="658" t="s">
        <v>563</v>
      </c>
      <c r="K3" s="640"/>
      <c r="L3" s="640"/>
      <c r="M3" s="640"/>
      <c r="N3" s="640"/>
      <c r="O3" s="641"/>
      <c r="P3" s="641"/>
      <c r="Q3" s="641"/>
      <c r="R3" s="641"/>
      <c r="S3" s="641"/>
      <c r="T3" s="641"/>
      <c r="U3" s="641"/>
      <c r="V3" s="641"/>
      <c r="W3" s="641"/>
      <c r="Y3" s="658" t="s">
        <v>564</v>
      </c>
      <c r="Z3" s="643"/>
      <c r="AA3" s="640"/>
      <c r="AB3" s="640"/>
      <c r="AC3" s="640"/>
      <c r="AD3" s="680"/>
    </row>
    <row r="5" spans="1:33" ht="18" x14ac:dyDescent="0.35">
      <c r="A5" s="645"/>
      <c r="B5" s="659" t="s">
        <v>552</v>
      </c>
      <c r="C5" s="659"/>
      <c r="D5" s="646"/>
      <c r="E5" s="660"/>
      <c r="F5" s="660"/>
      <c r="G5" s="646"/>
      <c r="H5" s="647"/>
      <c r="J5" s="645" t="s">
        <v>552</v>
      </c>
      <c r="K5" s="646"/>
      <c r="L5" s="646"/>
      <c r="M5" s="646"/>
      <c r="N5" s="646"/>
      <c r="O5" s="646"/>
      <c r="P5" s="646"/>
      <c r="Q5" s="646"/>
      <c r="R5" s="646"/>
      <c r="S5" s="646"/>
      <c r="T5" s="646"/>
      <c r="U5" s="646"/>
      <c r="V5" s="646"/>
      <c r="W5" s="646"/>
      <c r="Y5" s="634" t="s">
        <v>552</v>
      </c>
      <c r="Z5" s="659"/>
      <c r="AA5" s="636"/>
      <c r="AB5" s="636"/>
      <c r="AC5" s="646"/>
      <c r="AD5" s="638"/>
      <c r="AG5" s="1"/>
    </row>
    <row r="6" spans="1:33" ht="18" x14ac:dyDescent="0.35">
      <c r="A6" s="629"/>
      <c r="B6" s="630" t="s">
        <v>983</v>
      </c>
      <c r="C6" s="630"/>
      <c r="D6" s="631"/>
      <c r="E6" s="632"/>
      <c r="F6" s="632"/>
      <c r="G6" s="631"/>
      <c r="H6" s="633"/>
      <c r="J6" s="629" t="s">
        <v>1024</v>
      </c>
      <c r="K6" s="631"/>
      <c r="L6" s="631"/>
      <c r="M6" s="631"/>
      <c r="N6" s="633"/>
      <c r="O6" s="654" t="s">
        <v>1026</v>
      </c>
      <c r="P6" s="655"/>
      <c r="Q6" s="655"/>
      <c r="R6" s="633"/>
      <c r="S6" s="654" t="s">
        <v>10</v>
      </c>
      <c r="T6" s="655"/>
      <c r="U6" s="655"/>
      <c r="V6" s="631"/>
      <c r="W6" s="633"/>
      <c r="Y6" s="654" t="s">
        <v>564</v>
      </c>
      <c r="Z6" s="655"/>
      <c r="AA6" s="631"/>
      <c r="AB6" s="631"/>
      <c r="AC6" s="631"/>
      <c r="AD6" s="633"/>
      <c r="AF6" s="1"/>
    </row>
    <row r="7" spans="1:33" x14ac:dyDescent="0.3">
      <c r="A7" s="651"/>
      <c r="B7" s="652" t="s">
        <v>950</v>
      </c>
      <c r="C7" s="652" t="s">
        <v>1033</v>
      </c>
      <c r="D7" s="652" t="s">
        <v>878</v>
      </c>
      <c r="E7" s="627" t="s">
        <v>1554</v>
      </c>
      <c r="F7" s="652" t="s">
        <v>1377</v>
      </c>
      <c r="G7" s="652" t="s">
        <v>877</v>
      </c>
      <c r="H7" s="653" t="s">
        <v>225</v>
      </c>
      <c r="J7" s="651" t="s">
        <v>981</v>
      </c>
      <c r="K7" s="652" t="s">
        <v>982</v>
      </c>
      <c r="L7" s="652" t="s">
        <v>1025</v>
      </c>
      <c r="M7" s="652" t="s">
        <v>1493</v>
      </c>
      <c r="N7" s="653" t="s">
        <v>905</v>
      </c>
      <c r="O7" s="651" t="s">
        <v>938</v>
      </c>
      <c r="P7" s="627" t="s">
        <v>1554</v>
      </c>
      <c r="Q7" s="652" t="s">
        <v>1377</v>
      </c>
      <c r="R7" s="653" t="s">
        <v>1028</v>
      </c>
      <c r="S7" s="651" t="s">
        <v>938</v>
      </c>
      <c r="T7" s="627" t="s">
        <v>1554</v>
      </c>
      <c r="U7" s="652" t="s">
        <v>1025</v>
      </c>
      <c r="V7" s="652" t="s">
        <v>1028</v>
      </c>
      <c r="W7" s="653" t="s">
        <v>225</v>
      </c>
      <c r="Y7" s="651" t="s">
        <v>1029</v>
      </c>
      <c r="Z7" s="652" t="s">
        <v>1555</v>
      </c>
      <c r="AA7" s="652" t="s">
        <v>1030</v>
      </c>
      <c r="AB7" s="652" t="s">
        <v>1031</v>
      </c>
      <c r="AC7" s="652" t="s">
        <v>1511</v>
      </c>
      <c r="AD7" s="653" t="s">
        <v>1032</v>
      </c>
    </row>
    <row r="8" spans="1:33" x14ac:dyDescent="0.3">
      <c r="A8" s="677"/>
      <c r="B8" s="671" t="s">
        <v>1445</v>
      </c>
      <c r="C8" s="672"/>
      <c r="D8" s="668"/>
      <c r="E8" s="668"/>
      <c r="F8" s="668"/>
      <c r="G8" s="668"/>
      <c r="H8" s="669"/>
      <c r="J8" s="198"/>
      <c r="M8" s="668"/>
      <c r="N8" s="87"/>
      <c r="O8" s="198"/>
      <c r="R8" s="87"/>
      <c r="S8" s="198"/>
      <c r="W8" s="87"/>
      <c r="Y8" s="667"/>
      <c r="Z8" s="668"/>
      <c r="AA8" s="668"/>
      <c r="AB8" s="668"/>
      <c r="AC8" s="668"/>
      <c r="AD8" s="669"/>
    </row>
    <row r="9" spans="1:33" x14ac:dyDescent="0.3">
      <c r="A9" s="678"/>
      <c r="B9" s="31" t="s">
        <v>1082</v>
      </c>
      <c r="C9" s="29">
        <f>'General input'!H57</f>
        <v>578203</v>
      </c>
      <c r="D9" s="29">
        <f>'General input'!C87*'General input'!H57</f>
        <v>0</v>
      </c>
      <c r="E9" s="29">
        <f>('Input Summ SA'!J7/'Input Summ SA'!$C$167)*(C9-D9)+('Input Summ SA'!J7/'Input Summ SA'!$C$167)*D9*(1-'Input Summ SA'!C178)</f>
        <v>109731.36534</v>
      </c>
      <c r="F9" s="29">
        <f>('Input Summ SA'!J34/'Input Summ SA'!$C$168)*(C9-D9)+D9*(1-'Input Summ SA'!C206)*('Input Summ SA'!J34/'Input Summ SA'!$C$169)</f>
        <v>30523.336369999997</v>
      </c>
      <c r="G9" s="29">
        <f>('Input Summ SA'!J61/'Input Summ SA'!$C$169)*(C9-D9)+D9*(1-'Input Summ SA'!C206)*('Input Summ SA'!J61/'Input Summ SA'!$C$169)</f>
        <v>1352.9950200000001</v>
      </c>
      <c r="H9" s="602">
        <f>('Input Summ SA'!J88/'Input Summ SA'!$C$170)*(C9-D9)+D9*(1-'Input Summ SA'!C234)*('Input Summ SA'!J88/'Input Summ SA'!$C$170)</f>
        <v>98.294510000000002</v>
      </c>
      <c r="I9" s="29"/>
      <c r="J9" s="609">
        <f>$D9*'Input Summ SA'!C322</f>
        <v>0</v>
      </c>
      <c r="K9" s="29">
        <f>D9*'Input Summ SA'!C350</f>
        <v>0</v>
      </c>
      <c r="L9" s="29">
        <f>(F9)*'Input Summ SA'!C433</f>
        <v>9957083.912336763</v>
      </c>
      <c r="M9" s="29">
        <f>$D9*(('Input Summ SA'!C262/'Input Summ SA'!$C$167)*'Input Summ SA'!C378+('Input Summ SA'!C289/'Input Summ SA'!$C$167)*'Input Summ SA'!C406)</f>
        <v>0</v>
      </c>
      <c r="N9" s="602">
        <f>G9*'Input Summ SA'!C460</f>
        <v>10819365.388912078</v>
      </c>
      <c r="O9" s="609">
        <f>D9*'Input Summ SA'!C490</f>
        <v>0</v>
      </c>
      <c r="P9" s="29">
        <f ca="1">(E9)*'Input Summ SA'!C517</f>
        <v>6511573.8145446293</v>
      </c>
      <c r="Q9" s="29">
        <f ca="1">(F9)*'Input Summ SA'!C544</f>
        <v>1445393.4014220159</v>
      </c>
      <c r="R9" s="602">
        <f ca="1">G9*'Input Summ SA'!C571</f>
        <v>171554.78239856032</v>
      </c>
      <c r="S9" s="609">
        <f ca="1">D9*'Input Summ SA'!C601</f>
        <v>0</v>
      </c>
      <c r="T9" s="29">
        <f ca="1">(E9)*'Input Summ SA'!C628</f>
        <v>15859700.343632713</v>
      </c>
      <c r="U9" s="29">
        <f ca="1">(F9)*'Input Summ SA'!C655</f>
        <v>5504630.7125001941</v>
      </c>
      <c r="V9" s="29">
        <f ca="1">G9*'Input Summ SA'!C682</f>
        <v>150047.93118043861</v>
      </c>
      <c r="W9" s="602">
        <f ca="1">H9*'Input Summ SA'!C709</f>
        <v>48662394.459718242</v>
      </c>
      <c r="X9" s="29"/>
      <c r="Y9" s="609">
        <f>(E9)*'Input Summ SA'!C738*'Input Summ SA'!C115+(E9)*'Input Summ SA'!C765*(1-'Input Summ SA'!C115)</f>
        <v>1022.4363649000001</v>
      </c>
      <c r="Z9" s="29">
        <f>(F9-G9*'Input Summ SA'!C142)*'Input Summ SA'!C738</f>
        <v>267.18953981083195</v>
      </c>
      <c r="AA9" s="29">
        <f>G9*('Input Summ SA'!C765)</f>
        <v>41.94284562</v>
      </c>
      <c r="AB9" s="29">
        <f>H9*'Input Summ SA'!G846</f>
        <v>1468.8705728252207</v>
      </c>
      <c r="AC9" s="29">
        <f>$D9*(('Input Summ SA'!C262/'Input Summ SA'!$C$167)*'Input Summ SA'!C792+('Input Summ SA'!C289/'Input Summ SA'!$C$167)*'Input Summ SA'!C819)</f>
        <v>0</v>
      </c>
      <c r="AD9" s="602">
        <f>H9*'Input Summ SA'!E846</f>
        <v>1884.8921135353687</v>
      </c>
    </row>
    <row r="10" spans="1:33" x14ac:dyDescent="0.3">
      <c r="A10" s="678"/>
      <c r="B10" s="31" t="s">
        <v>1083</v>
      </c>
      <c r="C10" s="29">
        <f>'General input'!H58</f>
        <v>1156405</v>
      </c>
      <c r="D10" s="29">
        <f>'General input'!C88*'General input'!H58</f>
        <v>0</v>
      </c>
      <c r="E10" s="29">
        <f>('Input Summ SA'!J8/'Input Summ SA'!$C$167)*(C10-D10)+('Input Summ SA'!J8/'Input Summ SA'!$C$167)*D10*(1-'Input Summ SA'!C179)</f>
        <v>219462.54089999999</v>
      </c>
      <c r="F10" s="29">
        <f>('Input Summ SA'!J35/'Input Summ SA'!$C$168)*(C10-D10)+D10*(1-'Input Summ SA'!C207)*('Input Summ SA'!J35/'Input Summ SA'!$C$169)</f>
        <v>61046.619949999993</v>
      </c>
      <c r="G10" s="29">
        <f>('Input Summ SA'!J62/'Input Summ SA'!$C$169)*(C10-D10)+D10*(1-'Input Summ SA'!C207)*('Input Summ SA'!J62/'Input Summ SA'!$C$169)</f>
        <v>2705.9877000000001</v>
      </c>
      <c r="H10" s="602">
        <f>('Input Summ SA'!J89/'Input Summ SA'!$C$170)*(C10-D10)+D10*(1-'Input Summ SA'!C235)*('Input Summ SA'!J89/'Input Summ SA'!$C$170)</f>
        <v>196.58885000000001</v>
      </c>
      <c r="I10" s="29"/>
      <c r="J10" s="609">
        <f>$D10*'Input Summ SA'!C323</f>
        <v>0</v>
      </c>
      <c r="K10" s="29">
        <f>D10*'Input Summ SA'!C351</f>
        <v>0</v>
      </c>
      <c r="L10" s="29">
        <f>(F10)*'Input Summ SA'!C434</f>
        <v>19914150.603932865</v>
      </c>
      <c r="M10" s="29">
        <f>$D10*(('Input Summ SA'!C263/'Input Summ SA'!$C$167)*'Input Summ SA'!C379+('Input Summ SA'!C290/'Input Summ SA'!$C$167)*'Input Summ SA'!C407)</f>
        <v>0</v>
      </c>
      <c r="N10" s="602">
        <f>G10*'Input Summ SA'!C461</f>
        <v>21638712.065770797</v>
      </c>
      <c r="O10" s="609">
        <f>D10*'Input Summ SA'!C491</f>
        <v>0</v>
      </c>
      <c r="P10" s="29">
        <f ca="1">(E10)*'Input Summ SA'!C518</f>
        <v>13023136.367345864</v>
      </c>
      <c r="Q10" s="29">
        <f ca="1">(F10)*'Input Summ SA'!C545</f>
        <v>2890784.3030413645</v>
      </c>
      <c r="R10" s="602">
        <f ca="1">G10*'Input Summ SA'!C572</f>
        <v>343109.26809374418</v>
      </c>
      <c r="S10" s="609">
        <f ca="1">D10*'Input Summ SA'!C602</f>
        <v>0</v>
      </c>
      <c r="T10" s="29">
        <f ca="1">(E10)*'Input Summ SA'!C629</f>
        <v>31719373.257970966</v>
      </c>
      <c r="U10" s="29">
        <f ca="1">(F10)*'Input Summ SA'!C656</f>
        <v>11009251.904761454</v>
      </c>
      <c r="V10" s="29">
        <f ca="1">G10*'Input Summ SA'!C683</f>
        <v>300095.60285352223</v>
      </c>
      <c r="W10" s="602">
        <f ca="1">H10*'Input Summ SA'!C710</f>
        <v>98205827.547499329</v>
      </c>
      <c r="X10" s="29"/>
      <c r="Y10" s="609">
        <f>(E10)*'Input Summ SA'!C739*'Input Summ SA'!C116+(E10)*'Input Summ SA'!C766*(1-'Input Summ SA'!C116)</f>
        <v>2044.8709614999998</v>
      </c>
      <c r="Z10" s="29">
        <f>(F10-G10*'Input Summ SA'!C143)*'Input Summ SA'!C739</f>
        <v>537.68831107418987</v>
      </c>
      <c r="AA10" s="29">
        <f>G10*('Input Summ SA'!C766)</f>
        <v>83.885618700000009</v>
      </c>
      <c r="AB10" s="29">
        <f>H10*'Input Summ SA'!G847</f>
        <v>2946.533369565655</v>
      </c>
      <c r="AC10" s="29">
        <f>$D10*(('Input Summ SA'!C263/'Input Summ SA'!$C$167)*'Input Summ SA'!C793+('Input Summ SA'!C290/'Input Summ SA'!$C$167)*'Input Summ SA'!C820)</f>
        <v>0</v>
      </c>
      <c r="AD10" s="602">
        <f>H10*'Input Summ SA'!E847</f>
        <v>3803.9104302753572</v>
      </c>
    </row>
    <row r="11" spans="1:33" x14ac:dyDescent="0.3">
      <c r="A11" s="678"/>
      <c r="B11" s="31" t="s">
        <v>1084</v>
      </c>
      <c r="C11" s="29">
        <f>'General input'!H59</f>
        <v>3469216</v>
      </c>
      <c r="D11" s="29">
        <f>'General input'!C89*'General input'!H59</f>
        <v>0</v>
      </c>
      <c r="E11" s="29">
        <f>('Input Summ SA'!J9/'Input Summ SA'!$C$167)*(C11-D11)+('Input Summ SA'!J9/'Input Summ SA'!$C$167)*D11*(1-'Input Summ SA'!C180)</f>
        <v>658387.81247999996</v>
      </c>
      <c r="F11" s="29">
        <f>('Input Summ SA'!J36/'Input Summ SA'!$C$168)*(C11-D11)+D11*(1-'Input Summ SA'!C208)*('Input Summ SA'!J36/'Input Summ SA'!$C$169)</f>
        <v>183139.91264</v>
      </c>
      <c r="G11" s="29">
        <f>('Input Summ SA'!J63/'Input Summ SA'!$C$169)*(C11-D11)+D11*(1-'Input Summ SA'!C208)*('Input Summ SA'!J63/'Input Summ SA'!$C$169)</f>
        <v>8117.9654399999999</v>
      </c>
      <c r="H11" s="602">
        <f>('Input Summ SA'!J90/'Input Summ SA'!$C$170)*(C11-D11)+D11*(1-'Input Summ SA'!C236)*('Input Summ SA'!J90/'Input Summ SA'!$C$170)</f>
        <v>589.76672000000008</v>
      </c>
      <c r="I11" s="29"/>
      <c r="J11" s="609">
        <f>$D11*'Input Summ SA'!C324</f>
        <v>0</v>
      </c>
      <c r="K11" s="29">
        <f>D11*'Input Summ SA'!C352</f>
        <v>0</v>
      </c>
      <c r="L11" s="29">
        <f>(F11)*'Input Summ SA'!C435</f>
        <v>59742469.032539263</v>
      </c>
      <c r="M11" s="29">
        <f>$D11*(('Input Summ SA'!C264/'Input Summ SA'!$C$167)*'Input Summ SA'!C380+('Input Summ SA'!C291/'Input Summ SA'!$C$167)*'Input Summ SA'!C408)</f>
        <v>0</v>
      </c>
      <c r="N11" s="602">
        <f>G11*'Input Summ SA'!C462</f>
        <v>64916154.909365743</v>
      </c>
      <c r="O11" s="609">
        <f>D11*'Input Summ SA'!C492</f>
        <v>0</v>
      </c>
      <c r="P11" s="29">
        <f ca="1">(E11)*'Input Summ SA'!C519</f>
        <v>39069420.363780983</v>
      </c>
      <c r="Q11" s="29">
        <f ca="1">(F11)*'Input Summ SA'!C546</f>
        <v>8672355.4089267608</v>
      </c>
      <c r="R11" s="602">
        <f ca="1">G11*'Input Summ SA'!C573</f>
        <v>1029328.1009846089</v>
      </c>
      <c r="S11" s="609">
        <f ca="1">D11*'Input Summ SA'!C603</f>
        <v>0</v>
      </c>
      <c r="T11" s="29">
        <f ca="1">(E11)*'Input Summ SA'!C630</f>
        <v>95158147.203207359</v>
      </c>
      <c r="U11" s="29">
        <f ca="1">(F11)*'Input Summ SA'!C657</f>
        <v>33027765.2345233</v>
      </c>
      <c r="V11" s="29">
        <f ca="1">G11*'Input Summ SA'!C684</f>
        <v>900287.06806792167</v>
      </c>
      <c r="W11" s="602">
        <f ca="1">H11*'Input Summ SA'!C711</f>
        <v>293827643.56219405</v>
      </c>
      <c r="X11" s="29"/>
      <c r="Y11" s="609">
        <f>(E11)*'Input Summ SA'!C740*'Input Summ SA'!C117+(E11)*'Input Summ SA'!C767*(1-'Input Summ SA'!C117)</f>
        <v>6134.6146527999999</v>
      </c>
      <c r="Z11" s="29">
        <f>(F11-G11*'Input Summ SA'!C144)*'Input Summ SA'!C740</f>
        <v>1613.0653981879677</v>
      </c>
      <c r="AA11" s="29">
        <f>G11*('Input Summ SA'!C767)</f>
        <v>251.65692863999999</v>
      </c>
      <c r="AB11" s="29">
        <f>H11*'Input Summ SA'!G848</f>
        <v>8747.8185114507905</v>
      </c>
      <c r="AC11" s="29">
        <f>$D11*(('Input Summ SA'!C264/'Input Summ SA'!$C$167)*'Input Summ SA'!C794+('Input Summ SA'!C291/'Input Summ SA'!$C$167)*'Input Summ SA'!C821)</f>
        <v>0</v>
      </c>
      <c r="AD11" s="602">
        <f>H11*'Input Summ SA'!E848</f>
        <v>11381.137616389038</v>
      </c>
    </row>
    <row r="12" spans="1:33" x14ac:dyDescent="0.3">
      <c r="A12" s="678"/>
      <c r="B12" s="31" t="s">
        <v>1085</v>
      </c>
      <c r="C12" s="29">
        <f>'General input'!H60</f>
        <v>0</v>
      </c>
      <c r="D12" s="29">
        <f>'General input'!C90*'General input'!H60</f>
        <v>0</v>
      </c>
      <c r="E12" s="29">
        <f>('Input Summ SA'!J10/'Input Summ SA'!$C$167)*(C12-D12)+('Input Summ SA'!J10/'Input Summ SA'!$C$167)*D12*(1-'Input Summ SA'!C181)</f>
        <v>0</v>
      </c>
      <c r="F12" s="29">
        <f>('Input Summ SA'!J37/'Input Summ SA'!$C$168)*(C12-D12)+D12*(1-'Input Summ SA'!C209)*('Input Summ SA'!J37/'Input Summ SA'!$C$169)</f>
        <v>0</v>
      </c>
      <c r="G12" s="29">
        <f>('Input Summ SA'!J64/'Input Summ SA'!$C$169)*(C12-D12)+D12*(1-'Input Summ SA'!C209)*('Input Summ SA'!J64/'Input Summ SA'!$C$169)</f>
        <v>0</v>
      </c>
      <c r="H12" s="602">
        <f>('Input Summ SA'!J91/'Input Summ SA'!$C$170)*(C12-D12)+D12*(1-'Input Summ SA'!C237)*('Input Summ SA'!J91/'Input Summ SA'!$C$170)</f>
        <v>0</v>
      </c>
      <c r="I12" s="29"/>
      <c r="J12" s="609">
        <f>$D12*'Input Summ SA'!C325</f>
        <v>0</v>
      </c>
      <c r="K12" s="29">
        <f>D12*'Input Summ SA'!C353</f>
        <v>0</v>
      </c>
      <c r="L12" s="29">
        <f>(F12)*'Input Summ SA'!C436</f>
        <v>0</v>
      </c>
      <c r="M12" s="29">
        <f>$D12*(('Input Summ SA'!C265/'Input Summ SA'!$C$167)*'Input Summ SA'!C381+('Input Summ SA'!C292/'Input Summ SA'!$C$167)*'Input Summ SA'!C409)</f>
        <v>0</v>
      </c>
      <c r="N12" s="602">
        <f>G12*'Input Summ SA'!C463</f>
        <v>0</v>
      </c>
      <c r="O12" s="609">
        <f>D12*'Input Summ SA'!C493</f>
        <v>0</v>
      </c>
      <c r="P12" s="29">
        <f ca="1">(E12)*'Input Summ SA'!C520</f>
        <v>0</v>
      </c>
      <c r="Q12" s="29">
        <f ca="1">(F12)*'Input Summ SA'!C547</f>
        <v>0</v>
      </c>
      <c r="R12" s="602">
        <f ca="1">G12*'Input Summ SA'!C574</f>
        <v>0</v>
      </c>
      <c r="S12" s="609">
        <f ca="1">D12*'Input Summ SA'!C604</f>
        <v>0</v>
      </c>
      <c r="T12" s="29">
        <f ca="1">(E12)*'Input Summ SA'!C631</f>
        <v>0</v>
      </c>
      <c r="U12" s="29">
        <f ca="1">(F12)*'Input Summ SA'!C658</f>
        <v>0</v>
      </c>
      <c r="V12" s="29">
        <f ca="1">G12*'Input Summ SA'!C685</f>
        <v>0</v>
      </c>
      <c r="W12" s="602">
        <f ca="1">H12*'Input Summ SA'!C712</f>
        <v>0</v>
      </c>
      <c r="X12" s="29"/>
      <c r="Y12" s="609">
        <f>(E12)*'Input Summ SA'!C741*'Input Summ SA'!C118+(E12)*'Input Summ SA'!C768*(1-'Input Summ SA'!C118)</f>
        <v>0</v>
      </c>
      <c r="Z12" s="29">
        <f>(F12-G12*'Input Summ SA'!C145)*'Input Summ SA'!C741</f>
        <v>0</v>
      </c>
      <c r="AA12" s="29">
        <f>G12*('Input Summ SA'!C768)</f>
        <v>0</v>
      </c>
      <c r="AB12" s="29">
        <f>H12*'Input Summ SA'!G849</f>
        <v>0</v>
      </c>
      <c r="AC12" s="29">
        <f>$D12*(('Input Summ SA'!C265/'Input Summ SA'!$C$167)*'Input Summ SA'!C795+('Input Summ SA'!C292/'Input Summ SA'!$C$167)*'Input Summ SA'!C822)</f>
        <v>0</v>
      </c>
      <c r="AD12" s="602">
        <f>H12*'Input Summ SA'!E849</f>
        <v>0</v>
      </c>
    </row>
    <row r="13" spans="1:33" x14ac:dyDescent="0.3">
      <c r="A13" s="678"/>
      <c r="B13" s="31" t="s">
        <v>1086</v>
      </c>
      <c r="C13" s="29">
        <f>'General input'!H61</f>
        <v>0</v>
      </c>
      <c r="D13" s="29">
        <f>'General input'!C91*'General input'!H61</f>
        <v>0</v>
      </c>
      <c r="E13" s="29">
        <f>('Input Summ SA'!J11/'Input Summ SA'!$C$167)*(C13-D13)+('Input Summ SA'!J11/'Input Summ SA'!$C$167)*D13*(1-'Input Summ SA'!C182)</f>
        <v>0</v>
      </c>
      <c r="F13" s="29">
        <f>('Input Summ SA'!J38/'Input Summ SA'!$C$168)*(C13-D13)+D13*(1-'Input Summ SA'!C210)*('Input Summ SA'!J38/'Input Summ SA'!$C$169)</f>
        <v>0</v>
      </c>
      <c r="G13" s="29">
        <f>('Input Summ SA'!J65/'Input Summ SA'!$C$169)*(C13-D13)+D13*(1-'Input Summ SA'!C210)*('Input Summ SA'!J65/'Input Summ SA'!$C$169)</f>
        <v>0</v>
      </c>
      <c r="H13" s="602">
        <f>('Input Summ SA'!J92/'Input Summ SA'!$C$170)*(C13-D13)+D13*(1-'Input Summ SA'!C238)*('Input Summ SA'!J92/'Input Summ SA'!$C$170)</f>
        <v>0</v>
      </c>
      <c r="I13" s="29"/>
      <c r="J13" s="609">
        <f>$D13*'Input Summ SA'!C326</f>
        <v>0</v>
      </c>
      <c r="K13" s="29">
        <f>D13*'Input Summ SA'!C354</f>
        <v>0</v>
      </c>
      <c r="L13" s="29">
        <f>(F13)*'Input Summ SA'!C437</f>
        <v>0</v>
      </c>
      <c r="M13" s="29">
        <f>$D13*(('Input Summ SA'!C266/'Input Summ SA'!$C$167)*'Input Summ SA'!C382+('Input Summ SA'!C293/'Input Summ SA'!$C$167)*'Input Summ SA'!C410)</f>
        <v>0</v>
      </c>
      <c r="N13" s="602">
        <f>G13*'Input Summ SA'!C464</f>
        <v>0</v>
      </c>
      <c r="O13" s="609">
        <f>D13*'Input Summ SA'!C494</f>
        <v>0</v>
      </c>
      <c r="P13" s="29">
        <f ca="1">(E13)*'Input Summ SA'!C521</f>
        <v>0</v>
      </c>
      <c r="Q13" s="29">
        <f ca="1">(F13)*'Input Summ SA'!C548</f>
        <v>0</v>
      </c>
      <c r="R13" s="602">
        <f ca="1">G13*'Input Summ SA'!C575</f>
        <v>0</v>
      </c>
      <c r="S13" s="609">
        <f ca="1">D13*'Input Summ SA'!C605</f>
        <v>0</v>
      </c>
      <c r="T13" s="29">
        <f ca="1">(E13)*'Input Summ SA'!C632</f>
        <v>0</v>
      </c>
      <c r="U13" s="29">
        <f ca="1">(F13)*'Input Summ SA'!C659</f>
        <v>0</v>
      </c>
      <c r="V13" s="29">
        <f ca="1">G13*'Input Summ SA'!C686</f>
        <v>0</v>
      </c>
      <c r="W13" s="602">
        <f ca="1">H13*'Input Summ SA'!C713</f>
        <v>0</v>
      </c>
      <c r="X13" s="29"/>
      <c r="Y13" s="609">
        <f>(E13)*'Input Summ SA'!C742*'Input Summ SA'!C119+(E13)*'Input Summ SA'!C769*(1-'Input Summ SA'!C119)</f>
        <v>0</v>
      </c>
      <c r="Z13" s="29">
        <f>(F13-G13*'Input Summ SA'!C146)*'Input Summ SA'!C742</f>
        <v>0</v>
      </c>
      <c r="AA13" s="29">
        <f>G13*('Input Summ SA'!C769)</f>
        <v>0</v>
      </c>
      <c r="AB13" s="29">
        <f>H13*'Input Summ SA'!G850</f>
        <v>0</v>
      </c>
      <c r="AC13" s="29">
        <f>$D13*(('Input Summ SA'!C266/'Input Summ SA'!$C$167)*'Input Summ SA'!C796+('Input Summ SA'!C293/'Input Summ SA'!$C$167)*'Input Summ SA'!C823)</f>
        <v>0</v>
      </c>
      <c r="AD13" s="602">
        <f>H13*'Input Summ SA'!E850</f>
        <v>0</v>
      </c>
    </row>
    <row r="14" spans="1:33" x14ac:dyDescent="0.3">
      <c r="A14" s="678"/>
      <c r="B14" s="31" t="s">
        <v>1087</v>
      </c>
      <c r="C14" s="29">
        <f>'General input'!H62</f>
        <v>0</v>
      </c>
      <c r="D14" s="29">
        <f>'General input'!C92*'General input'!H62</f>
        <v>0</v>
      </c>
      <c r="E14" s="29">
        <f>('Input Summ SA'!J12/'Input Summ SA'!$C$167)*(C14-D14)+('Input Summ SA'!J12/'Input Summ SA'!$C$167)*D14*(1-'Input Summ SA'!C183)</f>
        <v>0</v>
      </c>
      <c r="F14" s="29">
        <f>('Input Summ SA'!J39/'Input Summ SA'!$C$168)*(C14-D14)+D14*(1-'Input Summ SA'!C211)*('Input Summ SA'!J39/'Input Summ SA'!$C$169)</f>
        <v>0</v>
      </c>
      <c r="G14" s="29">
        <f>('Input Summ SA'!J66/'Input Summ SA'!$C$169)*(C14-D14)+D14*(1-'Input Summ SA'!C211)*('Input Summ SA'!J66/'Input Summ SA'!$C$169)</f>
        <v>0</v>
      </c>
      <c r="H14" s="602">
        <f>('Input Summ SA'!J93/'Input Summ SA'!$C$170)*(C14-D14)+D14*(1-'Input Summ SA'!C239)*('Input Summ SA'!J93/'Input Summ SA'!$C$170)</f>
        <v>0</v>
      </c>
      <c r="I14" s="29"/>
      <c r="J14" s="609">
        <f>$D14*'Input Summ SA'!C327</f>
        <v>0</v>
      </c>
      <c r="K14" s="29">
        <f>D14*'Input Summ SA'!C355</f>
        <v>0</v>
      </c>
      <c r="L14" s="29">
        <f>(F14)*'Input Summ SA'!C438</f>
        <v>0</v>
      </c>
      <c r="M14" s="29">
        <f>$D14*(('Input Summ SA'!C267/'Input Summ SA'!$C$167)*'Input Summ SA'!C383+('Input Summ SA'!C294/'Input Summ SA'!$C$167)*'Input Summ SA'!C411)</f>
        <v>0</v>
      </c>
      <c r="N14" s="602">
        <f>G14*'Input Summ SA'!C465</f>
        <v>0</v>
      </c>
      <c r="O14" s="609">
        <f>D14*'Input Summ SA'!C495</f>
        <v>0</v>
      </c>
      <c r="P14" s="29">
        <f ca="1">(E14)*'Input Summ SA'!C522</f>
        <v>0</v>
      </c>
      <c r="Q14" s="29">
        <f ca="1">(F14)*'Input Summ SA'!C549</f>
        <v>0</v>
      </c>
      <c r="R14" s="602">
        <f ca="1">G14*'Input Summ SA'!C576</f>
        <v>0</v>
      </c>
      <c r="S14" s="609">
        <f ca="1">D14*'Input Summ SA'!C606</f>
        <v>0</v>
      </c>
      <c r="T14" s="29">
        <f ca="1">(E14)*'Input Summ SA'!C633</f>
        <v>0</v>
      </c>
      <c r="U14" s="29">
        <f ca="1">(F14)*'Input Summ SA'!C660</f>
        <v>0</v>
      </c>
      <c r="V14" s="29">
        <f ca="1">G14*'Input Summ SA'!C687</f>
        <v>0</v>
      </c>
      <c r="W14" s="602">
        <f ca="1">H14*'Input Summ SA'!C714</f>
        <v>0</v>
      </c>
      <c r="X14" s="29"/>
      <c r="Y14" s="609">
        <f>(E14)*'Input Summ SA'!C743*'Input Summ SA'!C120+(E14)*'Input Summ SA'!C770*(1-'Input Summ SA'!C120)</f>
        <v>0</v>
      </c>
      <c r="Z14" s="29">
        <f>(F14-G14*'Input Summ SA'!C147)*'Input Summ SA'!C743</f>
        <v>0</v>
      </c>
      <c r="AA14" s="29">
        <f>G14*('Input Summ SA'!C770)</f>
        <v>0</v>
      </c>
      <c r="AB14" s="29">
        <f>H14*'Input Summ SA'!G851</f>
        <v>0</v>
      </c>
      <c r="AC14" s="29">
        <f>$D14*(('Input Summ SA'!C267/'Input Summ SA'!$C$167)*'Input Summ SA'!C797+('Input Summ SA'!C294/'Input Summ SA'!$C$167)*'Input Summ SA'!C824)</f>
        <v>0</v>
      </c>
      <c r="AD14" s="602">
        <f>H14*'Input Summ SA'!E851</f>
        <v>0</v>
      </c>
    </row>
    <row r="15" spans="1:33" x14ac:dyDescent="0.3">
      <c r="A15" s="678"/>
      <c r="B15" s="31" t="s">
        <v>1443</v>
      </c>
      <c r="C15" s="29">
        <f>'General input'!H63</f>
        <v>0</v>
      </c>
      <c r="D15" s="29">
        <f>'General input'!C93*'General input'!H63</f>
        <v>0</v>
      </c>
      <c r="E15" s="29">
        <f>('Input Summ SA'!J13/'Input Summ SA'!$C$167)*(C15-D15)+('Input Summ SA'!J13/'Input Summ SA'!$C$167)*D15*(1-'Input Summ SA'!C184)</f>
        <v>0</v>
      </c>
      <c r="F15" s="29">
        <f>('Input Summ SA'!J40/'Input Summ SA'!$C$168)*(C15-D15)+D15*(1-'Input Summ SA'!C212)*('Input Summ SA'!J40/'Input Summ SA'!$C$169)</f>
        <v>0</v>
      </c>
      <c r="G15" s="29">
        <f>('Input Summ SA'!J67/'Input Summ SA'!$C$169)*(C15-D15)+D15*(1-'Input Summ SA'!C212)*('Input Summ SA'!J67/'Input Summ SA'!$C$169)</f>
        <v>0</v>
      </c>
      <c r="H15" s="602">
        <f>('Input Summ SA'!J94/'Input Summ SA'!$C$170)*(C15-D15)+D15*(1-'Input Summ SA'!C240)*('Input Summ SA'!J94/'Input Summ SA'!$C$170)</f>
        <v>0</v>
      </c>
      <c r="I15" s="29"/>
      <c r="J15" s="609">
        <f>$D15*'Input Summ SA'!C328</f>
        <v>0</v>
      </c>
      <c r="K15" s="29">
        <f>D15*'Input Summ SA'!C356</f>
        <v>0</v>
      </c>
      <c r="L15" s="29">
        <f>(F15)*'Input Summ SA'!C439</f>
        <v>0</v>
      </c>
      <c r="M15" s="29">
        <f>$D15*(('Input Summ SA'!C268/'Input Summ SA'!$C$167)*'Input Summ SA'!C384+('Input Summ SA'!C295/'Input Summ SA'!$C$167)*'Input Summ SA'!C412)</f>
        <v>0</v>
      </c>
      <c r="N15" s="602">
        <f>G15*'Input Summ SA'!C466</f>
        <v>0</v>
      </c>
      <c r="O15" s="609">
        <f>D15*'Input Summ SA'!C496</f>
        <v>0</v>
      </c>
      <c r="P15" s="29">
        <f ca="1">(E15)*'Input Summ SA'!C523</f>
        <v>0</v>
      </c>
      <c r="Q15" s="29">
        <f ca="1">(F15)*'Input Summ SA'!C550</f>
        <v>0</v>
      </c>
      <c r="R15" s="602">
        <f ca="1">G15*'Input Summ SA'!C577</f>
        <v>0</v>
      </c>
      <c r="S15" s="609">
        <f ca="1">D15*'Input Summ SA'!C607</f>
        <v>0</v>
      </c>
      <c r="T15" s="29">
        <f ca="1">(E15)*'Input Summ SA'!C634</f>
        <v>0</v>
      </c>
      <c r="U15" s="29">
        <f ca="1">(F15)*'Input Summ SA'!C661</f>
        <v>0</v>
      </c>
      <c r="V15" s="29">
        <f ca="1">G15*'Input Summ SA'!C688</f>
        <v>0</v>
      </c>
      <c r="W15" s="602">
        <f ca="1">H15*'Input Summ SA'!C715</f>
        <v>0</v>
      </c>
      <c r="X15" s="29"/>
      <c r="Y15" s="609">
        <f>(E15)*'Input Summ SA'!C744*'Input Summ SA'!C121+(E15)*'Input Summ SA'!C771*(1-'Input Summ SA'!C121)</f>
        <v>0</v>
      </c>
      <c r="Z15" s="29">
        <f>(F15-G15*'Input Summ SA'!C148)*'Input Summ SA'!C744</f>
        <v>0</v>
      </c>
      <c r="AA15" s="29">
        <f>G15*('Input Summ SA'!C771)</f>
        <v>0</v>
      </c>
      <c r="AB15" s="29">
        <f>H15*'Input Summ SA'!G852</f>
        <v>0</v>
      </c>
      <c r="AC15" s="29">
        <f>$D15*(('Input Summ SA'!C268/'Input Summ SA'!$C$167)*'Input Summ SA'!C798+('Input Summ SA'!C295/'Input Summ SA'!$C$167)*'Input Summ SA'!C825)</f>
        <v>0</v>
      </c>
      <c r="AD15" s="602">
        <f>H15*'Input Summ SA'!E852</f>
        <v>0</v>
      </c>
    </row>
    <row r="16" spans="1:33" x14ac:dyDescent="0.3">
      <c r="A16" s="678"/>
      <c r="B16" s="315" t="s">
        <v>1444</v>
      </c>
      <c r="E16" s="29"/>
      <c r="F16" s="29"/>
      <c r="G16" s="29"/>
      <c r="H16" s="602"/>
      <c r="J16" s="198"/>
      <c r="N16" s="87"/>
      <c r="O16" s="198"/>
      <c r="R16" s="87"/>
      <c r="S16" s="198"/>
      <c r="W16" s="87"/>
      <c r="Y16" s="198"/>
      <c r="AC16" s="29"/>
      <c r="AD16" s="602"/>
    </row>
    <row r="17" spans="1:30" ht="17.399999999999999" customHeight="1" x14ac:dyDescent="0.3">
      <c r="A17" s="678"/>
      <c r="B17" s="31" t="s">
        <v>1082</v>
      </c>
      <c r="C17" s="29">
        <f>'General input'!H65</f>
        <v>0</v>
      </c>
      <c r="D17" s="29">
        <f>'General input'!C95*'General input'!H65</f>
        <v>0</v>
      </c>
      <c r="E17" s="29">
        <f>('Input Summ SA'!J15/'Input Summ SA'!$C$167)*(C17-D17)+('Input Summ SA'!J15/'Input Summ SA'!$C$167)*D17*(1-'Input Summ SA'!C186)</f>
        <v>0</v>
      </c>
      <c r="F17" s="29">
        <f>('Input Summ SA'!J42/'Input Summ SA'!$C$168)*(C17-D17)+D17*(1-'Input Summ SA'!C214)*('Input Summ SA'!J42/'Input Summ SA'!$C$169)</f>
        <v>0</v>
      </c>
      <c r="G17" s="29">
        <f>('Input Summ SA'!J69/'Input Summ SA'!$C$169)*(C17-D17)+D17*(1-'Input Summ SA'!C214)*('Input Summ SA'!J69/'Input Summ SA'!$C$169)</f>
        <v>0</v>
      </c>
      <c r="H17" s="602">
        <f>('Input Summ SA'!J96/'Input Summ SA'!$C$170)*(C17-D17)+D17*(1-'Input Summ SA'!C242)*('Input Summ SA'!J96/'Input Summ SA'!$C$170)</f>
        <v>0</v>
      </c>
      <c r="I17" s="29"/>
      <c r="J17" s="609">
        <f>$D17*'Input Summ SA'!C330</f>
        <v>0</v>
      </c>
      <c r="K17" s="29">
        <f>D17*'Input Summ SA'!C358</f>
        <v>0</v>
      </c>
      <c r="L17" s="29">
        <f>(F17)*'Input Summ SA'!C441</f>
        <v>0</v>
      </c>
      <c r="M17" s="29">
        <f>$D17*(('Input Summ SA'!C270/'Input Summ SA'!$C$167)*'Input Summ SA'!C386+('Input Summ SA'!C297/'Input Summ SA'!$C$167)*'Input Summ SA'!C414)</f>
        <v>0</v>
      </c>
      <c r="N17" s="602">
        <f>G17*'Input Summ SA'!C468</f>
        <v>0</v>
      </c>
      <c r="O17" s="609">
        <f>D17*'Input Summ SA'!C493</f>
        <v>0</v>
      </c>
      <c r="P17" s="29">
        <f ca="1">(E17)*'Input Summ SA'!C525</f>
        <v>0</v>
      </c>
      <c r="Q17" s="29">
        <f ca="1">(F17)*'Input Summ SA'!C552</f>
        <v>0</v>
      </c>
      <c r="R17" s="602">
        <f ca="1">G17*'Input Summ SA'!C579</f>
        <v>0</v>
      </c>
      <c r="S17" s="609">
        <f ca="1">D17*'Input Summ SA'!C609</f>
        <v>0</v>
      </c>
      <c r="T17" s="29">
        <f ca="1">(E17)*'Input Summ SA'!C636</f>
        <v>0</v>
      </c>
      <c r="U17" s="29">
        <f ca="1">(F17)*'Input Summ SA'!C663</f>
        <v>0</v>
      </c>
      <c r="V17" s="29">
        <f ca="1">G17*'Input Summ SA'!C690</f>
        <v>0</v>
      </c>
      <c r="W17" s="602">
        <f ca="1">H17*'Input Summ SA'!C717</f>
        <v>0</v>
      </c>
      <c r="X17" s="29"/>
      <c r="Y17" s="609">
        <f>(E17)*'Input Summ SA'!C746*'Input Summ SA'!C123+(E17)*'Input Summ SA'!C773*(1-'Input Summ SA'!C123)</f>
        <v>0</v>
      </c>
      <c r="Z17" s="29">
        <f>(F17-G17*'Input Summ SA'!C150)*'Input Summ SA'!C746</f>
        <v>0</v>
      </c>
      <c r="AA17" s="29">
        <f>G17*('Input Summ SA'!C773)</f>
        <v>0</v>
      </c>
      <c r="AB17" s="29">
        <f>H17*'Input Summ SA'!G854</f>
        <v>0</v>
      </c>
      <c r="AC17" s="29">
        <f>$D17*(('Input Summ SA'!C270/'Input Summ SA'!$C$167)*'Input Summ SA'!C800+('Input Summ SA'!C297/'Input Summ SA'!$C$167)*'Input Summ SA'!C827)</f>
        <v>0</v>
      </c>
      <c r="AD17" s="602">
        <f>H17*'Input Summ SA'!E854</f>
        <v>0</v>
      </c>
    </row>
    <row r="18" spans="1:30" x14ac:dyDescent="0.3">
      <c r="A18" s="678"/>
      <c r="B18" s="31" t="s">
        <v>1083</v>
      </c>
      <c r="C18" s="29">
        <f>'General input'!H66</f>
        <v>0</v>
      </c>
      <c r="D18" s="29">
        <f>'General input'!C96*'General input'!H66</f>
        <v>0</v>
      </c>
      <c r="E18" s="29">
        <f>('Input Summ SA'!J16/'Input Summ SA'!$C$167)*(C18-D18)+('Input Summ SA'!J16/'Input Summ SA'!$C$167)*D18*(1-'Input Summ SA'!C187)</f>
        <v>0</v>
      </c>
      <c r="F18" s="29">
        <f>('Input Summ SA'!J43/'Input Summ SA'!$C$168)*(C18-D18)+D18*(1-'Input Summ SA'!C215)*('Input Summ SA'!J43/'Input Summ SA'!$C$169)</f>
        <v>0</v>
      </c>
      <c r="G18" s="29">
        <f>('Input Summ SA'!J70/'Input Summ SA'!$C$169)*(C18-D18)+D18*(1-'Input Summ SA'!C215)*('Input Summ SA'!J70/'Input Summ SA'!$C$169)</f>
        <v>0</v>
      </c>
      <c r="H18" s="602">
        <f>('Input Summ SA'!J97/'Input Summ SA'!$C$170)*(C18-D18)+D18*(1-'Input Summ SA'!C243)*('Input Summ SA'!J97/'Input Summ SA'!$C$170)</f>
        <v>0</v>
      </c>
      <c r="I18" s="29"/>
      <c r="J18" s="609">
        <f>$D18*'Input Summ SA'!C331</f>
        <v>0</v>
      </c>
      <c r="K18" s="29">
        <f>D18*'Input Summ SA'!C359</f>
        <v>0</v>
      </c>
      <c r="L18" s="29">
        <f>(F18)*'Input Summ SA'!C442</f>
        <v>0</v>
      </c>
      <c r="M18" s="29">
        <f>$D18*(('Input Summ SA'!C271/'Input Summ SA'!$C$167)*'Input Summ SA'!C387+('Input Summ SA'!C298/'Input Summ SA'!$C$167)*'Input Summ SA'!C415)</f>
        <v>0</v>
      </c>
      <c r="N18" s="602">
        <f>G18*'Input Summ SA'!C469</f>
        <v>0</v>
      </c>
      <c r="O18" s="609">
        <f>D18*'Input Summ SA'!C494</f>
        <v>0</v>
      </c>
      <c r="P18" s="29">
        <f ca="1">(E18)*'Input Summ SA'!C526</f>
        <v>0</v>
      </c>
      <c r="Q18" s="29">
        <f ca="1">(F18)*'Input Summ SA'!C553</f>
        <v>0</v>
      </c>
      <c r="R18" s="602">
        <f ca="1">G18*'Input Summ SA'!C580</f>
        <v>0</v>
      </c>
      <c r="S18" s="609">
        <f ca="1">D18*'Input Summ SA'!C610</f>
        <v>0</v>
      </c>
      <c r="T18" s="29">
        <f ca="1">(E18)*'Input Summ SA'!C637</f>
        <v>0</v>
      </c>
      <c r="U18" s="29">
        <f ca="1">(F18)*'Input Summ SA'!C664</f>
        <v>0</v>
      </c>
      <c r="V18" s="29">
        <f ca="1">G18*'Input Summ SA'!C691</f>
        <v>0</v>
      </c>
      <c r="W18" s="602">
        <f ca="1">H18*'Input Summ SA'!C718</f>
        <v>0</v>
      </c>
      <c r="X18" s="29"/>
      <c r="Y18" s="609">
        <f>(E18)*'Input Summ SA'!C747*'Input Summ SA'!C124+(E18)*'Input Summ SA'!C774*(1-'Input Summ SA'!C124)</f>
        <v>0</v>
      </c>
      <c r="Z18" s="29">
        <f>(F18-G18*'Input Summ SA'!C151)*'Input Summ SA'!C747</f>
        <v>0</v>
      </c>
      <c r="AA18" s="29">
        <f>G18*('Input Summ SA'!C774)</f>
        <v>0</v>
      </c>
      <c r="AB18" s="29">
        <f>H18*'Input Summ SA'!G855</f>
        <v>0</v>
      </c>
      <c r="AC18" s="29">
        <f>$D18*(('Input Summ SA'!C271/'Input Summ SA'!$C$167)*'Input Summ SA'!C801+('Input Summ SA'!C298/'Input Summ SA'!$C$167)*'Input Summ SA'!C828)</f>
        <v>0</v>
      </c>
      <c r="AD18" s="602">
        <f>H18*'Input Summ SA'!E855</f>
        <v>0</v>
      </c>
    </row>
    <row r="19" spans="1:30" x14ac:dyDescent="0.3">
      <c r="A19" s="678"/>
      <c r="B19" s="31" t="s">
        <v>1084</v>
      </c>
      <c r="C19" s="29">
        <f>'General input'!H67</f>
        <v>0</v>
      </c>
      <c r="D19" s="29">
        <f>'General input'!C97*'General input'!H67</f>
        <v>0</v>
      </c>
      <c r="E19" s="29">
        <f>('Input Summ SA'!J17/'Input Summ SA'!$C$167)*(C19-D19)+('Input Summ SA'!J17/'Input Summ SA'!$C$167)*D19*(1-'Input Summ SA'!C188)</f>
        <v>0</v>
      </c>
      <c r="F19" s="29">
        <f>('Input Summ SA'!J44/'Input Summ SA'!$C$168)*(C19-D19)+D19*(1-'Input Summ SA'!C216)*('Input Summ SA'!J44/'Input Summ SA'!$C$169)</f>
        <v>0</v>
      </c>
      <c r="G19" s="29">
        <f>('Input Summ SA'!J71/'Input Summ SA'!$C$169)*(C19-D19)+D19*(1-'Input Summ SA'!C216)*('Input Summ SA'!J71/'Input Summ SA'!$C$169)</f>
        <v>0</v>
      </c>
      <c r="H19" s="602">
        <f>('Input Summ SA'!J98/'Input Summ SA'!$C$170)*(C19-D19)+D19*(1-'Input Summ SA'!C244)*('Input Summ SA'!J98/'Input Summ SA'!$C$170)</f>
        <v>0</v>
      </c>
      <c r="I19" s="29"/>
      <c r="J19" s="609">
        <f>$D19*'Input Summ SA'!C332</f>
        <v>0</v>
      </c>
      <c r="K19" s="29">
        <f>D19*'Input Summ SA'!C360</f>
        <v>0</v>
      </c>
      <c r="L19" s="29">
        <f>(F19)*'Input Summ SA'!C443</f>
        <v>0</v>
      </c>
      <c r="M19" s="29">
        <f>$D19*(('Input Summ SA'!C272/'Input Summ SA'!$C$167)*'Input Summ SA'!C388+('Input Summ SA'!C299/'Input Summ SA'!$C$167)*'Input Summ SA'!C416)</f>
        <v>0</v>
      </c>
      <c r="N19" s="602">
        <f>G19*'Input Summ SA'!C470</f>
        <v>0</v>
      </c>
      <c r="O19" s="609">
        <f>D19*'Input Summ SA'!C495</f>
        <v>0</v>
      </c>
      <c r="P19" s="29">
        <f ca="1">(E19)*'Input Summ SA'!C527</f>
        <v>0</v>
      </c>
      <c r="Q19" s="29">
        <f ca="1">(F19)*'Input Summ SA'!C554</f>
        <v>0</v>
      </c>
      <c r="R19" s="602">
        <f ca="1">G19*'Input Summ SA'!C581</f>
        <v>0</v>
      </c>
      <c r="S19" s="609">
        <f ca="1">D19*'Input Summ SA'!C611</f>
        <v>0</v>
      </c>
      <c r="T19" s="29">
        <f ca="1">(E19)*'Input Summ SA'!C638</f>
        <v>0</v>
      </c>
      <c r="U19" s="29">
        <f ca="1">(F19)*'Input Summ SA'!C665</f>
        <v>0</v>
      </c>
      <c r="V19" s="29">
        <f ca="1">G19*'Input Summ SA'!C692</f>
        <v>0</v>
      </c>
      <c r="W19" s="602">
        <f ca="1">H19*'Input Summ SA'!C719</f>
        <v>0</v>
      </c>
      <c r="X19" s="29"/>
      <c r="Y19" s="609">
        <f>(E19)*'Input Summ SA'!C748*'Input Summ SA'!C125+(E19)*'Input Summ SA'!C775*(1-'Input Summ SA'!C125)</f>
        <v>0</v>
      </c>
      <c r="Z19" s="29">
        <f>(F19-G19*'Input Summ SA'!C152)*'Input Summ SA'!C748</f>
        <v>0</v>
      </c>
      <c r="AA19" s="29">
        <f>G19*('Input Summ SA'!C775)</f>
        <v>0</v>
      </c>
      <c r="AB19" s="29">
        <f>H19*'Input Summ SA'!G856</f>
        <v>0</v>
      </c>
      <c r="AC19" s="29">
        <f>$D19*(('Input Summ SA'!C272/'Input Summ SA'!$C$167)*'Input Summ SA'!C802+('Input Summ SA'!C299/'Input Summ SA'!$C$167)*'Input Summ SA'!C829)</f>
        <v>0</v>
      </c>
      <c r="AD19" s="602">
        <f>H19*'Input Summ SA'!E856</f>
        <v>0</v>
      </c>
    </row>
    <row r="20" spans="1:30" x14ac:dyDescent="0.3">
      <c r="A20" s="678"/>
      <c r="B20" s="31" t="s">
        <v>1085</v>
      </c>
      <c r="C20" s="29">
        <f>'General input'!H68</f>
        <v>0</v>
      </c>
      <c r="D20" s="29">
        <f>'General input'!C98*'General input'!H68</f>
        <v>0</v>
      </c>
      <c r="E20" s="29">
        <f>('Input Summ SA'!J18/'Input Summ SA'!$C$167)*(C20-D20)+('Input Summ SA'!J18/'Input Summ SA'!$C$167)*D20*(1-'Input Summ SA'!C189)</f>
        <v>0</v>
      </c>
      <c r="F20" s="29">
        <f>('Input Summ SA'!J45/'Input Summ SA'!$C$168)*(C20-D20)+D20*(1-'Input Summ SA'!C217)*('Input Summ SA'!J45/'Input Summ SA'!$C$169)</f>
        <v>0</v>
      </c>
      <c r="G20" s="29">
        <f>('Input Summ SA'!J72/'Input Summ SA'!$C$169)*(C20-D20)+D20*(1-'Input Summ SA'!C217)*('Input Summ SA'!J72/'Input Summ SA'!$C$169)</f>
        <v>0</v>
      </c>
      <c r="H20" s="602">
        <f>('Input Summ SA'!J99/'Input Summ SA'!$C$170)*(C20-D20)+D20*(1-'Input Summ SA'!C245)*('Input Summ SA'!J99/'Input Summ SA'!$C$170)</f>
        <v>0</v>
      </c>
      <c r="I20" s="29"/>
      <c r="J20" s="609">
        <f>$D20*'Input Summ SA'!C333</f>
        <v>0</v>
      </c>
      <c r="K20" s="29">
        <f>D20*'Input Summ SA'!C361</f>
        <v>0</v>
      </c>
      <c r="L20" s="29">
        <f>(F20)*'Input Summ SA'!C444</f>
        <v>0</v>
      </c>
      <c r="M20" s="29">
        <f>$D20*(('Input Summ SA'!C273/'Input Summ SA'!$C$167)*'Input Summ SA'!C389+('Input Summ SA'!C300/'Input Summ SA'!$C$167)*'Input Summ SA'!C417)</f>
        <v>0</v>
      </c>
      <c r="N20" s="602">
        <f>G20*'Input Summ SA'!C471</f>
        <v>0</v>
      </c>
      <c r="O20" s="609">
        <f>D20*'Input Summ SA'!C501</f>
        <v>0</v>
      </c>
      <c r="P20" s="29">
        <f ca="1">(E20)*'Input Summ SA'!C528</f>
        <v>0</v>
      </c>
      <c r="Q20" s="29">
        <f ca="1">(F20)*'Input Summ SA'!C555</f>
        <v>0</v>
      </c>
      <c r="R20" s="602">
        <f ca="1">G20*'Input Summ SA'!C582</f>
        <v>0</v>
      </c>
      <c r="S20" s="609">
        <f ca="1">D20*'Input Summ SA'!C612</f>
        <v>0</v>
      </c>
      <c r="T20" s="29">
        <f ca="1">(E20)*'Input Summ SA'!C639</f>
        <v>0</v>
      </c>
      <c r="U20" s="29">
        <f ca="1">(F20)*'Input Summ SA'!C666</f>
        <v>0</v>
      </c>
      <c r="V20" s="29">
        <f ca="1">G20*'Input Summ SA'!C693</f>
        <v>0</v>
      </c>
      <c r="W20" s="602">
        <f ca="1">H20*'Input Summ SA'!C720</f>
        <v>0</v>
      </c>
      <c r="X20" s="29"/>
      <c r="Y20" s="609">
        <f>(E20)*'Input Summ SA'!C749*'Input Summ SA'!C126+(E20)*'Input Summ SA'!C776*(1-'Input Summ SA'!C126)</f>
        <v>0</v>
      </c>
      <c r="Z20" s="29">
        <f>(F20-G20*'Input Summ SA'!C153)*'Input Summ SA'!C749</f>
        <v>0</v>
      </c>
      <c r="AA20" s="29">
        <f>G20*('Input Summ SA'!C776)</f>
        <v>0</v>
      </c>
      <c r="AB20" s="29">
        <f>H20*'Input Summ SA'!G857</f>
        <v>0</v>
      </c>
      <c r="AC20" s="29">
        <f>$D20*(('Input Summ SA'!C273/'Input Summ SA'!$C$167)*'Input Summ SA'!C803+('Input Summ SA'!C300/'Input Summ SA'!$C$167)*'Input Summ SA'!C830)</f>
        <v>0</v>
      </c>
      <c r="AD20" s="602">
        <f>H20*'Input Summ SA'!E857</f>
        <v>0</v>
      </c>
    </row>
    <row r="21" spans="1:30" x14ac:dyDescent="0.3">
      <c r="A21" s="678"/>
      <c r="B21" s="31" t="s">
        <v>1086</v>
      </c>
      <c r="C21" s="29">
        <f>'General input'!H69</f>
        <v>0</v>
      </c>
      <c r="D21" s="29">
        <f>'General input'!C99*'General input'!H69</f>
        <v>0</v>
      </c>
      <c r="E21" s="29">
        <f>('Input Summ SA'!J19/'Input Summ SA'!$C$167)*(C21-D21)+('Input Summ SA'!J19/'Input Summ SA'!$C$167)*D21*(1-'Input Summ SA'!C190)</f>
        <v>0</v>
      </c>
      <c r="F21" s="29">
        <f>('Input Summ SA'!J46/'Input Summ SA'!$C$168)*(C21-D21)+D21*(1-'Input Summ SA'!C218)*('Input Summ SA'!J46/'Input Summ SA'!$C$169)</f>
        <v>0</v>
      </c>
      <c r="G21" s="29">
        <f>('Input Summ SA'!J73/'Input Summ SA'!$C$169)*(C21-D21)+D21*(1-'Input Summ SA'!C218)*('Input Summ SA'!J73/'Input Summ SA'!$C$169)</f>
        <v>0</v>
      </c>
      <c r="H21" s="602">
        <f>('Input Summ SA'!J100/'Input Summ SA'!$C$170)*(C21-D21)+D21*(1-'Input Summ SA'!C246)*('Input Summ SA'!J100/'Input Summ SA'!$C$170)</f>
        <v>0</v>
      </c>
      <c r="I21" s="29"/>
      <c r="J21" s="609">
        <f>$D21*'Input Summ SA'!C334</f>
        <v>0</v>
      </c>
      <c r="K21" s="29">
        <f>D21*'Input Summ SA'!C362</f>
        <v>0</v>
      </c>
      <c r="L21" s="29">
        <f>(F21)*'Input Summ SA'!C445</f>
        <v>0</v>
      </c>
      <c r="M21" s="29">
        <f>$D21*(('Input Summ SA'!C274/'Input Summ SA'!$C$167)*'Input Summ SA'!C390+('Input Summ SA'!C301/'Input Summ SA'!$C$167)*'Input Summ SA'!C418)</f>
        <v>0</v>
      </c>
      <c r="N21" s="602">
        <f>G21*'Input Summ SA'!C472</f>
        <v>0</v>
      </c>
      <c r="O21" s="609">
        <f>D21*'Input Summ SA'!C502</f>
        <v>0</v>
      </c>
      <c r="P21" s="29">
        <f ca="1">(E21)*'Input Summ SA'!C529</f>
        <v>0</v>
      </c>
      <c r="Q21" s="29">
        <f ca="1">(F21)*'Input Summ SA'!C556</f>
        <v>0</v>
      </c>
      <c r="R21" s="602">
        <f ca="1">G21*'Input Summ SA'!C583</f>
        <v>0</v>
      </c>
      <c r="S21" s="609">
        <f ca="1">D21*'Input Summ SA'!C613</f>
        <v>0</v>
      </c>
      <c r="T21" s="29">
        <f ca="1">(E21)*'Input Summ SA'!C640</f>
        <v>0</v>
      </c>
      <c r="U21" s="29">
        <f ca="1">(F21)*'Input Summ SA'!C667</f>
        <v>0</v>
      </c>
      <c r="V21" s="29">
        <f ca="1">G21*'Input Summ SA'!C694</f>
        <v>0</v>
      </c>
      <c r="W21" s="602">
        <f ca="1">H21*'Input Summ SA'!C721</f>
        <v>0</v>
      </c>
      <c r="X21" s="29"/>
      <c r="Y21" s="609">
        <f>(E21)*'Input Summ SA'!C750*'Input Summ SA'!C127+(E21)*'Input Summ SA'!C777*(1-'Input Summ SA'!C127)</f>
        <v>0</v>
      </c>
      <c r="Z21" s="29">
        <f>(F21-G21*'Input Summ SA'!C154)*'Input Summ SA'!C750</f>
        <v>0</v>
      </c>
      <c r="AA21" s="29">
        <f>G21*('Input Summ SA'!C777)</f>
        <v>0</v>
      </c>
      <c r="AB21" s="29">
        <f>H21*'Input Summ SA'!G858</f>
        <v>0</v>
      </c>
      <c r="AC21" s="29">
        <f>$D21*(('Input Summ SA'!C274/'Input Summ SA'!$C$167)*'Input Summ SA'!C804+('Input Summ SA'!C301/'Input Summ SA'!$C$167)*'Input Summ SA'!C831)</f>
        <v>0</v>
      </c>
      <c r="AD21" s="602">
        <f>H21*'Input Summ SA'!E858</f>
        <v>0</v>
      </c>
    </row>
    <row r="22" spans="1:30" x14ac:dyDescent="0.3">
      <c r="A22" s="678"/>
      <c r="B22" s="31" t="s">
        <v>1087</v>
      </c>
      <c r="C22" s="29">
        <f>'General input'!H70</f>
        <v>0</v>
      </c>
      <c r="D22" s="29">
        <f>'General input'!C100*'General input'!H70</f>
        <v>0</v>
      </c>
      <c r="E22" s="29">
        <f>('Input Summ SA'!J20/'Input Summ SA'!$C$167)*(C22-D22)+('Input Summ SA'!J20/'Input Summ SA'!$C$167)*D22*(1-'Input Summ SA'!C191)</f>
        <v>0</v>
      </c>
      <c r="F22" s="29">
        <f>('Input Summ SA'!J47/'Input Summ SA'!$C$168)*(C22-D22)+D22*(1-'Input Summ SA'!C219)*('Input Summ SA'!J47/'Input Summ SA'!$C$169)</f>
        <v>0</v>
      </c>
      <c r="G22" s="29">
        <f>('Input Summ SA'!J74/'Input Summ SA'!$C$169)*(C22-D22)+D22*(1-'Input Summ SA'!C219)*('Input Summ SA'!J74/'Input Summ SA'!$C$169)</f>
        <v>0</v>
      </c>
      <c r="H22" s="602">
        <f>('Input Summ SA'!J101/'Input Summ SA'!$C$170)*(C22-D22)+D22*(1-'Input Summ SA'!C247)*('Input Summ SA'!J101/'Input Summ SA'!$C$170)</f>
        <v>0</v>
      </c>
      <c r="I22" s="29"/>
      <c r="J22" s="609">
        <f>$D22*'Input Summ SA'!C335</f>
        <v>0</v>
      </c>
      <c r="K22" s="29">
        <f>D22*'Input Summ SA'!C363</f>
        <v>0</v>
      </c>
      <c r="L22" s="29">
        <f>(F22)*'Input Summ SA'!C446</f>
        <v>0</v>
      </c>
      <c r="M22" s="29">
        <f>$D22*(('Input Summ SA'!C275/'Input Summ SA'!$C$167)*'Input Summ SA'!C391+('Input Summ SA'!C302/'Input Summ SA'!$C$167)*'Input Summ SA'!C419)</f>
        <v>0</v>
      </c>
      <c r="N22" s="602">
        <f>G22*'Input Summ SA'!C473</f>
        <v>0</v>
      </c>
      <c r="O22" s="609">
        <f>D22*'Input Summ SA'!C503</f>
        <v>0</v>
      </c>
      <c r="P22" s="29">
        <f ca="1">(E22)*'Input Summ SA'!C530</f>
        <v>0</v>
      </c>
      <c r="Q22" s="29">
        <f ca="1">(F22)*'Input Summ SA'!C557</f>
        <v>0</v>
      </c>
      <c r="R22" s="602">
        <f ca="1">G22*'Input Summ SA'!C584</f>
        <v>0</v>
      </c>
      <c r="S22" s="609">
        <f ca="1">D22*'Input Summ SA'!C614</f>
        <v>0</v>
      </c>
      <c r="T22" s="29">
        <f ca="1">(E22)*'Input Summ SA'!C641</f>
        <v>0</v>
      </c>
      <c r="U22" s="29">
        <f ca="1">(F22)*'Input Summ SA'!C668</f>
        <v>0</v>
      </c>
      <c r="V22" s="29">
        <f ca="1">G22*'Input Summ SA'!C695</f>
        <v>0</v>
      </c>
      <c r="W22" s="602">
        <f ca="1">H22*'Input Summ SA'!C722</f>
        <v>0</v>
      </c>
      <c r="X22" s="29"/>
      <c r="Y22" s="609">
        <f>(E22)*'Input Summ SA'!C751*'Input Summ SA'!C128+(E22)*'Input Summ SA'!C778*(1-'Input Summ SA'!C128)</f>
        <v>0</v>
      </c>
      <c r="Z22" s="29">
        <f>(F22-G22*'Input Summ SA'!C155)*'Input Summ SA'!C751</f>
        <v>0</v>
      </c>
      <c r="AA22" s="29">
        <f>G22*('Input Summ SA'!C778)</f>
        <v>0</v>
      </c>
      <c r="AB22" s="29">
        <f>H22*'Input Summ SA'!G859</f>
        <v>0</v>
      </c>
      <c r="AC22" s="29">
        <f>$D22*(('Input Summ SA'!C275/'Input Summ SA'!$C$167)*'Input Summ SA'!C805+('Input Summ SA'!C302/'Input Summ SA'!$C$167)*'Input Summ SA'!C832)</f>
        <v>0</v>
      </c>
      <c r="AD22" s="602">
        <f>H22*'Input Summ SA'!E859</f>
        <v>0</v>
      </c>
    </row>
    <row r="23" spans="1:30" x14ac:dyDescent="0.3">
      <c r="A23" s="678"/>
      <c r="B23" s="31" t="s">
        <v>1443</v>
      </c>
      <c r="C23" s="29">
        <f>'General input'!H71</f>
        <v>0</v>
      </c>
      <c r="D23" s="29">
        <f>'General input'!C101*'General input'!H71</f>
        <v>0</v>
      </c>
      <c r="E23" s="29">
        <f>('Input Summ SA'!J21/'Input Summ SA'!$C$167)*(C23-D23)+('Input Summ SA'!J21/'Input Summ SA'!$C$167)*D23*(1-'Input Summ SA'!C192)</f>
        <v>0</v>
      </c>
      <c r="F23" s="29">
        <f>('Input Summ SA'!J48/'Input Summ SA'!$C$168)*(C23-D23)+D23*(1-'Input Summ SA'!C220)*('Input Summ SA'!J48/'Input Summ SA'!$C$169)</f>
        <v>0</v>
      </c>
      <c r="G23" s="29">
        <f>('Input Summ SA'!J75/'Input Summ SA'!$C$169)*(C23-D23)+D23*(1-'Input Summ SA'!C220)*('Input Summ SA'!J75/'Input Summ SA'!$C$169)</f>
        <v>0</v>
      </c>
      <c r="H23" s="602">
        <f>('Input Summ SA'!J102/'Input Summ SA'!$C$170)*(C23-D23)+D23*(1-'Input Summ SA'!C248)*('Input Summ SA'!J102/'Input Summ SA'!$C$170)</f>
        <v>0</v>
      </c>
      <c r="I23" s="29"/>
      <c r="J23" s="609">
        <f>$D23*'Input Summ SA'!C336</f>
        <v>0</v>
      </c>
      <c r="K23" s="29">
        <f>D23*'Input Summ SA'!C364</f>
        <v>0</v>
      </c>
      <c r="L23" s="29">
        <f>(F23)*'Input Summ SA'!C447</f>
        <v>0</v>
      </c>
      <c r="M23" s="29">
        <f>$D23*(('Input Summ SA'!C276/'Input Summ SA'!$C$167)*'Input Summ SA'!C392+('Input Summ SA'!C303/'Input Summ SA'!$C$167)*'Input Summ SA'!C420)</f>
        <v>0</v>
      </c>
      <c r="N23" s="602">
        <f>G23*'Input Summ SA'!C474</f>
        <v>0</v>
      </c>
      <c r="O23" s="609">
        <f>D23*'Input Summ SA'!C504</f>
        <v>0</v>
      </c>
      <c r="P23" s="29">
        <f ca="1">(E23)*'Input Summ SA'!C531</f>
        <v>0</v>
      </c>
      <c r="Q23" s="29">
        <f ca="1">(F23)*'Input Summ SA'!C558</f>
        <v>0</v>
      </c>
      <c r="R23" s="602">
        <f ca="1">G23*'Input Summ SA'!C585</f>
        <v>0</v>
      </c>
      <c r="S23" s="609">
        <f ca="1">D23*'Input Summ SA'!C615</f>
        <v>0</v>
      </c>
      <c r="T23" s="29">
        <f ca="1">(E23)*'Input Summ SA'!C642</f>
        <v>0</v>
      </c>
      <c r="U23" s="29">
        <f ca="1">(F23)*'Input Summ SA'!C669</f>
        <v>0</v>
      </c>
      <c r="V23" s="29">
        <f ca="1">G23*'Input Summ SA'!C696</f>
        <v>0</v>
      </c>
      <c r="W23" s="602">
        <f ca="1">H23*'Input Summ SA'!C723</f>
        <v>0</v>
      </c>
      <c r="X23" s="29"/>
      <c r="Y23" s="609">
        <f>(E23)*'Input Summ SA'!C752*'Input Summ SA'!C129+(E23)*'Input Summ SA'!C779*(1-'Input Summ SA'!C129)</f>
        <v>0</v>
      </c>
      <c r="Z23" s="29">
        <f>(F23-G23*'Input Summ SA'!C156)*'Input Summ SA'!C752</f>
        <v>0</v>
      </c>
      <c r="AA23" s="29">
        <f>G23*('Input Summ SA'!C779)</f>
        <v>0</v>
      </c>
      <c r="AB23" s="29">
        <f>H23*'Input Summ SA'!G860</f>
        <v>0</v>
      </c>
      <c r="AC23" s="29">
        <f>$D23*(('Input Summ SA'!C276/'Input Summ SA'!$C$167)*'Input Summ SA'!C806+('Input Summ SA'!C303/'Input Summ SA'!$C$167)*'Input Summ SA'!C833)</f>
        <v>0</v>
      </c>
      <c r="AD23" s="602">
        <f>H23*'Input Summ SA'!E860</f>
        <v>0</v>
      </c>
    </row>
    <row r="24" spans="1:30" x14ac:dyDescent="0.3">
      <c r="A24" s="678"/>
      <c r="B24" s="405" t="s">
        <v>227</v>
      </c>
      <c r="C24" s="29"/>
      <c r="D24" s="29"/>
      <c r="E24" s="29"/>
      <c r="F24" s="29"/>
      <c r="G24" s="29"/>
      <c r="H24" s="602"/>
      <c r="I24" s="29"/>
      <c r="J24" s="609"/>
      <c r="K24" s="29"/>
      <c r="L24" s="29"/>
      <c r="M24" s="29"/>
      <c r="N24" s="602"/>
      <c r="O24" s="609"/>
      <c r="P24" s="29"/>
      <c r="Q24" s="29"/>
      <c r="R24" s="602"/>
      <c r="S24" s="609"/>
      <c r="T24" s="29"/>
      <c r="U24" s="29"/>
      <c r="V24" s="29"/>
      <c r="W24" s="602"/>
      <c r="X24" s="29"/>
      <c r="Y24" s="609"/>
      <c r="Z24" s="29"/>
      <c r="AA24" s="29"/>
      <c r="AB24" s="29"/>
      <c r="AC24" s="29"/>
      <c r="AD24" s="602"/>
    </row>
    <row r="25" spans="1:30" x14ac:dyDescent="0.3">
      <c r="A25" s="678"/>
      <c r="B25" s="31" t="s">
        <v>1437</v>
      </c>
      <c r="C25" s="29">
        <f>'General input'!H73</f>
        <v>0</v>
      </c>
      <c r="D25" s="29">
        <f>'General input'!C103*'General input'!H73</f>
        <v>0</v>
      </c>
      <c r="E25" s="29">
        <f>('Input Summ SA'!J23/'Input Summ SA'!$C$167)*(C25-D25)+('Input Summ SA'!J23/'Input Summ SA'!$C$167)*D25*(1-'Input Summ SA'!C194)</f>
        <v>0</v>
      </c>
      <c r="F25" s="29">
        <f>('Input Summ SA'!J50/'Input Summ SA'!$C$168)*(C25-D25)+D25*(1-'Input Summ SA'!C222)*('Input Summ SA'!J50/'Input Summ SA'!$C$169)</f>
        <v>0</v>
      </c>
      <c r="G25" s="29">
        <f>('Input Summ SA'!J77/'Input Summ SA'!$C$169)*(C25-D25)+D25*(1-'Input Summ SA'!C222)*('Input Summ SA'!J77/'Input Summ SA'!$C$169)</f>
        <v>0</v>
      </c>
      <c r="H25" s="602">
        <f>('Input Summ SA'!J104/'Input Summ SA'!$C$170)*(C25-D25)+D25*(1-'Input Summ SA'!C250)*('Input Summ SA'!J104/'Input Summ SA'!$C$170)</f>
        <v>0</v>
      </c>
      <c r="I25" s="29"/>
      <c r="J25" s="609">
        <f>$D25*'Input Summ SA'!C338</f>
        <v>0</v>
      </c>
      <c r="K25" s="29">
        <f>D25*'Input Summ SA'!C366</f>
        <v>0</v>
      </c>
      <c r="L25" s="29">
        <f>(F25)*'Input Summ SA'!C449</f>
        <v>0</v>
      </c>
      <c r="M25" s="29">
        <f>$D25*(('Input Summ SA'!C278/'Input Summ SA'!$C$167)*'Input Summ SA'!C394+('Input Summ SA'!C305/'Input Summ SA'!$C$167)*'Input Summ SA'!C422)</f>
        <v>0</v>
      </c>
      <c r="N25" s="602">
        <f>G25*'Input Summ SA'!C476</f>
        <v>0</v>
      </c>
      <c r="O25" s="609">
        <f>D25*'Input Summ SA'!C506</f>
        <v>0</v>
      </c>
      <c r="P25" s="29">
        <f ca="1">(E25)*'Input Summ SA'!C533</f>
        <v>0</v>
      </c>
      <c r="Q25" s="29">
        <f ca="1">(F25)*'Input Summ SA'!C560</f>
        <v>0</v>
      </c>
      <c r="R25" s="602">
        <f ca="1">G25*'Input Summ SA'!C587</f>
        <v>0</v>
      </c>
      <c r="S25" s="609">
        <f ca="1">D25*'Input Summ SA'!C617</f>
        <v>0</v>
      </c>
      <c r="T25" s="29">
        <f ca="1">(E25)*'Input Summ SA'!C644</f>
        <v>0</v>
      </c>
      <c r="U25" s="29">
        <f ca="1">(F25)*'Input Summ SA'!C671</f>
        <v>0</v>
      </c>
      <c r="V25" s="29">
        <f ca="1">G25*'Input Summ SA'!C698</f>
        <v>0</v>
      </c>
      <c r="W25" s="602">
        <f ca="1">H25*'Input Summ SA'!C725</f>
        <v>0</v>
      </c>
      <c r="X25" s="29"/>
      <c r="Y25" s="609">
        <f>(E25)*'Input Summ SA'!C754*'Input Summ SA'!C131+(E25)*'Input Summ SA'!C781*(1-'Input Summ SA'!C131)</f>
        <v>0</v>
      </c>
      <c r="Z25" s="29">
        <f>(F25-G25*'Input Summ SA'!C158)*'Input Summ SA'!C754</f>
        <v>0</v>
      </c>
      <c r="AA25" s="29">
        <f>G25*('Input Summ SA'!C781)</f>
        <v>0</v>
      </c>
      <c r="AB25" s="29">
        <f>H25*'Input Summ SA'!G862</f>
        <v>0</v>
      </c>
      <c r="AC25" s="29">
        <f>$D25*(('Input Summ SA'!C278/'Input Summ SA'!$C$167)*'Input Summ SA'!C808+('Input Summ SA'!C305/'Input Summ SA'!$C$167)*'Input Summ SA'!C835)</f>
        <v>0</v>
      </c>
      <c r="AD25" s="602">
        <f>H25*'Input Summ SA'!E862</f>
        <v>0</v>
      </c>
    </row>
    <row r="26" spans="1:30" x14ac:dyDescent="0.3">
      <c r="A26" s="678"/>
      <c r="B26" s="31" t="s">
        <v>1438</v>
      </c>
      <c r="C26" s="29">
        <f>'General input'!H74</f>
        <v>0</v>
      </c>
      <c r="D26" s="29">
        <f>'General input'!C104*'General input'!H74</f>
        <v>0</v>
      </c>
      <c r="E26" s="29">
        <f>('Input Summ SA'!J24/'Input Summ SA'!$C$167)*(C26-D26)+('Input Summ SA'!J24/'Input Summ SA'!$C$167)*D26*(1-'Input Summ SA'!C195)</f>
        <v>0</v>
      </c>
      <c r="F26" s="29">
        <f>('Input Summ SA'!J51/'Input Summ SA'!$C$168)*(C26-D26)+D26*(1-'Input Summ SA'!C223)*('Input Summ SA'!J51/'Input Summ SA'!$C$169)</f>
        <v>0</v>
      </c>
      <c r="G26" s="29">
        <f>('Input Summ SA'!J78/'Input Summ SA'!$C$169)*(C26-D26)+D26*(1-'Input Summ SA'!C223)*('Input Summ SA'!J78/'Input Summ SA'!$C$169)</f>
        <v>0</v>
      </c>
      <c r="H26" s="602">
        <f>('Input Summ SA'!J105/'Input Summ SA'!$C$170)*(C26-D26)+D26*(1-'Input Summ SA'!C251)*('Input Summ SA'!J105/'Input Summ SA'!$C$170)</f>
        <v>0</v>
      </c>
      <c r="I26" s="29"/>
      <c r="J26" s="609">
        <f>$D26*'Input Summ SA'!C339</f>
        <v>0</v>
      </c>
      <c r="K26" s="29">
        <f>D26*'Input Summ SA'!C367</f>
        <v>0</v>
      </c>
      <c r="L26" s="29">
        <f>(F26)*'Input Summ SA'!C450</f>
        <v>0</v>
      </c>
      <c r="M26" s="29">
        <f>$D26*(('Input Summ SA'!C279/'Input Summ SA'!$C$167)*'Input Summ SA'!C395+('Input Summ SA'!C306/'Input Summ SA'!$C$167)*'Input Summ SA'!C423)</f>
        <v>0</v>
      </c>
      <c r="N26" s="602">
        <f>G26*'Input Summ SA'!C477</f>
        <v>0</v>
      </c>
      <c r="O26" s="609">
        <f>D26*'Input Summ SA'!C507</f>
        <v>0</v>
      </c>
      <c r="P26" s="29">
        <f ca="1">(E26)*'Input Summ SA'!C534</f>
        <v>0</v>
      </c>
      <c r="Q26" s="29">
        <f ca="1">(F26)*'Input Summ SA'!C561</f>
        <v>0</v>
      </c>
      <c r="R26" s="602">
        <f ca="1">G26*'Input Summ SA'!C588</f>
        <v>0</v>
      </c>
      <c r="S26" s="609">
        <f ca="1">D26*'Input Summ SA'!C618</f>
        <v>0</v>
      </c>
      <c r="T26" s="29">
        <f ca="1">(E26)*'Input Summ SA'!C645</f>
        <v>0</v>
      </c>
      <c r="U26" s="29">
        <f ca="1">(F26)*'Input Summ SA'!C672</f>
        <v>0</v>
      </c>
      <c r="V26" s="29">
        <f ca="1">G26*'Input Summ SA'!C699</f>
        <v>0</v>
      </c>
      <c r="W26" s="602">
        <f ca="1">H26*'Input Summ SA'!C726</f>
        <v>0</v>
      </c>
      <c r="X26" s="29"/>
      <c r="Y26" s="609">
        <f>(E26)*'Input Summ SA'!C755*'Input Summ SA'!C132+(E26)*'Input Summ SA'!C782*(1-'Input Summ SA'!C132)</f>
        <v>0</v>
      </c>
      <c r="Z26" s="29">
        <f>(F26-G26*'Input Summ SA'!C159)*'Input Summ SA'!C755</f>
        <v>0</v>
      </c>
      <c r="AA26" s="29">
        <f>G26*('Input Summ SA'!C782)</f>
        <v>0</v>
      </c>
      <c r="AB26" s="29">
        <f>H26*'Input Summ SA'!G863</f>
        <v>0</v>
      </c>
      <c r="AC26" s="29">
        <f>$D26*(('Input Summ SA'!C279/'Input Summ SA'!$C$167)*'Input Summ SA'!C809+('Input Summ SA'!C306/'Input Summ SA'!$C$167)*'Input Summ SA'!C836)</f>
        <v>0</v>
      </c>
      <c r="AD26" s="602">
        <f>H26*'Input Summ SA'!E863</f>
        <v>0</v>
      </c>
    </row>
    <row r="27" spans="1:30" x14ac:dyDescent="0.3">
      <c r="A27" s="678"/>
      <c r="B27" s="31" t="s">
        <v>1441</v>
      </c>
      <c r="C27" s="29">
        <f>'General input'!H75</f>
        <v>0</v>
      </c>
      <c r="D27" s="29">
        <f>'General input'!C105*'General input'!H75</f>
        <v>0</v>
      </c>
      <c r="E27" s="29">
        <f>('Input Summ SA'!J25/'Input Summ SA'!$C$167)*(C27-D27)+('Input Summ SA'!J25/'Input Summ SA'!$C$167)*D27*(1-'Input Summ SA'!C196)</f>
        <v>0</v>
      </c>
      <c r="F27" s="29">
        <f>('Input Summ SA'!J52/'Input Summ SA'!$C$168)*(C27-D27)+D27*(1-'Input Summ SA'!C224)*('Input Summ SA'!J52/'Input Summ SA'!$C$169)</f>
        <v>0</v>
      </c>
      <c r="G27" s="29">
        <f>('Input Summ SA'!J79/'Input Summ SA'!$C$169)*(C27-D27)+D27*(1-'Input Summ SA'!C224)*('Input Summ SA'!J79/'Input Summ SA'!$C$169)</f>
        <v>0</v>
      </c>
      <c r="H27" s="602">
        <f>('Input Summ SA'!J106/'Input Summ SA'!$C$170)*(C27-D27)+D27*(1-'Input Summ SA'!C252)*('Input Summ SA'!J106/'Input Summ SA'!$C$170)</f>
        <v>0</v>
      </c>
      <c r="I27" s="29"/>
      <c r="J27" s="609">
        <f>$D27*'Input Summ SA'!C340</f>
        <v>0</v>
      </c>
      <c r="K27" s="29">
        <f>D27*'Input Summ SA'!C368</f>
        <v>0</v>
      </c>
      <c r="L27" s="29">
        <f>(F27)*'Input Summ SA'!C451</f>
        <v>0</v>
      </c>
      <c r="M27" s="29">
        <f>$D27*(('Input Summ SA'!C280/'Input Summ SA'!$C$167)*'Input Summ SA'!C396+('Input Summ SA'!C307/'Input Summ SA'!$C$167)*'Input Summ SA'!C424)</f>
        <v>0</v>
      </c>
      <c r="N27" s="602">
        <f>G27*'Input Summ SA'!C478</f>
        <v>0</v>
      </c>
      <c r="O27" s="609">
        <f>D27*'Input Summ SA'!C508</f>
        <v>0</v>
      </c>
      <c r="P27" s="29">
        <f ca="1">(E27)*'Input Summ SA'!C535</f>
        <v>0</v>
      </c>
      <c r="Q27" s="29">
        <f ca="1">(F27)*'Input Summ SA'!C562</f>
        <v>0</v>
      </c>
      <c r="R27" s="602">
        <f ca="1">G27*'Input Summ SA'!C589</f>
        <v>0</v>
      </c>
      <c r="S27" s="609">
        <f ca="1">D27*'Input Summ SA'!C619</f>
        <v>0</v>
      </c>
      <c r="T27" s="29">
        <f ca="1">(E27)*'Input Summ SA'!C646</f>
        <v>0</v>
      </c>
      <c r="U27" s="29">
        <f ca="1">(F27)*'Input Summ SA'!C673</f>
        <v>0</v>
      </c>
      <c r="V27" s="29">
        <f ca="1">G27*'Input Summ SA'!C700</f>
        <v>0</v>
      </c>
      <c r="W27" s="602">
        <f ca="1">H27*'Input Summ SA'!C727</f>
        <v>0</v>
      </c>
      <c r="X27" s="29"/>
      <c r="Y27" s="609">
        <f>(E27)*'Input Summ SA'!C756*'Input Summ SA'!C133+(E27)*'Input Summ SA'!C783*(1-'Input Summ SA'!C133)</f>
        <v>0</v>
      </c>
      <c r="Z27" s="29">
        <f>(F27-G27*'Input Summ SA'!C160)*'Input Summ SA'!C756</f>
        <v>0</v>
      </c>
      <c r="AA27" s="29">
        <f>G27*('Input Summ SA'!C783)</f>
        <v>0</v>
      </c>
      <c r="AB27" s="29">
        <f>H27*'Input Summ SA'!G864</f>
        <v>0</v>
      </c>
      <c r="AC27" s="29">
        <f>$D27*(('Input Summ SA'!C280/'Input Summ SA'!$C$167)*'Input Summ SA'!C810+('Input Summ SA'!C307/'Input Summ SA'!$C$167)*'Input Summ SA'!C837)</f>
        <v>0</v>
      </c>
      <c r="AD27" s="602">
        <f>H27*'Input Summ SA'!E864</f>
        <v>0</v>
      </c>
    </row>
    <row r="28" spans="1:30" x14ac:dyDescent="0.3">
      <c r="A28" s="678"/>
      <c r="B28" s="31" t="s">
        <v>1442</v>
      </c>
      <c r="C28" s="29">
        <f>'General input'!H76</f>
        <v>0</v>
      </c>
      <c r="D28" s="29">
        <f>'General input'!C106*'General input'!H76</f>
        <v>0</v>
      </c>
      <c r="E28" s="29">
        <f>('Input Summ SA'!J26/'Input Summ SA'!$C$167)*(C28-D28)+('Input Summ SA'!J26/'Input Summ SA'!$C$167)*D28*(1-'Input Summ SA'!C197)</f>
        <v>0</v>
      </c>
      <c r="F28" s="29">
        <f>('Input Summ SA'!J53/'Input Summ SA'!$C$168)*(C28-D28)+D28*(1-'Input Summ SA'!C225)*('Input Summ SA'!J53/'Input Summ SA'!$C$169)</f>
        <v>0</v>
      </c>
      <c r="G28" s="29">
        <f>('Input Summ SA'!J80/'Input Summ SA'!$C$169)*(C28-D28)+D28*(1-'Input Summ SA'!C225)*('Input Summ SA'!J80/'Input Summ SA'!$C$169)</f>
        <v>0</v>
      </c>
      <c r="H28" s="602">
        <f>('Input Summ SA'!J107/'Input Summ SA'!$C$170)*(C28-D28)+D28*(1-'Input Summ SA'!C253)*('Input Summ SA'!J107/'Input Summ SA'!$C$170)</f>
        <v>0</v>
      </c>
      <c r="I28" s="29"/>
      <c r="J28" s="609">
        <f>$D28*'Input Summ SA'!C341</f>
        <v>0</v>
      </c>
      <c r="K28" s="29">
        <f>D28*'Input Summ SA'!C369</f>
        <v>0</v>
      </c>
      <c r="L28" s="29">
        <f>(F28)*'Input Summ SA'!C452</f>
        <v>0</v>
      </c>
      <c r="M28" s="29">
        <f>$D28*(('Input Summ SA'!C281/'Input Summ SA'!$C$167)*'Input Summ SA'!C397+('Input Summ SA'!C308/'Input Summ SA'!$C$167)*'Input Summ SA'!C425)</f>
        <v>0</v>
      </c>
      <c r="N28" s="602">
        <f>G28*'Input Summ SA'!C479</f>
        <v>0</v>
      </c>
      <c r="O28" s="609">
        <f>D28*'Input Summ SA'!C509</f>
        <v>0</v>
      </c>
      <c r="P28" s="29">
        <f ca="1">(E28)*'Input Summ SA'!C536</f>
        <v>0</v>
      </c>
      <c r="Q28" s="29">
        <f ca="1">(F28)*'Input Summ SA'!C563</f>
        <v>0</v>
      </c>
      <c r="R28" s="602">
        <f ca="1">G28*'Input Summ SA'!C590</f>
        <v>0</v>
      </c>
      <c r="S28" s="609">
        <f ca="1">D28*'Input Summ SA'!C620</f>
        <v>0</v>
      </c>
      <c r="T28" s="29">
        <f ca="1">(E28)*'Input Summ SA'!C647</f>
        <v>0</v>
      </c>
      <c r="U28" s="29">
        <f ca="1">(F28)*'Input Summ SA'!C674</f>
        <v>0</v>
      </c>
      <c r="V28" s="29">
        <f ca="1">G28*'Input Summ SA'!C701</f>
        <v>0</v>
      </c>
      <c r="W28" s="602">
        <f ca="1">H28*'Input Summ SA'!C728</f>
        <v>0</v>
      </c>
      <c r="X28" s="29"/>
      <c r="Y28" s="609">
        <f>(E28)*'Input Summ SA'!C757*'Input Summ SA'!C134+(E28)*'Input Summ SA'!C784*(1-'Input Summ SA'!C134)</f>
        <v>0</v>
      </c>
      <c r="Z28" s="29">
        <f>(F28-G28*'Input Summ SA'!C161)*'Input Summ SA'!C757</f>
        <v>0</v>
      </c>
      <c r="AA28" s="29">
        <f>G28*('Input Summ SA'!C784)</f>
        <v>0</v>
      </c>
      <c r="AB28" s="29">
        <f>H28*'Input Summ SA'!G865</f>
        <v>0</v>
      </c>
      <c r="AC28" s="29">
        <f>$D28*(('Input Summ SA'!C281/'Input Summ SA'!$C$167)*'Input Summ SA'!C811+('Input Summ SA'!C308/'Input Summ SA'!$C$167)*'Input Summ SA'!C838)</f>
        <v>0</v>
      </c>
      <c r="AD28" s="602">
        <f>H28*'Input Summ SA'!E865</f>
        <v>0</v>
      </c>
    </row>
    <row r="29" spans="1:30" x14ac:dyDescent="0.3">
      <c r="A29" s="678"/>
      <c r="B29" s="405" t="s">
        <v>920</v>
      </c>
      <c r="C29" s="29"/>
      <c r="D29" s="29"/>
      <c r="E29" s="29"/>
      <c r="F29" s="29"/>
      <c r="G29" s="29"/>
      <c r="H29" s="602"/>
      <c r="I29" s="29"/>
      <c r="J29" s="609"/>
      <c r="K29" s="29"/>
      <c r="L29" s="29"/>
      <c r="M29" s="29"/>
      <c r="N29" s="602"/>
      <c r="O29" s="609"/>
      <c r="P29" s="29"/>
      <c r="Q29" s="29"/>
      <c r="R29" s="602"/>
      <c r="S29" s="609"/>
      <c r="T29" s="29"/>
      <c r="U29" s="29"/>
      <c r="V29" s="29"/>
      <c r="W29" s="602"/>
      <c r="X29" s="29"/>
      <c r="Y29" s="609"/>
      <c r="Z29" s="29"/>
      <c r="AA29" s="29"/>
      <c r="AB29" s="29"/>
      <c r="AC29" s="29"/>
      <c r="AD29" s="602"/>
    </row>
    <row r="30" spans="1:30" x14ac:dyDescent="0.3">
      <c r="A30" s="678"/>
      <c r="B30" s="297" t="s">
        <v>920</v>
      </c>
      <c r="C30" s="29">
        <f>'General input'!H78</f>
        <v>0</v>
      </c>
      <c r="D30" s="29">
        <f>'General input'!C108*'General input'!H78</f>
        <v>0</v>
      </c>
      <c r="E30" s="29">
        <f>('Input Summ SA'!J28/'Input Summ SA'!$C$167)*(C30-D30)+('Input Summ SA'!J28/'Input Summ SA'!$C$167)*D30*(1-'Input Summ SA'!C199)</f>
        <v>0</v>
      </c>
      <c r="F30" s="29">
        <f>('Input Summ SA'!J55/'Input Summ SA'!$C$168)*(C30-D30)+D30*(1-'Input Summ SA'!C227)*('Input Summ SA'!J55/'Input Summ SA'!$C$169)</f>
        <v>0</v>
      </c>
      <c r="G30" s="29">
        <f>('Input Summ SA'!J82/'Input Summ SA'!$C$169)*(C30-D30)+D30*(1-'Input Summ SA'!C227)*('Input Summ SA'!J82/'Input Summ SA'!$C$169)</f>
        <v>0</v>
      </c>
      <c r="H30" s="602">
        <f>('Input Summ SA'!J109/'Input Summ SA'!$C$170)*(C30-D30)+D30*(1-'Input Summ SA'!C255)*('Input Summ SA'!J109/'Input Summ SA'!$C$170)</f>
        <v>0</v>
      </c>
      <c r="I30" s="29"/>
      <c r="J30" s="609">
        <f>$D30*'Input Summ SA'!C343</f>
        <v>0</v>
      </c>
      <c r="K30" s="29">
        <f>D30*'Input Summ SA'!C371</f>
        <v>0</v>
      </c>
      <c r="L30" s="29">
        <f>(F30)*'Input Summ SA'!C454</f>
        <v>0</v>
      </c>
      <c r="M30" s="29">
        <f>$D30*(('Input Summ SA'!C283/'Input Summ SA'!$C$167)*'Input Summ SA'!C399+('Input Summ SA'!C310/'Input Summ SA'!$C$167)*'Input Summ SA'!C427)</f>
        <v>0</v>
      </c>
      <c r="N30" s="602">
        <f>G30*'Input Summ SA'!C481</f>
        <v>0</v>
      </c>
      <c r="O30" s="609">
        <f>D30*'Input Summ SA'!C511</f>
        <v>0</v>
      </c>
      <c r="P30" s="29">
        <f ca="1">(E30)*'Input Summ SA'!C538</f>
        <v>0</v>
      </c>
      <c r="Q30" s="29">
        <f ca="1">(F30)*'Input Summ SA'!C565</f>
        <v>0</v>
      </c>
      <c r="R30" s="602">
        <f ca="1">G30*'Input Summ SA'!C592</f>
        <v>0</v>
      </c>
      <c r="S30" s="609">
        <f ca="1">D30*'Input Summ SA'!C622</f>
        <v>0</v>
      </c>
      <c r="T30" s="29">
        <f ca="1">(E30)*'Input Summ SA'!C649</f>
        <v>0</v>
      </c>
      <c r="U30" s="29">
        <f ca="1">(F30)*'Input Summ SA'!C676</f>
        <v>0</v>
      </c>
      <c r="V30" s="29">
        <f ca="1">G30*'Input Summ SA'!C703</f>
        <v>0</v>
      </c>
      <c r="W30" s="602">
        <f ca="1">H30*'Input Summ SA'!C730</f>
        <v>0</v>
      </c>
      <c r="X30" s="29"/>
      <c r="Y30" s="609">
        <f>(E30)*'Input Summ SA'!C759*'Input Summ SA'!C136+(E30)*'Input Summ SA'!C786*(1-'Input Summ SA'!C136)</f>
        <v>0</v>
      </c>
      <c r="Z30" s="29">
        <f>(F30-G30*'Input Summ SA'!C163)*'Input Summ SA'!C759</f>
        <v>0</v>
      </c>
      <c r="AA30" s="29">
        <f>G30*('Input Summ SA'!C786)</f>
        <v>0</v>
      </c>
      <c r="AB30" s="29">
        <f>H30*'Input Summ SA'!G867</f>
        <v>0</v>
      </c>
      <c r="AC30" s="29">
        <f>$D30*(('Input Summ SA'!C283/'Input Summ SA'!$C$167)*'Input Summ SA'!C813+('Input Summ SA'!C310/'Input Summ SA'!$C$167)*'Input Summ SA'!C840)</f>
        <v>0</v>
      </c>
      <c r="AD30" s="602">
        <f>H30*'Input Summ SA'!E867</f>
        <v>0</v>
      </c>
    </row>
    <row r="31" spans="1:30" x14ac:dyDescent="0.3">
      <c r="A31" s="678"/>
      <c r="B31" s="297" t="s">
        <v>980</v>
      </c>
      <c r="C31" s="29">
        <f>'General input'!H79</f>
        <v>0</v>
      </c>
      <c r="D31" s="29">
        <f>'General input'!C109*'General input'!H79</f>
        <v>0</v>
      </c>
      <c r="E31" s="29">
        <f>('Input Summ SA'!J29/'Input Summ SA'!$C$167)*(C31-D31)+('Input Summ SA'!J29/'Input Summ SA'!$C$167)*D31*(1-'Input Summ SA'!C200)</f>
        <v>0</v>
      </c>
      <c r="F31" s="29">
        <f>('Input Summ SA'!J56/'Input Summ SA'!$C$168)*(C31-D31)+D31*(1-'Input Summ SA'!C228)*('Input Summ SA'!J56/'Input Summ SA'!$C$169)</f>
        <v>0</v>
      </c>
      <c r="G31" s="29">
        <f>('Input Summ SA'!J83/'Input Summ SA'!$C$169)*(C31-D31)+D31*(1-'Input Summ SA'!C228)*('Input Summ SA'!J83/'Input Summ SA'!$C$169)</f>
        <v>0</v>
      </c>
      <c r="H31" s="602">
        <f>('Input Summ SA'!J110/'Input Summ SA'!$C$170)*(C31-D31)+D31*(1-'Input Summ SA'!C256)*('Input Summ SA'!J110/'Input Summ SA'!$C$170)</f>
        <v>0</v>
      </c>
      <c r="I31" s="29"/>
      <c r="J31" s="609">
        <f>$D31*'Input Summ SA'!C344</f>
        <v>0</v>
      </c>
      <c r="K31" s="29">
        <f>D31*'Input Summ SA'!C372</f>
        <v>0</v>
      </c>
      <c r="L31" s="29">
        <f>(F31)*'Input Summ SA'!C455</f>
        <v>0</v>
      </c>
      <c r="M31" s="29">
        <f>$D31*(('Input Summ SA'!C284/'Input Summ SA'!$C$167)*'Input Summ SA'!C400+('Input Summ SA'!C311/'Input Summ SA'!$C$167)*'Input Summ SA'!C428)</f>
        <v>0</v>
      </c>
      <c r="N31" s="602">
        <f>G31*'Input Summ SA'!C482</f>
        <v>0</v>
      </c>
      <c r="O31" s="609">
        <f>D31*'Input Summ SA'!C512</f>
        <v>0</v>
      </c>
      <c r="P31" s="29">
        <f ca="1">(E31)*'Input Summ SA'!C539</f>
        <v>0</v>
      </c>
      <c r="Q31" s="29">
        <f ca="1">(F31)*'Input Summ SA'!C566</f>
        <v>0</v>
      </c>
      <c r="R31" s="602">
        <f ca="1">G31*'Input Summ SA'!C593</f>
        <v>0</v>
      </c>
      <c r="S31" s="609">
        <f ca="1">D31*'Input Summ SA'!C623</f>
        <v>0</v>
      </c>
      <c r="T31" s="29">
        <f ca="1">(E31)*'Input Summ SA'!C650</f>
        <v>0</v>
      </c>
      <c r="U31" s="29">
        <f ca="1">(F31)*'Input Summ SA'!C677</f>
        <v>0</v>
      </c>
      <c r="V31" s="29">
        <f ca="1">G31*'Input Summ SA'!C704</f>
        <v>0</v>
      </c>
      <c r="W31" s="602">
        <f ca="1">H31*'Input Summ SA'!C731</f>
        <v>0</v>
      </c>
      <c r="X31" s="29"/>
      <c r="Y31" s="609">
        <f>(E31)*'Input Summ SA'!C760*'Input Summ SA'!C137+(E31)*'Input Summ SA'!C787*(1-'Input Summ SA'!C137)</f>
        <v>0</v>
      </c>
      <c r="Z31" s="29">
        <f>(F31-G31*'Input Summ SA'!C164)*'Input Summ SA'!C760</f>
        <v>0</v>
      </c>
      <c r="AA31" s="29">
        <f>G31*('Input Summ SA'!C787)</f>
        <v>0</v>
      </c>
      <c r="AB31" s="29">
        <f>H31*'Input Summ SA'!G868</f>
        <v>0</v>
      </c>
      <c r="AC31" s="29">
        <f>$D31*(('Input Summ SA'!C284/'Input Summ SA'!$C$167)*'Input Summ SA'!C814+('Input Summ SA'!C311/'Input Summ SA'!$C$167)*'Input Summ SA'!C841)</f>
        <v>0</v>
      </c>
      <c r="AD31" s="602">
        <f>H31*'Input Summ SA'!E868</f>
        <v>0</v>
      </c>
    </row>
    <row r="32" spans="1:30" x14ac:dyDescent="0.3">
      <c r="A32" s="678"/>
      <c r="B32" s="31" t="s">
        <v>233</v>
      </c>
      <c r="C32" s="29">
        <f>SUM(C8:C31)</f>
        <v>5203824</v>
      </c>
      <c r="D32" s="29">
        <f>SUM(D8:D31)</f>
        <v>0</v>
      </c>
      <c r="E32" s="29">
        <f t="shared" ref="E32:H32" si="0">SUM(E8:E31)</f>
        <v>987581.71872</v>
      </c>
      <c r="F32" s="29">
        <f t="shared" si="0"/>
        <v>274709.86895999999</v>
      </c>
      <c r="G32" s="29">
        <f t="shared" si="0"/>
        <v>12176.94816</v>
      </c>
      <c r="H32" s="602">
        <f t="shared" si="0"/>
        <v>884.65008000000012</v>
      </c>
      <c r="I32" s="29"/>
      <c r="J32" s="609">
        <f>SUM(J8:J31)</f>
        <v>0</v>
      </c>
      <c r="K32" s="29">
        <f t="shared" ref="K32:Q32" si="1">SUM(K8:K31)</f>
        <v>0</v>
      </c>
      <c r="L32" s="29">
        <f t="shared" si="1"/>
        <v>89613703.548808888</v>
      </c>
      <c r="M32" s="29">
        <f t="shared" si="1"/>
        <v>0</v>
      </c>
      <c r="N32" s="602">
        <f t="shared" si="1"/>
        <v>97374232.364048615</v>
      </c>
      <c r="O32" s="609">
        <f t="shared" si="1"/>
        <v>0</v>
      </c>
      <c r="P32" s="29">
        <f t="shared" ca="1" si="1"/>
        <v>58604130.545671478</v>
      </c>
      <c r="Q32" s="29">
        <f t="shared" ca="1" si="1"/>
        <v>13008533.11339014</v>
      </c>
      <c r="R32" s="602">
        <f ca="1">SUM(R8:R31)</f>
        <v>1543992.1514769134</v>
      </c>
      <c r="S32" s="609">
        <f t="shared" ref="S32:W32" ca="1" si="2">SUM(S8:S31)</f>
        <v>0</v>
      </c>
      <c r="T32" s="29">
        <f t="shared" ca="1" si="2"/>
        <v>142737220.80481103</v>
      </c>
      <c r="U32" s="29">
        <f t="shared" ca="1" si="2"/>
        <v>49541647.851784945</v>
      </c>
      <c r="V32" s="29">
        <f t="shared" ca="1" si="2"/>
        <v>1350430.6021018825</v>
      </c>
      <c r="W32" s="602">
        <f t="shared" ca="1" si="2"/>
        <v>440695865.56941164</v>
      </c>
      <c r="X32" s="29"/>
      <c r="Y32" s="609">
        <f t="shared" ref="Y32:AD32" si="3">SUM(Y8:Y31)</f>
        <v>9201.9219792000004</v>
      </c>
      <c r="Z32" s="609">
        <f t="shared" si="3"/>
        <v>2417.9432490729896</v>
      </c>
      <c r="AA32" s="29">
        <f t="shared" si="3"/>
        <v>377.48539296000001</v>
      </c>
      <c r="AB32" s="29">
        <f t="shared" si="3"/>
        <v>13163.222453841667</v>
      </c>
      <c r="AC32" s="29">
        <f t="shared" si="3"/>
        <v>0</v>
      </c>
      <c r="AD32" s="602">
        <f t="shared" si="3"/>
        <v>17069.940160199763</v>
      </c>
    </row>
    <row r="33" spans="1:30" x14ac:dyDescent="0.3">
      <c r="A33" s="678"/>
      <c r="B33" s="31"/>
      <c r="C33" s="31"/>
      <c r="D33" s="29"/>
      <c r="E33" s="29"/>
      <c r="F33" s="29"/>
      <c r="G33" s="29"/>
      <c r="H33" s="602"/>
      <c r="I33" s="29"/>
      <c r="J33" s="609"/>
      <c r="K33" s="29"/>
      <c r="L33" s="610" t="s">
        <v>1034</v>
      </c>
      <c r="M33" s="610"/>
      <c r="N33" s="602"/>
      <c r="O33" s="609"/>
      <c r="P33" s="610" t="s">
        <v>1034</v>
      </c>
      <c r="Q33" s="610" t="s">
        <v>1034</v>
      </c>
      <c r="R33" s="611" t="s">
        <v>1034</v>
      </c>
      <c r="S33" s="609"/>
      <c r="T33" s="610" t="s">
        <v>1034</v>
      </c>
      <c r="U33" s="610"/>
      <c r="V33" s="610"/>
      <c r="W33" s="611"/>
      <c r="X33" s="29"/>
      <c r="Y33" s="670" t="s">
        <v>1034</v>
      </c>
      <c r="Z33" s="610"/>
      <c r="AA33" s="29"/>
      <c r="AB33" s="29"/>
      <c r="AC33" s="29"/>
      <c r="AD33" s="602"/>
    </row>
    <row r="34" spans="1:30" ht="18" x14ac:dyDescent="0.35">
      <c r="A34" s="678"/>
      <c r="B34" s="673" t="s">
        <v>553</v>
      </c>
      <c r="C34" s="673"/>
      <c r="D34" s="604"/>
      <c r="E34" s="604"/>
      <c r="F34" s="604"/>
      <c r="G34" s="604"/>
      <c r="H34" s="599"/>
      <c r="J34" s="663" t="s">
        <v>553</v>
      </c>
      <c r="K34" s="604"/>
      <c r="L34" s="604"/>
      <c r="M34" s="604"/>
      <c r="N34" s="599"/>
      <c r="O34" s="603"/>
      <c r="P34" s="604"/>
      <c r="Q34" s="604"/>
      <c r="R34" s="599"/>
      <c r="S34" s="603"/>
      <c r="T34" s="604"/>
      <c r="U34" s="604"/>
      <c r="V34" s="604"/>
      <c r="W34" s="599"/>
      <c r="Y34" s="663" t="s">
        <v>553</v>
      </c>
      <c r="Z34" s="673"/>
      <c r="AA34" s="604"/>
      <c r="AB34" s="604"/>
      <c r="AC34" s="604"/>
      <c r="AD34" s="599"/>
    </row>
    <row r="35" spans="1:30" ht="18" x14ac:dyDescent="0.35">
      <c r="A35" s="678"/>
      <c r="B35" s="661" t="s">
        <v>983</v>
      </c>
      <c r="C35" s="661"/>
      <c r="D35" s="650"/>
      <c r="E35" s="662"/>
      <c r="F35" s="662"/>
      <c r="G35" s="650"/>
      <c r="H35" s="600"/>
      <c r="J35" s="649" t="s">
        <v>1024</v>
      </c>
      <c r="K35" s="650"/>
      <c r="L35" s="650"/>
      <c r="M35" s="650"/>
      <c r="N35" s="600"/>
      <c r="O35" s="605" t="s">
        <v>1026</v>
      </c>
      <c r="P35" s="606"/>
      <c r="Q35" s="606"/>
      <c r="R35" s="600"/>
      <c r="S35" s="605" t="s">
        <v>10</v>
      </c>
      <c r="T35" s="606"/>
      <c r="U35" s="606"/>
      <c r="V35" s="650"/>
      <c r="W35" s="600"/>
      <c r="Y35" s="605" t="s">
        <v>564</v>
      </c>
      <c r="Z35" s="606"/>
      <c r="AA35" s="650"/>
      <c r="AB35" s="650"/>
      <c r="AC35" s="650"/>
      <c r="AD35" s="600"/>
    </row>
    <row r="36" spans="1:30" x14ac:dyDescent="0.3">
      <c r="A36" s="678"/>
      <c r="B36" s="608" t="s">
        <v>950</v>
      </c>
      <c r="C36" s="608" t="s">
        <v>1033</v>
      </c>
      <c r="D36" s="608" t="s">
        <v>878</v>
      </c>
      <c r="E36" s="608" t="s">
        <v>224</v>
      </c>
      <c r="F36" s="608" t="s">
        <v>1377</v>
      </c>
      <c r="G36" s="608" t="s">
        <v>877</v>
      </c>
      <c r="H36" s="601" t="s">
        <v>225</v>
      </c>
      <c r="J36" s="607" t="s">
        <v>981</v>
      </c>
      <c r="K36" s="608" t="s">
        <v>982</v>
      </c>
      <c r="L36" s="608" t="s">
        <v>1025</v>
      </c>
      <c r="M36" s="608" t="s">
        <v>1493</v>
      </c>
      <c r="N36" s="601" t="s">
        <v>905</v>
      </c>
      <c r="O36" s="607" t="s">
        <v>938</v>
      </c>
      <c r="P36" s="608" t="s">
        <v>1027</v>
      </c>
      <c r="Q36" s="608" t="s">
        <v>1377</v>
      </c>
      <c r="R36" s="601" t="s">
        <v>1028</v>
      </c>
      <c r="S36" s="607" t="s">
        <v>938</v>
      </c>
      <c r="T36" s="608" t="s">
        <v>1392</v>
      </c>
      <c r="U36" s="608" t="s">
        <v>1025</v>
      </c>
      <c r="V36" s="608" t="s">
        <v>1028</v>
      </c>
      <c r="W36" s="601" t="s">
        <v>225</v>
      </c>
      <c r="Y36" s="607" t="s">
        <v>1029</v>
      </c>
      <c r="Z36" s="652" t="s">
        <v>1555</v>
      </c>
      <c r="AA36" s="608" t="s">
        <v>1030</v>
      </c>
      <c r="AB36" s="608" t="s">
        <v>1031</v>
      </c>
      <c r="AC36" s="608" t="s">
        <v>1511</v>
      </c>
      <c r="AD36" s="601" t="s">
        <v>1032</v>
      </c>
    </row>
    <row r="37" spans="1:30" x14ac:dyDescent="0.3">
      <c r="A37" s="678"/>
      <c r="B37" s="315" t="s">
        <v>988</v>
      </c>
      <c r="C37" s="22"/>
      <c r="H37" s="87"/>
      <c r="J37" s="198"/>
      <c r="N37" s="87"/>
      <c r="O37" s="198"/>
      <c r="R37" s="87"/>
      <c r="S37" s="198"/>
      <c r="W37" s="87"/>
      <c r="Y37" s="198"/>
      <c r="AD37" s="87"/>
    </row>
    <row r="38" spans="1:30" x14ac:dyDescent="0.3">
      <c r="A38" s="678"/>
      <c r="B38" s="31" t="s">
        <v>1082</v>
      </c>
      <c r="C38" s="29">
        <f>'General input'!H57</f>
        <v>578203</v>
      </c>
      <c r="D38" s="29">
        <f>'General input'!H57*'General input'!H87</f>
        <v>13876.871999999999</v>
      </c>
      <c r="E38" s="29">
        <f>('Input Summ SA'!J7/'Input Summ SA'!$C$167)*(C38-D38)+('Input Summ SA'!J7/'Input Summ SA'!$C$167)*D38*(1-'Input Summ SA'!C178)</f>
        <v>108809.62187114402</v>
      </c>
      <c r="F38" s="29">
        <f>('Input Summ SA'!J34/'Input Summ SA'!$C$168)*(C38-D38)+D38*(1-'Input Summ SA'!C206)*('Input Summ SA'!J34/'Input Summ SA'!$C$169)</f>
        <v>30266.940344491999</v>
      </c>
      <c r="G38" s="29">
        <f>('Input Summ SA'!J61/'Input Summ SA'!$C$169)*(C38-D38)+D38*(1-'Input Summ SA'!C206)*('Input Summ SA'!J61/'Input Summ SA'!$C$169)</f>
        <v>1341.6298618320002</v>
      </c>
      <c r="H38" s="602">
        <f>('Input Summ SA'!J88/'Input Summ SA'!$C$170)*(C38-D38)+'Calculations BC'!D38*(1-'Input Summ SA'!C234)*('Input Summ SA'!J88/'Input Summ SA'!$C$170)</f>
        <v>97.46883611600002</v>
      </c>
      <c r="I38" s="29"/>
      <c r="J38" s="609">
        <f>D38*'Input Summ SA'!J322</f>
        <v>558127.79183999996</v>
      </c>
      <c r="K38" s="29">
        <f>D38*'Input Summ SA'!J350</f>
        <v>936966.39743999986</v>
      </c>
      <c r="L38" s="29">
        <f>(F38)*'Input Summ SA'!C433</f>
        <v>9873444.4074731357</v>
      </c>
      <c r="M38" s="29">
        <f>D38*(('Input Summ SA'!J262/'Input Summ SA'!$C$167)*'Input Summ SA'!J378+('Input Summ SA'!J289/'Input Summ SA'!$C$167)*'Input Summ SA'!J406)</f>
        <v>54488.106762010546</v>
      </c>
      <c r="N38" s="602">
        <f>G38*'Input Summ SA'!C460</f>
        <v>10728482.719645217</v>
      </c>
      <c r="O38" s="609">
        <f ca="1">D38*'Input Summ SA'!J490</f>
        <v>823468.07645205548</v>
      </c>
      <c r="P38" s="29">
        <f ca="1">(E38)*'Input Summ SA'!C517</f>
        <v>6456876.5945024546</v>
      </c>
      <c r="Q38" s="29">
        <f ca="1">(F38)*'Input Summ SA'!C544</f>
        <v>1433252.0968500709</v>
      </c>
      <c r="R38" s="602">
        <f ca="1">G38*'Input Summ SA'!C571</f>
        <v>170113.72222641244</v>
      </c>
      <c r="S38" s="609">
        <f ca="1">D38*'Input Summ SA'!J601</f>
        <v>0</v>
      </c>
      <c r="T38" s="29">
        <f ca="1">(E38)*'Input Summ SA'!C628</f>
        <v>15726478.860746201</v>
      </c>
      <c r="U38" s="29">
        <f ca="1">(F38)*'Input Summ SA'!C655</f>
        <v>5458391.814515193</v>
      </c>
      <c r="V38" s="29">
        <f ca="1">G38*'Input Summ SA'!C682</f>
        <v>148787.52855852296</v>
      </c>
      <c r="W38" s="602">
        <f ca="1">H38*'Input Summ SA'!C709</f>
        <v>48253630.346256614</v>
      </c>
      <c r="X38" s="29"/>
      <c r="Y38" s="609">
        <f>(E38)*'Input Summ SA'!C738*'Input Summ SA'!C115+(E38)*'Input Summ SA'!C765*(1-'Input Summ SA'!C115)</f>
        <v>1013.8478994348401</v>
      </c>
      <c r="Z38" s="29">
        <f>(F38-G38*'Input Summ SA'!C142)*'Input Summ SA'!C738</f>
        <v>264.94514767642102</v>
      </c>
      <c r="AA38" s="29">
        <f>G38*'Input Summ SA'!C765</f>
        <v>41.590525716792008</v>
      </c>
      <c r="AB38" s="29">
        <f>H38*'Input Summ SA'!G846</f>
        <v>1456.5320600134889</v>
      </c>
      <c r="AC38" s="29">
        <f>D38*(('Input Summ SA'!J262/'Input Summ SA'!$C$167)*'Input Summ SA'!J792+('Input Summ SA'!J289/'Input Summ SA'!$C$167)*'Input Summ SA'!J819)</f>
        <v>0</v>
      </c>
      <c r="AD38" s="602">
        <f>H38*'Input Summ SA'!E846</f>
        <v>1869.0590197816721</v>
      </c>
    </row>
    <row r="39" spans="1:30" x14ac:dyDescent="0.3">
      <c r="A39" s="678"/>
      <c r="B39" s="31" t="s">
        <v>1083</v>
      </c>
      <c r="C39" s="29">
        <f>'General input'!H58</f>
        <v>1156405</v>
      </c>
      <c r="D39" s="29">
        <f>'General input'!H58*'General input'!H88</f>
        <v>27753.72</v>
      </c>
      <c r="E39" s="29">
        <f>('Input Summ SA'!J8/'Input Summ SA'!$C$167)*(C39-D39)+('Input Summ SA'!J8/'Input Summ SA'!$C$167)*D39*(1-'Input Summ SA'!C179)</f>
        <v>217619.05555644003</v>
      </c>
      <c r="F39" s="29">
        <f>('Input Summ SA'!J35/'Input Summ SA'!$C$168)*(C39-D39)+D39*(1-'Input Summ SA'!C207)*('Input Summ SA'!J35/'Input Summ SA'!$C$169)</f>
        <v>60533.828342419998</v>
      </c>
      <c r="G39" s="29">
        <f>('Input Summ SA'!J62/'Input Summ SA'!$C$169)*(C39-D39)+D39*(1-'Input Summ SA'!C207)*('Input Summ SA'!J62/'Input Summ SA'!$C$169)</f>
        <v>2683.2574033200003</v>
      </c>
      <c r="H39" s="602">
        <f>('Input Summ SA'!J89/'Input Summ SA'!$C$170)*(C39-D39)+'Calculations BC'!D39*(1-'Input Summ SA'!C235)*('Input Summ SA'!J89/'Input Summ SA'!$C$170)</f>
        <v>194.93750366</v>
      </c>
      <c r="I39" s="29"/>
      <c r="J39" s="609">
        <f>D39*'Input Summ SA'!J323</f>
        <v>1116254.6184</v>
      </c>
      <c r="K39" s="29">
        <f>D39*'Input Summ SA'!J351</f>
        <v>1873931.1743999999</v>
      </c>
      <c r="L39" s="29">
        <f>(F39)*'Input Summ SA'!C434</f>
        <v>19746871.738859832</v>
      </c>
      <c r="M39" s="29">
        <f>D39*(('Input Summ SA'!J263/'Input Summ SA'!$C$167)*'Input Summ SA'!J379+('Input Summ SA'!J290/'Input Summ SA'!$C$167)*'Input Summ SA'!J407)</f>
        <v>108976.11928703728</v>
      </c>
      <c r="N39" s="602">
        <f>G39*'Input Summ SA'!C461</f>
        <v>21456946.884418324</v>
      </c>
      <c r="O39" s="609">
        <f ca="1">D39*'Input Summ SA'!J491</f>
        <v>1646934.7287190473</v>
      </c>
      <c r="P39" s="29">
        <f ca="1">(E39)*'Input Summ SA'!C518</f>
        <v>12913742.021860162</v>
      </c>
      <c r="Q39" s="29">
        <f ca="1">(F39)*'Input Summ SA'!C545</f>
        <v>2866501.7148958175</v>
      </c>
      <c r="R39" s="602">
        <f ca="1">G39*'Input Summ SA'!C572</f>
        <v>340227.15024175675</v>
      </c>
      <c r="S39" s="609">
        <f ca="1">D39*'Input Summ SA'!J602</f>
        <v>0</v>
      </c>
      <c r="T39" s="29">
        <f ca="1">(E39)*'Input Summ SA'!C629</f>
        <v>31452930.522604015</v>
      </c>
      <c r="U39" s="29">
        <f ca="1">(F39)*'Input Summ SA'!C656</f>
        <v>10916774.18876146</v>
      </c>
      <c r="V39" s="29">
        <f ca="1">G39*'Input Summ SA'!C683</f>
        <v>297574.79978955269</v>
      </c>
      <c r="W39" s="602">
        <f ca="1">H39*'Input Summ SA'!C710</f>
        <v>97380898.59610033</v>
      </c>
      <c r="X39" s="29"/>
      <c r="Y39" s="609">
        <f>(E39)*'Input Summ SA'!C739*'Input Summ SA'!C116+(E39)*'Input Summ SA'!C766*(1-'Input Summ SA'!C116)</f>
        <v>2027.6940454234002</v>
      </c>
      <c r="Z39" s="29">
        <f>(F39-G39*'Input Summ SA'!C143)*'Input Summ SA'!C739</f>
        <v>533.17172926116677</v>
      </c>
      <c r="AA39" s="29">
        <f>G39*'Input Summ SA'!C766</f>
        <v>83.18097950292001</v>
      </c>
      <c r="AB39" s="29">
        <f>H39*'Input Summ SA'!G847</f>
        <v>2921.7824892613035</v>
      </c>
      <c r="AC39" s="29">
        <f>D39*(('Input Summ SA'!J263/'Input Summ SA'!$C$167)*'Input Summ SA'!J793+('Input Summ SA'!J290/'Input Summ SA'!$C$167)*'Input Summ SA'!J820)</f>
        <v>0</v>
      </c>
      <c r="AD39" s="602">
        <f>H39*'Input Summ SA'!E847</f>
        <v>3771.9575826610439</v>
      </c>
    </row>
    <row r="40" spans="1:30" x14ac:dyDescent="0.3">
      <c r="A40" s="678"/>
      <c r="B40" s="31" t="s">
        <v>1084</v>
      </c>
      <c r="C40" s="29">
        <f>'General input'!H59</f>
        <v>3469216</v>
      </c>
      <c r="D40" s="29">
        <f>'General input'!H59*'General input'!H89</f>
        <v>83261.184000000008</v>
      </c>
      <c r="E40" s="29">
        <f>('Input Summ SA'!J9/'Input Summ SA'!$C$167)*(C40-D40)+('Input Summ SA'!J9/'Input Summ SA'!$C$167)*D40*(1-'Input Summ SA'!C180)</f>
        <v>652225.30255518726</v>
      </c>
      <c r="F40" s="29">
        <f>('Input Summ SA'!J36/'Input Summ SA'!$C$168)*(C40-D40)+D40*(1-'Input Summ SA'!C208)*('Input Summ SA'!J36/'Input Summ SA'!$C$169)</f>
        <v>181425.72305768958</v>
      </c>
      <c r="G40" s="29">
        <f>('Input Summ SA'!J63/'Input Summ SA'!$C$169)*(C40-D40)+D40*(1-'Input Summ SA'!C208)*('Input Summ SA'!J63/'Input Summ SA'!$C$169)</f>
        <v>8041.9812834816003</v>
      </c>
      <c r="H40" s="602">
        <f>('Input Summ SA'!J90/'Input Summ SA'!$C$170)*(C40-D40)+'Calculations BC'!D40*(1-'Input Summ SA'!C236)*('Input Summ SA'!J90/'Input Summ SA'!$C$170)</f>
        <v>584.24650350080003</v>
      </c>
      <c r="I40" s="29"/>
      <c r="J40" s="609">
        <f>D40*'Input Summ SA'!J324</f>
        <v>3348764.8204800002</v>
      </c>
      <c r="K40" s="29">
        <f>D40*'Input Summ SA'!J352</f>
        <v>5621795.1436800007</v>
      </c>
      <c r="L40" s="29">
        <f>(F40)*'Input Summ SA'!C435</f>
        <v>59183279.522394687</v>
      </c>
      <c r="M40" s="29">
        <f>D40*(('Input Summ SA'!J264/'Input Summ SA'!$C$167)*'Input Summ SA'!J380+('Input Summ SA'!J291/'Input Summ SA'!$C$167)*'Input Summ SA'!J408)</f>
        <v>326928.45209809567</v>
      </c>
      <c r="N40" s="602">
        <f>G40*'Input Summ SA'!C462</f>
        <v>64308539.699414089</v>
      </c>
      <c r="O40" s="609">
        <f ca="1">D40*'Input Summ SA'!J492</f>
        <v>4940805.6103422055</v>
      </c>
      <c r="P40" s="29">
        <f ca="1">(E40)*'Input Summ SA'!C519</f>
        <v>38703730.589175999</v>
      </c>
      <c r="Q40" s="29">
        <f ca="1">(F40)*'Input Summ SA'!C546</f>
        <v>8591182.1622992065</v>
      </c>
      <c r="R40" s="602">
        <f ca="1">G40*'Input Summ SA'!C573</f>
        <v>1019693.589959393</v>
      </c>
      <c r="S40" s="609">
        <f ca="1">D40*'Input Summ SA'!J603</f>
        <v>0</v>
      </c>
      <c r="T40" s="29">
        <f ca="1">(E40)*'Input Summ SA'!C630</f>
        <v>94267466.945385352</v>
      </c>
      <c r="U40" s="29">
        <f ca="1">(F40)*'Input Summ SA'!C657</f>
        <v>32718625.35192816</v>
      </c>
      <c r="V40" s="29">
        <f ca="1">G40*'Input Summ SA'!C684</f>
        <v>891860.38111080602</v>
      </c>
      <c r="W40" s="602">
        <f ca="1">H40*'Input Summ SA'!C711</f>
        <v>291077416.81845188</v>
      </c>
      <c r="X40" s="29"/>
      <c r="Y40" s="609">
        <f>(E40)*'Input Summ SA'!C740*'Input Summ SA'!C117+(E40)*'Input Summ SA'!C767*(1-'Input Summ SA'!C117)</f>
        <v>6077.1946596497928</v>
      </c>
      <c r="Z40" s="29">
        <f>(F40-G40*'Input Summ SA'!C144)*'Input Summ SA'!C740</f>
        <v>1597.9671060609282</v>
      </c>
      <c r="AA40" s="29">
        <f>G40*'Input Summ SA'!C767</f>
        <v>249.3014197879296</v>
      </c>
      <c r="AB40" s="29">
        <f>H40*'Input Summ SA'!G848</f>
        <v>8665.9389301836109</v>
      </c>
      <c r="AC40" s="29">
        <f>D40*(('Input Summ SA'!J264/'Input Summ SA'!$C$167)*'Input Summ SA'!J794+('Input Summ SA'!J291/'Input Summ SA'!$C$167)*'Input Summ SA'!J821)</f>
        <v>0</v>
      </c>
      <c r="AD40" s="602">
        <f>H40*'Input Summ SA'!E848</f>
        <v>11274.610168299636</v>
      </c>
    </row>
    <row r="41" spans="1:30" x14ac:dyDescent="0.3">
      <c r="A41" s="678"/>
      <c r="B41" s="31" t="s">
        <v>1085</v>
      </c>
      <c r="C41" s="29">
        <f>'General input'!H60</f>
        <v>0</v>
      </c>
      <c r="D41" s="29">
        <f>'General input'!H60*'General input'!H90</f>
        <v>0</v>
      </c>
      <c r="E41" s="29">
        <f>('Input Summ SA'!J10/'Input Summ SA'!$C$167)*(C41-D41)+('Input Summ SA'!J10/'Input Summ SA'!$C$167)*D41*(1-'Input Summ SA'!C181)</f>
        <v>0</v>
      </c>
      <c r="F41" s="29">
        <f>('Input Summ SA'!J37/'Input Summ SA'!$C$168)*(C41-D41)+D41*(1-'Input Summ SA'!C209)*('Input Summ SA'!J37/'Input Summ SA'!$C$169)</f>
        <v>0</v>
      </c>
      <c r="G41" s="29">
        <f>('Input Summ SA'!J64/'Input Summ SA'!$C$169)*(C41-D41)+D41*(1-'Input Summ SA'!C209)*('Input Summ SA'!J64/'Input Summ SA'!$C$169)</f>
        <v>0</v>
      </c>
      <c r="H41" s="602">
        <f>('Input Summ SA'!J91/'Input Summ SA'!$C$170)*(C41-D41)+'Calculations BC'!D41*(1-'Input Summ SA'!C237)*('Input Summ SA'!J91/'Input Summ SA'!$C$170)</f>
        <v>0</v>
      </c>
      <c r="I41" s="29"/>
      <c r="J41" s="609">
        <f>D41*'Input Summ SA'!J325</f>
        <v>0</v>
      </c>
      <c r="K41" s="29">
        <f>D41*'Input Summ SA'!J353</f>
        <v>0</v>
      </c>
      <c r="L41" s="29">
        <f>(F41)*'Input Summ SA'!C436</f>
        <v>0</v>
      </c>
      <c r="M41" s="29">
        <f>D41*(('Input Summ SA'!J265/'Input Summ SA'!$C$167)*'Input Summ SA'!J381+('Input Summ SA'!J292/'Input Summ SA'!$C$167)*'Input Summ SA'!J409)</f>
        <v>0</v>
      </c>
      <c r="N41" s="602">
        <f>G41*'Input Summ SA'!C463</f>
        <v>0</v>
      </c>
      <c r="O41" s="609">
        <f ca="1">D41*'Input Summ SA'!J493</f>
        <v>0</v>
      </c>
      <c r="P41" s="29">
        <f ca="1">(E41)*'Input Summ SA'!C520</f>
        <v>0</v>
      </c>
      <c r="Q41" s="29">
        <f ca="1">(F41)*'Input Summ SA'!C547</f>
        <v>0</v>
      </c>
      <c r="R41" s="602">
        <f ca="1">G41*'Input Summ SA'!C574</f>
        <v>0</v>
      </c>
      <c r="S41" s="609">
        <f ca="1">D41*'Input Summ SA'!J604</f>
        <v>0</v>
      </c>
      <c r="T41" s="29">
        <f ca="1">(E41)*'Input Summ SA'!C631</f>
        <v>0</v>
      </c>
      <c r="U41" s="29">
        <f ca="1">(F41)*'Input Summ SA'!C658</f>
        <v>0</v>
      </c>
      <c r="V41" s="29">
        <f ca="1">G41*'Input Summ SA'!C685</f>
        <v>0</v>
      </c>
      <c r="W41" s="602">
        <f ca="1">H41*'Input Summ SA'!C712</f>
        <v>0</v>
      </c>
      <c r="X41" s="29"/>
      <c r="Y41" s="609">
        <f>(E41)*'Input Summ SA'!C741*'Input Summ SA'!C118+(E41)*'Input Summ SA'!C768*(1-'Input Summ SA'!C118)</f>
        <v>0</v>
      </c>
      <c r="Z41" s="29">
        <f>(F41-G41*'Input Summ SA'!C145)*'Input Summ SA'!C741</f>
        <v>0</v>
      </c>
      <c r="AA41" s="29">
        <f>G41*'Input Summ SA'!C768</f>
        <v>0</v>
      </c>
      <c r="AB41" s="29">
        <f>H41*'Input Summ SA'!G849</f>
        <v>0</v>
      </c>
      <c r="AC41" s="29">
        <f>D41*(('Input Summ SA'!J265/'Input Summ SA'!$C$167)*'Input Summ SA'!J795+('Input Summ SA'!J292/'Input Summ SA'!$C$167)*'Input Summ SA'!J822)</f>
        <v>0</v>
      </c>
      <c r="AD41" s="602">
        <f>H41*'Input Summ SA'!E849</f>
        <v>0</v>
      </c>
    </row>
    <row r="42" spans="1:30" x14ac:dyDescent="0.3">
      <c r="A42" s="678"/>
      <c r="B42" s="31" t="s">
        <v>1086</v>
      </c>
      <c r="C42" s="29">
        <f>'General input'!H61</f>
        <v>0</v>
      </c>
      <c r="D42" s="29">
        <f>'General input'!H61*'General input'!H91</f>
        <v>0</v>
      </c>
      <c r="E42" s="29">
        <f>('Input Summ SA'!J11/'Input Summ SA'!$C$167)*(C42-D42)+('Input Summ SA'!J11/'Input Summ SA'!$C$167)*D42*(1-'Input Summ SA'!C182)</f>
        <v>0</v>
      </c>
      <c r="F42" s="29">
        <f>('Input Summ SA'!J38/'Input Summ SA'!$C$168)*(C42-D42)+D42*(1-'Input Summ SA'!C210)*('Input Summ SA'!J38/'Input Summ SA'!$C$169)</f>
        <v>0</v>
      </c>
      <c r="G42" s="29">
        <f>('Input Summ SA'!J65/'Input Summ SA'!$C$169)*(C42-D42)+D42*(1-'Input Summ SA'!C210)*('Input Summ SA'!J65/'Input Summ SA'!$C$169)</f>
        <v>0</v>
      </c>
      <c r="H42" s="602">
        <f>('Input Summ SA'!J92/'Input Summ SA'!$C$170)*(C42-D42)+'Calculations BC'!D42*(1-'Input Summ SA'!C238)*('Input Summ SA'!J92/'Input Summ SA'!$C$170)</f>
        <v>0</v>
      </c>
      <c r="I42" s="29"/>
      <c r="J42" s="609">
        <f>D42*'Input Summ SA'!J326</f>
        <v>0</v>
      </c>
      <c r="K42" s="29">
        <f>D42*'Input Summ SA'!J354</f>
        <v>0</v>
      </c>
      <c r="L42" s="29">
        <f>(F42)*'Input Summ SA'!C437</f>
        <v>0</v>
      </c>
      <c r="M42" s="29">
        <f>D42*(('Input Summ SA'!J266/'Input Summ SA'!$C$167)*'Input Summ SA'!J382+('Input Summ SA'!J293/'Input Summ SA'!$C$167)*'Input Summ SA'!J410)</f>
        <v>0</v>
      </c>
      <c r="N42" s="602">
        <f>G42*'Input Summ SA'!C464</f>
        <v>0</v>
      </c>
      <c r="O42" s="609">
        <f ca="1">D42*'Input Summ SA'!J494</f>
        <v>0</v>
      </c>
      <c r="P42" s="29">
        <f ca="1">(E42)*'Input Summ SA'!C521</f>
        <v>0</v>
      </c>
      <c r="Q42" s="29">
        <f ca="1">(F42)*'Input Summ SA'!C548</f>
        <v>0</v>
      </c>
      <c r="R42" s="602">
        <f ca="1">G42*'Input Summ SA'!C575</f>
        <v>0</v>
      </c>
      <c r="S42" s="609">
        <f ca="1">D42*'Input Summ SA'!J605</f>
        <v>0</v>
      </c>
      <c r="T42" s="29">
        <f ca="1">(E42)*'Input Summ SA'!C632</f>
        <v>0</v>
      </c>
      <c r="U42" s="29">
        <f ca="1">(F42)*'Input Summ SA'!C659</f>
        <v>0</v>
      </c>
      <c r="V42" s="29">
        <f ca="1">G42*'Input Summ SA'!C686</f>
        <v>0</v>
      </c>
      <c r="W42" s="602">
        <f ca="1">H42*'Input Summ SA'!C713</f>
        <v>0</v>
      </c>
      <c r="X42" s="29"/>
      <c r="Y42" s="609">
        <f>(E42)*'Input Summ SA'!C742*'Input Summ SA'!C119+(E42)*'Input Summ SA'!C769*(1-'Input Summ SA'!C119)</f>
        <v>0</v>
      </c>
      <c r="Z42" s="29">
        <f>(F42-G42*'Input Summ SA'!C146)*'Input Summ SA'!C742</f>
        <v>0</v>
      </c>
      <c r="AA42" s="29">
        <f>G42*'Input Summ SA'!C769</f>
        <v>0</v>
      </c>
      <c r="AB42" s="29">
        <f>H42*'Input Summ SA'!G850</f>
        <v>0</v>
      </c>
      <c r="AC42" s="29">
        <f>D42*(('Input Summ SA'!J266/'Input Summ SA'!$C$167)*'Input Summ SA'!J796+('Input Summ SA'!J293/'Input Summ SA'!$C$167)*'Input Summ SA'!J823)</f>
        <v>0</v>
      </c>
      <c r="AD42" s="602">
        <f>H42*'Input Summ SA'!E850</f>
        <v>0</v>
      </c>
    </row>
    <row r="43" spans="1:30" x14ac:dyDescent="0.3">
      <c r="A43" s="678"/>
      <c r="B43" s="31" t="s">
        <v>1087</v>
      </c>
      <c r="C43" s="29">
        <f>'General input'!H62</f>
        <v>0</v>
      </c>
      <c r="D43" s="29">
        <f>'General input'!H62*'General input'!H92</f>
        <v>0</v>
      </c>
      <c r="E43" s="29">
        <f>('Input Summ SA'!J12/'Input Summ SA'!$C$167)*(C43-D43)+('Input Summ SA'!J12/'Input Summ SA'!$C$167)*D43*(1-'Input Summ SA'!C183)</f>
        <v>0</v>
      </c>
      <c r="F43" s="29">
        <f>('Input Summ SA'!J39/'Input Summ SA'!$C$168)*(C43-D43)+D43*(1-'Input Summ SA'!C211)*('Input Summ SA'!J39/'Input Summ SA'!$C$169)</f>
        <v>0</v>
      </c>
      <c r="G43" s="29">
        <f>('Input Summ SA'!J66/'Input Summ SA'!$C$169)*(C43-D43)+D43*(1-'Input Summ SA'!C211)*('Input Summ SA'!J66/'Input Summ SA'!$C$169)</f>
        <v>0</v>
      </c>
      <c r="H43" s="602">
        <f>('Input Summ SA'!J93/'Input Summ SA'!$C$170)*(C43-D43)+'Calculations BC'!D43*(1-'Input Summ SA'!C239)*('Input Summ SA'!J93/'Input Summ SA'!$C$170)</f>
        <v>0</v>
      </c>
      <c r="I43" s="29"/>
      <c r="J43" s="609">
        <f>D43*'Input Summ SA'!J327</f>
        <v>0</v>
      </c>
      <c r="K43" s="29">
        <f>D43*'Input Summ SA'!J355</f>
        <v>0</v>
      </c>
      <c r="L43" s="29">
        <f>(F43)*'Input Summ SA'!C438</f>
        <v>0</v>
      </c>
      <c r="M43" s="29">
        <f>D43*(('Input Summ SA'!J267/'Input Summ SA'!$C$167)*'Input Summ SA'!J383+('Input Summ SA'!J294/'Input Summ SA'!$C$167)*'Input Summ SA'!J411)</f>
        <v>0</v>
      </c>
      <c r="N43" s="602">
        <f>G43*'Input Summ SA'!C465</f>
        <v>0</v>
      </c>
      <c r="O43" s="609">
        <f ca="1">D43*'Input Summ SA'!J495</f>
        <v>0</v>
      </c>
      <c r="P43" s="29">
        <f ca="1">(E43)*'Input Summ SA'!C522</f>
        <v>0</v>
      </c>
      <c r="Q43" s="29">
        <f ca="1">(F43)*'Input Summ SA'!C549</f>
        <v>0</v>
      </c>
      <c r="R43" s="602">
        <f ca="1">G43*'Input Summ SA'!C576</f>
        <v>0</v>
      </c>
      <c r="S43" s="609">
        <f ca="1">D43*'Input Summ SA'!J606</f>
        <v>0</v>
      </c>
      <c r="T43" s="29">
        <f ca="1">(E43)*'Input Summ SA'!C633</f>
        <v>0</v>
      </c>
      <c r="U43" s="29">
        <f ca="1">(F43)*'Input Summ SA'!C660</f>
        <v>0</v>
      </c>
      <c r="V43" s="29">
        <f ca="1">G43*'Input Summ SA'!C687</f>
        <v>0</v>
      </c>
      <c r="W43" s="602">
        <f ca="1">H43*'Input Summ SA'!C714</f>
        <v>0</v>
      </c>
      <c r="X43" s="29"/>
      <c r="Y43" s="609">
        <f>(E43)*'Input Summ SA'!C743*'Input Summ SA'!C120+(E43)*'Input Summ SA'!C770*(1-'Input Summ SA'!C120)</f>
        <v>0</v>
      </c>
      <c r="Z43" s="29">
        <f>(F43-G43*'Input Summ SA'!C147)*'Input Summ SA'!C743</f>
        <v>0</v>
      </c>
      <c r="AA43" s="29">
        <f>G43*'Input Summ SA'!C770</f>
        <v>0</v>
      </c>
      <c r="AB43" s="29">
        <f>H43*'Input Summ SA'!G851</f>
        <v>0</v>
      </c>
      <c r="AC43" s="29">
        <f>D43*(('Input Summ SA'!J267/'Input Summ SA'!$C$167)*'Input Summ SA'!J797+('Input Summ SA'!J294/'Input Summ SA'!$C$167)*'Input Summ SA'!J824)</f>
        <v>0</v>
      </c>
      <c r="AD43" s="602">
        <f>H43*'Input Summ SA'!E851</f>
        <v>0</v>
      </c>
    </row>
    <row r="44" spans="1:30" x14ac:dyDescent="0.3">
      <c r="A44" s="678"/>
      <c r="B44" s="31" t="s">
        <v>1443</v>
      </c>
      <c r="C44" s="29">
        <f>'General input'!H63</f>
        <v>0</v>
      </c>
      <c r="D44" s="29">
        <f>'General input'!H63*'General input'!H93</f>
        <v>0</v>
      </c>
      <c r="E44" s="29">
        <f>('Input Summ SA'!J13/'Input Summ SA'!$C$167)*(C44-D44)+('Input Summ SA'!J13/'Input Summ SA'!$C$167)*D44*(1-'Input Summ SA'!C184)</f>
        <v>0</v>
      </c>
      <c r="F44" s="29">
        <f>('Input Summ SA'!J40/'Input Summ SA'!$C$168)*(C44-D44)+D44*(1-'Input Summ SA'!C212)*('Input Summ SA'!J40/'Input Summ SA'!$C$169)</f>
        <v>0</v>
      </c>
      <c r="G44" s="29">
        <f>('Input Summ SA'!J67/'Input Summ SA'!$C$169)*(C44-D44)+D44*(1-'Input Summ SA'!C212)*('Input Summ SA'!J67/'Input Summ SA'!$C$169)</f>
        <v>0</v>
      </c>
      <c r="H44" s="602">
        <f>('Input Summ SA'!J94/'Input Summ SA'!$C$170)*(C44-D44)+'Calculations BC'!D44*(1-'Input Summ SA'!C240)*('Input Summ SA'!J94/'Input Summ SA'!$C$170)</f>
        <v>0</v>
      </c>
      <c r="I44" s="29"/>
      <c r="J44" s="609">
        <f>D44*'Input Summ SA'!J328</f>
        <v>0</v>
      </c>
      <c r="K44" s="29">
        <f>D44*'Input Summ SA'!J356</f>
        <v>0</v>
      </c>
      <c r="L44" s="29">
        <f>(F44)*'Input Summ SA'!C439</f>
        <v>0</v>
      </c>
      <c r="M44" s="29">
        <f>D44*(('Input Summ SA'!J268/'Input Summ SA'!$C$167)*'Input Summ SA'!J384+('Input Summ SA'!J295/'Input Summ SA'!$C$167)*'Input Summ SA'!J412)</f>
        <v>0</v>
      </c>
      <c r="N44" s="602">
        <f>G44*'Input Summ SA'!C466</f>
        <v>0</v>
      </c>
      <c r="O44" s="609">
        <f ca="1">D44*'Input Summ SA'!J496</f>
        <v>0</v>
      </c>
      <c r="P44" s="29">
        <f ca="1">(E44)*'Input Summ SA'!C523</f>
        <v>0</v>
      </c>
      <c r="Q44" s="29">
        <f ca="1">(F44)*'Input Summ SA'!C550</f>
        <v>0</v>
      </c>
      <c r="R44" s="602">
        <f ca="1">G44*'Input Summ SA'!C577</f>
        <v>0</v>
      </c>
      <c r="S44" s="609">
        <f ca="1">D44*'Input Summ SA'!J607</f>
        <v>0</v>
      </c>
      <c r="T44" s="29">
        <f ca="1">(E44)*'Input Summ SA'!C634</f>
        <v>0</v>
      </c>
      <c r="U44" s="29">
        <f ca="1">(F44)*'Input Summ SA'!C661</f>
        <v>0</v>
      </c>
      <c r="V44" s="29">
        <f ca="1">G44*'Input Summ SA'!C688</f>
        <v>0</v>
      </c>
      <c r="W44" s="602">
        <f ca="1">H44*'Input Summ SA'!C715</f>
        <v>0</v>
      </c>
      <c r="X44" s="29"/>
      <c r="Y44" s="609">
        <f>(E44)*'Input Summ SA'!C744*'Input Summ SA'!C121+(E44)*'Input Summ SA'!C771*(1-'Input Summ SA'!C121)</f>
        <v>0</v>
      </c>
      <c r="Z44" s="29">
        <f>(F44-G44*'Input Summ SA'!C148)*'Input Summ SA'!C744</f>
        <v>0</v>
      </c>
      <c r="AA44" s="29">
        <f>G44*'Input Summ SA'!C771</f>
        <v>0</v>
      </c>
      <c r="AB44" s="29">
        <f>H44*'Input Summ SA'!G852</f>
        <v>0</v>
      </c>
      <c r="AC44" s="29">
        <f>D44*(('Input Summ SA'!J268/'Input Summ SA'!$C$167)*'Input Summ SA'!J798+('Input Summ SA'!J295/'Input Summ SA'!$C$167)*'Input Summ SA'!J825)</f>
        <v>0</v>
      </c>
      <c r="AD44" s="602">
        <f>H44*'Input Summ SA'!E852</f>
        <v>0</v>
      </c>
    </row>
    <row r="45" spans="1:30" x14ac:dyDescent="0.3">
      <c r="A45" s="678"/>
      <c r="B45" s="315" t="s">
        <v>1444</v>
      </c>
      <c r="E45" s="29"/>
      <c r="F45" s="29"/>
      <c r="G45" s="29"/>
      <c r="H45" s="602"/>
      <c r="J45" s="198"/>
      <c r="N45" s="87"/>
      <c r="O45" s="198"/>
      <c r="P45" s="29"/>
      <c r="R45" s="87"/>
      <c r="S45" s="198"/>
      <c r="W45" s="87"/>
      <c r="Y45" s="198"/>
      <c r="AD45" s="87"/>
    </row>
    <row r="46" spans="1:30" ht="17.399999999999999" customHeight="1" x14ac:dyDescent="0.3">
      <c r="A46" s="678"/>
      <c r="B46" s="31" t="s">
        <v>1082</v>
      </c>
      <c r="C46" s="29">
        <f>'General input'!H65</f>
        <v>0</v>
      </c>
      <c r="D46" s="29">
        <f>'General input'!H65*'General input'!H95</f>
        <v>0</v>
      </c>
      <c r="E46" s="29">
        <f>('Input Summ SA'!J15/'Input Summ SA'!$C$167)*(C46-D46)+('Input Summ SA'!J15/'Input Summ SA'!$C$167)*D46*(1-'Input Summ SA'!C186)</f>
        <v>0</v>
      </c>
      <c r="F46" s="29">
        <f>('Input Summ SA'!J42/'Input Summ SA'!$C$168)*(C46-D46)+D46*(1-'Input Summ SA'!C214)*('Input Summ SA'!J42/'Input Summ SA'!$C$169)</f>
        <v>0</v>
      </c>
      <c r="G46" s="29">
        <f>('Input Summ SA'!J69/'Input Summ SA'!$C$169)*(C46-D46)+D46*(1-'Input Summ SA'!C214)*('Input Summ SA'!J69/'Input Summ SA'!$C$169)</f>
        <v>0</v>
      </c>
      <c r="H46" s="602">
        <f>('Input Summ SA'!J96/'Input Summ SA'!$C$170)*(C46-D46)+'Calculations BC'!D46*(1-'Input Summ SA'!C242)*('Input Summ SA'!J96/'Input Summ SA'!$C$170)</f>
        <v>0</v>
      </c>
      <c r="I46" s="29"/>
      <c r="J46" s="609">
        <f>D46*'Input Summ SA'!J330</f>
        <v>0</v>
      </c>
      <c r="K46" s="29">
        <f>D46*'Input Summ SA'!J358</f>
        <v>0</v>
      </c>
      <c r="L46" s="29">
        <f>(F46)*'Input Summ SA'!C441</f>
        <v>0</v>
      </c>
      <c r="M46" s="29">
        <f>D46*(('Input Summ SA'!J270/'Input Summ SA'!$C$167)*'Input Summ SA'!J386+('Input Summ SA'!J297/'Input Summ SA'!$C$167)*'Input Summ SA'!J414)</f>
        <v>0</v>
      </c>
      <c r="N46" s="602">
        <f>G46*'Input Summ SA'!C468</f>
        <v>0</v>
      </c>
      <c r="O46" s="609">
        <f ca="1">D46*'Input Summ SA'!J498</f>
        <v>0</v>
      </c>
      <c r="P46" s="29">
        <f ca="1">(E46)*'Input Summ SA'!C525</f>
        <v>0</v>
      </c>
      <c r="Q46" s="29">
        <f ca="1">(F46)*'Input Summ SA'!C552</f>
        <v>0</v>
      </c>
      <c r="R46" s="602">
        <f ca="1">G46*'Input Summ SA'!C579</f>
        <v>0</v>
      </c>
      <c r="S46" s="609">
        <f ca="1">D46*'Input Summ SA'!J609</f>
        <v>0</v>
      </c>
      <c r="T46" s="29">
        <f ca="1">(E46)*'Input Summ SA'!C636</f>
        <v>0</v>
      </c>
      <c r="U46" s="29">
        <f ca="1">(F46)*'Input Summ SA'!C663</f>
        <v>0</v>
      </c>
      <c r="V46" s="29">
        <f ca="1">G46*'Input Summ SA'!C690</f>
        <v>0</v>
      </c>
      <c r="W46" s="602">
        <f ca="1">H46*'Input Summ SA'!C717</f>
        <v>0</v>
      </c>
      <c r="X46" s="29"/>
      <c r="Y46" s="609">
        <f>(E46)*'Input Summ SA'!C746*'Input Summ SA'!C123+(E46)*'Input Summ SA'!C773*(1-'Input Summ SA'!C123)</f>
        <v>0</v>
      </c>
      <c r="Z46" s="29">
        <f>(F46-G46*'Input Summ SA'!C150)*'Input Summ SA'!C746</f>
        <v>0</v>
      </c>
      <c r="AA46" s="29">
        <f>G46*'Input Summ SA'!C773</f>
        <v>0</v>
      </c>
      <c r="AB46" s="29">
        <f>H46*'Input Summ SA'!G854</f>
        <v>0</v>
      </c>
      <c r="AC46" s="29">
        <f>D46*(('Input Summ SA'!J270/'Input Summ SA'!$C$167)*'Input Summ SA'!J800+('Input Summ SA'!J297/'Input Summ SA'!$C$167)*'Input Summ SA'!J827)</f>
        <v>0</v>
      </c>
      <c r="AD46" s="602">
        <f>H46*'Input Summ SA'!E854</f>
        <v>0</v>
      </c>
    </row>
    <row r="47" spans="1:30" x14ac:dyDescent="0.3">
      <c r="A47" s="678"/>
      <c r="B47" s="31" t="s">
        <v>1083</v>
      </c>
      <c r="C47" s="29">
        <f>'General input'!H66</f>
        <v>0</v>
      </c>
      <c r="D47" s="29">
        <f>'General input'!H66*'General input'!H96</f>
        <v>0</v>
      </c>
      <c r="E47" s="29">
        <f>('Input Summ SA'!J16/'Input Summ SA'!$C$167)*(C47-D47)+('Input Summ SA'!J16/'Input Summ SA'!$C$167)*D47*(1-'Input Summ SA'!C187)</f>
        <v>0</v>
      </c>
      <c r="F47" s="29">
        <f>('Input Summ SA'!J43/'Input Summ SA'!$C$168)*(C47-D47)+D47*(1-'Input Summ SA'!C215)*('Input Summ SA'!J43/'Input Summ SA'!$C$169)</f>
        <v>0</v>
      </c>
      <c r="G47" s="29">
        <f>('Input Summ SA'!J70/'Input Summ SA'!$C$169)*(C47-D47)+D47*(1-'Input Summ SA'!C215)*('Input Summ SA'!J70/'Input Summ SA'!$C$169)</f>
        <v>0</v>
      </c>
      <c r="H47" s="602">
        <f>('Input Summ SA'!J97/'Input Summ SA'!$C$170)*(C47-D47)+'Calculations BC'!D47*(1-'Input Summ SA'!C243)*('Input Summ SA'!J97/'Input Summ SA'!$C$170)</f>
        <v>0</v>
      </c>
      <c r="I47" s="29"/>
      <c r="J47" s="609">
        <f>D47*'Input Summ SA'!J331</f>
        <v>0</v>
      </c>
      <c r="K47" s="29">
        <f>D47*'Input Summ SA'!J359</f>
        <v>0</v>
      </c>
      <c r="L47" s="29">
        <f>(F47)*'Input Summ SA'!C442</f>
        <v>0</v>
      </c>
      <c r="M47" s="29">
        <f>D47*(('Input Summ SA'!J271/'Input Summ SA'!$C$167)*'Input Summ SA'!J387+('Input Summ SA'!J298/'Input Summ SA'!$C$167)*'Input Summ SA'!J415)</f>
        <v>0</v>
      </c>
      <c r="N47" s="602">
        <f>G47*'Input Summ SA'!C469</f>
        <v>0</v>
      </c>
      <c r="O47" s="609">
        <f ca="1">D47*'Input Summ SA'!J499</f>
        <v>0</v>
      </c>
      <c r="P47" s="29">
        <f ca="1">(E47)*'Input Summ SA'!C526</f>
        <v>0</v>
      </c>
      <c r="Q47" s="29">
        <f ca="1">(F47)*'Input Summ SA'!C553</f>
        <v>0</v>
      </c>
      <c r="R47" s="602">
        <f ca="1">G47*'Input Summ SA'!C580</f>
        <v>0</v>
      </c>
      <c r="S47" s="609">
        <f ca="1">D47*'Input Summ SA'!J610</f>
        <v>0</v>
      </c>
      <c r="T47" s="29">
        <f ca="1">(E47)*'Input Summ SA'!C637</f>
        <v>0</v>
      </c>
      <c r="U47" s="29">
        <f ca="1">(F47)*'Input Summ SA'!C664</f>
        <v>0</v>
      </c>
      <c r="V47" s="29">
        <f ca="1">G47*'Input Summ SA'!C691</f>
        <v>0</v>
      </c>
      <c r="W47" s="602">
        <f ca="1">H47*'Input Summ SA'!C718</f>
        <v>0</v>
      </c>
      <c r="X47" s="29"/>
      <c r="Y47" s="609">
        <f>(E47)*'Input Summ SA'!C747*'Input Summ SA'!C124+(E47)*'Input Summ SA'!C774*(1-'Input Summ SA'!C124)</f>
        <v>0</v>
      </c>
      <c r="Z47" s="29">
        <f>(F47-G47*'Input Summ SA'!C151)*'Input Summ SA'!C747</f>
        <v>0</v>
      </c>
      <c r="AA47" s="29">
        <f>G47*'Input Summ SA'!C774</f>
        <v>0</v>
      </c>
      <c r="AB47" s="29">
        <f>H47*'Input Summ SA'!G855</f>
        <v>0</v>
      </c>
      <c r="AC47" s="29">
        <f>D47*(('Input Summ SA'!J271/'Input Summ SA'!$C$167)*'Input Summ SA'!J801+('Input Summ SA'!J298/'Input Summ SA'!$C$167)*'Input Summ SA'!J828)</f>
        <v>0</v>
      </c>
      <c r="AD47" s="602">
        <f>H47*'Input Summ SA'!E855</f>
        <v>0</v>
      </c>
    </row>
    <row r="48" spans="1:30" x14ac:dyDescent="0.3">
      <c r="A48" s="678"/>
      <c r="B48" s="31" t="s">
        <v>1084</v>
      </c>
      <c r="C48" s="29">
        <f>'General input'!H67</f>
        <v>0</v>
      </c>
      <c r="D48" s="29">
        <f>'General input'!H67*'General input'!H97</f>
        <v>0</v>
      </c>
      <c r="E48" s="29">
        <f>('Input Summ SA'!J17/'Input Summ SA'!$C$167)*(C48-D48)+('Input Summ SA'!J17/'Input Summ SA'!$C$167)*D48*(1-'Input Summ SA'!C188)</f>
        <v>0</v>
      </c>
      <c r="F48" s="29">
        <f>('Input Summ SA'!J44/'Input Summ SA'!$C$168)*(C48-D48)+D48*(1-'Input Summ SA'!C216)*('Input Summ SA'!J44/'Input Summ SA'!$C$169)</f>
        <v>0</v>
      </c>
      <c r="G48" s="29">
        <f>('Input Summ SA'!J71/'Input Summ SA'!$C$169)*(C48-D48)+D48*(1-'Input Summ SA'!C216)*('Input Summ SA'!J71/'Input Summ SA'!$C$169)</f>
        <v>0</v>
      </c>
      <c r="H48" s="602">
        <f>('Input Summ SA'!J98/'Input Summ SA'!$C$170)*(C48-D48)+'Calculations BC'!D48*(1-'Input Summ SA'!C244)*('Input Summ SA'!J98/'Input Summ SA'!$C$170)</f>
        <v>0</v>
      </c>
      <c r="I48" s="29"/>
      <c r="J48" s="609">
        <f>D48*'Input Summ SA'!J332</f>
        <v>0</v>
      </c>
      <c r="K48" s="29">
        <f>D48*'Input Summ SA'!J360</f>
        <v>0</v>
      </c>
      <c r="L48" s="29">
        <f>(F48)*'Input Summ SA'!C443</f>
        <v>0</v>
      </c>
      <c r="M48" s="29">
        <f>D48*(('Input Summ SA'!J272/'Input Summ SA'!$C$167)*'Input Summ SA'!J388+('Input Summ SA'!J299/'Input Summ SA'!$C$167)*'Input Summ SA'!J416)</f>
        <v>0</v>
      </c>
      <c r="N48" s="602">
        <f>G48*'Input Summ SA'!C470</f>
        <v>0</v>
      </c>
      <c r="O48" s="609">
        <f ca="1">D48*'Input Summ SA'!J500</f>
        <v>0</v>
      </c>
      <c r="P48" s="29">
        <f ca="1">(E48)*'Input Summ SA'!C527</f>
        <v>0</v>
      </c>
      <c r="Q48" s="29">
        <f ca="1">(F48)*'Input Summ SA'!C554</f>
        <v>0</v>
      </c>
      <c r="R48" s="602">
        <f ca="1">G48*'Input Summ SA'!C581</f>
        <v>0</v>
      </c>
      <c r="S48" s="609">
        <f ca="1">D48*'Input Summ SA'!J611</f>
        <v>0</v>
      </c>
      <c r="T48" s="29">
        <f ca="1">(E48)*'Input Summ SA'!C638</f>
        <v>0</v>
      </c>
      <c r="U48" s="29">
        <f ca="1">(F48)*'Input Summ SA'!C665</f>
        <v>0</v>
      </c>
      <c r="V48" s="29">
        <f ca="1">G48*'Input Summ SA'!C692</f>
        <v>0</v>
      </c>
      <c r="W48" s="602">
        <f ca="1">H48*'Input Summ SA'!C719</f>
        <v>0</v>
      </c>
      <c r="X48" s="29"/>
      <c r="Y48" s="609">
        <f>(E48)*'Input Summ SA'!C748*'Input Summ SA'!C125+(E48)*'Input Summ SA'!C775*(1-'Input Summ SA'!C125)</f>
        <v>0</v>
      </c>
      <c r="Z48" s="29">
        <f>(F48-G48*'Input Summ SA'!C152)*'Input Summ SA'!C748</f>
        <v>0</v>
      </c>
      <c r="AA48" s="29">
        <f>G48*'Input Summ SA'!C775</f>
        <v>0</v>
      </c>
      <c r="AB48" s="29">
        <f>H48*'Input Summ SA'!G856</f>
        <v>0</v>
      </c>
      <c r="AC48" s="29">
        <f>D48*(('Input Summ SA'!J272/'Input Summ SA'!$C$167)*'Input Summ SA'!J802+('Input Summ SA'!J299/'Input Summ SA'!$C$167)*'Input Summ SA'!J829)</f>
        <v>0</v>
      </c>
      <c r="AD48" s="602">
        <f>H48*'Input Summ SA'!E856</f>
        <v>0</v>
      </c>
    </row>
    <row r="49" spans="1:30" x14ac:dyDescent="0.3">
      <c r="A49" s="678"/>
      <c r="B49" s="31" t="s">
        <v>1085</v>
      </c>
      <c r="C49" s="29">
        <f>'General input'!H68</f>
        <v>0</v>
      </c>
      <c r="D49" s="29">
        <f>'General input'!H68*'General input'!H98</f>
        <v>0</v>
      </c>
      <c r="E49" s="29">
        <f>('Input Summ SA'!J18/'Input Summ SA'!$C$167)*(C49-D49)+('Input Summ SA'!J18/'Input Summ SA'!$C$167)*D49*(1-'Input Summ SA'!C189)</f>
        <v>0</v>
      </c>
      <c r="F49" s="29">
        <f>('Input Summ SA'!J45/'Input Summ SA'!$C$168)*(C49-D49)+D49*(1-'Input Summ SA'!C217)*('Input Summ SA'!J45/'Input Summ SA'!$C$169)</f>
        <v>0</v>
      </c>
      <c r="G49" s="29">
        <f>('Input Summ SA'!J72/'Input Summ SA'!$C$169)*(C49-D49)+D49*(1-'Input Summ SA'!C217)*('Input Summ SA'!J72/'Input Summ SA'!$C$169)</f>
        <v>0</v>
      </c>
      <c r="H49" s="602">
        <f>('Input Summ SA'!J99/'Input Summ SA'!$C$170)*(C49-D49)+'Calculations BC'!D49*(1-'Input Summ SA'!C245)*('Input Summ SA'!J99/'Input Summ SA'!$C$170)</f>
        <v>0</v>
      </c>
      <c r="I49" s="29"/>
      <c r="J49" s="609">
        <f>D49*'Input Summ SA'!J333</f>
        <v>0</v>
      </c>
      <c r="K49" s="29">
        <f>D49*'Input Summ SA'!J361</f>
        <v>0</v>
      </c>
      <c r="L49" s="29">
        <f>(F49)*'Input Summ SA'!C444</f>
        <v>0</v>
      </c>
      <c r="M49" s="29">
        <f>D49*(('Input Summ SA'!J273/'Input Summ SA'!$C$167)*'Input Summ SA'!J389+('Input Summ SA'!J300/'Input Summ SA'!$C$167)*'Input Summ SA'!J417)</f>
        <v>0</v>
      </c>
      <c r="N49" s="602">
        <f>G49*'Input Summ SA'!C471</f>
        <v>0</v>
      </c>
      <c r="O49" s="609">
        <f ca="1">D49*'Input Summ SA'!J501</f>
        <v>0</v>
      </c>
      <c r="P49" s="29">
        <f ca="1">(E49)*'Input Summ SA'!C528</f>
        <v>0</v>
      </c>
      <c r="Q49" s="29">
        <f ca="1">(F49)*'Input Summ SA'!C555</f>
        <v>0</v>
      </c>
      <c r="R49" s="602">
        <f ca="1">G49*'Input Summ SA'!C582</f>
        <v>0</v>
      </c>
      <c r="S49" s="609">
        <f ca="1">D49*'Input Summ SA'!J612</f>
        <v>0</v>
      </c>
      <c r="T49" s="29">
        <f ca="1">(E49)*'Input Summ SA'!C639</f>
        <v>0</v>
      </c>
      <c r="U49" s="29">
        <f ca="1">(F49)*'Input Summ SA'!C666</f>
        <v>0</v>
      </c>
      <c r="V49" s="29">
        <f ca="1">G49*'Input Summ SA'!C693</f>
        <v>0</v>
      </c>
      <c r="W49" s="602">
        <f ca="1">H49*'Input Summ SA'!C720</f>
        <v>0</v>
      </c>
      <c r="X49" s="29"/>
      <c r="Y49" s="609">
        <f>(E49)*'Input Summ SA'!C749*'Input Summ SA'!C126+(E49)*'Input Summ SA'!C776*(1-'Input Summ SA'!C126)</f>
        <v>0</v>
      </c>
      <c r="Z49" s="29">
        <f>(F49-G49*'Input Summ SA'!C153)*'Input Summ SA'!C749</f>
        <v>0</v>
      </c>
      <c r="AA49" s="29">
        <f>G49*'Input Summ SA'!C776</f>
        <v>0</v>
      </c>
      <c r="AB49" s="29">
        <f>H49*'Input Summ SA'!G857</f>
        <v>0</v>
      </c>
      <c r="AC49" s="29">
        <f>D49*(('Input Summ SA'!J273/'Input Summ SA'!$C$167)*'Input Summ SA'!J803+('Input Summ SA'!J300/'Input Summ SA'!$C$167)*'Input Summ SA'!J830)</f>
        <v>0</v>
      </c>
      <c r="AD49" s="602">
        <f>H49*'Input Summ SA'!E857</f>
        <v>0</v>
      </c>
    </row>
    <row r="50" spans="1:30" x14ac:dyDescent="0.3">
      <c r="A50" s="678"/>
      <c r="B50" s="31" t="s">
        <v>1086</v>
      </c>
      <c r="C50" s="29">
        <f>'General input'!H69</f>
        <v>0</v>
      </c>
      <c r="D50" s="29">
        <f>'General input'!H69*'General input'!H99</f>
        <v>0</v>
      </c>
      <c r="E50" s="29">
        <f>('Input Summ SA'!J19/'Input Summ SA'!$C$167)*(C50-D50)+('Input Summ SA'!J19/'Input Summ SA'!$C$167)*D50*(1-'Input Summ SA'!C190)</f>
        <v>0</v>
      </c>
      <c r="F50" s="29">
        <f>('Input Summ SA'!J46/'Input Summ SA'!$C$168)*(C50-D50)+D50*(1-'Input Summ SA'!C218)*('Input Summ SA'!J46/'Input Summ SA'!$C$169)</f>
        <v>0</v>
      </c>
      <c r="G50" s="29">
        <f>('Input Summ SA'!J73/'Input Summ SA'!$C$169)*(C50-D50)+D50*(1-'Input Summ SA'!C218)*('Input Summ SA'!J73/'Input Summ SA'!$C$169)</f>
        <v>0</v>
      </c>
      <c r="H50" s="602">
        <f>('Input Summ SA'!J100/'Input Summ SA'!$C$170)*(C50-D50)+'Calculations BC'!D50*(1-'Input Summ SA'!C246)*('Input Summ SA'!J100/'Input Summ SA'!$C$170)</f>
        <v>0</v>
      </c>
      <c r="I50" s="29"/>
      <c r="J50" s="609">
        <f>D50*'Input Summ SA'!J334</f>
        <v>0</v>
      </c>
      <c r="K50" s="29">
        <f>D50*'Input Summ SA'!J362</f>
        <v>0</v>
      </c>
      <c r="L50" s="29">
        <f>(F50)*'Input Summ SA'!C445</f>
        <v>0</v>
      </c>
      <c r="M50" s="29">
        <f>D50*(('Input Summ SA'!J274/'Input Summ SA'!$C$167)*'Input Summ SA'!J390+('Input Summ SA'!J301/'Input Summ SA'!$C$167)*'Input Summ SA'!J418)</f>
        <v>0</v>
      </c>
      <c r="N50" s="602">
        <f>G50*'Input Summ SA'!C472</f>
        <v>0</v>
      </c>
      <c r="O50" s="609">
        <f ca="1">D50*'Input Summ SA'!J502</f>
        <v>0</v>
      </c>
      <c r="P50" s="29">
        <f ca="1">(E50)*'Input Summ SA'!C529</f>
        <v>0</v>
      </c>
      <c r="Q50" s="29">
        <f ca="1">(F50)*'Input Summ SA'!C556</f>
        <v>0</v>
      </c>
      <c r="R50" s="602">
        <f ca="1">G50*'Input Summ SA'!C583</f>
        <v>0</v>
      </c>
      <c r="S50" s="609">
        <f ca="1">D50*'Input Summ SA'!J613</f>
        <v>0</v>
      </c>
      <c r="T50" s="29">
        <f ca="1">(E50)*'Input Summ SA'!C640</f>
        <v>0</v>
      </c>
      <c r="U50" s="29">
        <f ca="1">(F50)*'Input Summ SA'!C667</f>
        <v>0</v>
      </c>
      <c r="V50" s="29">
        <f ca="1">G50*'Input Summ SA'!C694</f>
        <v>0</v>
      </c>
      <c r="W50" s="602">
        <f ca="1">H50*'Input Summ SA'!C721</f>
        <v>0</v>
      </c>
      <c r="X50" s="29"/>
      <c r="Y50" s="609">
        <f>(E50)*'Input Summ SA'!C750*'Input Summ SA'!C127+(E50)*'Input Summ SA'!C777*(1-'Input Summ SA'!C127)</f>
        <v>0</v>
      </c>
      <c r="Z50" s="29">
        <f>(F50-G50*'Input Summ SA'!C154)*'Input Summ SA'!C750</f>
        <v>0</v>
      </c>
      <c r="AA50" s="29">
        <f>G50*'Input Summ SA'!C777</f>
        <v>0</v>
      </c>
      <c r="AB50" s="29">
        <f>H50*'Input Summ SA'!G858</f>
        <v>0</v>
      </c>
      <c r="AC50" s="29">
        <f>D50*(('Input Summ SA'!J274/'Input Summ SA'!$C$167)*'Input Summ SA'!J804+('Input Summ SA'!J301/'Input Summ SA'!$C$167)*'Input Summ SA'!J831)</f>
        <v>0</v>
      </c>
      <c r="AD50" s="602">
        <f>H50*'Input Summ SA'!E858</f>
        <v>0</v>
      </c>
    </row>
    <row r="51" spans="1:30" x14ac:dyDescent="0.3">
      <c r="A51" s="678"/>
      <c r="B51" s="31" t="s">
        <v>1087</v>
      </c>
      <c r="C51" s="29">
        <f>'General input'!H70</f>
        <v>0</v>
      </c>
      <c r="D51" s="29">
        <f>'General input'!H70*'General input'!H100</f>
        <v>0</v>
      </c>
      <c r="E51" s="29">
        <f>('Input Summ SA'!J20/'Input Summ SA'!$C$167)*(C51-D51)+('Input Summ SA'!J20/'Input Summ SA'!$C$167)*D51*(1-'Input Summ SA'!C191)</f>
        <v>0</v>
      </c>
      <c r="F51" s="29">
        <f>('Input Summ SA'!J47/'Input Summ SA'!$C$168)*(C51-D51)+D51*(1-'Input Summ SA'!C219)*('Input Summ SA'!J47/'Input Summ SA'!$C$169)</f>
        <v>0</v>
      </c>
      <c r="G51" s="29">
        <f>('Input Summ SA'!J74/'Input Summ SA'!$C$169)*(C51-D51)+D51*(1-'Input Summ SA'!C219)*('Input Summ SA'!J74/'Input Summ SA'!$C$169)</f>
        <v>0</v>
      </c>
      <c r="H51" s="602">
        <f>('Input Summ SA'!J101/'Input Summ SA'!$C$170)*(C51-D51)+'Calculations BC'!D51*(1-'Input Summ SA'!C247)*('Input Summ SA'!J101/'Input Summ SA'!$C$170)</f>
        <v>0</v>
      </c>
      <c r="I51" s="29"/>
      <c r="J51" s="609">
        <f>D51*'Input Summ SA'!J335</f>
        <v>0</v>
      </c>
      <c r="K51" s="29">
        <f>D51*'Input Summ SA'!J363</f>
        <v>0</v>
      </c>
      <c r="L51" s="29">
        <f>(F51)*'Input Summ SA'!C446</f>
        <v>0</v>
      </c>
      <c r="M51" s="29">
        <f>D51*(('Input Summ SA'!J275/'Input Summ SA'!$C$167)*'Input Summ SA'!J391+('Input Summ SA'!J302/'Input Summ SA'!$C$167)*'Input Summ SA'!J419)</f>
        <v>0</v>
      </c>
      <c r="N51" s="602">
        <f>G51*'Input Summ SA'!C473</f>
        <v>0</v>
      </c>
      <c r="O51" s="609">
        <f ca="1">D51*'Input Summ SA'!J503</f>
        <v>0</v>
      </c>
      <c r="P51" s="29">
        <f ca="1">(E51)*'Input Summ SA'!C530</f>
        <v>0</v>
      </c>
      <c r="Q51" s="29">
        <f ca="1">(F51)*'Input Summ SA'!C557</f>
        <v>0</v>
      </c>
      <c r="R51" s="602">
        <f ca="1">G51*'Input Summ SA'!C584</f>
        <v>0</v>
      </c>
      <c r="S51" s="609">
        <f ca="1">D51*'Input Summ SA'!J614</f>
        <v>0</v>
      </c>
      <c r="T51" s="29">
        <f ca="1">(E51)*'Input Summ SA'!C641</f>
        <v>0</v>
      </c>
      <c r="U51" s="29">
        <f ca="1">(F51)*'Input Summ SA'!C668</f>
        <v>0</v>
      </c>
      <c r="V51" s="29">
        <f ca="1">G51*'Input Summ SA'!C695</f>
        <v>0</v>
      </c>
      <c r="W51" s="602">
        <f ca="1">H51*'Input Summ SA'!C722</f>
        <v>0</v>
      </c>
      <c r="X51" s="29"/>
      <c r="Y51" s="609">
        <f>(E51)*'Input Summ SA'!C751*'Input Summ SA'!C128+(E51)*'Input Summ SA'!C778*(1-'Input Summ SA'!C128)</f>
        <v>0</v>
      </c>
      <c r="Z51" s="29">
        <f>(F51-G51*'Input Summ SA'!C155)*'Input Summ SA'!C751</f>
        <v>0</v>
      </c>
      <c r="AA51" s="29">
        <f>G51*'Input Summ SA'!C778</f>
        <v>0</v>
      </c>
      <c r="AB51" s="29">
        <f>H51*'Input Summ SA'!G859</f>
        <v>0</v>
      </c>
      <c r="AC51" s="29">
        <f>D51*(('Input Summ SA'!J275/'Input Summ SA'!$C$167)*'Input Summ SA'!J805+('Input Summ SA'!J302/'Input Summ SA'!$C$167)*'Input Summ SA'!J832)</f>
        <v>0</v>
      </c>
      <c r="AD51" s="602">
        <f>H51*'Input Summ SA'!E859</f>
        <v>0</v>
      </c>
    </row>
    <row r="52" spans="1:30" x14ac:dyDescent="0.3">
      <c r="A52" s="678"/>
      <c r="B52" s="31" t="s">
        <v>1443</v>
      </c>
      <c r="C52" s="29">
        <f>'General input'!H71</f>
        <v>0</v>
      </c>
      <c r="D52" s="29">
        <f>'General input'!H71*'General input'!H101</f>
        <v>0</v>
      </c>
      <c r="E52" s="29">
        <f>('Input Summ SA'!J21/'Input Summ SA'!$C$167)*(C52-D52)+('Input Summ SA'!J21/'Input Summ SA'!$C$167)*D52*(1-'Input Summ SA'!C192)</f>
        <v>0</v>
      </c>
      <c r="F52" s="29">
        <f>('Input Summ SA'!J48/'Input Summ SA'!$C$168)*(C52-D52)+D52*(1-'Input Summ SA'!C220)*('Input Summ SA'!J48/'Input Summ SA'!$C$169)</f>
        <v>0</v>
      </c>
      <c r="G52" s="29">
        <f>('Input Summ SA'!J75/'Input Summ SA'!$C$169)*(C52-D52)+D52*(1-'Input Summ SA'!C220)*('Input Summ SA'!J75/'Input Summ SA'!$C$169)</f>
        <v>0</v>
      </c>
      <c r="H52" s="602">
        <f>('Input Summ SA'!J102/'Input Summ SA'!$C$170)*(C52-D52)+'Calculations BC'!D52*(1-'Input Summ SA'!C248)*('Input Summ SA'!J102/'Input Summ SA'!$C$170)</f>
        <v>0</v>
      </c>
      <c r="I52" s="29"/>
      <c r="J52" s="609">
        <f>D52*'Input Summ SA'!J336</f>
        <v>0</v>
      </c>
      <c r="K52" s="29">
        <f>D52*'Input Summ SA'!J364</f>
        <v>0</v>
      </c>
      <c r="L52" s="29">
        <f>(F52)*'Input Summ SA'!C447</f>
        <v>0</v>
      </c>
      <c r="M52" s="29">
        <f>D52*(('Input Summ SA'!J276/'Input Summ SA'!$C$167)*'Input Summ SA'!J392+('Input Summ SA'!J303/'Input Summ SA'!$C$167)*'Input Summ SA'!J420)</f>
        <v>0</v>
      </c>
      <c r="N52" s="602">
        <f>G52*'Input Summ SA'!C474</f>
        <v>0</v>
      </c>
      <c r="O52" s="609">
        <f ca="1">D52*'Input Summ SA'!J504</f>
        <v>0</v>
      </c>
      <c r="P52" s="29">
        <f ca="1">(E52)*'Input Summ SA'!C531</f>
        <v>0</v>
      </c>
      <c r="Q52" s="29">
        <f ca="1">(F52)*'Input Summ SA'!C558</f>
        <v>0</v>
      </c>
      <c r="R52" s="602">
        <f ca="1">G52*'Input Summ SA'!C585</f>
        <v>0</v>
      </c>
      <c r="S52" s="609">
        <f ca="1">D52*'Input Summ SA'!J615</f>
        <v>0</v>
      </c>
      <c r="T52" s="29">
        <f ca="1">(E52)*'Input Summ SA'!C642</f>
        <v>0</v>
      </c>
      <c r="U52" s="29">
        <f ca="1">(F52)*'Input Summ SA'!C669</f>
        <v>0</v>
      </c>
      <c r="V52" s="29">
        <f ca="1">G52*'Input Summ SA'!C696</f>
        <v>0</v>
      </c>
      <c r="W52" s="602">
        <f ca="1">H52*'Input Summ SA'!C723</f>
        <v>0</v>
      </c>
      <c r="X52" s="29"/>
      <c r="Y52" s="609">
        <f>(E52)*'Input Summ SA'!C752*'Input Summ SA'!C129+(E52)*'Input Summ SA'!C779*(1-'Input Summ SA'!C129)</f>
        <v>0</v>
      </c>
      <c r="Z52" s="29">
        <f>(F52-G52*'Input Summ SA'!C156)*'Input Summ SA'!C752</f>
        <v>0</v>
      </c>
      <c r="AA52" s="29">
        <f>G52*'Input Summ SA'!C779</f>
        <v>0</v>
      </c>
      <c r="AB52" s="29">
        <f>H52*'Input Summ SA'!G860</f>
        <v>0</v>
      </c>
      <c r="AC52" s="29">
        <f>D52*(('Input Summ SA'!J276/'Input Summ SA'!$C$167)*'Input Summ SA'!J806+('Input Summ SA'!J303/'Input Summ SA'!$C$167)*'Input Summ SA'!J833)</f>
        <v>0</v>
      </c>
      <c r="AD52" s="602">
        <f>H52*'Input Summ SA'!E860</f>
        <v>0</v>
      </c>
    </row>
    <row r="53" spans="1:30" x14ac:dyDescent="0.3">
      <c r="A53" s="678"/>
      <c r="B53" s="405" t="s">
        <v>227</v>
      </c>
      <c r="C53" s="29"/>
      <c r="D53" s="29"/>
      <c r="E53" s="29"/>
      <c r="F53" s="29"/>
      <c r="G53" s="29"/>
      <c r="H53" s="602"/>
      <c r="I53" s="29"/>
      <c r="J53" s="609"/>
      <c r="K53" s="29"/>
      <c r="L53" s="29"/>
      <c r="M53" s="29"/>
      <c r="N53" s="602"/>
      <c r="O53" s="609"/>
      <c r="P53" s="29"/>
      <c r="Q53" s="29"/>
      <c r="R53" s="602"/>
      <c r="S53" s="609"/>
      <c r="T53" s="29"/>
      <c r="U53" s="29"/>
      <c r="V53" s="29"/>
      <c r="W53" s="602"/>
      <c r="X53" s="29"/>
      <c r="Y53" s="609"/>
      <c r="Z53" s="29"/>
      <c r="AA53" s="29"/>
      <c r="AB53" s="29"/>
      <c r="AC53" s="29"/>
      <c r="AD53" s="602"/>
    </row>
    <row r="54" spans="1:30" x14ac:dyDescent="0.3">
      <c r="A54" s="678"/>
      <c r="B54" s="31" t="s">
        <v>1437</v>
      </c>
      <c r="C54" s="29">
        <f>'General input'!H73</f>
        <v>0</v>
      </c>
      <c r="D54" s="29">
        <f>'General input'!H73*'General input'!H103</f>
        <v>0</v>
      </c>
      <c r="E54" s="29">
        <f>('Input Summ SA'!J23/'Input Summ SA'!$C$167)*(C54-D54)+('Input Summ SA'!J23/'Input Summ SA'!$C$167)*D54*(1-'Input Summ SA'!C194)</f>
        <v>0</v>
      </c>
      <c r="F54" s="29">
        <f>('Input Summ SA'!J50/'Input Summ SA'!$C$168)*(C54-D54)+D54*(1-'Input Summ SA'!C222)*('Input Summ SA'!J50/'Input Summ SA'!$C$169)</f>
        <v>0</v>
      </c>
      <c r="G54" s="29">
        <f>('Input Summ SA'!J77/'Input Summ SA'!$C$169)*(C54-D54)+D54*(1-'Input Summ SA'!C222)*('Input Summ SA'!J77/'Input Summ SA'!$C$169)</f>
        <v>0</v>
      </c>
      <c r="H54" s="602">
        <f>('Input Summ SA'!J104/'Input Summ SA'!$C$170)*(C54-D54)+'Calculations BC'!D54*(1-'Input Summ SA'!C250)*('Input Summ SA'!J104/'Input Summ SA'!$C$170)</f>
        <v>0</v>
      </c>
      <c r="I54" s="29"/>
      <c r="J54" s="609">
        <f>D54*'Input Summ SA'!J338</f>
        <v>0</v>
      </c>
      <c r="K54" s="29">
        <f>D54*'Input Summ SA'!J366</f>
        <v>0</v>
      </c>
      <c r="L54" s="29">
        <f>(F54)*'Input Summ SA'!C449</f>
        <v>0</v>
      </c>
      <c r="M54" s="29">
        <f>D54*(('Input Summ SA'!J278/'Input Summ SA'!$C$167)*'Input Summ SA'!J394+('Input Summ SA'!J305/'Input Summ SA'!$C$167)*'Input Summ SA'!J422)</f>
        <v>0</v>
      </c>
      <c r="N54" s="602">
        <f>G54*'Input Summ SA'!C476</f>
        <v>0</v>
      </c>
      <c r="O54" s="609">
        <f ca="1">D54*'Input Summ SA'!J506</f>
        <v>0</v>
      </c>
      <c r="P54" s="29">
        <f ca="1">(E54)*'Input Summ SA'!C533</f>
        <v>0</v>
      </c>
      <c r="Q54" s="29">
        <f ca="1">(F54)*'Input Summ SA'!C560</f>
        <v>0</v>
      </c>
      <c r="R54" s="602">
        <f ca="1">G54*'Input Summ SA'!C587</f>
        <v>0</v>
      </c>
      <c r="S54" s="609">
        <f ca="1">D54*'Input Summ SA'!J617</f>
        <v>0</v>
      </c>
      <c r="T54" s="29">
        <f ca="1">(E54)*'Input Summ SA'!C644</f>
        <v>0</v>
      </c>
      <c r="U54" s="29">
        <f ca="1">(F54)*'Input Summ SA'!C671</f>
        <v>0</v>
      </c>
      <c r="V54" s="29">
        <f ca="1">G54*'Input Summ SA'!C698</f>
        <v>0</v>
      </c>
      <c r="W54" s="602">
        <f ca="1">H54*'Input Summ SA'!C725</f>
        <v>0</v>
      </c>
      <c r="X54" s="29"/>
      <c r="Y54" s="609">
        <f>(E54)*'Input Summ SA'!C754*'Input Summ SA'!C131+(E54)*'Input Summ SA'!C781*(1-'Input Summ SA'!C131)</f>
        <v>0</v>
      </c>
      <c r="Z54" s="29">
        <f>(F54-G54*'Input Summ SA'!C158)*'Input Summ SA'!C754</f>
        <v>0</v>
      </c>
      <c r="AA54" s="29">
        <f>G54*'Input Summ SA'!C781</f>
        <v>0</v>
      </c>
      <c r="AB54" s="29">
        <f>H54*'Input Summ SA'!G862</f>
        <v>0</v>
      </c>
      <c r="AC54" s="29">
        <f>D54*(('Input Summ SA'!J278/'Input Summ SA'!$C$167)*'Input Summ SA'!J808+('Input Summ SA'!J305/'Input Summ SA'!$C$167)*'Input Summ SA'!J835)</f>
        <v>0</v>
      </c>
      <c r="AD54" s="602">
        <f>H54*'Input Summ SA'!E862</f>
        <v>0</v>
      </c>
    </row>
    <row r="55" spans="1:30" x14ac:dyDescent="0.3">
      <c r="A55" s="678"/>
      <c r="B55" s="31" t="s">
        <v>1438</v>
      </c>
      <c r="C55" s="29">
        <f>'General input'!H74</f>
        <v>0</v>
      </c>
      <c r="D55" s="29">
        <f>'General input'!H74*'General input'!H104</f>
        <v>0</v>
      </c>
      <c r="E55" s="29">
        <f>('Input Summ SA'!J24/'Input Summ SA'!$C$167)*(C55-D55)+('Input Summ SA'!J24/'Input Summ SA'!$C$167)*D55*(1-'Input Summ SA'!C195)</f>
        <v>0</v>
      </c>
      <c r="F55" s="29">
        <f>('Input Summ SA'!J51/'Input Summ SA'!$C$168)*(C55-D55)+D55*(1-'Input Summ SA'!C223)*('Input Summ SA'!J51/'Input Summ SA'!$C$169)</f>
        <v>0</v>
      </c>
      <c r="G55" s="29">
        <f>('Input Summ SA'!J78/'Input Summ SA'!$C$169)*(C55-D55)+D55*(1-'Input Summ SA'!C223)*('Input Summ SA'!J78/'Input Summ SA'!$C$169)</f>
        <v>0</v>
      </c>
      <c r="H55" s="602">
        <f>('Input Summ SA'!J105/'Input Summ SA'!$C$170)*(C55-D55)+'Calculations BC'!D55*(1-'Input Summ SA'!C251)*('Input Summ SA'!J105/'Input Summ SA'!$C$170)</f>
        <v>0</v>
      </c>
      <c r="I55" s="29"/>
      <c r="J55" s="609">
        <f>D55*'Input Summ SA'!J339</f>
        <v>0</v>
      </c>
      <c r="K55" s="29">
        <f>D55*'Input Summ SA'!J367</f>
        <v>0</v>
      </c>
      <c r="L55" s="29">
        <f>(F55)*'Input Summ SA'!C450</f>
        <v>0</v>
      </c>
      <c r="M55" s="29">
        <f>D55*(('Input Summ SA'!J279/'Input Summ SA'!$C$167)*'Input Summ SA'!J395+('Input Summ SA'!J306/'Input Summ SA'!$C$167)*'Input Summ SA'!J423)</f>
        <v>0</v>
      </c>
      <c r="N55" s="602">
        <f>G55*'Input Summ SA'!C477</f>
        <v>0</v>
      </c>
      <c r="O55" s="609">
        <f ca="1">D55*'Input Summ SA'!J507</f>
        <v>0</v>
      </c>
      <c r="P55" s="29">
        <f ca="1">(E55)*'Input Summ SA'!C534</f>
        <v>0</v>
      </c>
      <c r="Q55" s="29">
        <f ca="1">(F55)*'Input Summ SA'!C561</f>
        <v>0</v>
      </c>
      <c r="R55" s="602">
        <f ca="1">G55*'Input Summ SA'!C588</f>
        <v>0</v>
      </c>
      <c r="S55" s="609">
        <f ca="1">D55*'Input Summ SA'!J618</f>
        <v>0</v>
      </c>
      <c r="T55" s="29">
        <f ca="1">(E55)*'Input Summ SA'!C645</f>
        <v>0</v>
      </c>
      <c r="U55" s="29">
        <f ca="1">(F55)*'Input Summ SA'!C672</f>
        <v>0</v>
      </c>
      <c r="V55" s="29">
        <f ca="1">G55*'Input Summ SA'!C699</f>
        <v>0</v>
      </c>
      <c r="W55" s="602">
        <f ca="1">H55*'Input Summ SA'!C726</f>
        <v>0</v>
      </c>
      <c r="X55" s="29"/>
      <c r="Y55" s="609">
        <f>(E55)*'Input Summ SA'!C755*'Input Summ SA'!C132+(E55)*'Input Summ SA'!C782*(1-'Input Summ SA'!C132)</f>
        <v>0</v>
      </c>
      <c r="Z55" s="29">
        <f>(F55-G55*'Input Summ SA'!C159)*'Input Summ SA'!C755</f>
        <v>0</v>
      </c>
      <c r="AA55" s="29">
        <f>G55*'Input Summ SA'!C782</f>
        <v>0</v>
      </c>
      <c r="AB55" s="29">
        <f>H55*'Input Summ SA'!G863</f>
        <v>0</v>
      </c>
      <c r="AC55" s="29">
        <f>D55*(('Input Summ SA'!J279/'Input Summ SA'!$C$167)*'Input Summ SA'!J809+('Input Summ SA'!J306/'Input Summ SA'!$C$167)*'Input Summ SA'!J836)</f>
        <v>0</v>
      </c>
      <c r="AD55" s="602">
        <f>H55*'Input Summ SA'!E863</f>
        <v>0</v>
      </c>
    </row>
    <row r="56" spans="1:30" x14ac:dyDescent="0.3">
      <c r="A56" s="678"/>
      <c r="B56" s="31" t="s">
        <v>1441</v>
      </c>
      <c r="C56" s="29">
        <f>'General input'!H75</f>
        <v>0</v>
      </c>
      <c r="D56" s="29">
        <f>'General input'!H75*'General input'!H105</f>
        <v>0</v>
      </c>
      <c r="E56" s="29">
        <f>('Input Summ SA'!J25/'Input Summ SA'!$C$167)*(C56-D56)+('Input Summ SA'!J25/'Input Summ SA'!$C$167)*D56*(1-'Input Summ SA'!C196)</f>
        <v>0</v>
      </c>
      <c r="F56" s="29">
        <f>('Input Summ SA'!J52/'Input Summ SA'!$C$168)*(C56-D56)+D56*(1-'Input Summ SA'!C224)*('Input Summ SA'!J52/'Input Summ SA'!$C$169)</f>
        <v>0</v>
      </c>
      <c r="G56" s="29">
        <f>('Input Summ SA'!J79/'Input Summ SA'!$C$169)*(C56-D56)+D56*(1-'Input Summ SA'!C224)*('Input Summ SA'!J79/'Input Summ SA'!$C$169)</f>
        <v>0</v>
      </c>
      <c r="H56" s="602">
        <f>('Input Summ SA'!J106/'Input Summ SA'!$C$170)*(C56-D56)+'Calculations BC'!D56*(1-'Input Summ SA'!C252)*('Input Summ SA'!J106/'Input Summ SA'!$C$170)</f>
        <v>0</v>
      </c>
      <c r="I56" s="29"/>
      <c r="J56" s="609">
        <f>D56*'Input Summ SA'!J340</f>
        <v>0</v>
      </c>
      <c r="K56" s="29">
        <f>D56*'Input Summ SA'!J368</f>
        <v>0</v>
      </c>
      <c r="L56" s="29">
        <f>(F56)*'Input Summ SA'!C451</f>
        <v>0</v>
      </c>
      <c r="M56" s="29">
        <f>D56*(('Input Summ SA'!J280/'Input Summ SA'!$C$167)*'Input Summ SA'!J396+('Input Summ SA'!J307/'Input Summ SA'!$C$167)*'Input Summ SA'!J424)</f>
        <v>0</v>
      </c>
      <c r="N56" s="602">
        <f>G56*'Input Summ SA'!C478</f>
        <v>0</v>
      </c>
      <c r="O56" s="609">
        <f ca="1">D56*'Input Summ SA'!J508</f>
        <v>0</v>
      </c>
      <c r="P56" s="29">
        <f ca="1">(E56)*'Input Summ SA'!C535</f>
        <v>0</v>
      </c>
      <c r="Q56" s="29">
        <f ca="1">(F56)*'Input Summ SA'!C562</f>
        <v>0</v>
      </c>
      <c r="R56" s="602">
        <f ca="1">G56*'Input Summ SA'!C589</f>
        <v>0</v>
      </c>
      <c r="S56" s="609">
        <f ca="1">D56*'Input Summ SA'!J619</f>
        <v>0</v>
      </c>
      <c r="T56" s="29">
        <f ca="1">(E56)*'Input Summ SA'!C646</f>
        <v>0</v>
      </c>
      <c r="U56" s="29">
        <f ca="1">(F56)*'Input Summ SA'!C673</f>
        <v>0</v>
      </c>
      <c r="V56" s="29">
        <f ca="1">G56*'Input Summ SA'!C700</f>
        <v>0</v>
      </c>
      <c r="W56" s="602">
        <f ca="1">H56*'Input Summ SA'!C727</f>
        <v>0</v>
      </c>
      <c r="X56" s="29"/>
      <c r="Y56" s="609">
        <f>(E56)*'Input Summ SA'!C756*'Input Summ SA'!C133+(E56)*'Input Summ SA'!C783*(1-'Input Summ SA'!C133)</f>
        <v>0</v>
      </c>
      <c r="Z56" s="29">
        <f>(F56-G56*'Input Summ SA'!C160)*'Input Summ SA'!C756</f>
        <v>0</v>
      </c>
      <c r="AA56" s="29">
        <f>G56*'Input Summ SA'!C783</f>
        <v>0</v>
      </c>
      <c r="AB56" s="29">
        <f>H56*'Input Summ SA'!G864</f>
        <v>0</v>
      </c>
      <c r="AC56" s="29">
        <f>D56*(('Input Summ SA'!J280/'Input Summ SA'!$C$167)*'Input Summ SA'!J810+('Input Summ SA'!J307/'Input Summ SA'!$C$167)*'Input Summ SA'!J837)</f>
        <v>0</v>
      </c>
      <c r="AD56" s="602">
        <f>H56*'Input Summ SA'!E864</f>
        <v>0</v>
      </c>
    </row>
    <row r="57" spans="1:30" x14ac:dyDescent="0.3">
      <c r="A57" s="678"/>
      <c r="B57" s="31" t="s">
        <v>1442</v>
      </c>
      <c r="C57" s="29">
        <f>'General input'!H76</f>
        <v>0</v>
      </c>
      <c r="D57" s="29">
        <f>'General input'!H76*'General input'!H106</f>
        <v>0</v>
      </c>
      <c r="E57" s="29">
        <f>('Input Summ SA'!J26/'Input Summ SA'!$C$167)*(C57-D57)+('Input Summ SA'!J26/'Input Summ SA'!$C$167)*D57*(1-'Input Summ SA'!C197)</f>
        <v>0</v>
      </c>
      <c r="F57" s="29">
        <f>('Input Summ SA'!J53/'Input Summ SA'!$C$168)*(C57-D57)+D57*(1-'Input Summ SA'!C225)*('Input Summ SA'!J53/'Input Summ SA'!$C$169)</f>
        <v>0</v>
      </c>
      <c r="G57" s="29">
        <f>('Input Summ SA'!J80/'Input Summ SA'!$C$169)*(C57-D57)+D57*(1-'Input Summ SA'!C225)*('Input Summ SA'!J80/'Input Summ SA'!$C$169)</f>
        <v>0</v>
      </c>
      <c r="H57" s="602">
        <f>('Input Summ SA'!J107/'Input Summ SA'!$C$170)*(C57-D57)+'Calculations BC'!D57*(1-'Input Summ SA'!C253)*('Input Summ SA'!J107/'Input Summ SA'!$C$170)</f>
        <v>0</v>
      </c>
      <c r="I57" s="29"/>
      <c r="J57" s="609">
        <f>D57*'Input Summ SA'!J341</f>
        <v>0</v>
      </c>
      <c r="K57" s="29">
        <f>D57*'Input Summ SA'!J369</f>
        <v>0</v>
      </c>
      <c r="L57" s="29">
        <f>(F57)*'Input Summ SA'!C452</f>
        <v>0</v>
      </c>
      <c r="M57" s="29">
        <f>D57*(('Input Summ SA'!J281/'Input Summ SA'!$C$167)*'Input Summ SA'!J397+('Input Summ SA'!J308/'Input Summ SA'!$C$167)*'Input Summ SA'!J425)</f>
        <v>0</v>
      </c>
      <c r="N57" s="602">
        <f>G57*'Input Summ SA'!C479</f>
        <v>0</v>
      </c>
      <c r="O57" s="609">
        <f ca="1">D57*'Input Summ SA'!J509</f>
        <v>0</v>
      </c>
      <c r="P57" s="29">
        <f ca="1">(E57)*'Input Summ SA'!C536</f>
        <v>0</v>
      </c>
      <c r="Q57" s="29">
        <f ca="1">(F57)*'Input Summ SA'!C563</f>
        <v>0</v>
      </c>
      <c r="R57" s="602">
        <f ca="1">G57*'Input Summ SA'!C590</f>
        <v>0</v>
      </c>
      <c r="S57" s="609">
        <f ca="1">D57*'Input Summ SA'!J620</f>
        <v>0</v>
      </c>
      <c r="T57" s="29">
        <f ca="1">(E57)*'Input Summ SA'!C647</f>
        <v>0</v>
      </c>
      <c r="U57" s="29">
        <f ca="1">(F57)*'Input Summ SA'!C674</f>
        <v>0</v>
      </c>
      <c r="V57" s="29">
        <f ca="1">G57*'Input Summ SA'!C701</f>
        <v>0</v>
      </c>
      <c r="W57" s="602">
        <f ca="1">H57*'Input Summ SA'!C728</f>
        <v>0</v>
      </c>
      <c r="X57" s="29"/>
      <c r="Y57" s="609">
        <f>(E57)*'Input Summ SA'!C757*'Input Summ SA'!C134+(E57)*'Input Summ SA'!C784*(1-'Input Summ SA'!C134)</f>
        <v>0</v>
      </c>
      <c r="Z57" s="29">
        <f>(F57-G57*'Input Summ SA'!C161)*'Input Summ SA'!C757</f>
        <v>0</v>
      </c>
      <c r="AA57" s="29">
        <f>G57*'Input Summ SA'!C784</f>
        <v>0</v>
      </c>
      <c r="AB57" s="29">
        <f>H57*'Input Summ SA'!G865</f>
        <v>0</v>
      </c>
      <c r="AC57" s="29">
        <f>D57*(('Input Summ SA'!J281/'Input Summ SA'!$C$167)*'Input Summ SA'!J811+('Input Summ SA'!J308/'Input Summ SA'!$C$167)*'Input Summ SA'!J838)</f>
        <v>0</v>
      </c>
      <c r="AD57" s="602">
        <f>H57*'Input Summ SA'!E865</f>
        <v>0</v>
      </c>
    </row>
    <row r="58" spans="1:30" x14ac:dyDescent="0.3">
      <c r="A58" s="678"/>
      <c r="B58" s="405" t="s">
        <v>920</v>
      </c>
      <c r="C58" s="29"/>
      <c r="D58" s="29"/>
      <c r="E58" s="29"/>
      <c r="F58" s="29"/>
      <c r="G58" s="29"/>
      <c r="H58" s="602"/>
      <c r="I58" s="29"/>
      <c r="J58" s="609"/>
      <c r="K58" s="29"/>
      <c r="L58" s="29"/>
      <c r="M58" s="29"/>
      <c r="N58" s="602"/>
      <c r="O58" s="609"/>
      <c r="P58" s="29"/>
      <c r="Q58" s="29"/>
      <c r="R58" s="602"/>
      <c r="S58" s="609"/>
      <c r="T58" s="29"/>
      <c r="U58" s="29"/>
      <c r="V58" s="29"/>
      <c r="W58" s="602"/>
      <c r="X58" s="29"/>
      <c r="Y58" s="609"/>
      <c r="Z58" s="29"/>
      <c r="AA58" s="29"/>
      <c r="AB58" s="29"/>
      <c r="AC58" s="29"/>
      <c r="AD58" s="602"/>
    </row>
    <row r="59" spans="1:30" x14ac:dyDescent="0.3">
      <c r="A59" s="678"/>
      <c r="B59" s="297" t="s">
        <v>920</v>
      </c>
      <c r="C59" s="29">
        <f>'General input'!H78</f>
        <v>0</v>
      </c>
      <c r="D59" s="29">
        <f>'General input'!H78*'General input'!H108</f>
        <v>0</v>
      </c>
      <c r="E59" s="29">
        <f>('Input Summ SA'!J28/'Input Summ SA'!$C$167)*(C59-D59)+('Input Summ SA'!J28/'Input Summ SA'!$C$167)*D59*(1-'Input Summ SA'!C199)</f>
        <v>0</v>
      </c>
      <c r="F59" s="29">
        <f>('Input Summ SA'!J55/'Input Summ SA'!$C$168)*(C59-D59)+D59*(1-'Input Summ SA'!C227)*('Input Summ SA'!J55/'Input Summ SA'!$C$169)</f>
        <v>0</v>
      </c>
      <c r="G59" s="29">
        <f>('Input Summ SA'!J82/'Input Summ SA'!$C$169)*(C59-D59)+D59*(1-'Input Summ SA'!C227)*('Input Summ SA'!J82/'Input Summ SA'!$C$169)</f>
        <v>0</v>
      </c>
      <c r="H59" s="602">
        <f>('Input Summ SA'!J109/'Input Summ SA'!$C$170)*(C59-D59)+'Calculations BC'!D59*(1-'Input Summ SA'!C255)*('Input Summ SA'!J109/'Input Summ SA'!$C$170)</f>
        <v>0</v>
      </c>
      <c r="I59" s="29"/>
      <c r="J59" s="609">
        <f>D59*'Input Summ SA'!J343</f>
        <v>0</v>
      </c>
      <c r="K59" s="29">
        <f>D59*'Input Summ SA'!J371</f>
        <v>0</v>
      </c>
      <c r="L59" s="29">
        <f>(F59)*'Input Summ SA'!C454</f>
        <v>0</v>
      </c>
      <c r="M59" s="29">
        <f>D59*(('Input Summ SA'!J283/'Input Summ SA'!$C$167)*'Input Summ SA'!J399+('Input Summ SA'!J310/'Input Summ SA'!$C$167)*'Input Summ SA'!J427)</f>
        <v>0</v>
      </c>
      <c r="N59" s="602">
        <f>G59*'Input Summ SA'!C481</f>
        <v>0</v>
      </c>
      <c r="O59" s="609">
        <f ca="1">D59*'Input Summ SA'!J511</f>
        <v>0</v>
      </c>
      <c r="P59" s="29">
        <f ca="1">(E59)*'Input Summ SA'!C538</f>
        <v>0</v>
      </c>
      <c r="Q59" s="29">
        <f ca="1">(F59)*'Input Summ SA'!C565</f>
        <v>0</v>
      </c>
      <c r="R59" s="602">
        <f ca="1">G59*'Input Summ SA'!C592</f>
        <v>0</v>
      </c>
      <c r="S59" s="609">
        <f ca="1">D59*'Input Summ SA'!J622</f>
        <v>0</v>
      </c>
      <c r="T59" s="29">
        <f ca="1">(E59)*'Input Summ SA'!C649</f>
        <v>0</v>
      </c>
      <c r="U59" s="29">
        <f ca="1">(F59)*'Input Summ SA'!C676</f>
        <v>0</v>
      </c>
      <c r="V59" s="29">
        <f ca="1">G59*'Input Summ SA'!C703</f>
        <v>0</v>
      </c>
      <c r="W59" s="602">
        <f ca="1">H59*'Input Summ SA'!C730</f>
        <v>0</v>
      </c>
      <c r="X59" s="29"/>
      <c r="Y59" s="609">
        <f>(E59)*'Input Summ SA'!C759*'Input Summ SA'!C136+(E59)*'Input Summ SA'!C786*(1-'Input Summ SA'!C136)</f>
        <v>0</v>
      </c>
      <c r="Z59" s="29">
        <f>(F59-G59*'Input Summ SA'!C163)*'Input Summ SA'!C759</f>
        <v>0</v>
      </c>
      <c r="AA59" s="29">
        <f>G59*'Input Summ SA'!C786</f>
        <v>0</v>
      </c>
      <c r="AB59" s="29">
        <f>H59*'Input Summ SA'!G867</f>
        <v>0</v>
      </c>
      <c r="AC59" s="29">
        <f>D59*(('Input Summ SA'!J283/'Input Summ SA'!$C$167)*'Input Summ SA'!J813+('Input Summ SA'!J310/'Input Summ SA'!$C$167)*'Input Summ SA'!J840)</f>
        <v>0</v>
      </c>
      <c r="AD59" s="602">
        <f>H59*'Input Summ SA'!E867</f>
        <v>0</v>
      </c>
    </row>
    <row r="60" spans="1:30" x14ac:dyDescent="0.3">
      <c r="A60" s="678"/>
      <c r="B60" s="297" t="s">
        <v>980</v>
      </c>
      <c r="C60" s="29">
        <f>'General input'!H79</f>
        <v>0</v>
      </c>
      <c r="D60" s="29">
        <f>'General input'!H79*'General input'!H109</f>
        <v>0</v>
      </c>
      <c r="E60" s="29">
        <f>('Input Summ SA'!J29/'Input Summ SA'!$C$167)*(C60-D60)+('Input Summ SA'!J29/'Input Summ SA'!$C$167)*D60*(1-'Input Summ SA'!C200)</f>
        <v>0</v>
      </c>
      <c r="F60" s="29">
        <f>('Input Summ SA'!J56/'Input Summ SA'!$C$168)*(C60-D60)+D60*(1-'Input Summ SA'!C228)*('Input Summ SA'!J56/'Input Summ SA'!$C$169)</f>
        <v>0</v>
      </c>
      <c r="G60" s="29">
        <f>('Input Summ SA'!J83/'Input Summ SA'!$C$169)*(C60-D60)+D60*(1-'Input Summ SA'!C228)*('Input Summ SA'!J83/'Input Summ SA'!$C$169)</f>
        <v>0</v>
      </c>
      <c r="H60" s="602">
        <f>('Input Summ SA'!J110/'Input Summ SA'!$C$170)*(C60-D60)+'Calculations BC'!D60*(1-'Input Summ SA'!C256)*('Input Summ SA'!J110/'Input Summ SA'!$C$170)</f>
        <v>0</v>
      </c>
      <c r="I60" s="29"/>
      <c r="J60" s="609">
        <f>D60*'Input Summ SA'!J344</f>
        <v>0</v>
      </c>
      <c r="K60" s="29">
        <f>D60*'Input Summ SA'!J372</f>
        <v>0</v>
      </c>
      <c r="L60" s="29">
        <f>(F60)*'Input Summ SA'!C455</f>
        <v>0</v>
      </c>
      <c r="M60" s="29">
        <f>D60*(('Input Summ SA'!J284/'Input Summ SA'!$C$167)*'Input Summ SA'!J400+('Input Summ SA'!J311/'Input Summ SA'!$C$167)*'Input Summ SA'!J428)</f>
        <v>0</v>
      </c>
      <c r="N60" s="602">
        <f>G60*'Input Summ SA'!C482</f>
        <v>0</v>
      </c>
      <c r="O60" s="609">
        <f ca="1">D60*'Input Summ SA'!J512</f>
        <v>0</v>
      </c>
      <c r="P60" s="29">
        <f ca="1">(E60)*'Input Summ SA'!C539</f>
        <v>0</v>
      </c>
      <c r="Q60" s="29">
        <f ca="1">(F60)*'Input Summ SA'!C566</f>
        <v>0</v>
      </c>
      <c r="R60" s="602">
        <f ca="1">G60*'Input Summ SA'!C593</f>
        <v>0</v>
      </c>
      <c r="S60" s="609">
        <f ca="1">D60*'Input Summ SA'!J623</f>
        <v>0</v>
      </c>
      <c r="T60" s="29">
        <f ca="1">(E60)*'Input Summ SA'!C650</f>
        <v>0</v>
      </c>
      <c r="U60" s="29">
        <f ca="1">(F60)*'Input Summ SA'!C677</f>
        <v>0</v>
      </c>
      <c r="V60" s="29">
        <f ca="1">G60*'Input Summ SA'!C704</f>
        <v>0</v>
      </c>
      <c r="W60" s="602">
        <f ca="1">H60*'Input Summ SA'!C731</f>
        <v>0</v>
      </c>
      <c r="X60" s="29"/>
      <c r="Y60" s="609">
        <f>(E60)*'Input Summ SA'!C760*'Input Summ SA'!C137+(E60)*'Input Summ SA'!C787*(1-'Input Summ SA'!C137)</f>
        <v>0</v>
      </c>
      <c r="Z60" s="29">
        <f>(F60-G60*'Input Summ SA'!C164)*'Input Summ SA'!C760</f>
        <v>0</v>
      </c>
      <c r="AA60" s="29">
        <f>G60*'Input Summ SA'!C787</f>
        <v>0</v>
      </c>
      <c r="AB60" s="29">
        <f>H60*'Input Summ SA'!G868</f>
        <v>0</v>
      </c>
      <c r="AC60" s="29">
        <f>D60*(('Input Summ SA'!J284/'Input Summ SA'!$C$167)*'Input Summ SA'!J814+('Input Summ SA'!J311/'Input Summ SA'!$C$167)*'Input Summ SA'!J841)</f>
        <v>0</v>
      </c>
      <c r="AD60" s="602">
        <f>H60*'Input Summ SA'!E868</f>
        <v>0</v>
      </c>
    </row>
    <row r="61" spans="1:30" x14ac:dyDescent="0.3">
      <c r="A61" s="678"/>
      <c r="B61" s="31" t="s">
        <v>233</v>
      </c>
      <c r="C61" s="29">
        <f>SUM(C37:C60)</f>
        <v>5203824</v>
      </c>
      <c r="D61" s="29">
        <f t="shared" ref="D61:H61" si="4">SUM(D37:D60)</f>
        <v>124891.77600000001</v>
      </c>
      <c r="E61" s="29">
        <f t="shared" si="4"/>
        <v>978653.97998277133</v>
      </c>
      <c r="F61" s="29">
        <f t="shared" si="4"/>
        <v>272226.49174460158</v>
      </c>
      <c r="G61" s="29">
        <f t="shared" si="4"/>
        <v>12066.8685486336</v>
      </c>
      <c r="H61" s="602">
        <f t="shared" si="4"/>
        <v>876.65284327680001</v>
      </c>
      <c r="I61" s="29"/>
      <c r="J61" s="609">
        <f>SUM(J37:J60)</f>
        <v>5023147.2307200003</v>
      </c>
      <c r="K61" s="29">
        <f t="shared" ref="K61:R61" si="5">SUM(K37:K60)</f>
        <v>8432692.7155200001</v>
      </c>
      <c r="L61" s="29">
        <f t="shared" si="5"/>
        <v>88803595.668727651</v>
      </c>
      <c r="M61" s="29">
        <f t="shared" si="5"/>
        <v>490392.67814714351</v>
      </c>
      <c r="N61" s="602">
        <f t="shared" si="5"/>
        <v>96493969.30347763</v>
      </c>
      <c r="O61" s="609">
        <f t="shared" ca="1" si="5"/>
        <v>7411208.4155133087</v>
      </c>
      <c r="P61" s="609">
        <f t="shared" ca="1" si="5"/>
        <v>58074349.205538616</v>
      </c>
      <c r="Q61" s="609">
        <f t="shared" ca="1" si="5"/>
        <v>12890935.974045094</v>
      </c>
      <c r="R61" s="609">
        <f t="shared" ca="1" si="5"/>
        <v>1530034.4624275621</v>
      </c>
      <c r="S61" s="609">
        <f t="shared" ref="S61:W61" ca="1" si="6">SUM(S37:S60)</f>
        <v>0</v>
      </c>
      <c r="T61" s="29">
        <f t="shared" ca="1" si="6"/>
        <v>141446876.32873556</v>
      </c>
      <c r="U61" s="29">
        <f t="shared" ca="1" si="6"/>
        <v>49093791.355204813</v>
      </c>
      <c r="V61" s="29">
        <f t="shared" ca="1" si="6"/>
        <v>1338222.7094588815</v>
      </c>
      <c r="W61" s="602">
        <f t="shared" ca="1" si="6"/>
        <v>436711945.76080883</v>
      </c>
      <c r="X61" s="29"/>
      <c r="Y61" s="609">
        <f t="shared" ref="Y61:AD61" si="7">SUM(Y37:Y60)</f>
        <v>9118.7366045080325</v>
      </c>
      <c r="Z61" s="609">
        <f t="shared" si="7"/>
        <v>2396.0839829985161</v>
      </c>
      <c r="AA61" s="29">
        <f t="shared" si="7"/>
        <v>374.07292500764163</v>
      </c>
      <c r="AB61" s="29">
        <f t="shared" si="7"/>
        <v>13044.253479458403</v>
      </c>
      <c r="AC61" s="29">
        <f t="shared" si="7"/>
        <v>0</v>
      </c>
      <c r="AD61" s="602">
        <f t="shared" si="7"/>
        <v>16915.626770742354</v>
      </c>
    </row>
    <row r="62" spans="1:30" x14ac:dyDescent="0.3">
      <c r="A62" s="678"/>
      <c r="B62" s="31"/>
      <c r="C62" s="31"/>
      <c r="D62" s="29"/>
      <c r="E62" s="29"/>
      <c r="F62" s="29"/>
      <c r="G62" s="29"/>
      <c r="H62" s="602"/>
      <c r="I62" s="29"/>
      <c r="J62" s="609"/>
      <c r="K62" s="29"/>
      <c r="L62" s="610" t="s">
        <v>1034</v>
      </c>
      <c r="M62" s="610"/>
      <c r="N62" s="602"/>
      <c r="O62" s="609"/>
      <c r="P62" s="610" t="s">
        <v>1034</v>
      </c>
      <c r="Q62" s="610" t="s">
        <v>1034</v>
      </c>
      <c r="R62" s="611" t="s">
        <v>1034</v>
      </c>
      <c r="S62" s="609"/>
      <c r="T62" s="610" t="s">
        <v>1034</v>
      </c>
      <c r="U62" s="610"/>
      <c r="V62" s="29"/>
      <c r="W62" s="602"/>
      <c r="X62" s="29"/>
      <c r="Y62" s="670" t="s">
        <v>1034</v>
      </c>
      <c r="Z62" s="610"/>
      <c r="AA62" s="29"/>
      <c r="AB62" s="29"/>
      <c r="AC62" s="29"/>
      <c r="AD62" s="602"/>
    </row>
    <row r="63" spans="1:30" ht="18" x14ac:dyDescent="0.35">
      <c r="A63" s="678"/>
      <c r="B63" s="673" t="s">
        <v>560</v>
      </c>
      <c r="C63" s="673"/>
      <c r="D63" s="604"/>
      <c r="E63" s="604"/>
      <c r="F63" s="604"/>
      <c r="G63" s="604"/>
      <c r="H63" s="599"/>
      <c r="J63" s="663" t="s">
        <v>560</v>
      </c>
      <c r="K63" s="604"/>
      <c r="L63" s="604"/>
      <c r="M63" s="604"/>
      <c r="N63" s="599"/>
      <c r="O63" s="603"/>
      <c r="P63" s="604"/>
      <c r="Q63" s="604"/>
      <c r="R63" s="599"/>
      <c r="S63" s="603"/>
      <c r="T63" s="604"/>
      <c r="U63" s="604"/>
      <c r="V63" s="604"/>
      <c r="W63" s="599"/>
      <c r="Y63" s="663" t="s">
        <v>560</v>
      </c>
      <c r="Z63" s="673"/>
      <c r="AA63" s="604"/>
      <c r="AB63" s="604"/>
      <c r="AC63" s="604"/>
      <c r="AD63" s="599"/>
    </row>
    <row r="64" spans="1:30" ht="18" x14ac:dyDescent="0.35">
      <c r="A64" s="678"/>
      <c r="B64" s="661" t="s">
        <v>983</v>
      </c>
      <c r="C64" s="661"/>
      <c r="D64" s="650"/>
      <c r="E64" s="662"/>
      <c r="F64" s="662"/>
      <c r="G64" s="650"/>
      <c r="H64" s="600"/>
      <c r="J64" s="649" t="s">
        <v>1024</v>
      </c>
      <c r="K64" s="650"/>
      <c r="L64" s="650"/>
      <c r="M64" s="650"/>
      <c r="N64" s="600"/>
      <c r="O64" s="605" t="s">
        <v>1026</v>
      </c>
      <c r="P64" s="606"/>
      <c r="Q64" s="606"/>
      <c r="R64" s="600"/>
      <c r="S64" s="605" t="s">
        <v>10</v>
      </c>
      <c r="T64" s="606"/>
      <c r="U64" s="606"/>
      <c r="V64" s="650"/>
      <c r="W64" s="600"/>
      <c r="Y64" s="605" t="s">
        <v>564</v>
      </c>
      <c r="Z64" s="606"/>
      <c r="AA64" s="650"/>
      <c r="AB64" s="650"/>
      <c r="AC64" s="650"/>
      <c r="AD64" s="600"/>
    </row>
    <row r="65" spans="1:30" x14ac:dyDescent="0.3">
      <c r="A65" s="678"/>
      <c r="B65" s="608" t="s">
        <v>950</v>
      </c>
      <c r="C65" s="608" t="s">
        <v>1033</v>
      </c>
      <c r="D65" s="608" t="s">
        <v>878</v>
      </c>
      <c r="E65" s="608" t="s">
        <v>224</v>
      </c>
      <c r="F65" s="608" t="s">
        <v>1377</v>
      </c>
      <c r="G65" s="608" t="s">
        <v>877</v>
      </c>
      <c r="H65" s="601" t="s">
        <v>225</v>
      </c>
      <c r="J65" s="607" t="s">
        <v>981</v>
      </c>
      <c r="K65" s="608" t="s">
        <v>982</v>
      </c>
      <c r="L65" s="608" t="s">
        <v>1025</v>
      </c>
      <c r="M65" s="608" t="s">
        <v>1533</v>
      </c>
      <c r="N65" s="601" t="s">
        <v>905</v>
      </c>
      <c r="O65" s="607" t="s">
        <v>938</v>
      </c>
      <c r="P65" s="608" t="s">
        <v>1027</v>
      </c>
      <c r="Q65" s="608" t="s">
        <v>1377</v>
      </c>
      <c r="R65" s="601" t="s">
        <v>1028</v>
      </c>
      <c r="S65" s="607" t="s">
        <v>938</v>
      </c>
      <c r="T65" s="608" t="s">
        <v>1392</v>
      </c>
      <c r="U65" s="608" t="s">
        <v>1025</v>
      </c>
      <c r="V65" s="608" t="s">
        <v>1028</v>
      </c>
      <c r="W65" s="601" t="s">
        <v>225</v>
      </c>
      <c r="Y65" s="607" t="s">
        <v>1029</v>
      </c>
      <c r="Z65" s="652" t="s">
        <v>1555</v>
      </c>
      <c r="AA65" s="608" t="s">
        <v>1030</v>
      </c>
      <c r="AB65" s="608" t="s">
        <v>1031</v>
      </c>
      <c r="AC65" s="608" t="s">
        <v>1493</v>
      </c>
      <c r="AD65" s="601" t="s">
        <v>1032</v>
      </c>
    </row>
    <row r="66" spans="1:30" x14ac:dyDescent="0.3">
      <c r="A66" s="678"/>
      <c r="B66" s="315" t="s">
        <v>988</v>
      </c>
      <c r="C66" s="22"/>
      <c r="H66" s="87"/>
      <c r="J66" s="198"/>
      <c r="N66" s="87"/>
      <c r="O66" s="198"/>
      <c r="R66" s="87"/>
      <c r="S66" s="198"/>
      <c r="W66" s="87"/>
      <c r="Y66" s="198"/>
      <c r="AD66" s="87"/>
    </row>
    <row r="67" spans="1:30" x14ac:dyDescent="0.3">
      <c r="A67" s="678"/>
      <c r="B67" s="31" t="s">
        <v>1082</v>
      </c>
      <c r="C67" s="29">
        <f>C38-C9</f>
        <v>0</v>
      </c>
      <c r="D67" s="29">
        <f>D38-D9</f>
        <v>13876.871999999999</v>
      </c>
      <c r="E67" s="29">
        <f>E38-E9</f>
        <v>-921.74346885598789</v>
      </c>
      <c r="F67" s="29">
        <f t="shared" ref="F67:H81" si="8">F38-F9</f>
        <v>-256.39602550799827</v>
      </c>
      <c r="G67" s="29">
        <f t="shared" si="8"/>
        <v>-11.36515816799988</v>
      </c>
      <c r="H67" s="602">
        <f t="shared" si="8"/>
        <v>-0.82567388399998265</v>
      </c>
      <c r="I67" s="29"/>
      <c r="J67" s="609">
        <f>J38-J9</f>
        <v>558127.79183999996</v>
      </c>
      <c r="K67" s="29">
        <f t="shared" ref="K67:W81" si="9">K38-K9</f>
        <v>936966.39743999986</v>
      </c>
      <c r="L67" s="29">
        <f t="shared" si="9"/>
        <v>-83639.504863627255</v>
      </c>
      <c r="M67" s="29">
        <f t="shared" si="9"/>
        <v>54488.106762010546</v>
      </c>
      <c r="N67" s="602">
        <f t="shared" si="9"/>
        <v>-90882.669266860932</v>
      </c>
      <c r="O67" s="609">
        <f t="shared" ca="1" si="9"/>
        <v>823468.07645205548</v>
      </c>
      <c r="P67" s="29">
        <f t="shared" ca="1" si="9"/>
        <v>-54697.220042174682</v>
      </c>
      <c r="Q67" s="29">
        <f t="shared" ca="1" si="9"/>
        <v>-12141.304571944987</v>
      </c>
      <c r="R67" s="602">
        <f ca="1">R38-R9</f>
        <v>-1441.0601721478743</v>
      </c>
      <c r="S67" s="609">
        <f t="shared" ref="S67:W81" ca="1" si="10">S38-S9</f>
        <v>0</v>
      </c>
      <c r="T67" s="29">
        <f t="shared" ca="1" si="10"/>
        <v>-133221.48288651183</v>
      </c>
      <c r="U67" s="29">
        <f t="shared" ca="1" si="10"/>
        <v>-46238.897985001095</v>
      </c>
      <c r="V67" s="29">
        <f t="shared" ca="1" si="10"/>
        <v>-1260.4026219156513</v>
      </c>
      <c r="W67" s="602">
        <f t="shared" ca="1" si="10"/>
        <v>-408764.11346162856</v>
      </c>
      <c r="X67" s="29"/>
      <c r="Y67" s="609">
        <f t="shared" ref="Y67:AD73" si="11">Y38-Y9</f>
        <v>-8.5884654651599703</v>
      </c>
      <c r="Z67" s="29">
        <f t="shared" ref="Z67" si="12">Z38-Z9</f>
        <v>-2.2443921344109299</v>
      </c>
      <c r="AA67" s="29">
        <f t="shared" si="11"/>
        <v>-0.35231990320799156</v>
      </c>
      <c r="AB67" s="29">
        <f t="shared" si="11"/>
        <v>-12.338512811731789</v>
      </c>
      <c r="AC67" s="29">
        <f t="shared" si="11"/>
        <v>0</v>
      </c>
      <c r="AD67" s="602">
        <f t="shared" si="11"/>
        <v>-15.83309375369663</v>
      </c>
    </row>
    <row r="68" spans="1:30" x14ac:dyDescent="0.3">
      <c r="A68" s="678"/>
      <c r="B68" s="31" t="s">
        <v>1083</v>
      </c>
      <c r="C68" s="29">
        <f t="shared" ref="C68:H69" si="13">C39-C10</f>
        <v>0</v>
      </c>
      <c r="D68" s="29">
        <f t="shared" si="13"/>
        <v>27753.72</v>
      </c>
      <c r="E68" s="29">
        <f t="shared" si="13"/>
        <v>-1843.4853435599653</v>
      </c>
      <c r="F68" s="29">
        <f t="shared" si="8"/>
        <v>-512.79160757999489</v>
      </c>
      <c r="G68" s="29">
        <f t="shared" si="13"/>
        <v>-22.73029667999981</v>
      </c>
      <c r="H68" s="602">
        <f t="shared" si="13"/>
        <v>-1.6513463400000035</v>
      </c>
      <c r="I68" s="29"/>
      <c r="J68" s="609">
        <f t="shared" ref="J68:W83" si="14">J39-J10</f>
        <v>1116254.6184</v>
      </c>
      <c r="K68" s="29">
        <f t="shared" si="14"/>
        <v>1873931.1743999999</v>
      </c>
      <c r="L68" s="29">
        <f t="shared" si="14"/>
        <v>-167278.86507303268</v>
      </c>
      <c r="M68" s="29">
        <f t="shared" si="9"/>
        <v>108976.11928703728</v>
      </c>
      <c r="N68" s="602">
        <f t="shared" si="14"/>
        <v>-181765.1813524738</v>
      </c>
      <c r="O68" s="609">
        <f t="shared" ca="1" si="9"/>
        <v>1646934.7287190473</v>
      </c>
      <c r="P68" s="29">
        <f t="shared" ca="1" si="14"/>
        <v>-109394.34548570216</v>
      </c>
      <c r="Q68" s="29">
        <f t="shared" ca="1" si="9"/>
        <v>-24282.588145547081</v>
      </c>
      <c r="R68" s="602">
        <f t="shared" ca="1" si="9"/>
        <v>-2882.1178519874229</v>
      </c>
      <c r="S68" s="609">
        <f t="shared" ca="1" si="9"/>
        <v>0</v>
      </c>
      <c r="T68" s="29">
        <f t="shared" ca="1" si="9"/>
        <v>-266442.73536695167</v>
      </c>
      <c r="U68" s="29">
        <f t="shared" ca="1" si="10"/>
        <v>-92477.715999994427</v>
      </c>
      <c r="V68" s="29">
        <f t="shared" ca="1" si="9"/>
        <v>-2520.8030639695353</v>
      </c>
      <c r="W68" s="602">
        <f t="shared" ca="1" si="9"/>
        <v>-824928.9513989985</v>
      </c>
      <c r="X68" s="29"/>
      <c r="Y68" s="609">
        <f t="shared" si="11"/>
        <v>-17.176916076599582</v>
      </c>
      <c r="Z68" s="29">
        <f t="shared" ref="Z68" si="15">Z39-Z10</f>
        <v>-4.5165818130230946</v>
      </c>
      <c r="AA68" s="29">
        <f t="shared" si="11"/>
        <v>-0.70463919707999878</v>
      </c>
      <c r="AB68" s="29">
        <f t="shared" si="11"/>
        <v>-24.75088030435154</v>
      </c>
      <c r="AC68" s="29">
        <f t="shared" si="11"/>
        <v>0</v>
      </c>
      <c r="AD68" s="602">
        <f t="shared" si="11"/>
        <v>-31.952847614313214</v>
      </c>
    </row>
    <row r="69" spans="1:30" x14ac:dyDescent="0.3">
      <c r="A69" s="678"/>
      <c r="B69" s="31" t="s">
        <v>1084</v>
      </c>
      <c r="C69" s="29">
        <f>C40-C11</f>
        <v>0</v>
      </c>
      <c r="D69" s="29">
        <f t="shared" si="13"/>
        <v>83261.184000000008</v>
      </c>
      <c r="E69" s="29">
        <f t="shared" si="13"/>
        <v>-6162.5099248127081</v>
      </c>
      <c r="F69" s="29">
        <f t="shared" si="8"/>
        <v>-1714.1895823104132</v>
      </c>
      <c r="G69" s="29">
        <f t="shared" si="13"/>
        <v>-75.984156518399686</v>
      </c>
      <c r="H69" s="602">
        <f t="shared" si="13"/>
        <v>-5.5202164992000462</v>
      </c>
      <c r="I69" s="29"/>
      <c r="J69" s="609">
        <f t="shared" si="14"/>
        <v>3348764.8204800002</v>
      </c>
      <c r="K69" s="29">
        <f t="shared" si="14"/>
        <v>5621795.1436800007</v>
      </c>
      <c r="L69" s="29">
        <f t="shared" si="14"/>
        <v>-559189.51014457643</v>
      </c>
      <c r="M69" s="29">
        <f t="shared" si="9"/>
        <v>326928.45209809567</v>
      </c>
      <c r="N69" s="602">
        <f t="shared" si="14"/>
        <v>-607615.20995165408</v>
      </c>
      <c r="O69" s="609">
        <f t="shared" ca="1" si="9"/>
        <v>4940805.6103422055</v>
      </c>
      <c r="P69" s="29">
        <f t="shared" ca="1" si="14"/>
        <v>-365689.77460498363</v>
      </c>
      <c r="Q69" s="29">
        <f t="shared" ca="1" si="9"/>
        <v>-81173.246627554297</v>
      </c>
      <c r="R69" s="602">
        <f t="shared" ca="1" si="9"/>
        <v>-9634.5110252158483</v>
      </c>
      <c r="S69" s="609">
        <f t="shared" ca="1" si="9"/>
        <v>0</v>
      </c>
      <c r="T69" s="29">
        <f t="shared" ca="1" si="9"/>
        <v>-890680.25782200694</v>
      </c>
      <c r="U69" s="29">
        <f t="shared" ca="1" si="10"/>
        <v>-309139.88259514049</v>
      </c>
      <c r="V69" s="29">
        <f t="shared" ca="1" si="9"/>
        <v>-8426.6869571156567</v>
      </c>
      <c r="W69" s="602">
        <f t="shared" ca="1" si="9"/>
        <v>-2750226.7437421679</v>
      </c>
      <c r="X69" s="29"/>
      <c r="Y69" s="609">
        <f t="shared" si="11"/>
        <v>-57.419993150207119</v>
      </c>
      <c r="Z69" s="29">
        <f t="shared" ref="Z69" si="16">Z40-Z11</f>
        <v>-15.098292127039485</v>
      </c>
      <c r="AA69" s="29">
        <f t="shared" si="11"/>
        <v>-2.3555088520703862</v>
      </c>
      <c r="AB69" s="29">
        <f t="shared" si="11"/>
        <v>-81.879581267179674</v>
      </c>
      <c r="AC69" s="29">
        <f t="shared" si="11"/>
        <v>0</v>
      </c>
      <c r="AD69" s="602">
        <f t="shared" si="11"/>
        <v>-106.52744808940224</v>
      </c>
    </row>
    <row r="70" spans="1:30" x14ac:dyDescent="0.3">
      <c r="A70" s="678"/>
      <c r="B70" s="31" t="s">
        <v>1085</v>
      </c>
      <c r="C70" s="29">
        <f t="shared" ref="C70:H73" si="17">C41-C12</f>
        <v>0</v>
      </c>
      <c r="D70" s="29">
        <f t="shared" si="17"/>
        <v>0</v>
      </c>
      <c r="E70" s="29">
        <f t="shared" si="17"/>
        <v>0</v>
      </c>
      <c r="F70" s="29">
        <f t="shared" si="8"/>
        <v>0</v>
      </c>
      <c r="G70" s="29">
        <f t="shared" si="17"/>
        <v>0</v>
      </c>
      <c r="H70" s="602">
        <f t="shared" si="17"/>
        <v>0</v>
      </c>
      <c r="I70" s="29"/>
      <c r="J70" s="609">
        <f t="shared" si="14"/>
        <v>0</v>
      </c>
      <c r="K70" s="29">
        <f t="shared" si="14"/>
        <v>0</v>
      </c>
      <c r="L70" s="29">
        <f t="shared" si="14"/>
        <v>0</v>
      </c>
      <c r="M70" s="29">
        <f t="shared" si="9"/>
        <v>0</v>
      </c>
      <c r="N70" s="602">
        <f t="shared" si="14"/>
        <v>0</v>
      </c>
      <c r="O70" s="609">
        <f ca="1">O41-O12</f>
        <v>0</v>
      </c>
      <c r="P70" s="29">
        <f t="shared" ca="1" si="14"/>
        <v>0</v>
      </c>
      <c r="Q70" s="29">
        <f t="shared" ca="1" si="9"/>
        <v>0</v>
      </c>
      <c r="R70" s="602">
        <f t="shared" ca="1" si="9"/>
        <v>0</v>
      </c>
      <c r="S70" s="609">
        <f t="shared" ca="1" si="9"/>
        <v>0</v>
      </c>
      <c r="T70" s="29">
        <f t="shared" ca="1" si="9"/>
        <v>0</v>
      </c>
      <c r="U70" s="29">
        <f t="shared" ca="1" si="10"/>
        <v>0</v>
      </c>
      <c r="V70" s="29">
        <f t="shared" ca="1" si="9"/>
        <v>0</v>
      </c>
      <c r="W70" s="602">
        <f t="shared" ca="1" si="9"/>
        <v>0</v>
      </c>
      <c r="X70" s="29"/>
      <c r="Y70" s="609">
        <f t="shared" si="11"/>
        <v>0</v>
      </c>
      <c r="Z70" s="29">
        <f t="shared" ref="Z70" si="18">Z41-Z12</f>
        <v>0</v>
      </c>
      <c r="AA70" s="29">
        <f t="shared" si="11"/>
        <v>0</v>
      </c>
      <c r="AB70" s="29">
        <f t="shared" si="11"/>
        <v>0</v>
      </c>
      <c r="AC70" s="29">
        <f t="shared" si="11"/>
        <v>0</v>
      </c>
      <c r="AD70" s="602">
        <f t="shared" si="11"/>
        <v>0</v>
      </c>
    </row>
    <row r="71" spans="1:30" x14ac:dyDescent="0.3">
      <c r="A71" s="678"/>
      <c r="B71" s="31" t="s">
        <v>1086</v>
      </c>
      <c r="C71" s="29">
        <f t="shared" si="17"/>
        <v>0</v>
      </c>
      <c r="D71" s="29">
        <f t="shared" si="17"/>
        <v>0</v>
      </c>
      <c r="E71" s="29">
        <f t="shared" si="17"/>
        <v>0</v>
      </c>
      <c r="F71" s="29">
        <f t="shared" si="8"/>
        <v>0</v>
      </c>
      <c r="G71" s="29">
        <f t="shared" si="17"/>
        <v>0</v>
      </c>
      <c r="H71" s="602">
        <f t="shared" si="17"/>
        <v>0</v>
      </c>
      <c r="I71" s="29"/>
      <c r="J71" s="609">
        <f t="shared" si="14"/>
        <v>0</v>
      </c>
      <c r="K71" s="29">
        <f t="shared" si="14"/>
        <v>0</v>
      </c>
      <c r="L71" s="29">
        <f t="shared" si="14"/>
        <v>0</v>
      </c>
      <c r="M71" s="29">
        <f t="shared" si="9"/>
        <v>0</v>
      </c>
      <c r="N71" s="602">
        <f t="shared" si="14"/>
        <v>0</v>
      </c>
      <c r="O71" s="609">
        <f t="shared" ca="1" si="14"/>
        <v>0</v>
      </c>
      <c r="P71" s="29">
        <f t="shared" ca="1" si="14"/>
        <v>0</v>
      </c>
      <c r="Q71" s="29">
        <f t="shared" ca="1" si="9"/>
        <v>0</v>
      </c>
      <c r="R71" s="602">
        <f t="shared" ca="1" si="9"/>
        <v>0</v>
      </c>
      <c r="S71" s="609">
        <f t="shared" ca="1" si="9"/>
        <v>0</v>
      </c>
      <c r="T71" s="29">
        <f t="shared" ca="1" si="9"/>
        <v>0</v>
      </c>
      <c r="U71" s="29">
        <f t="shared" ca="1" si="10"/>
        <v>0</v>
      </c>
      <c r="V71" s="29">
        <f t="shared" ca="1" si="9"/>
        <v>0</v>
      </c>
      <c r="W71" s="602">
        <f t="shared" ca="1" si="9"/>
        <v>0</v>
      </c>
      <c r="X71" s="29"/>
      <c r="Y71" s="609">
        <f t="shared" si="11"/>
        <v>0</v>
      </c>
      <c r="Z71" s="29">
        <f t="shared" ref="Z71" si="19">Z42-Z13</f>
        <v>0</v>
      </c>
      <c r="AA71" s="29">
        <f t="shared" si="11"/>
        <v>0</v>
      </c>
      <c r="AB71" s="29">
        <f t="shared" si="11"/>
        <v>0</v>
      </c>
      <c r="AC71" s="29">
        <f t="shared" si="11"/>
        <v>0</v>
      </c>
      <c r="AD71" s="602">
        <f t="shared" si="11"/>
        <v>0</v>
      </c>
    </row>
    <row r="72" spans="1:30" x14ac:dyDescent="0.3">
      <c r="A72" s="678"/>
      <c r="B72" s="31" t="s">
        <v>1087</v>
      </c>
      <c r="C72" s="29">
        <f t="shared" si="17"/>
        <v>0</v>
      </c>
      <c r="D72" s="29">
        <f t="shared" si="17"/>
        <v>0</v>
      </c>
      <c r="E72" s="29">
        <f t="shared" si="17"/>
        <v>0</v>
      </c>
      <c r="F72" s="29">
        <f t="shared" si="8"/>
        <v>0</v>
      </c>
      <c r="G72" s="29">
        <f t="shared" si="17"/>
        <v>0</v>
      </c>
      <c r="H72" s="602">
        <f t="shared" si="17"/>
        <v>0</v>
      </c>
      <c r="I72" s="29"/>
      <c r="J72" s="609">
        <f t="shared" si="14"/>
        <v>0</v>
      </c>
      <c r="K72" s="29">
        <f t="shared" si="14"/>
        <v>0</v>
      </c>
      <c r="L72" s="29">
        <f t="shared" si="14"/>
        <v>0</v>
      </c>
      <c r="M72" s="29">
        <f t="shared" si="9"/>
        <v>0</v>
      </c>
      <c r="N72" s="602">
        <f t="shared" si="14"/>
        <v>0</v>
      </c>
      <c r="O72" s="609">
        <f t="shared" ca="1" si="14"/>
        <v>0</v>
      </c>
      <c r="P72" s="29">
        <f t="shared" ca="1" si="14"/>
        <v>0</v>
      </c>
      <c r="Q72" s="29">
        <f t="shared" ca="1" si="9"/>
        <v>0</v>
      </c>
      <c r="R72" s="602">
        <f t="shared" ca="1" si="9"/>
        <v>0</v>
      </c>
      <c r="S72" s="609">
        <f t="shared" ca="1" si="9"/>
        <v>0</v>
      </c>
      <c r="T72" s="29">
        <f t="shared" ca="1" si="9"/>
        <v>0</v>
      </c>
      <c r="U72" s="29">
        <f t="shared" ca="1" si="10"/>
        <v>0</v>
      </c>
      <c r="V72" s="29">
        <f t="shared" ca="1" si="9"/>
        <v>0</v>
      </c>
      <c r="W72" s="602">
        <f t="shared" ca="1" si="9"/>
        <v>0</v>
      </c>
      <c r="X72" s="29"/>
      <c r="Y72" s="609">
        <f t="shared" si="11"/>
        <v>0</v>
      </c>
      <c r="Z72" s="29">
        <f t="shared" ref="Z72" si="20">Z43-Z14</f>
        <v>0</v>
      </c>
      <c r="AA72" s="29">
        <f t="shared" si="11"/>
        <v>0</v>
      </c>
      <c r="AB72" s="29">
        <f t="shared" si="11"/>
        <v>0</v>
      </c>
      <c r="AC72" s="29">
        <f t="shared" si="11"/>
        <v>0</v>
      </c>
      <c r="AD72" s="602">
        <f t="shared" si="11"/>
        <v>0</v>
      </c>
    </row>
    <row r="73" spans="1:30" x14ac:dyDescent="0.3">
      <c r="A73" s="678"/>
      <c r="B73" s="31" t="s">
        <v>1443</v>
      </c>
      <c r="C73">
        <f t="shared" si="17"/>
        <v>0</v>
      </c>
      <c r="D73" s="29">
        <f t="shared" si="17"/>
        <v>0</v>
      </c>
      <c r="E73" s="29">
        <f t="shared" si="17"/>
        <v>0</v>
      </c>
      <c r="F73" s="29">
        <f t="shared" si="8"/>
        <v>0</v>
      </c>
      <c r="G73" s="29">
        <f t="shared" si="17"/>
        <v>0</v>
      </c>
      <c r="H73" s="602">
        <f t="shared" si="17"/>
        <v>0</v>
      </c>
      <c r="I73" s="29"/>
      <c r="J73" s="609">
        <f t="shared" si="14"/>
        <v>0</v>
      </c>
      <c r="K73" s="29">
        <f t="shared" si="14"/>
        <v>0</v>
      </c>
      <c r="L73" s="29">
        <f t="shared" si="14"/>
        <v>0</v>
      </c>
      <c r="M73" s="29">
        <f t="shared" si="9"/>
        <v>0</v>
      </c>
      <c r="N73" s="602">
        <f t="shared" si="14"/>
        <v>0</v>
      </c>
      <c r="O73" s="609">
        <f t="shared" ca="1" si="14"/>
        <v>0</v>
      </c>
      <c r="P73" s="29">
        <f t="shared" ca="1" si="14"/>
        <v>0</v>
      </c>
      <c r="Q73" s="29">
        <f t="shared" ca="1" si="9"/>
        <v>0</v>
      </c>
      <c r="R73" s="602">
        <f t="shared" ca="1" si="9"/>
        <v>0</v>
      </c>
      <c r="S73" s="609">
        <f t="shared" ca="1" si="9"/>
        <v>0</v>
      </c>
      <c r="T73" s="29">
        <f t="shared" ca="1" si="9"/>
        <v>0</v>
      </c>
      <c r="U73" s="29">
        <f t="shared" ca="1" si="10"/>
        <v>0</v>
      </c>
      <c r="V73" s="29">
        <f t="shared" ca="1" si="9"/>
        <v>0</v>
      </c>
      <c r="W73" s="602">
        <f t="shared" ca="1" si="9"/>
        <v>0</v>
      </c>
      <c r="X73" s="29"/>
      <c r="Y73" s="609">
        <f t="shared" si="11"/>
        <v>0</v>
      </c>
      <c r="Z73" s="29">
        <f t="shared" ref="Z73" si="21">Z44-Z15</f>
        <v>0</v>
      </c>
      <c r="AA73" s="29">
        <f t="shared" si="11"/>
        <v>0</v>
      </c>
      <c r="AB73" s="29">
        <f t="shared" si="11"/>
        <v>0</v>
      </c>
      <c r="AC73" s="29">
        <f t="shared" si="11"/>
        <v>0</v>
      </c>
      <c r="AD73" s="602">
        <f t="shared" si="11"/>
        <v>0</v>
      </c>
    </row>
    <row r="74" spans="1:30" x14ac:dyDescent="0.3">
      <c r="A74" s="678"/>
      <c r="B74" s="315" t="s">
        <v>1444</v>
      </c>
      <c r="C74" s="22"/>
      <c r="H74" s="87"/>
      <c r="J74" s="198"/>
      <c r="M74" s="29"/>
      <c r="N74" s="87"/>
      <c r="O74" s="198"/>
      <c r="R74" s="87"/>
      <c r="S74" s="198"/>
      <c r="W74" s="87"/>
      <c r="Y74" s="198"/>
      <c r="AD74" s="87"/>
    </row>
    <row r="75" spans="1:30" ht="17.399999999999999" customHeight="1" x14ac:dyDescent="0.3">
      <c r="A75" s="678"/>
      <c r="B75" s="31" t="s">
        <v>1082</v>
      </c>
      <c r="C75" s="29">
        <f t="shared" ref="C75:E81" si="22">C46-C17</f>
        <v>0</v>
      </c>
      <c r="D75" s="29">
        <f t="shared" si="22"/>
        <v>0</v>
      </c>
      <c r="E75" s="29">
        <f t="shared" si="22"/>
        <v>0</v>
      </c>
      <c r="F75" s="29">
        <f t="shared" si="8"/>
        <v>0</v>
      </c>
      <c r="G75" s="29">
        <f t="shared" si="8"/>
        <v>0</v>
      </c>
      <c r="H75" s="602">
        <f t="shared" si="8"/>
        <v>0</v>
      </c>
      <c r="I75" s="29"/>
      <c r="J75" s="609">
        <f t="shared" ref="J75:O81" si="23">J46-J17</f>
        <v>0</v>
      </c>
      <c r="K75" s="29">
        <f t="shared" si="23"/>
        <v>0</v>
      </c>
      <c r="L75" s="29">
        <f t="shared" si="23"/>
        <v>0</v>
      </c>
      <c r="M75" s="29">
        <f t="shared" si="23"/>
        <v>0</v>
      </c>
      <c r="N75" s="602">
        <f t="shared" si="23"/>
        <v>0</v>
      </c>
      <c r="O75" s="609">
        <f t="shared" ca="1" si="23"/>
        <v>0</v>
      </c>
      <c r="P75" s="29">
        <f t="shared" ca="1" si="14"/>
        <v>0</v>
      </c>
      <c r="Q75" s="29">
        <f t="shared" ca="1" si="9"/>
        <v>0</v>
      </c>
      <c r="R75" s="602">
        <f t="shared" ca="1" si="9"/>
        <v>0</v>
      </c>
      <c r="S75" s="609">
        <f t="shared" ca="1" si="9"/>
        <v>0</v>
      </c>
      <c r="T75" s="29">
        <f t="shared" ca="1" si="9"/>
        <v>0</v>
      </c>
      <c r="U75" s="29">
        <f t="shared" ca="1" si="10"/>
        <v>0</v>
      </c>
      <c r="V75" s="29">
        <f t="shared" ca="1" si="10"/>
        <v>0</v>
      </c>
      <c r="W75" s="602">
        <f t="shared" ca="1" si="10"/>
        <v>0</v>
      </c>
      <c r="X75" s="29"/>
      <c r="Y75" s="609">
        <f t="shared" ref="Y75:AD81" si="24">Y46-Y17</f>
        <v>0</v>
      </c>
      <c r="Z75" s="29">
        <f t="shared" ref="Z75" si="25">Z46-Z17</f>
        <v>0</v>
      </c>
      <c r="AA75" s="29">
        <f t="shared" si="24"/>
        <v>0</v>
      </c>
      <c r="AB75" s="29">
        <f t="shared" si="24"/>
        <v>0</v>
      </c>
      <c r="AC75" s="29">
        <f t="shared" si="24"/>
        <v>0</v>
      </c>
      <c r="AD75" s="602">
        <f t="shared" si="24"/>
        <v>0</v>
      </c>
    </row>
    <row r="76" spans="1:30" x14ac:dyDescent="0.3">
      <c r="A76" s="678"/>
      <c r="B76" s="31" t="s">
        <v>1083</v>
      </c>
      <c r="C76" s="29">
        <f t="shared" si="22"/>
        <v>0</v>
      </c>
      <c r="D76" s="29">
        <f t="shared" si="22"/>
        <v>0</v>
      </c>
      <c r="E76" s="29">
        <f t="shared" si="22"/>
        <v>0</v>
      </c>
      <c r="F76" s="29">
        <f t="shared" si="8"/>
        <v>0</v>
      </c>
      <c r="G76" s="29">
        <f t="shared" si="8"/>
        <v>0</v>
      </c>
      <c r="H76" s="602">
        <f t="shared" si="8"/>
        <v>0</v>
      </c>
      <c r="I76" s="29"/>
      <c r="J76" s="609">
        <f t="shared" si="23"/>
        <v>0</v>
      </c>
      <c r="K76" s="29">
        <f t="shared" si="23"/>
        <v>0</v>
      </c>
      <c r="L76" s="29">
        <f t="shared" si="23"/>
        <v>0</v>
      </c>
      <c r="M76" s="29">
        <f t="shared" si="23"/>
        <v>0</v>
      </c>
      <c r="N76" s="602">
        <f t="shared" si="23"/>
        <v>0</v>
      </c>
      <c r="O76" s="609">
        <f t="shared" ca="1" si="23"/>
        <v>0</v>
      </c>
      <c r="P76" s="29">
        <f t="shared" ca="1" si="14"/>
        <v>0</v>
      </c>
      <c r="Q76" s="29">
        <f t="shared" ca="1" si="9"/>
        <v>0</v>
      </c>
      <c r="R76" s="602">
        <f t="shared" ca="1" si="9"/>
        <v>0</v>
      </c>
      <c r="S76" s="609">
        <f t="shared" ca="1" si="9"/>
        <v>0</v>
      </c>
      <c r="T76" s="29">
        <f t="shared" ca="1" si="9"/>
        <v>0</v>
      </c>
      <c r="U76" s="29">
        <f t="shared" ca="1" si="10"/>
        <v>0</v>
      </c>
      <c r="V76" s="29">
        <f t="shared" ca="1" si="10"/>
        <v>0</v>
      </c>
      <c r="W76" s="602">
        <f t="shared" ca="1" si="10"/>
        <v>0</v>
      </c>
      <c r="X76" s="29"/>
      <c r="Y76" s="609">
        <f t="shared" si="24"/>
        <v>0</v>
      </c>
      <c r="Z76" s="29">
        <f t="shared" ref="Z76" si="26">Z47-Z18</f>
        <v>0</v>
      </c>
      <c r="AA76" s="29">
        <f t="shared" si="24"/>
        <v>0</v>
      </c>
      <c r="AB76" s="29">
        <f t="shared" si="24"/>
        <v>0</v>
      </c>
      <c r="AC76" s="29">
        <f t="shared" si="24"/>
        <v>0</v>
      </c>
      <c r="AD76" s="602">
        <f t="shared" si="24"/>
        <v>0</v>
      </c>
    </row>
    <row r="77" spans="1:30" x14ac:dyDescent="0.3">
      <c r="A77" s="678"/>
      <c r="B77" s="31" t="s">
        <v>1084</v>
      </c>
      <c r="C77" s="29">
        <f t="shared" si="22"/>
        <v>0</v>
      </c>
      <c r="D77" s="29">
        <f t="shared" si="22"/>
        <v>0</v>
      </c>
      <c r="E77" s="29">
        <f t="shared" si="22"/>
        <v>0</v>
      </c>
      <c r="F77" s="29">
        <f t="shared" si="8"/>
        <v>0</v>
      </c>
      <c r="G77" s="29">
        <f t="shared" si="8"/>
        <v>0</v>
      </c>
      <c r="H77" s="602">
        <f t="shared" si="8"/>
        <v>0</v>
      </c>
      <c r="I77" s="29"/>
      <c r="J77" s="609">
        <f t="shared" si="23"/>
        <v>0</v>
      </c>
      <c r="K77" s="29">
        <f t="shared" si="23"/>
        <v>0</v>
      </c>
      <c r="L77" s="29">
        <f t="shared" si="23"/>
        <v>0</v>
      </c>
      <c r="M77" s="29">
        <f t="shared" si="23"/>
        <v>0</v>
      </c>
      <c r="N77" s="602">
        <f t="shared" si="23"/>
        <v>0</v>
      </c>
      <c r="O77" s="609">
        <f t="shared" ca="1" si="23"/>
        <v>0</v>
      </c>
      <c r="P77" s="29">
        <f t="shared" ca="1" si="14"/>
        <v>0</v>
      </c>
      <c r="Q77" s="29">
        <f t="shared" ca="1" si="9"/>
        <v>0</v>
      </c>
      <c r="R77" s="602">
        <f t="shared" ca="1" si="9"/>
        <v>0</v>
      </c>
      <c r="S77" s="609">
        <f t="shared" ca="1" si="9"/>
        <v>0</v>
      </c>
      <c r="T77" s="29">
        <f t="shared" ca="1" si="9"/>
        <v>0</v>
      </c>
      <c r="U77" s="29">
        <f t="shared" ca="1" si="10"/>
        <v>0</v>
      </c>
      <c r="V77" s="29">
        <f t="shared" ca="1" si="10"/>
        <v>0</v>
      </c>
      <c r="W77" s="602">
        <f t="shared" ca="1" si="10"/>
        <v>0</v>
      </c>
      <c r="X77" s="29"/>
      <c r="Y77" s="609">
        <f t="shared" si="24"/>
        <v>0</v>
      </c>
      <c r="Z77" s="29">
        <f t="shared" ref="Z77" si="27">Z48-Z19</f>
        <v>0</v>
      </c>
      <c r="AA77" s="29">
        <f t="shared" si="24"/>
        <v>0</v>
      </c>
      <c r="AB77" s="29">
        <f t="shared" si="24"/>
        <v>0</v>
      </c>
      <c r="AC77" s="29">
        <f t="shared" si="24"/>
        <v>0</v>
      </c>
      <c r="AD77" s="602">
        <f t="shared" si="24"/>
        <v>0</v>
      </c>
    </row>
    <row r="78" spans="1:30" x14ac:dyDescent="0.3">
      <c r="A78" s="678"/>
      <c r="B78" s="31" t="s">
        <v>1085</v>
      </c>
      <c r="C78" s="29">
        <f t="shared" si="22"/>
        <v>0</v>
      </c>
      <c r="D78" s="29">
        <f t="shared" si="22"/>
        <v>0</v>
      </c>
      <c r="E78" s="29">
        <f t="shared" si="22"/>
        <v>0</v>
      </c>
      <c r="F78" s="29">
        <f t="shared" si="8"/>
        <v>0</v>
      </c>
      <c r="G78" s="29">
        <f t="shared" si="8"/>
        <v>0</v>
      </c>
      <c r="H78" s="602">
        <f t="shared" si="8"/>
        <v>0</v>
      </c>
      <c r="I78" s="29"/>
      <c r="J78" s="609">
        <f t="shared" si="23"/>
        <v>0</v>
      </c>
      <c r="K78" s="29">
        <f t="shared" si="23"/>
        <v>0</v>
      </c>
      <c r="L78" s="29">
        <f t="shared" si="23"/>
        <v>0</v>
      </c>
      <c r="M78" s="29">
        <f t="shared" si="23"/>
        <v>0</v>
      </c>
      <c r="N78" s="602">
        <f t="shared" si="23"/>
        <v>0</v>
      </c>
      <c r="O78" s="609">
        <f t="shared" ca="1" si="23"/>
        <v>0</v>
      </c>
      <c r="P78" s="29">
        <f t="shared" ca="1" si="14"/>
        <v>0</v>
      </c>
      <c r="Q78" s="29">
        <f t="shared" ca="1" si="9"/>
        <v>0</v>
      </c>
      <c r="R78" s="602">
        <f t="shared" ca="1" si="9"/>
        <v>0</v>
      </c>
      <c r="S78" s="609">
        <f t="shared" ca="1" si="9"/>
        <v>0</v>
      </c>
      <c r="T78" s="29">
        <f t="shared" ca="1" si="9"/>
        <v>0</v>
      </c>
      <c r="U78" s="29">
        <f t="shared" ca="1" si="10"/>
        <v>0</v>
      </c>
      <c r="V78" s="29">
        <f t="shared" ca="1" si="10"/>
        <v>0</v>
      </c>
      <c r="W78" s="602">
        <f t="shared" ca="1" si="10"/>
        <v>0</v>
      </c>
      <c r="X78" s="29"/>
      <c r="Y78" s="609">
        <f t="shared" si="24"/>
        <v>0</v>
      </c>
      <c r="Z78" s="29">
        <f t="shared" ref="Z78" si="28">Z49-Z20</f>
        <v>0</v>
      </c>
      <c r="AA78" s="29">
        <f t="shared" si="24"/>
        <v>0</v>
      </c>
      <c r="AB78" s="29">
        <f t="shared" si="24"/>
        <v>0</v>
      </c>
      <c r="AC78" s="29">
        <f t="shared" si="24"/>
        <v>0</v>
      </c>
      <c r="AD78" s="602">
        <f t="shared" si="24"/>
        <v>0</v>
      </c>
    </row>
    <row r="79" spans="1:30" x14ac:dyDescent="0.3">
      <c r="A79" s="678"/>
      <c r="B79" s="31" t="s">
        <v>1086</v>
      </c>
      <c r="C79" s="29">
        <f t="shared" si="22"/>
        <v>0</v>
      </c>
      <c r="D79" s="29">
        <f t="shared" si="22"/>
        <v>0</v>
      </c>
      <c r="E79" s="29">
        <f t="shared" si="22"/>
        <v>0</v>
      </c>
      <c r="F79" s="29">
        <f t="shared" si="8"/>
        <v>0</v>
      </c>
      <c r="G79" s="29">
        <f t="shared" si="8"/>
        <v>0</v>
      </c>
      <c r="H79" s="602">
        <f t="shared" si="8"/>
        <v>0</v>
      </c>
      <c r="I79" s="29"/>
      <c r="J79" s="609">
        <f t="shared" si="23"/>
        <v>0</v>
      </c>
      <c r="K79" s="29">
        <f t="shared" si="23"/>
        <v>0</v>
      </c>
      <c r="L79" s="29">
        <f t="shared" si="23"/>
        <v>0</v>
      </c>
      <c r="M79" s="29">
        <f t="shared" si="23"/>
        <v>0</v>
      </c>
      <c r="N79" s="602">
        <f t="shared" si="23"/>
        <v>0</v>
      </c>
      <c r="O79" s="609">
        <f t="shared" ca="1" si="23"/>
        <v>0</v>
      </c>
      <c r="P79" s="29">
        <f t="shared" ca="1" si="14"/>
        <v>0</v>
      </c>
      <c r="Q79" s="29">
        <f t="shared" ca="1" si="9"/>
        <v>0</v>
      </c>
      <c r="R79" s="602">
        <f t="shared" ca="1" si="9"/>
        <v>0</v>
      </c>
      <c r="S79" s="609">
        <f t="shared" ca="1" si="9"/>
        <v>0</v>
      </c>
      <c r="T79" s="29">
        <f t="shared" ca="1" si="9"/>
        <v>0</v>
      </c>
      <c r="U79" s="29">
        <f t="shared" ca="1" si="10"/>
        <v>0</v>
      </c>
      <c r="V79" s="29">
        <f t="shared" ca="1" si="10"/>
        <v>0</v>
      </c>
      <c r="W79" s="602">
        <f t="shared" ca="1" si="10"/>
        <v>0</v>
      </c>
      <c r="X79" s="29"/>
      <c r="Y79" s="609">
        <f t="shared" si="24"/>
        <v>0</v>
      </c>
      <c r="Z79" s="29">
        <f t="shared" ref="Z79" si="29">Z50-Z21</f>
        <v>0</v>
      </c>
      <c r="AA79" s="29">
        <f t="shared" si="24"/>
        <v>0</v>
      </c>
      <c r="AB79" s="29">
        <f t="shared" si="24"/>
        <v>0</v>
      </c>
      <c r="AC79" s="29">
        <f t="shared" si="24"/>
        <v>0</v>
      </c>
      <c r="AD79" s="602">
        <f t="shared" si="24"/>
        <v>0</v>
      </c>
    </row>
    <row r="80" spans="1:30" x14ac:dyDescent="0.3">
      <c r="A80" s="678"/>
      <c r="B80" s="31" t="s">
        <v>1087</v>
      </c>
      <c r="C80" s="29">
        <f t="shared" si="22"/>
        <v>0</v>
      </c>
      <c r="D80" s="29">
        <f t="shared" si="22"/>
        <v>0</v>
      </c>
      <c r="E80" s="29">
        <f t="shared" si="22"/>
        <v>0</v>
      </c>
      <c r="F80" s="29">
        <f t="shared" si="8"/>
        <v>0</v>
      </c>
      <c r="G80" s="29">
        <f t="shared" si="8"/>
        <v>0</v>
      </c>
      <c r="H80" s="602">
        <f t="shared" si="8"/>
        <v>0</v>
      </c>
      <c r="I80" s="29"/>
      <c r="J80" s="609">
        <f t="shared" si="23"/>
        <v>0</v>
      </c>
      <c r="K80" s="29">
        <f t="shared" si="23"/>
        <v>0</v>
      </c>
      <c r="L80" s="29">
        <f t="shared" si="23"/>
        <v>0</v>
      </c>
      <c r="M80" s="29">
        <f t="shared" si="23"/>
        <v>0</v>
      </c>
      <c r="N80" s="602">
        <f t="shared" si="23"/>
        <v>0</v>
      </c>
      <c r="O80" s="609">
        <f t="shared" ca="1" si="23"/>
        <v>0</v>
      </c>
      <c r="P80" s="29">
        <f t="shared" ca="1" si="14"/>
        <v>0</v>
      </c>
      <c r="Q80" s="29">
        <f t="shared" ca="1" si="9"/>
        <v>0</v>
      </c>
      <c r="R80" s="602">
        <f t="shared" ca="1" si="9"/>
        <v>0</v>
      </c>
      <c r="S80" s="609">
        <f t="shared" ca="1" si="9"/>
        <v>0</v>
      </c>
      <c r="T80" s="29">
        <f t="shared" ca="1" si="9"/>
        <v>0</v>
      </c>
      <c r="U80" s="29">
        <f t="shared" ca="1" si="10"/>
        <v>0</v>
      </c>
      <c r="V80" s="29">
        <f t="shared" ca="1" si="10"/>
        <v>0</v>
      </c>
      <c r="W80" s="602">
        <f t="shared" ca="1" si="10"/>
        <v>0</v>
      </c>
      <c r="X80" s="29"/>
      <c r="Y80" s="609">
        <f t="shared" si="24"/>
        <v>0</v>
      </c>
      <c r="Z80" s="29">
        <f t="shared" ref="Z80" si="30">Z51-Z22</f>
        <v>0</v>
      </c>
      <c r="AA80" s="29">
        <f t="shared" si="24"/>
        <v>0</v>
      </c>
      <c r="AB80" s="29">
        <f t="shared" si="24"/>
        <v>0</v>
      </c>
      <c r="AC80" s="29">
        <f t="shared" si="24"/>
        <v>0</v>
      </c>
      <c r="AD80" s="602">
        <f t="shared" si="24"/>
        <v>0</v>
      </c>
    </row>
    <row r="81" spans="1:30" x14ac:dyDescent="0.3">
      <c r="A81" s="678"/>
      <c r="B81" s="31" t="s">
        <v>1443</v>
      </c>
      <c r="C81" s="29">
        <f t="shared" si="22"/>
        <v>0</v>
      </c>
      <c r="D81" s="29">
        <f t="shared" si="22"/>
        <v>0</v>
      </c>
      <c r="E81" s="29">
        <f t="shared" si="22"/>
        <v>0</v>
      </c>
      <c r="F81" s="29">
        <f t="shared" si="8"/>
        <v>0</v>
      </c>
      <c r="G81" s="29">
        <f t="shared" si="8"/>
        <v>0</v>
      </c>
      <c r="H81" s="602">
        <f t="shared" si="8"/>
        <v>0</v>
      </c>
      <c r="I81" s="29"/>
      <c r="J81" s="609">
        <f t="shared" si="23"/>
        <v>0</v>
      </c>
      <c r="K81" s="29">
        <f t="shared" si="23"/>
        <v>0</v>
      </c>
      <c r="L81" s="29">
        <f t="shared" si="23"/>
        <v>0</v>
      </c>
      <c r="M81" s="29">
        <f t="shared" si="23"/>
        <v>0</v>
      </c>
      <c r="N81" s="602">
        <f t="shared" si="23"/>
        <v>0</v>
      </c>
      <c r="O81" s="609">
        <f t="shared" ca="1" si="23"/>
        <v>0</v>
      </c>
      <c r="P81" s="29">
        <f t="shared" ca="1" si="14"/>
        <v>0</v>
      </c>
      <c r="Q81" s="29">
        <f t="shared" ca="1" si="9"/>
        <v>0</v>
      </c>
      <c r="R81" s="602">
        <f t="shared" ca="1" si="9"/>
        <v>0</v>
      </c>
      <c r="S81" s="609">
        <f t="shared" ca="1" si="9"/>
        <v>0</v>
      </c>
      <c r="T81" s="29">
        <f t="shared" ca="1" si="9"/>
        <v>0</v>
      </c>
      <c r="U81" s="29">
        <f t="shared" ca="1" si="10"/>
        <v>0</v>
      </c>
      <c r="V81" s="29">
        <f t="shared" ca="1" si="10"/>
        <v>0</v>
      </c>
      <c r="W81" s="602">
        <f t="shared" ca="1" si="10"/>
        <v>0</v>
      </c>
      <c r="X81" s="29"/>
      <c r="Y81" s="609">
        <f t="shared" si="24"/>
        <v>0</v>
      </c>
      <c r="Z81" s="29">
        <f t="shared" ref="Z81" si="31">Z52-Z23</f>
        <v>0</v>
      </c>
      <c r="AA81" s="29">
        <f t="shared" si="24"/>
        <v>0</v>
      </c>
      <c r="AB81" s="29">
        <f t="shared" si="24"/>
        <v>0</v>
      </c>
      <c r="AC81" s="29">
        <f t="shared" si="24"/>
        <v>0</v>
      </c>
      <c r="AD81" s="602">
        <f t="shared" si="24"/>
        <v>0</v>
      </c>
    </row>
    <row r="82" spans="1:30" x14ac:dyDescent="0.3">
      <c r="A82" s="678"/>
      <c r="B82" s="405" t="s">
        <v>227</v>
      </c>
      <c r="C82" s="29"/>
      <c r="D82" s="29"/>
      <c r="E82" s="29"/>
      <c r="F82" s="29"/>
      <c r="G82" s="29"/>
      <c r="H82" s="602"/>
      <c r="I82" s="29"/>
      <c r="J82" s="609"/>
      <c r="K82" s="29"/>
      <c r="L82" s="29"/>
      <c r="M82" s="29"/>
      <c r="N82" s="602"/>
      <c r="O82" s="609"/>
      <c r="P82" s="29"/>
      <c r="Q82" s="29"/>
      <c r="R82" s="602"/>
      <c r="S82" s="609"/>
      <c r="T82" s="29"/>
      <c r="U82" s="29"/>
      <c r="V82" s="29"/>
      <c r="W82" s="602"/>
      <c r="X82" s="29"/>
      <c r="Y82" s="609"/>
      <c r="Z82" s="29"/>
      <c r="AA82" s="29"/>
      <c r="AB82" s="29"/>
      <c r="AC82" s="29"/>
      <c r="AD82" s="602"/>
    </row>
    <row r="83" spans="1:30" x14ac:dyDescent="0.3">
      <c r="A83" s="678"/>
      <c r="B83" s="31" t="s">
        <v>1437</v>
      </c>
      <c r="C83" s="29">
        <f t="shared" ref="C83:H90" si="32">C54-C25</f>
        <v>0</v>
      </c>
      <c r="D83" s="29">
        <f t="shared" si="32"/>
        <v>0</v>
      </c>
      <c r="E83" s="29">
        <f t="shared" si="32"/>
        <v>0</v>
      </c>
      <c r="F83" s="29">
        <f t="shared" si="32"/>
        <v>0</v>
      </c>
      <c r="G83" s="29">
        <f t="shared" si="32"/>
        <v>0</v>
      </c>
      <c r="H83" s="602">
        <f t="shared" si="32"/>
        <v>0</v>
      </c>
      <c r="I83" s="29"/>
      <c r="J83" s="609">
        <f t="shared" ref="J83:W89" si="33">J54-J25</f>
        <v>0</v>
      </c>
      <c r="K83" s="29">
        <f t="shared" si="33"/>
        <v>0</v>
      </c>
      <c r="L83" s="29">
        <f t="shared" si="33"/>
        <v>0</v>
      </c>
      <c r="M83" s="29">
        <f t="shared" si="33"/>
        <v>0</v>
      </c>
      <c r="N83" s="602">
        <f t="shared" si="33"/>
        <v>0</v>
      </c>
      <c r="O83" s="609">
        <f t="shared" ca="1" si="33"/>
        <v>0</v>
      </c>
      <c r="P83" s="29">
        <f t="shared" ca="1" si="14"/>
        <v>0</v>
      </c>
      <c r="Q83" s="29">
        <f t="shared" ca="1" si="14"/>
        <v>0</v>
      </c>
      <c r="R83" s="602">
        <f t="shared" ca="1" si="14"/>
        <v>0</v>
      </c>
      <c r="S83" s="609">
        <f t="shared" ca="1" si="14"/>
        <v>0</v>
      </c>
      <c r="T83" s="29">
        <f t="shared" ca="1" si="14"/>
        <v>0</v>
      </c>
      <c r="U83" s="29">
        <f t="shared" ca="1" si="14"/>
        <v>0</v>
      </c>
      <c r="V83" s="29">
        <f t="shared" ca="1" si="14"/>
        <v>0</v>
      </c>
      <c r="W83" s="602">
        <f t="shared" ca="1" si="14"/>
        <v>0</v>
      </c>
      <c r="X83" s="29"/>
      <c r="Y83" s="609">
        <f t="shared" ref="Y83:AD86" si="34">Y54-Y25</f>
        <v>0</v>
      </c>
      <c r="Z83" s="29">
        <f t="shared" ref="Z83" si="35">Z54-Z25</f>
        <v>0</v>
      </c>
      <c r="AA83" s="29">
        <f t="shared" si="34"/>
        <v>0</v>
      </c>
      <c r="AB83" s="29">
        <f t="shared" si="34"/>
        <v>0</v>
      </c>
      <c r="AC83" s="29">
        <f t="shared" si="34"/>
        <v>0</v>
      </c>
      <c r="AD83" s="602">
        <f t="shared" si="34"/>
        <v>0</v>
      </c>
    </row>
    <row r="84" spans="1:30" x14ac:dyDescent="0.3">
      <c r="A84" s="678"/>
      <c r="B84" s="31" t="s">
        <v>1438</v>
      </c>
      <c r="C84" s="29">
        <f t="shared" si="32"/>
        <v>0</v>
      </c>
      <c r="D84" s="29">
        <f t="shared" si="32"/>
        <v>0</v>
      </c>
      <c r="E84" s="29">
        <f t="shared" si="32"/>
        <v>0</v>
      </c>
      <c r="F84" s="29">
        <f t="shared" si="32"/>
        <v>0</v>
      </c>
      <c r="G84" s="29">
        <f t="shared" si="32"/>
        <v>0</v>
      </c>
      <c r="H84" s="602">
        <f t="shared" si="32"/>
        <v>0</v>
      </c>
      <c r="I84" s="29"/>
      <c r="J84" s="609">
        <f t="shared" si="33"/>
        <v>0</v>
      </c>
      <c r="K84" s="29">
        <f t="shared" si="33"/>
        <v>0</v>
      </c>
      <c r="L84" s="29">
        <f t="shared" si="33"/>
        <v>0</v>
      </c>
      <c r="M84" s="29">
        <f t="shared" si="33"/>
        <v>0</v>
      </c>
      <c r="N84" s="602">
        <f t="shared" si="33"/>
        <v>0</v>
      </c>
      <c r="O84" s="609">
        <f t="shared" ca="1" si="33"/>
        <v>0</v>
      </c>
      <c r="P84" s="29">
        <f t="shared" ca="1" si="33"/>
        <v>0</v>
      </c>
      <c r="Q84" s="29">
        <f t="shared" ca="1" si="33"/>
        <v>0</v>
      </c>
      <c r="R84" s="602">
        <f t="shared" ca="1" si="33"/>
        <v>0</v>
      </c>
      <c r="S84" s="609">
        <f t="shared" ca="1" si="33"/>
        <v>0</v>
      </c>
      <c r="T84" s="29">
        <f t="shared" ca="1" si="33"/>
        <v>0</v>
      </c>
      <c r="U84" s="29">
        <f t="shared" ca="1" si="33"/>
        <v>0</v>
      </c>
      <c r="V84" s="29">
        <f t="shared" ca="1" si="33"/>
        <v>0</v>
      </c>
      <c r="W84" s="602">
        <f t="shared" ca="1" si="33"/>
        <v>0</v>
      </c>
      <c r="X84" s="29"/>
      <c r="Y84" s="609">
        <f t="shared" si="34"/>
        <v>0</v>
      </c>
      <c r="Z84" s="29">
        <f t="shared" ref="Z84" si="36">Z55-Z26</f>
        <v>0</v>
      </c>
      <c r="AA84" s="29">
        <f t="shared" si="34"/>
        <v>0</v>
      </c>
      <c r="AB84" s="29">
        <f t="shared" si="34"/>
        <v>0</v>
      </c>
      <c r="AC84" s="29">
        <f t="shared" si="34"/>
        <v>0</v>
      </c>
      <c r="AD84" s="602">
        <f t="shared" si="34"/>
        <v>0</v>
      </c>
    </row>
    <row r="85" spans="1:30" x14ac:dyDescent="0.3">
      <c r="A85" s="678"/>
      <c r="B85" s="31" t="s">
        <v>1441</v>
      </c>
      <c r="C85" s="29">
        <f t="shared" si="32"/>
        <v>0</v>
      </c>
      <c r="D85" s="29">
        <f t="shared" si="32"/>
        <v>0</v>
      </c>
      <c r="E85" s="29">
        <f t="shared" si="32"/>
        <v>0</v>
      </c>
      <c r="F85" s="29">
        <f t="shared" si="32"/>
        <v>0</v>
      </c>
      <c r="G85" s="29">
        <f t="shared" si="32"/>
        <v>0</v>
      </c>
      <c r="H85" s="602">
        <f t="shared" si="32"/>
        <v>0</v>
      </c>
      <c r="I85" s="29"/>
      <c r="J85" s="609">
        <f t="shared" si="33"/>
        <v>0</v>
      </c>
      <c r="K85" s="29">
        <f t="shared" si="33"/>
        <v>0</v>
      </c>
      <c r="L85" s="29">
        <f t="shared" si="33"/>
        <v>0</v>
      </c>
      <c r="M85" s="29">
        <f t="shared" si="33"/>
        <v>0</v>
      </c>
      <c r="N85" s="602">
        <f t="shared" si="33"/>
        <v>0</v>
      </c>
      <c r="O85" s="609">
        <f t="shared" ca="1" si="33"/>
        <v>0</v>
      </c>
      <c r="P85" s="29">
        <f t="shared" ca="1" si="33"/>
        <v>0</v>
      </c>
      <c r="Q85" s="29">
        <f t="shared" ca="1" si="33"/>
        <v>0</v>
      </c>
      <c r="R85" s="602">
        <f t="shared" ca="1" si="33"/>
        <v>0</v>
      </c>
      <c r="S85" s="609">
        <f t="shared" ca="1" si="33"/>
        <v>0</v>
      </c>
      <c r="T85" s="29">
        <f t="shared" ca="1" si="33"/>
        <v>0</v>
      </c>
      <c r="U85" s="29">
        <f t="shared" ca="1" si="33"/>
        <v>0</v>
      </c>
      <c r="V85" s="29">
        <f t="shared" ca="1" si="33"/>
        <v>0</v>
      </c>
      <c r="W85" s="602">
        <f t="shared" ca="1" si="33"/>
        <v>0</v>
      </c>
      <c r="X85" s="29"/>
      <c r="Y85" s="609">
        <f t="shared" si="34"/>
        <v>0</v>
      </c>
      <c r="Z85" s="29">
        <f t="shared" ref="Z85" si="37">Z56-Z27</f>
        <v>0</v>
      </c>
      <c r="AA85" s="29">
        <f t="shared" si="34"/>
        <v>0</v>
      </c>
      <c r="AB85" s="29">
        <f t="shared" si="34"/>
        <v>0</v>
      </c>
      <c r="AC85" s="29">
        <f t="shared" si="34"/>
        <v>0</v>
      </c>
      <c r="AD85" s="602">
        <f t="shared" si="34"/>
        <v>0</v>
      </c>
    </row>
    <row r="86" spans="1:30" x14ac:dyDescent="0.3">
      <c r="A86" s="678"/>
      <c r="B86" s="31" t="s">
        <v>1442</v>
      </c>
      <c r="C86" s="29">
        <f t="shared" si="32"/>
        <v>0</v>
      </c>
      <c r="D86" s="29">
        <f t="shared" si="32"/>
        <v>0</v>
      </c>
      <c r="E86" s="29">
        <f t="shared" si="32"/>
        <v>0</v>
      </c>
      <c r="F86" s="29">
        <f t="shared" si="32"/>
        <v>0</v>
      </c>
      <c r="G86" s="29">
        <f t="shared" si="32"/>
        <v>0</v>
      </c>
      <c r="H86" s="602">
        <f t="shared" si="32"/>
        <v>0</v>
      </c>
      <c r="I86" s="29"/>
      <c r="J86" s="609">
        <f t="shared" si="33"/>
        <v>0</v>
      </c>
      <c r="K86" s="29">
        <f t="shared" si="33"/>
        <v>0</v>
      </c>
      <c r="L86" s="29">
        <f t="shared" si="33"/>
        <v>0</v>
      </c>
      <c r="M86" s="29">
        <f t="shared" si="33"/>
        <v>0</v>
      </c>
      <c r="N86" s="602">
        <f t="shared" si="33"/>
        <v>0</v>
      </c>
      <c r="O86" s="609">
        <f t="shared" ca="1" si="33"/>
        <v>0</v>
      </c>
      <c r="P86" s="29">
        <f t="shared" ca="1" si="33"/>
        <v>0</v>
      </c>
      <c r="Q86" s="29">
        <f t="shared" ca="1" si="33"/>
        <v>0</v>
      </c>
      <c r="R86" s="602">
        <f t="shared" ca="1" si="33"/>
        <v>0</v>
      </c>
      <c r="S86" s="609">
        <f t="shared" ca="1" si="33"/>
        <v>0</v>
      </c>
      <c r="T86" s="29">
        <f t="shared" ca="1" si="33"/>
        <v>0</v>
      </c>
      <c r="U86" s="29">
        <f t="shared" ca="1" si="33"/>
        <v>0</v>
      </c>
      <c r="V86" s="29">
        <f t="shared" ca="1" si="33"/>
        <v>0</v>
      </c>
      <c r="W86" s="602">
        <f t="shared" ca="1" si="33"/>
        <v>0</v>
      </c>
      <c r="X86" s="29"/>
      <c r="Y86" s="609">
        <f t="shared" si="34"/>
        <v>0</v>
      </c>
      <c r="Z86" s="29">
        <f t="shared" ref="Z86" si="38">Z57-Z28</f>
        <v>0</v>
      </c>
      <c r="AA86" s="29">
        <f t="shared" si="34"/>
        <v>0</v>
      </c>
      <c r="AB86" s="29">
        <f t="shared" si="34"/>
        <v>0</v>
      </c>
      <c r="AC86" s="29">
        <f t="shared" si="34"/>
        <v>0</v>
      </c>
      <c r="AD86" s="602">
        <f t="shared" si="34"/>
        <v>0</v>
      </c>
    </row>
    <row r="87" spans="1:30" x14ac:dyDescent="0.3">
      <c r="A87" s="678"/>
      <c r="B87" s="405" t="s">
        <v>920</v>
      </c>
      <c r="C87" s="29"/>
      <c r="D87" s="29"/>
      <c r="E87" s="29"/>
      <c r="F87" s="29"/>
      <c r="G87" s="29"/>
      <c r="H87" s="602"/>
      <c r="I87" s="29"/>
      <c r="J87" s="609"/>
      <c r="K87" s="29"/>
      <c r="L87" s="29"/>
      <c r="M87" s="29"/>
      <c r="N87" s="602"/>
      <c r="O87" s="609"/>
      <c r="P87" s="29"/>
      <c r="Q87" s="29"/>
      <c r="R87" s="602"/>
      <c r="S87" s="609"/>
      <c r="T87" s="29"/>
      <c r="U87" s="29"/>
      <c r="V87" s="29"/>
      <c r="W87" s="602"/>
      <c r="X87" s="29"/>
      <c r="Y87" s="609"/>
      <c r="Z87" s="29"/>
      <c r="AA87" s="29"/>
      <c r="AB87" s="29"/>
      <c r="AC87" s="29"/>
      <c r="AD87" s="602"/>
    </row>
    <row r="88" spans="1:30" x14ac:dyDescent="0.3">
      <c r="A88" s="678"/>
      <c r="B88" s="297" t="s">
        <v>920</v>
      </c>
      <c r="C88" s="29">
        <f t="shared" ref="C88:E90" si="39">C59-C30</f>
        <v>0</v>
      </c>
      <c r="D88" s="29">
        <f t="shared" si="39"/>
        <v>0</v>
      </c>
      <c r="E88" s="29">
        <f t="shared" si="39"/>
        <v>0</v>
      </c>
      <c r="F88" s="29">
        <f t="shared" si="32"/>
        <v>0</v>
      </c>
      <c r="G88" s="29">
        <f t="shared" si="32"/>
        <v>0</v>
      </c>
      <c r="H88" s="602">
        <f t="shared" si="32"/>
        <v>0</v>
      </c>
      <c r="I88" s="29"/>
      <c r="J88" s="609">
        <f t="shared" ref="J88:O89" si="40">J59-J30</f>
        <v>0</v>
      </c>
      <c r="K88" s="29">
        <f t="shared" si="40"/>
        <v>0</v>
      </c>
      <c r="L88" s="29">
        <f t="shared" si="40"/>
        <v>0</v>
      </c>
      <c r="M88" s="29">
        <f t="shared" si="40"/>
        <v>0</v>
      </c>
      <c r="N88" s="602">
        <f t="shared" si="40"/>
        <v>0</v>
      </c>
      <c r="O88" s="609">
        <f t="shared" ca="1" si="40"/>
        <v>0</v>
      </c>
      <c r="P88" s="29">
        <f t="shared" ca="1" si="33"/>
        <v>0</v>
      </c>
      <c r="Q88" s="29">
        <f t="shared" ca="1" si="33"/>
        <v>0</v>
      </c>
      <c r="R88" s="602">
        <f t="shared" ca="1" si="33"/>
        <v>0</v>
      </c>
      <c r="S88" s="609">
        <f t="shared" ca="1" si="33"/>
        <v>0</v>
      </c>
      <c r="T88" s="29">
        <f t="shared" ca="1" si="33"/>
        <v>0</v>
      </c>
      <c r="U88" s="29">
        <f t="shared" ca="1" si="33"/>
        <v>0</v>
      </c>
      <c r="V88" s="29">
        <f t="shared" ca="1" si="33"/>
        <v>0</v>
      </c>
      <c r="W88" s="602">
        <f t="shared" ca="1" si="33"/>
        <v>0</v>
      </c>
      <c r="X88" s="29"/>
      <c r="Y88" s="609">
        <f t="shared" ref="Y88:AD89" si="41">Y59-Y30</f>
        <v>0</v>
      </c>
      <c r="Z88" s="29">
        <f t="shared" ref="Z88" si="42">Z59-Z30</f>
        <v>0</v>
      </c>
      <c r="AA88" s="29">
        <f t="shared" si="41"/>
        <v>0</v>
      </c>
      <c r="AB88" s="29">
        <f t="shared" si="41"/>
        <v>0</v>
      </c>
      <c r="AC88" s="29">
        <f t="shared" si="41"/>
        <v>0</v>
      </c>
      <c r="AD88" s="602">
        <f t="shared" si="41"/>
        <v>0</v>
      </c>
    </row>
    <row r="89" spans="1:30" x14ac:dyDescent="0.3">
      <c r="A89" s="678"/>
      <c r="B89" s="297" t="s">
        <v>980</v>
      </c>
      <c r="C89" s="29">
        <f t="shared" si="39"/>
        <v>0</v>
      </c>
      <c r="D89" s="29">
        <f t="shared" si="39"/>
        <v>0</v>
      </c>
      <c r="E89" s="29">
        <f t="shared" si="39"/>
        <v>0</v>
      </c>
      <c r="F89" s="29">
        <f t="shared" si="32"/>
        <v>0</v>
      </c>
      <c r="G89" s="29">
        <f t="shared" si="32"/>
        <v>0</v>
      </c>
      <c r="H89" s="602">
        <f t="shared" si="32"/>
        <v>0</v>
      </c>
      <c r="I89" s="29"/>
      <c r="J89" s="609">
        <f t="shared" si="40"/>
        <v>0</v>
      </c>
      <c r="K89" s="29">
        <f t="shared" si="40"/>
        <v>0</v>
      </c>
      <c r="L89" s="29">
        <f t="shared" si="40"/>
        <v>0</v>
      </c>
      <c r="M89" s="29">
        <f t="shared" si="40"/>
        <v>0</v>
      </c>
      <c r="N89" s="602">
        <f t="shared" si="40"/>
        <v>0</v>
      </c>
      <c r="O89" s="609">
        <f t="shared" ca="1" si="40"/>
        <v>0</v>
      </c>
      <c r="P89" s="29">
        <f t="shared" ca="1" si="33"/>
        <v>0</v>
      </c>
      <c r="Q89" s="29">
        <f t="shared" ca="1" si="33"/>
        <v>0</v>
      </c>
      <c r="R89" s="602">
        <f t="shared" ca="1" si="33"/>
        <v>0</v>
      </c>
      <c r="S89" s="609">
        <f t="shared" ca="1" si="33"/>
        <v>0</v>
      </c>
      <c r="T89" s="29">
        <f t="shared" ca="1" si="33"/>
        <v>0</v>
      </c>
      <c r="U89" s="29">
        <f t="shared" ca="1" si="33"/>
        <v>0</v>
      </c>
      <c r="V89" s="29">
        <f t="shared" ca="1" si="33"/>
        <v>0</v>
      </c>
      <c r="W89" s="602">
        <f t="shared" ca="1" si="33"/>
        <v>0</v>
      </c>
      <c r="X89" s="29"/>
      <c r="Y89" s="609">
        <f t="shared" si="41"/>
        <v>0</v>
      </c>
      <c r="Z89" s="29">
        <f t="shared" ref="Z89" si="43">Z60-Z31</f>
        <v>0</v>
      </c>
      <c r="AA89" s="29">
        <f t="shared" si="41"/>
        <v>0</v>
      </c>
      <c r="AB89" s="29">
        <f t="shared" si="41"/>
        <v>0</v>
      </c>
      <c r="AC89" s="29">
        <f t="shared" si="41"/>
        <v>0</v>
      </c>
      <c r="AD89" s="602">
        <f t="shared" si="41"/>
        <v>0</v>
      </c>
    </row>
    <row r="90" spans="1:30" x14ac:dyDescent="0.3">
      <c r="A90" s="679"/>
      <c r="B90" s="675" t="s">
        <v>233</v>
      </c>
      <c r="C90" s="665">
        <f t="shared" si="39"/>
        <v>0</v>
      </c>
      <c r="D90" s="665">
        <f t="shared" si="39"/>
        <v>124891.77600000001</v>
      </c>
      <c r="E90" s="665">
        <f t="shared" si="39"/>
        <v>-8927.7387372286757</v>
      </c>
      <c r="F90" s="665">
        <f t="shared" si="32"/>
        <v>-2483.3772153984173</v>
      </c>
      <c r="G90" s="665">
        <f t="shared" si="32"/>
        <v>-110.07961136640006</v>
      </c>
      <c r="H90" s="666">
        <f t="shared" si="32"/>
        <v>-7.9972367232001034</v>
      </c>
      <c r="I90" s="29"/>
      <c r="J90" s="664">
        <f>SUM(J66:J89)</f>
        <v>5023147.2307200003</v>
      </c>
      <c r="K90" s="665">
        <f t="shared" ref="K90:Q90" si="44">SUM(K66:K89)</f>
        <v>8432692.7155200001</v>
      </c>
      <c r="L90" s="665">
        <f t="shared" si="44"/>
        <v>-810107.88008123636</v>
      </c>
      <c r="M90" s="665">
        <f t="shared" si="44"/>
        <v>490392.67814714351</v>
      </c>
      <c r="N90" s="666">
        <f t="shared" si="44"/>
        <v>-880263.0605709888</v>
      </c>
      <c r="O90" s="664">
        <f t="shared" ca="1" si="44"/>
        <v>7411208.4155133087</v>
      </c>
      <c r="P90" s="665">
        <f t="shared" ca="1" si="44"/>
        <v>-529781.34013286047</v>
      </c>
      <c r="Q90" s="665">
        <f t="shared" ca="1" si="44"/>
        <v>-117597.13934504637</v>
      </c>
      <c r="R90" s="666">
        <f ca="1">SUM(R66:R89)</f>
        <v>-13957.689049351146</v>
      </c>
      <c r="S90" s="664">
        <f t="shared" ref="S90:W90" ca="1" si="45">SUM(S66:S89)</f>
        <v>0</v>
      </c>
      <c r="T90" s="665">
        <f t="shared" ca="1" si="45"/>
        <v>-1290344.4760754704</v>
      </c>
      <c r="U90" s="665">
        <f t="shared" ca="1" si="45"/>
        <v>-447856.49658013601</v>
      </c>
      <c r="V90" s="665">
        <f t="shared" ca="1" si="45"/>
        <v>-12207.892643000843</v>
      </c>
      <c r="W90" s="666">
        <f t="shared" ca="1" si="45"/>
        <v>-3983919.808602795</v>
      </c>
      <c r="X90" s="29"/>
      <c r="Y90" s="664">
        <f t="shared" ref="Y90:AD90" si="46">SUM(Y66:Y89)</f>
        <v>-83.185374691966672</v>
      </c>
      <c r="Z90" s="665">
        <f t="shared" ref="Z90" si="47">SUM(Z66:Z89)</f>
        <v>-21.85926607447351</v>
      </c>
      <c r="AA90" s="665">
        <f t="shared" si="46"/>
        <v>-3.4124679523583765</v>
      </c>
      <c r="AB90" s="665">
        <f t="shared" si="46"/>
        <v>-118.968974383263</v>
      </c>
      <c r="AC90" s="665">
        <f t="shared" si="46"/>
        <v>0</v>
      </c>
      <c r="AD90" s="666">
        <f t="shared" si="46"/>
        <v>-154.31338945741209</v>
      </c>
    </row>
    <row r="91" spans="1:30" x14ac:dyDescent="0.3">
      <c r="B91" s="31"/>
      <c r="C91" s="31"/>
      <c r="D91" s="29"/>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row>
    <row r="106" spans="2:6" x14ac:dyDescent="0.3">
      <c r="B106" s="31"/>
      <c r="C106" s="31"/>
    </row>
    <row r="107" spans="2:6" x14ac:dyDescent="0.3">
      <c r="B107" s="1"/>
      <c r="C107" s="1"/>
    </row>
    <row r="108" spans="2:6" x14ac:dyDescent="0.3">
      <c r="B108" s="1"/>
      <c r="C108" s="1"/>
    </row>
    <row r="109" spans="2:6" x14ac:dyDescent="0.3">
      <c r="B109" s="31"/>
      <c r="C109" s="31"/>
      <c r="E109" s="23"/>
      <c r="F109" s="23"/>
    </row>
    <row r="110" spans="2:6" x14ac:dyDescent="0.3">
      <c r="B110" s="31"/>
      <c r="C110" s="31"/>
      <c r="E110" s="23"/>
      <c r="F110" s="23"/>
    </row>
    <row r="111" spans="2:6" x14ac:dyDescent="0.3">
      <c r="B111" s="31"/>
      <c r="C111" s="31"/>
      <c r="E111" s="23"/>
      <c r="F111" s="23"/>
    </row>
    <row r="112" spans="2:6" x14ac:dyDescent="0.3">
      <c r="B112" s="31"/>
      <c r="C112" s="31"/>
      <c r="E112" s="23"/>
      <c r="F112" s="23"/>
    </row>
    <row r="113" spans="2:6" x14ac:dyDescent="0.3">
      <c r="B113" s="31"/>
      <c r="C113" s="31"/>
      <c r="E113" s="23"/>
      <c r="F113" s="23"/>
    </row>
    <row r="114" spans="2:6" x14ac:dyDescent="0.3">
      <c r="B114" s="31"/>
      <c r="C114" s="31"/>
      <c r="E114" s="23"/>
      <c r="F114" s="23"/>
    </row>
    <row r="115" spans="2:6" x14ac:dyDescent="0.3">
      <c r="B115" s="31"/>
      <c r="C115" s="31"/>
      <c r="E115" s="23"/>
      <c r="F115" s="23"/>
    </row>
    <row r="116" spans="2:6" x14ac:dyDescent="0.3">
      <c r="B116" s="31"/>
      <c r="C116" s="31"/>
      <c r="E116" s="23"/>
      <c r="F116" s="23"/>
    </row>
    <row r="117" spans="2:6" x14ac:dyDescent="0.3">
      <c r="B117" s="31"/>
      <c r="C117" s="31"/>
      <c r="E117" s="23"/>
      <c r="F117" s="23"/>
    </row>
    <row r="118" spans="2:6" x14ac:dyDescent="0.3">
      <c r="B118" s="31"/>
      <c r="C118" s="31"/>
    </row>
    <row r="119" spans="2:6" x14ac:dyDescent="0.3">
      <c r="B119" s="1"/>
      <c r="C119" s="1"/>
    </row>
    <row r="120" spans="2:6" x14ac:dyDescent="0.3">
      <c r="B120" s="1"/>
      <c r="C120" s="1"/>
    </row>
    <row r="121" spans="2:6" x14ac:dyDescent="0.3">
      <c r="B121" s="31"/>
      <c r="C121" s="31"/>
      <c r="E121" s="23"/>
      <c r="F121" s="23"/>
    </row>
    <row r="122" spans="2:6" x14ac:dyDescent="0.3">
      <c r="B122" s="31"/>
      <c r="C122" s="31"/>
      <c r="E122" s="23"/>
      <c r="F122" s="23"/>
    </row>
    <row r="123" spans="2:6" x14ac:dyDescent="0.3">
      <c r="B123" s="31"/>
      <c r="C123" s="31"/>
      <c r="E123" s="23"/>
      <c r="F123" s="23"/>
    </row>
    <row r="124" spans="2:6" x14ac:dyDescent="0.3">
      <c r="B124" s="31"/>
      <c r="C124" s="31"/>
      <c r="E124" s="23"/>
      <c r="F124" s="23"/>
    </row>
    <row r="125" spans="2:6" x14ac:dyDescent="0.3">
      <c r="B125" s="31"/>
      <c r="C125" s="31"/>
      <c r="E125" s="23"/>
      <c r="F125" s="23"/>
    </row>
    <row r="126" spans="2:6" x14ac:dyDescent="0.3">
      <c r="B126" s="31"/>
      <c r="C126" s="31"/>
      <c r="E126" s="23"/>
      <c r="F126" s="23"/>
    </row>
    <row r="127" spans="2:6" x14ac:dyDescent="0.3">
      <c r="B127" s="31"/>
      <c r="C127" s="31"/>
      <c r="E127" s="23"/>
      <c r="F127" s="23"/>
    </row>
    <row r="128" spans="2:6" x14ac:dyDescent="0.3">
      <c r="B128" s="31"/>
      <c r="C128" s="31"/>
      <c r="E128" s="23"/>
      <c r="F128" s="23"/>
    </row>
    <row r="129" spans="2:6" x14ac:dyDescent="0.3">
      <c r="B129" s="31"/>
      <c r="C129" s="31"/>
      <c r="E129" s="23"/>
      <c r="F129" s="23"/>
    </row>
    <row r="133" spans="2:6" x14ac:dyDescent="0.3">
      <c r="B133" s="31"/>
      <c r="C133" s="31"/>
      <c r="E133" s="23"/>
      <c r="F133" s="23"/>
    </row>
    <row r="134" spans="2:6" x14ac:dyDescent="0.3">
      <c r="B134" s="31"/>
      <c r="C134" s="31"/>
      <c r="E134" s="23"/>
      <c r="F134" s="23"/>
    </row>
    <row r="135" spans="2:6" x14ac:dyDescent="0.3">
      <c r="B135" s="31"/>
      <c r="C135" s="31"/>
      <c r="E135" s="23"/>
      <c r="F135" s="23"/>
    </row>
    <row r="136" spans="2:6" x14ac:dyDescent="0.3">
      <c r="B136" s="31"/>
      <c r="C136" s="31"/>
      <c r="E136" s="23"/>
      <c r="F136" s="23"/>
    </row>
    <row r="137" spans="2:6" x14ac:dyDescent="0.3">
      <c r="B137" s="31"/>
      <c r="C137" s="31"/>
      <c r="E137" s="23"/>
      <c r="F137" s="23"/>
    </row>
    <row r="138" spans="2:6" x14ac:dyDescent="0.3">
      <c r="B138" s="31"/>
      <c r="C138" s="31"/>
      <c r="E138" s="23"/>
      <c r="F138" s="23"/>
    </row>
    <row r="139" spans="2:6" x14ac:dyDescent="0.3">
      <c r="B139" s="31"/>
      <c r="C139" s="31"/>
      <c r="E139" s="23"/>
      <c r="F139" s="23"/>
    </row>
    <row r="140" spans="2:6" x14ac:dyDescent="0.3">
      <c r="B140" s="31"/>
      <c r="C140" s="31"/>
      <c r="E140" s="23"/>
      <c r="F140" s="23"/>
    </row>
    <row r="141" spans="2:6" x14ac:dyDescent="0.3">
      <c r="B141" s="31"/>
      <c r="C141" s="31"/>
      <c r="E141" s="23"/>
      <c r="F141" s="2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rgb="FF00FFCC"/>
  </sheetPr>
  <dimension ref="A1:AL923"/>
  <sheetViews>
    <sheetView topLeftCell="A612" zoomScale="70" zoomScaleNormal="70" workbookViewId="0">
      <selection activeCell="K630" sqref="K630"/>
    </sheetView>
  </sheetViews>
  <sheetFormatPr defaultColWidth="9.109375" defaultRowHeight="14.4" x14ac:dyDescent="0.3"/>
  <cols>
    <col min="1" max="1" width="12.88671875" customWidth="1"/>
    <col min="2" max="2" width="29.109375" customWidth="1"/>
    <col min="3" max="5" width="13.44140625" customWidth="1"/>
    <col min="6" max="6" width="15.33203125" bestFit="1" customWidth="1"/>
    <col min="7" max="7" width="12.5546875" customWidth="1"/>
    <col min="8" max="8" width="16.6640625" customWidth="1"/>
    <col min="9" max="9" width="15.33203125" customWidth="1"/>
    <col min="10" max="10" width="14.109375" customWidth="1"/>
    <col min="11" max="11" width="14.33203125" customWidth="1"/>
    <col min="12" max="12" width="10.6640625" customWidth="1"/>
    <col min="13" max="13" width="29.88671875" customWidth="1"/>
    <col min="14" max="14" width="15" bestFit="1" customWidth="1"/>
    <col min="15" max="16" width="13.109375" customWidth="1"/>
    <col min="17" max="17" width="14.88671875" bestFit="1" customWidth="1"/>
    <col min="18" max="18" width="12.5546875" customWidth="1"/>
    <col min="19" max="19" width="10.6640625" customWidth="1"/>
    <col min="20" max="20" width="10.5546875" bestFit="1" customWidth="1"/>
    <col min="21" max="21" width="17" customWidth="1"/>
    <col min="22" max="22" width="10.5546875" customWidth="1"/>
    <col min="24" max="24" width="21.33203125" customWidth="1"/>
    <col min="25" max="25" width="10.88671875" bestFit="1" customWidth="1"/>
    <col min="26" max="27" width="10.88671875" customWidth="1"/>
    <col min="28" max="28" width="11.44140625" customWidth="1"/>
    <col min="29" max="29" width="13.44140625" customWidth="1"/>
    <col min="30" max="30" width="13.109375" customWidth="1"/>
    <col min="31" max="31" width="13.5546875" customWidth="1"/>
    <col min="32" max="32" width="16.33203125" customWidth="1"/>
    <col min="34" max="34" width="10.88671875" bestFit="1" customWidth="1"/>
  </cols>
  <sheetData>
    <row r="1" spans="1:17" ht="15" thickBot="1" x14ac:dyDescent="0.35">
      <c r="Q1" t="b">
        <v>0</v>
      </c>
    </row>
    <row r="2" spans="1:17" ht="21.6" thickBot="1" x14ac:dyDescent="0.45">
      <c r="B2" s="692" t="s">
        <v>650</v>
      </c>
      <c r="C2" s="693"/>
      <c r="D2" s="693"/>
      <c r="E2" s="693"/>
      <c r="F2" s="694"/>
    </row>
    <row r="3" spans="1:17" ht="15" thickBot="1" x14ac:dyDescent="0.35"/>
    <row r="4" spans="1:17" ht="20.25" customHeight="1" thickBot="1" x14ac:dyDescent="0.35">
      <c r="B4" s="624" t="s">
        <v>568</v>
      </c>
      <c r="C4" s="622"/>
      <c r="D4" s="622"/>
      <c r="E4" s="622"/>
      <c r="F4" s="623"/>
    </row>
    <row r="5" spans="1:17" x14ac:dyDescent="0.3">
      <c r="B5" s="615" t="s">
        <v>569</v>
      </c>
      <c r="C5" s="185" t="s">
        <v>570</v>
      </c>
      <c r="D5" s="185"/>
      <c r="E5" s="185"/>
      <c r="F5" s="616" t="s">
        <v>571</v>
      </c>
    </row>
    <row r="6" spans="1:17" x14ac:dyDescent="0.3">
      <c r="B6" s="617" t="s">
        <v>572</v>
      </c>
      <c r="C6" s="163" t="s">
        <v>573</v>
      </c>
      <c r="D6" s="163"/>
      <c r="E6" s="163"/>
      <c r="F6" s="618" t="s">
        <v>584</v>
      </c>
    </row>
    <row r="7" spans="1:17" x14ac:dyDescent="0.3">
      <c r="B7" s="617" t="s">
        <v>574</v>
      </c>
      <c r="C7" s="163" t="s">
        <v>573</v>
      </c>
      <c r="D7" s="163"/>
      <c r="E7" s="163"/>
      <c r="F7" s="618" t="s">
        <v>584</v>
      </c>
    </row>
    <row r="8" spans="1:17" x14ac:dyDescent="0.3">
      <c r="B8" s="617" t="s">
        <v>575</v>
      </c>
      <c r="C8" s="163" t="s">
        <v>576</v>
      </c>
      <c r="D8" s="163"/>
      <c r="E8" s="163"/>
      <c r="F8" s="618" t="s">
        <v>577</v>
      </c>
    </row>
    <row r="9" spans="1:17" ht="15" thickBot="1" x14ac:dyDescent="0.35">
      <c r="B9" s="619" t="s">
        <v>578</v>
      </c>
      <c r="C9" s="620" t="s">
        <v>579</v>
      </c>
      <c r="D9" s="620"/>
      <c r="E9" s="620"/>
      <c r="F9" s="621" t="s">
        <v>580</v>
      </c>
    </row>
    <row r="11" spans="1:17" x14ac:dyDescent="0.3">
      <c r="B11" s="68" t="s">
        <v>649</v>
      </c>
      <c r="C11" s="173"/>
      <c r="D11" s="173"/>
      <c r="E11" s="173"/>
      <c r="F11" s="173"/>
    </row>
    <row r="14" spans="1:17" x14ac:dyDescent="0.3">
      <c r="A14">
        <v>1</v>
      </c>
    </row>
    <row r="16" spans="1:17" ht="20.399999999999999" customHeight="1" x14ac:dyDescent="0.4">
      <c r="B16" s="795" t="s">
        <v>558</v>
      </c>
      <c r="C16" s="795"/>
      <c r="D16" s="795"/>
      <c r="E16" s="795"/>
      <c r="F16" s="795"/>
      <c r="G16" s="84"/>
      <c r="H16" s="84"/>
    </row>
    <row r="17" spans="2:28" x14ac:dyDescent="0.3">
      <c r="F17" s="158"/>
    </row>
    <row r="18" spans="2:28" x14ac:dyDescent="0.3">
      <c r="B18" s="187" t="s">
        <v>992</v>
      </c>
      <c r="C18" s="166"/>
      <c r="D18" s="166"/>
      <c r="E18" s="166"/>
      <c r="F18" s="73"/>
      <c r="G18" s="73"/>
      <c r="H18" s="73"/>
      <c r="I18" s="73"/>
      <c r="J18" s="73"/>
    </row>
    <row r="19" spans="2:28" x14ac:dyDescent="0.3">
      <c r="B19" s="159" t="s">
        <v>1</v>
      </c>
      <c r="C19" s="159" t="s">
        <v>567</v>
      </c>
      <c r="D19" s="159" t="s">
        <v>985</v>
      </c>
      <c r="E19" s="159" t="s">
        <v>986</v>
      </c>
      <c r="F19" s="73" t="s">
        <v>584</v>
      </c>
      <c r="G19" s="73" t="s">
        <v>569</v>
      </c>
      <c r="H19" s="73" t="s">
        <v>581</v>
      </c>
      <c r="I19" s="73" t="s">
        <v>582</v>
      </c>
      <c r="J19" s="73" t="s">
        <v>583</v>
      </c>
    </row>
    <row r="20" spans="2:28" x14ac:dyDescent="0.3">
      <c r="B20" s="150" t="s">
        <v>988</v>
      </c>
      <c r="C20" s="197"/>
      <c r="D20" s="197"/>
      <c r="E20" s="197"/>
      <c r="H20" s="141"/>
      <c r="I20" s="141"/>
      <c r="J20" s="291">
        <f ca="1">RAND()</f>
        <v>0.59778665512376539</v>
      </c>
      <c r="L20" s="79" t="s">
        <v>679</v>
      </c>
    </row>
    <row r="21" spans="2:28" x14ac:dyDescent="0.3">
      <c r="B21" s="31" t="s">
        <v>1082</v>
      </c>
      <c r="C21" s="156">
        <f>'BoD input'!C13/'Input summary'!$C$167</f>
        <v>0.18978</v>
      </c>
      <c r="D21" s="156">
        <f>'BoD input'!D13/'Input summary'!$C$167</f>
        <v>0.13664000000000001</v>
      </c>
      <c r="E21" s="156">
        <f>'BoD input'!E13/'Input summary'!$C$167</f>
        <v>0.24292</v>
      </c>
      <c r="F21" s="156">
        <f>(E21-D21)/(2*1.96)</f>
        <v>2.711224489795918E-2</v>
      </c>
      <c r="G21" s="160" t="s">
        <v>578</v>
      </c>
      <c r="H21" s="162">
        <f>IF(G21="Beta",C21*(C21*(1-C21)/(F21^2)-1),IF(G21="Lognormal",LN(C21^2/SQRT(F21^2+C21^2)),IF(G21="Gamma",C21^2/F21^2,IF(G21="Normal",C21,0))))</f>
        <v>39.508609322856067</v>
      </c>
      <c r="I21" s="162">
        <f t="shared" ref="I21" si="0">IF(G21="Beta",C21*(1-C21)/(F21^2)-1-H21,IF(G21="Lognormal",SQRT(LN(1+F21^2/C21^2)),IF(G21="Gamma",F21^2/C21,IF(G21="Normal",F21,0))))</f>
        <v>168.67249154581324</v>
      </c>
      <c r="J21" s="70">
        <f ca="1">IF(F21=0,C21,IF(G21="Beta",_xlfn.BETA.INV(J20,H21,I21),IF(G21="Lognormal",EXP(NORMINV(J20,H21,I21)),IF(G21="Gamma",_xlfn.GAMMA.INV(J20,H21,I21),IF(G21="Normal",_xlfn.NORM.INV(J20,H21,I21),0)))))</f>
        <v>0.19556824415136875</v>
      </c>
      <c r="K21" s="149">
        <f ca="1">J21*100000</f>
        <v>19556.824415136874</v>
      </c>
      <c r="L21">
        <f>(E21+D21)/2</f>
        <v>0.18978</v>
      </c>
    </row>
    <row r="22" spans="2:28" x14ac:dyDescent="0.3">
      <c r="B22" s="31" t="s">
        <v>1083</v>
      </c>
      <c r="C22" s="156">
        <f>'BoD input'!C14/'Input summary'!$C$167</f>
        <v>0.18978</v>
      </c>
      <c r="D22" s="156">
        <f>'BoD input'!D14/'Input summary'!$C$167</f>
        <v>0.13664000000000001</v>
      </c>
      <c r="E22" s="156">
        <f>'BoD input'!E14/'Input summary'!$C$167</f>
        <v>0.24292</v>
      </c>
      <c r="F22" s="156">
        <f t="shared" ref="F22:F43" si="1">(E22-D22)/(2*1.96)</f>
        <v>2.711224489795918E-2</v>
      </c>
      <c r="G22" s="160" t="s">
        <v>578</v>
      </c>
      <c r="H22" s="162">
        <f>IF(G22="Beta",C22*(C22*(1-C22)/(F22^2)-1),IF(G22="Lognormal",LN(C22^2/SQRT(F22^2+C22^2)),IF(G22="Gamma",C22^2/F22^2,IF(G22="Normal",C22,0))))</f>
        <v>39.508609322856067</v>
      </c>
      <c r="I22" s="162">
        <f t="shared" ref="I22:I43" si="2">IF(G22="Beta",C22*(1-C22)/(F22^2)-1-H22,IF(G22="Lognormal",SQRT(LN(1+F22^2/C22^2)),IF(G22="Gamma",F22^2/C22,IF(G22="Normal",F22,0))))</f>
        <v>168.67249154581324</v>
      </c>
      <c r="J22" s="70">
        <f ca="1">IF(F22=0,C22,IF(G22="Beta",_xlfn.BETA.INV(J20,H22,I22),IF(G22="Lognormal",EXP(NORMINV(J20,H22,I22)),IF(G22="Gamma",_xlfn.GAMMA.INV(J20,H22,I22),IF(G22="Normal",_xlfn.NORM.INV(J20,H22,I22),0)))))</f>
        <v>0.19556824415136875</v>
      </c>
      <c r="K22" s="149">
        <f t="shared" ref="K22:K43" ca="1" si="3">J22*100000</f>
        <v>19556.824415136874</v>
      </c>
    </row>
    <row r="23" spans="2:28" x14ac:dyDescent="0.3">
      <c r="B23" s="31" t="s">
        <v>1084</v>
      </c>
      <c r="C23" s="156">
        <f>'BoD input'!C15/'Input summary'!$C$167</f>
        <v>0.18978</v>
      </c>
      <c r="D23" s="156">
        <f>'BoD input'!D15/'Input summary'!$C$167</f>
        <v>0.13664000000000001</v>
      </c>
      <c r="E23" s="156">
        <f>'BoD input'!E15/'Input summary'!$C$167</f>
        <v>0.24292</v>
      </c>
      <c r="F23" s="156">
        <f t="shared" si="1"/>
        <v>2.711224489795918E-2</v>
      </c>
      <c r="G23" s="160" t="s">
        <v>578</v>
      </c>
      <c r="H23" s="162">
        <f t="shared" ref="H23:H43" si="4">IF(G23="Beta",C23*(C23*(1-C23)/(F23^2)-1),IF(G23="Lognormal",LN(C23^2/SQRT(F23^2+C23^2)),IF(G23="Gamma",C23^2/F23^2,IF(G23="Normal",C23,0))))</f>
        <v>39.508609322856067</v>
      </c>
      <c r="I23" s="162">
        <f>IF(G23="Beta",C23*(1-C23)/(F23^2)-1-H23,IF(G23="Lognormal",SQRT(LN(1+F23^2/C23^2)),IF(G23="Gamma",F23^2/C23,IF(G23="Normal",F23,0))))</f>
        <v>168.67249154581324</v>
      </c>
      <c r="J23" s="70">
        <f ca="1">IF(F23=0,C23,IF(G23="Beta",_xlfn.BETA.INV(J20,H23,I23),IF(G23="Lognormal",EXP(NORMINV(J20,H23,I23)),IF(G23="Gamma",_xlfn.GAMMA.INV(J20,H23,I23),IF(G23="Normal",_xlfn.NORM.INV(J20,H23,I23),0)))))</f>
        <v>0.19556824415136875</v>
      </c>
      <c r="K23" s="149">
        <f t="shared" ca="1" si="3"/>
        <v>19556.824415136874</v>
      </c>
    </row>
    <row r="24" spans="2:28" x14ac:dyDescent="0.3">
      <c r="B24" s="31" t="s">
        <v>1085</v>
      </c>
      <c r="C24" s="156">
        <f>'BoD input'!C16/'Input summary'!$C$167</f>
        <v>0.15226000000000001</v>
      </c>
      <c r="D24" s="156">
        <f>'BoD input'!D16/'Input summary'!$C$167</f>
        <v>0.11267000000000001</v>
      </c>
      <c r="E24" s="156">
        <f>'BoD input'!E16/'Input summary'!$C$167</f>
        <v>0.19184999999999999</v>
      </c>
      <c r="F24" s="156">
        <f t="shared" si="1"/>
        <v>2.0198979591836731E-2</v>
      </c>
      <c r="G24" s="160" t="s">
        <v>578</v>
      </c>
      <c r="H24" s="162">
        <f t="shared" si="4"/>
        <v>48.017609044561461</v>
      </c>
      <c r="I24" s="162">
        <f t="shared" si="2"/>
        <v>267.34827197843509</v>
      </c>
      <c r="J24" s="70">
        <f ca="1">IF(F24=0,C24,IF(G24="Beta",_xlfn.BETA.INV(J20,H24,I24),IF(G24="Lognormal",EXP(NORMINV(J20,H24,I24)),IF(G24="Gamma",_xlfn.GAMMA.INV(J20,H24,I24),IF(G24="Normal",_xlfn.NORM.INV(J20,H24,I24),0)))))</f>
        <v>0.15657157664240484</v>
      </c>
      <c r="K24" s="149">
        <f t="shared" ca="1" si="3"/>
        <v>15657.157664240483</v>
      </c>
      <c r="AB24" s="67"/>
    </row>
    <row r="25" spans="2:28" x14ac:dyDescent="0.3">
      <c r="B25" s="31" t="s">
        <v>1086</v>
      </c>
      <c r="C25" s="156">
        <f>'BoD input'!C17/'Input summary'!$C$167</f>
        <v>0.15226000000000001</v>
      </c>
      <c r="D25" s="156">
        <f>'BoD input'!D17/'Input summary'!$C$167</f>
        <v>0.11267000000000001</v>
      </c>
      <c r="E25" s="156">
        <f>'BoD input'!E17/'Input summary'!$C$167</f>
        <v>0.19184999999999999</v>
      </c>
      <c r="F25" s="156">
        <f t="shared" si="1"/>
        <v>2.0198979591836731E-2</v>
      </c>
      <c r="G25" s="160" t="s">
        <v>578</v>
      </c>
      <c r="H25" s="162">
        <f t="shared" si="4"/>
        <v>48.017609044561461</v>
      </c>
      <c r="I25" s="162">
        <f t="shared" si="2"/>
        <v>267.34827197843509</v>
      </c>
      <c r="J25" s="70">
        <f ca="1">IF(F25=0,C25,IF(G25="Beta",_xlfn.BETA.INV(J20,H25,I25),IF(G25="Lognormal",EXP(NORMINV(J20,H25,I25)),IF(G25="Gamma",_xlfn.GAMMA.INV(J20,H25,I25),IF(G25="Normal",_xlfn.NORM.INV(J20,H25,I25),0)))))</f>
        <v>0.15657157664240484</v>
      </c>
      <c r="K25" s="149">
        <f t="shared" ca="1" si="3"/>
        <v>15657.157664240483</v>
      </c>
    </row>
    <row r="26" spans="2:28" x14ac:dyDescent="0.3">
      <c r="B26" s="31" t="s">
        <v>1087</v>
      </c>
      <c r="C26" s="156">
        <f>'BoD input'!C18/'Input summary'!$C$167</f>
        <v>0.15226000000000001</v>
      </c>
      <c r="D26" s="156">
        <f>'BoD input'!D18/'Input summary'!$C$167</f>
        <v>0.11267000000000001</v>
      </c>
      <c r="E26" s="156">
        <f>'BoD input'!E18/'Input summary'!$C$167</f>
        <v>0.19184999999999999</v>
      </c>
      <c r="F26" s="156">
        <f t="shared" si="1"/>
        <v>2.0198979591836731E-2</v>
      </c>
      <c r="G26" s="160" t="s">
        <v>578</v>
      </c>
      <c r="H26" s="162">
        <f>IF(G26="Beta",C26*(C26*(1-C26)/(F26^2)-1),IF(G26="Lognormal",LN(C26^2/SQRT(F26^2+C26^2)),IF(G26="Gamma",C26^2/F26^2,IF(G26="Normal",C26,0))))</f>
        <v>48.017609044561461</v>
      </c>
      <c r="I26" s="162">
        <f t="shared" si="2"/>
        <v>267.34827197843509</v>
      </c>
      <c r="J26" s="70">
        <f ca="1">IF(F26=0,C26,IF(G26="Beta",_xlfn.BETA.INV(J20,H26,I26),IF(G26="Lognormal",EXP(NORMINV(J20,H26,I26)),IF(G26="Gamma",_xlfn.GAMMA.INV(J20,H26,I26),IF(G26="Normal",_xlfn.NORM.INV(J20,H26,I26),0)))))</f>
        <v>0.15657157664240484</v>
      </c>
      <c r="K26" s="149">
        <f t="shared" ca="1" si="3"/>
        <v>15657.157664240483</v>
      </c>
    </row>
    <row r="27" spans="2:28" x14ac:dyDescent="0.3">
      <c r="B27" s="31" t="s">
        <v>1443</v>
      </c>
      <c r="C27" s="156">
        <f>'BoD input'!C19/'Input summary'!$C$167</f>
        <v>2.4879999999999999E-2</v>
      </c>
      <c r="D27" s="156">
        <f>'BoD input'!D19/'Input summary'!$C$167</f>
        <v>1.018E-2</v>
      </c>
      <c r="E27" s="156">
        <f>'BoD input'!E19/'Input summary'!$C$167</f>
        <v>4.0419999999999998E-2</v>
      </c>
      <c r="F27" s="156">
        <f t="shared" si="1"/>
        <v>7.7142857142857135E-3</v>
      </c>
      <c r="G27" s="160" t="s">
        <v>578</v>
      </c>
      <c r="H27" s="162">
        <f t="shared" si="4"/>
        <v>10.118142210106997</v>
      </c>
      <c r="I27" s="162">
        <f t="shared" si="2"/>
        <v>396.55959935367906</v>
      </c>
      <c r="J27" s="70">
        <f ca="1">IF(F27=0,C27,IF(G27="Beta",_xlfn.BETA.INV(J20,H27,I27),IF(G27="Lognormal",EXP(NORMINV(J20,H27,I27)),IF(G27="Gamma",_xlfn.GAMMA.INV(J20,H27,I27),IF(G27="Normal",_xlfn.NORM.INV(J20,H27,I27),0)))))</f>
        <v>2.6032229947653196E-2</v>
      </c>
      <c r="K27" s="149">
        <f t="shared" ca="1" si="3"/>
        <v>2603.2229947653195</v>
      </c>
    </row>
    <row r="28" spans="2:28" x14ac:dyDescent="0.3">
      <c r="B28" s="150" t="s">
        <v>1444</v>
      </c>
      <c r="H28" s="141"/>
      <c r="I28" s="141"/>
      <c r="J28" s="291">
        <f ca="1">RAND()</f>
        <v>0.46910158307538952</v>
      </c>
      <c r="L28" s="79" t="s">
        <v>679</v>
      </c>
    </row>
    <row r="29" spans="2:28" x14ac:dyDescent="0.3">
      <c r="B29" s="31" t="s">
        <v>1082</v>
      </c>
      <c r="C29" s="156">
        <f>'BoD input'!C21/'Input summary'!$C$167</f>
        <v>0.18978</v>
      </c>
      <c r="D29" s="156">
        <f>'BoD input'!D21/'Input summary'!$C$167</f>
        <v>0.13664000000000001</v>
      </c>
      <c r="E29" s="156">
        <f>'BoD input'!E21/'Input summary'!$C$167</f>
        <v>0.24292</v>
      </c>
      <c r="F29" s="156">
        <f>(E29-D29)/(2*1.96)</f>
        <v>2.711224489795918E-2</v>
      </c>
      <c r="G29" s="160" t="s">
        <v>578</v>
      </c>
      <c r="H29" s="162">
        <f t="shared" ref="H29:H35" si="5">IF(G29="Beta",C29*(C29*(1-C29)/(F29^2)-1),IF(G29="Lognormal",LN(C29^2/SQRT(F29^2+C29^2)),IF(G29="Gamma",C29^2/F29^2,IF(G29="Normal",C29,0))))</f>
        <v>39.508609322856067</v>
      </c>
      <c r="I29" s="162">
        <f t="shared" ref="I29:I35" si="6">IF(G29="Beta",C29*(1-C29)/(F29^2)-1-H29,IF(G29="Lognormal",SQRT(LN(1+F29^2/C29^2)),IF(G29="Gamma",F29^2/C29,IF(G29="Normal",F29,0))))</f>
        <v>168.67249154581324</v>
      </c>
      <c r="J29" s="70">
        <f ca="1">IF(F29=0,C29,IF(G29="Beta",_xlfn.BETA.INV(J28,H29,I29),IF(G29="Lognormal",EXP(NORMINV(J28,H29,I29)),IF(G29="Gamma",_xlfn.GAMMA.INV(J28,H29,I29),IF(G29="Normal",_xlfn.NORM.INV(J28,H29,I29),0)))))</f>
        <v>0.18668682109453874</v>
      </c>
      <c r="K29" s="149">
        <f ca="1">J29*100000</f>
        <v>18668.682109453875</v>
      </c>
    </row>
    <row r="30" spans="2:28" x14ac:dyDescent="0.3">
      <c r="B30" s="31" t="s">
        <v>1083</v>
      </c>
      <c r="C30" s="156">
        <f>'BoD input'!C22/'Input summary'!$C$167</f>
        <v>0.18978</v>
      </c>
      <c r="D30" s="156">
        <f>'BoD input'!D22/'Input summary'!$C$167</f>
        <v>0.13664000000000001</v>
      </c>
      <c r="E30" s="156">
        <f>'BoD input'!E22/'Input summary'!$C$167</f>
        <v>0.24292</v>
      </c>
      <c r="F30" s="156">
        <f t="shared" ref="F30:F35" si="7">(E30-D30)/(2*1.96)</f>
        <v>2.711224489795918E-2</v>
      </c>
      <c r="G30" s="160" t="s">
        <v>578</v>
      </c>
      <c r="H30" s="162">
        <f t="shared" si="5"/>
        <v>39.508609322856067</v>
      </c>
      <c r="I30" s="162">
        <f t="shared" si="6"/>
        <v>168.67249154581324</v>
      </c>
      <c r="J30" s="70">
        <f ca="1">IF(F30=0,C30,IF(G30="Beta",_xlfn.BETA.INV(J28,H30,I30),IF(G30="Lognormal",EXP(NORMINV(J28,H30,I30)),IF(G30="Gamma",_xlfn.GAMMA.INV(J28,H30,I30),IF(G30="Normal",_xlfn.NORM.INV(J28,H30,I30),0)))))</f>
        <v>0.18668682109453874</v>
      </c>
      <c r="K30" s="149">
        <f t="shared" ref="K30:K35" ca="1" si="8">J30*100000</f>
        <v>18668.682109453875</v>
      </c>
    </row>
    <row r="31" spans="2:28" x14ac:dyDescent="0.3">
      <c r="B31" s="31" t="s">
        <v>1084</v>
      </c>
      <c r="C31" s="156">
        <f>'BoD input'!C23/'Input summary'!$C$167</f>
        <v>0.18978</v>
      </c>
      <c r="D31" s="156">
        <f>'BoD input'!D23/'Input summary'!$C$167</f>
        <v>0.13664000000000001</v>
      </c>
      <c r="E31" s="156">
        <f>'BoD input'!E23/'Input summary'!$C$167</f>
        <v>0.24292</v>
      </c>
      <c r="F31" s="156">
        <f t="shared" si="7"/>
        <v>2.711224489795918E-2</v>
      </c>
      <c r="G31" s="160" t="s">
        <v>578</v>
      </c>
      <c r="H31" s="162">
        <f t="shared" si="5"/>
        <v>39.508609322856067</v>
      </c>
      <c r="I31" s="162">
        <f t="shared" si="6"/>
        <v>168.67249154581324</v>
      </c>
      <c r="J31" s="70">
        <f ca="1">IF(F31=0,C31,IF(G31="Beta",_xlfn.BETA.INV(J28,H31,I31),IF(G31="Lognormal",EXP(NORMINV(J28,H31,I31)),IF(G31="Gamma",_xlfn.GAMMA.INV(J28,H31,I31),IF(G31="Normal",_xlfn.NORM.INV(J28,H31,I31),0)))))</f>
        <v>0.18668682109453874</v>
      </c>
      <c r="K31" s="149">
        <f t="shared" ca="1" si="8"/>
        <v>18668.682109453875</v>
      </c>
    </row>
    <row r="32" spans="2:28" x14ac:dyDescent="0.3">
      <c r="B32" s="31" t="s">
        <v>1085</v>
      </c>
      <c r="C32" s="156">
        <f>'BoD input'!C24/'Input summary'!$C$167</f>
        <v>0.1547</v>
      </c>
      <c r="D32" s="156">
        <f>'BoD input'!D24/'Input summary'!$C$167</f>
        <v>0.11602</v>
      </c>
      <c r="E32" s="156">
        <f>'BoD input'!E24/'Input summary'!$C$167</f>
        <v>0.19336999999999999</v>
      </c>
      <c r="F32" s="156">
        <f t="shared" si="7"/>
        <v>1.9732142857142854E-2</v>
      </c>
      <c r="G32" s="160" t="s">
        <v>578</v>
      </c>
      <c r="H32" s="162">
        <f t="shared" si="5"/>
        <v>51.802171680000015</v>
      </c>
      <c r="I32" s="162">
        <f t="shared" si="6"/>
        <v>283.05349528832585</v>
      </c>
      <c r="J32" s="70">
        <f ca="1">IF(F32=0,C32,IF(G32="Beta",_xlfn.BETA.INV(J28,H32,I32),IF(G32="Lognormal",EXP(NORMINV(J28,H32,I32)),IF(G32="Gamma",_xlfn.GAMMA.INV(J28,H32,I32),IF(G32="Normal",_xlfn.NORM.INV(J28,H32,I32),0)))))</f>
        <v>0.15248635036924008</v>
      </c>
      <c r="K32" s="149">
        <f t="shared" ca="1" si="8"/>
        <v>15248.635036924008</v>
      </c>
      <c r="AB32" s="67"/>
    </row>
    <row r="33" spans="2:12" x14ac:dyDescent="0.3">
      <c r="B33" s="31" t="s">
        <v>1086</v>
      </c>
      <c r="C33" s="156">
        <f>'BoD input'!C25/'Input summary'!$C$167</f>
        <v>0.1547</v>
      </c>
      <c r="D33" s="156">
        <f>'BoD input'!D25/'Input summary'!$C$167</f>
        <v>0.11602</v>
      </c>
      <c r="E33" s="156">
        <f>'BoD input'!E25/'Input summary'!$C$167</f>
        <v>0.19336999999999999</v>
      </c>
      <c r="F33" s="156">
        <f t="shared" si="7"/>
        <v>1.9732142857142854E-2</v>
      </c>
      <c r="G33" s="160" t="s">
        <v>578</v>
      </c>
      <c r="H33" s="162">
        <f t="shared" si="5"/>
        <v>51.802171680000015</v>
      </c>
      <c r="I33" s="162">
        <f t="shared" si="6"/>
        <v>283.05349528832585</v>
      </c>
      <c r="J33" s="70">
        <f ca="1">IF(F33=0,C33,IF(G33="Beta",_xlfn.BETA.INV(J28,H33,I33),IF(G33="Lognormal",EXP(NORMINV(J28,H33,I33)),IF(G33="Gamma",_xlfn.GAMMA.INV(J28,H33,I33),IF(G33="Normal",_xlfn.NORM.INV(J28,H33,I33),0)))))</f>
        <v>0.15248635036924008</v>
      </c>
      <c r="K33" s="149">
        <f t="shared" ca="1" si="8"/>
        <v>15248.635036924008</v>
      </c>
    </row>
    <row r="34" spans="2:12" x14ac:dyDescent="0.3">
      <c r="B34" s="31" t="s">
        <v>1087</v>
      </c>
      <c r="C34" s="156">
        <f>'BoD input'!C26/'Input summary'!$C$167</f>
        <v>0.1547</v>
      </c>
      <c r="D34" s="156">
        <f>'BoD input'!D26/'Input summary'!$C$167</f>
        <v>0.11602</v>
      </c>
      <c r="E34" s="156">
        <f>'BoD input'!E26/'Input summary'!$C$167</f>
        <v>0.19336999999999999</v>
      </c>
      <c r="F34" s="156">
        <f t="shared" si="7"/>
        <v>1.9732142857142854E-2</v>
      </c>
      <c r="G34" s="160" t="s">
        <v>578</v>
      </c>
      <c r="H34" s="162">
        <f t="shared" si="5"/>
        <v>51.802171680000015</v>
      </c>
      <c r="I34" s="162">
        <f t="shared" si="6"/>
        <v>283.05349528832585</v>
      </c>
      <c r="J34" s="70">
        <f ca="1">IF(F34=0,C34,IF(G34="Beta",_xlfn.BETA.INV(J28,H34,I34),IF(G34="Lognormal",EXP(NORMINV(J28,H34,I34)),IF(G34="Gamma",_xlfn.GAMMA.INV(J28,H34,I34),IF(G34="Normal",_xlfn.NORM.INV(J28,H34,I34),0)))))</f>
        <v>0.15248635036924008</v>
      </c>
      <c r="K34" s="149">
        <f t="shared" ca="1" si="8"/>
        <v>15248.635036924008</v>
      </c>
    </row>
    <row r="35" spans="2:12" x14ac:dyDescent="0.3">
      <c r="B35" s="31" t="s">
        <v>1443</v>
      </c>
      <c r="C35" s="156">
        <f>'BoD input'!C27/'Input summary'!$C$167</f>
        <v>2.0549999999999999E-2</v>
      </c>
      <c r="D35" s="156">
        <f>'BoD input'!D27/'Input summary'!$C$167</f>
        <v>8.3800000000000003E-3</v>
      </c>
      <c r="E35" s="156">
        <f>'BoD input'!E27/'Input summary'!$C$167</f>
        <v>3.2550000000000003E-2</v>
      </c>
      <c r="F35" s="156">
        <f t="shared" si="7"/>
        <v>6.1658163265306135E-3</v>
      </c>
      <c r="G35" s="160" t="s">
        <v>578</v>
      </c>
      <c r="H35" s="162">
        <f t="shared" si="5"/>
        <v>10.859346306237924</v>
      </c>
      <c r="I35" s="162">
        <f t="shared" si="6"/>
        <v>517.57599706300414</v>
      </c>
      <c r="J35" s="70">
        <f ca="1">IF(F35=0,C35,IF(G35="Beta",_xlfn.BETA.INV(J28,H35,I35),IF(G35="Lognormal",EXP(NORMINV(J28,H35,I35)),IF(G35="Gamma",_xlfn.GAMMA.INV(J28,H35,I35),IF(G35="Normal",_xlfn.NORM.INV(J28,H35,I35),0)))))</f>
        <v>1.9480920493680259E-2</v>
      </c>
      <c r="K35" s="149">
        <f t="shared" ca="1" si="8"/>
        <v>1948.0920493680258</v>
      </c>
    </row>
    <row r="36" spans="2:12" x14ac:dyDescent="0.3">
      <c r="B36" s="151" t="s">
        <v>227</v>
      </c>
      <c r="C36" s="162"/>
      <c r="D36" s="162"/>
      <c r="E36" s="162"/>
      <c r="F36" s="162"/>
      <c r="G36" s="162"/>
      <c r="H36" s="162"/>
      <c r="I36" s="162"/>
      <c r="J36" s="291">
        <f ca="1">RAND()</f>
        <v>0.92408534325178959</v>
      </c>
      <c r="K36" s="149"/>
    </row>
    <row r="37" spans="2:12" x14ac:dyDescent="0.3">
      <c r="B37" s="31" t="s">
        <v>1437</v>
      </c>
      <c r="C37" s="156">
        <f>'BoD input'!C29/'Input summary'!$C$167</f>
        <v>0.11378000000000001</v>
      </c>
      <c r="D37" s="156">
        <f>'BoD input'!D29/'Input summary'!$C$167</f>
        <v>8.3059999999999995E-2</v>
      </c>
      <c r="E37" s="156">
        <f>'BoD input'!E29/'Input summary'!$C$167</f>
        <v>0.14449999999999999</v>
      </c>
      <c r="F37" s="156">
        <f t="shared" ref="F37:F38" si="9">(E37-D37)/(2*1.96)</f>
        <v>1.5673469387755101E-2</v>
      </c>
      <c r="G37" s="160" t="s">
        <v>578</v>
      </c>
      <c r="H37" s="162">
        <f t="shared" ref="H37:H38" si="10">IF(G37="Beta",C37*(C37*(1-C37)/(F37^2)-1),IF(G37="Lognormal",LN(C37^2/SQRT(F37^2+C37^2)),IF(G37="Gamma",C37^2/F37^2,IF(G37="Normal",C37,0))))</f>
        <v>46.589042245369903</v>
      </c>
      <c r="I37" s="162">
        <f t="shared" ref="I37:I38" si="11">IF(G37="Beta",C37*(1-C37)/(F37^2)-1-H37,IF(G37="Lognormal",SQRT(LN(1+F37^2/C37^2)),IF(G37="Gamma",F37^2/C37,IF(G37="Normal",F37,0))))</f>
        <v>362.87696448138257</v>
      </c>
      <c r="J37" s="70">
        <f ca="1">IF(F37=0,C37,IF(G37="Beta",_xlfn.BETA.INV(J36,H37,I37),IF(G37="Lognormal",EXP(NORMINV(J36,H37,I37)),IF(G37="Gamma",_xlfn.GAMMA.INV(J36,H37,I37),IF(G37="Normal",_xlfn.NORM.INV(J36,H37,I37),0)))))</f>
        <v>0.13687373686978577</v>
      </c>
      <c r="K37" s="149">
        <f t="shared" ref="K37:K38" ca="1" si="12">J37*100000</f>
        <v>13687.373686978577</v>
      </c>
    </row>
    <row r="38" spans="2:12" x14ac:dyDescent="0.3">
      <c r="B38" s="31" t="s">
        <v>1438</v>
      </c>
      <c r="C38" s="156">
        <f>'BoD input'!C30/'Input summary'!$C$167</f>
        <v>0.11378000000000001</v>
      </c>
      <c r="D38" s="156">
        <f>'BoD input'!D30/'Input summary'!$C$167</f>
        <v>8.3059999999999995E-2</v>
      </c>
      <c r="E38" s="156">
        <f>'BoD input'!E30/'Input summary'!$C$167</f>
        <v>0.14449999999999999</v>
      </c>
      <c r="F38" s="156">
        <f t="shared" si="9"/>
        <v>1.5673469387755101E-2</v>
      </c>
      <c r="G38" s="160" t="s">
        <v>578</v>
      </c>
      <c r="H38" s="162">
        <f t="shared" si="10"/>
        <v>46.589042245369903</v>
      </c>
      <c r="I38" s="162">
        <f t="shared" si="11"/>
        <v>362.87696448138257</v>
      </c>
      <c r="J38" s="70">
        <f ca="1">IF(F38=0,C38,IF(G38="Beta",_xlfn.BETA.INV(J36,H38,I38),IF(G38="Lognormal",EXP(NORMINV(J36,H38,I38)),IF(G38="Gamma",_xlfn.GAMMA.INV(J36,H38,I38),IF(G38="Normal",_xlfn.NORM.INV(J36,H38,I38),0)))))</f>
        <v>0.13687373686978577</v>
      </c>
      <c r="K38" s="149">
        <f t="shared" ca="1" si="12"/>
        <v>13687.373686978577</v>
      </c>
    </row>
    <row r="39" spans="2:12" x14ac:dyDescent="0.3">
      <c r="B39" s="31" t="s">
        <v>1441</v>
      </c>
      <c r="C39" s="156">
        <f>'BoD input'!C31/'Input summary'!$C$167</f>
        <v>0.18279999999999999</v>
      </c>
      <c r="D39" s="156">
        <f>'BoD input'!D31/'Input summary'!$C$167</f>
        <v>0.12429999999999999</v>
      </c>
      <c r="E39" s="156">
        <f>'BoD input'!E31/'Input summary'!$C$167</f>
        <v>0.24129</v>
      </c>
      <c r="F39" s="156">
        <f t="shared" si="1"/>
        <v>2.9844387755102043E-2</v>
      </c>
      <c r="G39" s="160" t="s">
        <v>578</v>
      </c>
      <c r="H39" s="162">
        <f t="shared" si="4"/>
        <v>30.476016977397361</v>
      </c>
      <c r="I39" s="162">
        <f t="shared" si="2"/>
        <v>136.2418001856079</v>
      </c>
      <c r="J39" s="70">
        <f ca="1">IF(F39=0,C39,IF(G39="Beta",_xlfn.BETA.INV(J36,H39,I39),IF(G39="Lognormal",EXP(NORMINV(J36,H39,I39)),IF(G39="Gamma",_xlfn.GAMMA.INV(J36,H39,I39),IF(G39="Normal",_xlfn.NORM.INV(J36,H39,I39),0)))))</f>
        <v>0.22687824875502849</v>
      </c>
      <c r="K39" s="149">
        <f t="shared" ca="1" si="3"/>
        <v>22687.824875502847</v>
      </c>
    </row>
    <row r="40" spans="2:12" x14ac:dyDescent="0.3">
      <c r="B40" s="31" t="s">
        <v>1442</v>
      </c>
      <c r="C40" s="156">
        <f>'BoD input'!C32/'Input summary'!$C$167</f>
        <v>0.18279999999999999</v>
      </c>
      <c r="D40" s="156">
        <f>'BoD input'!D32/'Input summary'!$C$167</f>
        <v>0.12429999999999999</v>
      </c>
      <c r="E40" s="156">
        <f>'BoD input'!E32/'Input summary'!$C$167</f>
        <v>0.24129</v>
      </c>
      <c r="F40" s="156">
        <f t="shared" si="1"/>
        <v>2.9844387755102043E-2</v>
      </c>
      <c r="G40" s="160" t="s">
        <v>578</v>
      </c>
      <c r="H40" s="162">
        <f t="shared" si="4"/>
        <v>30.476016977397361</v>
      </c>
      <c r="I40" s="162">
        <f t="shared" si="2"/>
        <v>136.2418001856079</v>
      </c>
      <c r="J40" s="70">
        <f ca="1">IF(F40=0,C40,IF(G40="Beta",_xlfn.BETA.INV(J36,H40,I40),IF(G40="Lognormal",EXP(NORMINV(J36,H40,I40)),IF(G40="Gamma",_xlfn.GAMMA.INV(J36,H40,I40),IF(G40="Normal",_xlfn.NORM.INV(J36,H40,I40),0)))))</f>
        <v>0.22687824875502849</v>
      </c>
      <c r="K40" s="149">
        <f t="shared" ca="1" si="3"/>
        <v>22687.824875502847</v>
      </c>
    </row>
    <row r="41" spans="2:12" x14ac:dyDescent="0.3">
      <c r="B41" s="151" t="s">
        <v>920</v>
      </c>
      <c r="C41" s="162"/>
      <c r="D41" s="162"/>
      <c r="E41" s="162"/>
      <c r="F41" s="162"/>
      <c r="G41" s="162"/>
      <c r="H41" s="162"/>
      <c r="I41" s="162"/>
      <c r="J41" s="291">
        <f ca="1">RAND()</f>
        <v>0.96379145336727223</v>
      </c>
      <c r="K41" s="149"/>
    </row>
    <row r="42" spans="2:12" x14ac:dyDescent="0.3">
      <c r="B42" s="31" t="s">
        <v>920</v>
      </c>
      <c r="C42" s="156">
        <f>'BoD input'!C34/'Input summary'!$C$167</f>
        <v>0</v>
      </c>
      <c r="D42" s="156">
        <f>'BoD input'!D34/'Input summary'!$C$167</f>
        <v>0</v>
      </c>
      <c r="E42" s="156">
        <f>'BoD input'!E34/'Input summary'!$C$167</f>
        <v>0</v>
      </c>
      <c r="F42" s="156">
        <f t="shared" si="1"/>
        <v>0</v>
      </c>
      <c r="G42" s="160" t="s">
        <v>578</v>
      </c>
      <c r="H42" s="162" t="e">
        <f t="shared" si="4"/>
        <v>#DIV/0!</v>
      </c>
      <c r="I42" s="162" t="e">
        <f t="shared" si="2"/>
        <v>#DIV/0!</v>
      </c>
      <c r="J42" s="70">
        <f>IF(F42=0,C42,IF(G42="Beta",_xlfn.BETA.INV(J41,H42,I42),IF(G42="Lognormal",EXP(NORMINV(J41,H42,I42)),IF(G42="Gamma",_xlfn.GAMMA.INV(J41,H42,I42),IF(G42="Normal",_xlfn.NORM.INV(J41,H42,I42),0)))))</f>
        <v>0</v>
      </c>
      <c r="K42" s="149">
        <f t="shared" si="3"/>
        <v>0</v>
      </c>
    </row>
    <row r="43" spans="2:12" x14ac:dyDescent="0.3">
      <c r="B43" s="31" t="s">
        <v>980</v>
      </c>
      <c r="C43" s="156">
        <f>'BoD input'!C35/'Input summary'!$C$167</f>
        <v>0</v>
      </c>
      <c r="D43" s="156">
        <f>'BoD input'!D35/'Input summary'!$C$167</f>
        <v>0</v>
      </c>
      <c r="E43" s="156">
        <f>'BoD input'!E35/'Input summary'!$C$167</f>
        <v>0</v>
      </c>
      <c r="F43" s="156">
        <f t="shared" si="1"/>
        <v>0</v>
      </c>
      <c r="G43" s="160" t="s">
        <v>578</v>
      </c>
      <c r="H43" s="162" t="e">
        <f t="shared" si="4"/>
        <v>#DIV/0!</v>
      </c>
      <c r="I43" s="162" t="e">
        <f t="shared" si="2"/>
        <v>#DIV/0!</v>
      </c>
      <c r="J43" s="70">
        <f>IF(F43=0,C43,IF(G43="Beta",_xlfn.BETA.INV(J41,H43,I43),IF(G43="Lognormal",EXP(NORMINV(J41,H43,I43)),IF(G43="Gamma",_xlfn.GAMMA.INV(J41,H43,I43),IF(G43="Normal",_xlfn.NORM.INV(J41,H43,I43),0)))))</f>
        <v>0</v>
      </c>
      <c r="K43" s="149">
        <f t="shared" si="3"/>
        <v>0</v>
      </c>
    </row>
    <row r="44" spans="2:12" x14ac:dyDescent="0.3">
      <c r="B44" s="31"/>
      <c r="C44" s="162"/>
      <c r="D44" s="162"/>
      <c r="E44" s="162"/>
      <c r="F44" s="162"/>
      <c r="G44" s="162"/>
      <c r="H44" s="162"/>
      <c r="I44" s="162"/>
      <c r="J44" s="70"/>
    </row>
    <row r="45" spans="2:12" x14ac:dyDescent="0.3">
      <c r="B45" s="187" t="s">
        <v>992</v>
      </c>
      <c r="C45" s="166"/>
      <c r="D45" s="166"/>
      <c r="E45" s="166"/>
      <c r="F45" s="73"/>
      <c r="G45" s="73"/>
      <c r="H45" s="73"/>
      <c r="I45" s="73"/>
      <c r="J45" s="73"/>
    </row>
    <row r="46" spans="2:12" x14ac:dyDescent="0.3">
      <c r="B46" s="159" t="s">
        <v>1</v>
      </c>
      <c r="C46" s="159" t="s">
        <v>567</v>
      </c>
      <c r="D46" s="159" t="s">
        <v>985</v>
      </c>
      <c r="E46" s="159" t="s">
        <v>986</v>
      </c>
      <c r="F46" s="73" t="s">
        <v>584</v>
      </c>
      <c r="G46" s="73" t="s">
        <v>569</v>
      </c>
      <c r="H46" s="73" t="s">
        <v>581</v>
      </c>
      <c r="I46" s="73" t="s">
        <v>582</v>
      </c>
      <c r="J46" s="73" t="s">
        <v>583</v>
      </c>
    </row>
    <row r="47" spans="2:12" x14ac:dyDescent="0.3">
      <c r="B47" s="150" t="s">
        <v>988</v>
      </c>
      <c r="C47" s="197"/>
      <c r="D47" s="197"/>
      <c r="E47" s="197"/>
      <c r="H47" s="141"/>
      <c r="I47" s="141"/>
      <c r="J47" s="291">
        <f ca="1">RAND()</f>
        <v>0.25303342098626436</v>
      </c>
      <c r="L47" s="79" t="s">
        <v>679</v>
      </c>
    </row>
    <row r="48" spans="2:12" x14ac:dyDescent="0.3">
      <c r="B48" s="31" t="s">
        <v>1082</v>
      </c>
      <c r="C48" s="156">
        <f>'BoD input'!C43/'Input summary'!$C$168</f>
        <v>5.2789999999999997E-2</v>
      </c>
      <c r="D48" s="156">
        <f>'BoD input'!D43/'Input summary'!$C$168</f>
        <v>3.8010000000000002E-2</v>
      </c>
      <c r="E48" s="156">
        <f>'BoD input'!E43/'Input summary'!$C$168</f>
        <v>6.7570000000000005E-2</v>
      </c>
      <c r="F48" s="156">
        <f>(E48-D48)/(2*1.96)</f>
        <v>7.540816326530613E-3</v>
      </c>
      <c r="G48" s="160" t="s">
        <v>578</v>
      </c>
      <c r="H48" s="162">
        <f t="shared" ref="H48:H54" si="13">IF(G48="Beta",C48*(C48*(1-C48)/(F48^2)-1),IF(G48="Lognormal",LN(C48^2/SQRT(F48^2+C48^2)),IF(G48="Gamma",C48^2/F48^2,IF(G48="Normal",C48,0))))</f>
        <v>46.3680369700946</v>
      </c>
      <c r="I48" s="162">
        <f t="shared" ref="I48:I54" si="14">IF(G48="Beta",C48*(1-C48)/(F48^2)-1-H48,IF(G48="Lognormal",SQRT(LN(1+F48^2/C48^2)),IF(G48="Gamma",F48^2/C48,IF(G48="Normal",F48,0))))</f>
        <v>831.98083535600131</v>
      </c>
      <c r="J48" s="70">
        <f ca="1">IF(F48=0,C48,IF(G48="Beta",_xlfn.BETA.INV(J47,H48,I48),IF(G48="Lognormal",EXP(NORMINV(J47,H48,I48)),IF(G48="Gamma",_xlfn.GAMMA.INV(J47,H48,I48),IF(G48="Normal",_xlfn.NORM.INV(J47,H48,I48),0)))))</f>
        <v>4.7599571869043962E-2</v>
      </c>
      <c r="K48" s="149">
        <f ca="1">J48*100000</f>
        <v>4759.9571869043966</v>
      </c>
      <c r="L48">
        <f>(E48+D48)/2</f>
        <v>5.2790000000000004E-2</v>
      </c>
    </row>
    <row r="49" spans="2:28" x14ac:dyDescent="0.3">
      <c r="B49" s="31" t="s">
        <v>1083</v>
      </c>
      <c r="C49" s="156">
        <f>'BoD input'!C44/'Input summary'!$C$168</f>
        <v>5.2789999999999997E-2</v>
      </c>
      <c r="D49" s="156">
        <f>'BoD input'!D44/'Input summary'!$C$168</f>
        <v>3.8010000000000002E-2</v>
      </c>
      <c r="E49" s="156">
        <f>'BoD input'!E44/'Input summary'!$C$168</f>
        <v>6.7570000000000005E-2</v>
      </c>
      <c r="F49" s="156">
        <f t="shared" ref="F49:F54" si="15">(E49-D49)/(2*1.96)</f>
        <v>7.540816326530613E-3</v>
      </c>
      <c r="G49" s="160" t="s">
        <v>578</v>
      </c>
      <c r="H49" s="162">
        <f t="shared" si="13"/>
        <v>46.3680369700946</v>
      </c>
      <c r="I49" s="162">
        <f t="shared" si="14"/>
        <v>831.98083535600131</v>
      </c>
      <c r="J49" s="70">
        <f ca="1">IF(F49=0,C49,IF(G49="Beta",_xlfn.BETA.INV(J47,H49,I49),IF(G49="Lognormal",EXP(NORMINV(J47,H49,I49)),IF(G49="Gamma",_xlfn.GAMMA.INV(J47,H49,I49),IF(G49="Normal",_xlfn.NORM.INV(J47,H49,I49),0)))))</f>
        <v>4.7599571869043962E-2</v>
      </c>
      <c r="K49" s="149">
        <f t="shared" ref="K49:K70" ca="1" si="16">J49*100000</f>
        <v>4759.9571869043966</v>
      </c>
    </row>
    <row r="50" spans="2:28" x14ac:dyDescent="0.3">
      <c r="B50" s="31" t="s">
        <v>1084</v>
      </c>
      <c r="C50" s="156">
        <f>'BoD input'!C45/'Input summary'!$C$168</f>
        <v>5.2789999999999997E-2</v>
      </c>
      <c r="D50" s="156">
        <f>'BoD input'!D45/'Input summary'!$C$168</f>
        <v>3.8010000000000002E-2</v>
      </c>
      <c r="E50" s="156">
        <f>'BoD input'!E45/'Input summary'!$C$168</f>
        <v>6.7570000000000005E-2</v>
      </c>
      <c r="F50" s="156">
        <f t="shared" si="15"/>
        <v>7.540816326530613E-3</v>
      </c>
      <c r="G50" s="160" t="s">
        <v>578</v>
      </c>
      <c r="H50" s="162">
        <f t="shared" si="13"/>
        <v>46.3680369700946</v>
      </c>
      <c r="I50" s="162">
        <f t="shared" si="14"/>
        <v>831.98083535600131</v>
      </c>
      <c r="J50" s="70">
        <f ca="1">IF(F50=0,C50,IF(G50="Beta",_xlfn.BETA.INV(J47,H50,I50),IF(G50="Lognormal",EXP(NORMINV(J47,H50,I50)),IF(G50="Gamma",_xlfn.GAMMA.INV(J47,H50,I50),IF(G50="Normal",_xlfn.NORM.INV(J47,H50,I50),0)))))</f>
        <v>4.7599571869043962E-2</v>
      </c>
      <c r="K50" s="149">
        <f t="shared" ca="1" si="16"/>
        <v>4759.9571869043966</v>
      </c>
    </row>
    <row r="51" spans="2:28" x14ac:dyDescent="0.3">
      <c r="B51" s="31" t="s">
        <v>1085</v>
      </c>
      <c r="C51" s="156">
        <f>'BoD input'!C46/'Input summary'!$C$168</f>
        <v>5.2900000000000003E-2</v>
      </c>
      <c r="D51" s="156">
        <f>'BoD input'!D46/'Input summary'!$C$168</f>
        <v>3.9140000000000001E-2</v>
      </c>
      <c r="E51" s="156">
        <f>'BoD input'!E46/'Input summary'!$C$168</f>
        <v>6.6650000000000001E-2</v>
      </c>
      <c r="F51" s="156">
        <f t="shared" si="15"/>
        <v>7.0178571428571425E-3</v>
      </c>
      <c r="G51" s="160" t="s">
        <v>578</v>
      </c>
      <c r="H51" s="162">
        <f t="shared" si="13"/>
        <v>53.761454331177298</v>
      </c>
      <c r="I51" s="162">
        <f t="shared" si="14"/>
        <v>962.52312659845018</v>
      </c>
      <c r="J51" s="70">
        <f ca="1">IF(F51=0,C51,IF(G51="Beta",_xlfn.BETA.INV(J47,H51,I51),IF(G51="Lognormal",EXP(NORMINV(J47,H51,I51)),IF(G51="Gamma",_xlfn.GAMMA.INV(J47,H51,I51),IF(G51="Normal",_xlfn.NORM.INV(J47,H51,I51),0)))))</f>
        <v>4.8080393067292664E-2</v>
      </c>
      <c r="K51" s="149">
        <f t="shared" ca="1" si="16"/>
        <v>4808.0393067292662</v>
      </c>
    </row>
    <row r="52" spans="2:28" x14ac:dyDescent="0.3">
      <c r="B52" s="31" t="s">
        <v>1086</v>
      </c>
      <c r="C52" s="156">
        <f>'BoD input'!C47/'Input summary'!$C$168</f>
        <v>5.2900000000000003E-2</v>
      </c>
      <c r="D52" s="156">
        <f>'BoD input'!D47/'Input summary'!$C$168</f>
        <v>3.9140000000000001E-2</v>
      </c>
      <c r="E52" s="156">
        <f>'BoD input'!E47/'Input summary'!$C$168</f>
        <v>6.6650000000000001E-2</v>
      </c>
      <c r="F52" s="156">
        <f t="shared" si="15"/>
        <v>7.0178571428571425E-3</v>
      </c>
      <c r="G52" s="160" t="s">
        <v>578</v>
      </c>
      <c r="H52" s="162">
        <f t="shared" si="13"/>
        <v>53.761454331177298</v>
      </c>
      <c r="I52" s="162">
        <f t="shared" si="14"/>
        <v>962.52312659845018</v>
      </c>
      <c r="J52" s="70">
        <f ca="1">IF(F52=0,C52,IF(G52="Beta",_xlfn.BETA.INV(J47,H52,I52),IF(G52="Lognormal",EXP(NORMINV(J47,H52,I52)),IF(G52="Gamma",_xlfn.GAMMA.INV(J47,H52,I52),IF(G52="Normal",_xlfn.NORM.INV(J47,H52,I52),0)))))</f>
        <v>4.8080393067292664E-2</v>
      </c>
      <c r="K52" s="149">
        <f t="shared" ca="1" si="16"/>
        <v>4808.0393067292662</v>
      </c>
    </row>
    <row r="53" spans="2:28" x14ac:dyDescent="0.3">
      <c r="B53" s="31" t="s">
        <v>1087</v>
      </c>
      <c r="C53" s="156">
        <f>'BoD input'!C48/'Input summary'!$C$168</f>
        <v>5.2900000000000003E-2</v>
      </c>
      <c r="D53" s="156">
        <f>'BoD input'!D48/'Input summary'!$C$168</f>
        <v>3.9140000000000001E-2</v>
      </c>
      <c r="E53" s="156">
        <f>'BoD input'!E48/'Input summary'!$C$168</f>
        <v>6.6650000000000001E-2</v>
      </c>
      <c r="F53" s="156">
        <f t="shared" si="15"/>
        <v>7.0178571428571425E-3</v>
      </c>
      <c r="G53" s="160" t="s">
        <v>578</v>
      </c>
      <c r="H53" s="162">
        <f t="shared" si="13"/>
        <v>53.761454331177298</v>
      </c>
      <c r="I53" s="162">
        <f t="shared" si="14"/>
        <v>962.52312659845018</v>
      </c>
      <c r="J53" s="70">
        <f ca="1">IF(F53=0,C53,IF(G53="Beta",_xlfn.BETA.INV(J47,H53,I53),IF(G53="Lognormal",EXP(NORMINV(J47,H53,I53)),IF(G53="Gamma",_xlfn.GAMMA.INV(J47,H53,I53),IF(G53="Normal",_xlfn.NORM.INV(J47,H53,I53),0)))))</f>
        <v>4.8080393067292664E-2</v>
      </c>
      <c r="K53" s="149">
        <f t="shared" ca="1" si="16"/>
        <v>4808.0393067292662</v>
      </c>
    </row>
    <row r="54" spans="2:28" x14ac:dyDescent="0.3">
      <c r="B54" s="31" t="s">
        <v>1443</v>
      </c>
      <c r="C54" s="156">
        <f>'BoD input'!C49/'Input summary'!$C$168</f>
        <v>6.5300000000000002E-3</v>
      </c>
      <c r="D54" s="156">
        <f>'BoD input'!D49/'Input summary'!$C$168</f>
        <v>2.7000000000000001E-3</v>
      </c>
      <c r="E54" s="156">
        <f>'BoD input'!E49/'Input summary'!$C$168</f>
        <v>1.0359999999999999E-2</v>
      </c>
      <c r="F54" s="156">
        <f t="shared" si="15"/>
        <v>1.9540816326530609E-3</v>
      </c>
      <c r="G54" s="160" t="s">
        <v>578</v>
      </c>
      <c r="H54" s="162">
        <f t="shared" si="13"/>
        <v>11.087662940997408</v>
      </c>
      <c r="I54" s="162">
        <f t="shared" si="14"/>
        <v>1686.8699084215457</v>
      </c>
      <c r="J54" s="70">
        <f ca="1">IF(F54=0,C54,IF(G54="Beta",_xlfn.BETA.INV(J47,H54,I54),IF(G54="Lognormal",EXP(NORMINV(J47,H54,I54)),IF(G54="Gamma",_xlfn.GAMMA.INV(J47,H54,I54),IF(G54="Normal",_xlfn.NORM.INV(J47,H54,I54),0)))))</f>
        <v>5.1438697230919983E-3</v>
      </c>
      <c r="K54" s="149">
        <f t="shared" ca="1" si="16"/>
        <v>514.38697230919979</v>
      </c>
    </row>
    <row r="55" spans="2:28" x14ac:dyDescent="0.3">
      <c r="B55" s="150" t="s">
        <v>1444</v>
      </c>
      <c r="H55" s="141"/>
      <c r="I55" s="141"/>
      <c r="J55" s="291">
        <f ca="1">RAND()</f>
        <v>0.3927094268900303</v>
      </c>
      <c r="L55" s="79" t="s">
        <v>679</v>
      </c>
    </row>
    <row r="56" spans="2:28" x14ac:dyDescent="0.3">
      <c r="B56" s="31" t="s">
        <v>1082</v>
      </c>
      <c r="C56" s="156">
        <f>'BoD input'!C51/'Input summary'!$C$168</f>
        <v>5.2789999999999997E-2</v>
      </c>
      <c r="D56" s="156">
        <f>'BoD input'!D51/'Input summary'!$C$168</f>
        <v>3.8010000000000002E-2</v>
      </c>
      <c r="E56" s="156">
        <f>'BoD input'!E51/'Input summary'!$C$168</f>
        <v>6.7570000000000005E-2</v>
      </c>
      <c r="F56" s="156">
        <f>(E56-D56)/(2*1.96)</f>
        <v>7.540816326530613E-3</v>
      </c>
      <c r="G56" s="160" t="s">
        <v>578</v>
      </c>
      <c r="H56" s="162">
        <f t="shared" ref="H56:H62" si="17">IF(G56="Beta",C56*(C56*(1-C56)/(F56^2)-1),IF(G56="Lognormal",LN(C56^2/SQRT(F56^2+C56^2)),IF(G56="Gamma",C56^2/F56^2,IF(G56="Normal",C56,0))))</f>
        <v>46.3680369700946</v>
      </c>
      <c r="I56" s="162">
        <f t="shared" ref="I56:I62" si="18">IF(G56="Beta",C56*(1-C56)/(F56^2)-1-H56,IF(G56="Lognormal",SQRT(LN(1+F56^2/C56^2)),IF(G56="Gamma",F56^2/C56,IF(G56="Normal",F56,0))))</f>
        <v>831.98083535600131</v>
      </c>
      <c r="J56" s="70">
        <f ca="1">IF(F56=0,C56,IF(G56="Beta",_xlfn.BETA.INV(J55,H56,I56),IF(G56="Lognormal",EXP(NORMINV(J55,H56,I56)),IF(G56="Gamma",_xlfn.GAMMA.INV(J55,H56,I56),IF(G56="Normal",_xlfn.NORM.INV(J55,H56,I56),0)))))</f>
        <v>5.042838058753444E-2</v>
      </c>
      <c r="K56" s="149">
        <f ca="1">J56*100000</f>
        <v>5042.8380587534439</v>
      </c>
    </row>
    <row r="57" spans="2:28" x14ac:dyDescent="0.3">
      <c r="B57" s="31" t="s">
        <v>1083</v>
      </c>
      <c r="C57" s="156">
        <f>'BoD input'!C52/'Input summary'!$C$168</f>
        <v>5.2789999999999997E-2</v>
      </c>
      <c r="D57" s="156">
        <f>'BoD input'!D52/'Input summary'!$C$168</f>
        <v>3.8010000000000002E-2</v>
      </c>
      <c r="E57" s="156">
        <f>'BoD input'!E52/'Input summary'!$C$168</f>
        <v>6.7570000000000005E-2</v>
      </c>
      <c r="F57" s="156">
        <f t="shared" ref="F57:F62" si="19">(E57-D57)/(2*1.96)</f>
        <v>7.540816326530613E-3</v>
      </c>
      <c r="G57" s="160" t="s">
        <v>578</v>
      </c>
      <c r="H57" s="162">
        <f t="shared" si="17"/>
        <v>46.3680369700946</v>
      </c>
      <c r="I57" s="162">
        <f t="shared" si="18"/>
        <v>831.98083535600131</v>
      </c>
      <c r="J57" s="70">
        <f ca="1">IF(F57=0,C57,IF(G57="Beta",_xlfn.BETA.INV(J55,H57,I57),IF(G57="Lognormal",EXP(NORMINV(J55,H57,I57)),IF(G57="Gamma",_xlfn.GAMMA.INV(J55,H57,I57),IF(G57="Normal",_xlfn.NORM.INV(J55,H57,I57),0)))))</f>
        <v>5.042838058753444E-2</v>
      </c>
      <c r="K57" s="149">
        <f t="shared" ref="K57:K62" ca="1" si="20">J57*100000</f>
        <v>5042.8380587534439</v>
      </c>
    </row>
    <row r="58" spans="2:28" x14ac:dyDescent="0.3">
      <c r="B58" s="31" t="s">
        <v>1084</v>
      </c>
      <c r="C58" s="156">
        <f>'BoD input'!C53/'Input summary'!$C$168</f>
        <v>5.2789999999999997E-2</v>
      </c>
      <c r="D58" s="156">
        <f>'BoD input'!D53/'Input summary'!$C$168</f>
        <v>3.8010000000000002E-2</v>
      </c>
      <c r="E58" s="156">
        <f>'BoD input'!E53/'Input summary'!$C$168</f>
        <v>6.7570000000000005E-2</v>
      </c>
      <c r="F58" s="156">
        <f t="shared" si="19"/>
        <v>7.540816326530613E-3</v>
      </c>
      <c r="G58" s="160" t="s">
        <v>578</v>
      </c>
      <c r="H58" s="162">
        <f t="shared" si="17"/>
        <v>46.3680369700946</v>
      </c>
      <c r="I58" s="162">
        <f t="shared" si="18"/>
        <v>831.98083535600131</v>
      </c>
      <c r="J58" s="70">
        <f ca="1">IF(F58=0,C58,IF(G58="Beta",_xlfn.BETA.INV(J55,H58,I58),IF(G58="Lognormal",EXP(NORMINV(J55,H58,I58)),IF(G58="Gamma",_xlfn.GAMMA.INV(J55,H58,I58),IF(G58="Normal",_xlfn.NORM.INV(J55,H58,I58),0)))))</f>
        <v>5.042838058753444E-2</v>
      </c>
      <c r="K58" s="149">
        <f t="shared" ca="1" si="20"/>
        <v>5042.8380587534439</v>
      </c>
    </row>
    <row r="59" spans="2:28" x14ac:dyDescent="0.3">
      <c r="B59" s="31" t="s">
        <v>1085</v>
      </c>
      <c r="C59" s="156">
        <f>'BoD input'!C54/'Input summary'!$C$168</f>
        <v>5.2900000000000003E-2</v>
      </c>
      <c r="D59" s="156">
        <f>'BoD input'!D54/'Input summary'!$C$168</f>
        <v>3.9669999999999997E-2</v>
      </c>
      <c r="E59" s="156">
        <f>'BoD input'!E54/'Input summary'!$C$168</f>
        <v>6.6119999999999998E-2</v>
      </c>
      <c r="F59" s="156">
        <f t="shared" si="19"/>
        <v>6.747448979591837E-3</v>
      </c>
      <c r="G59" s="160" t="s">
        <v>578</v>
      </c>
      <c r="H59" s="162">
        <f t="shared" si="17"/>
        <v>58.161169760000007</v>
      </c>
      <c r="I59" s="162">
        <f t="shared" si="18"/>
        <v>1041.2938351549337</v>
      </c>
      <c r="J59" s="70">
        <f ca="1">IF(F59=0,C59,IF(G59="Beta",_xlfn.BETA.INV(J55,H59,I59),IF(G59="Lognormal",EXP(NORMINV(J55,H59,I59)),IF(G59="Gamma",_xlfn.GAMMA.INV(J55,H59,I59),IF(G59="Normal",_xlfn.NORM.INV(J55,H59,I59),0)))))</f>
        <v>5.0815975655648847E-2</v>
      </c>
      <c r="K59" s="149">
        <f t="shared" ca="1" si="20"/>
        <v>5081.5975655648845</v>
      </c>
      <c r="AB59" s="67"/>
    </row>
    <row r="60" spans="2:28" x14ac:dyDescent="0.3">
      <c r="B60" s="31" t="s">
        <v>1086</v>
      </c>
      <c r="C60" s="156">
        <f>'BoD input'!C55/'Input summary'!$C$168</f>
        <v>5.2900000000000003E-2</v>
      </c>
      <c r="D60" s="156">
        <f>'BoD input'!D55/'Input summary'!$C$168</f>
        <v>3.9669999999999997E-2</v>
      </c>
      <c r="E60" s="156">
        <f>'BoD input'!E55/'Input summary'!$C$168</f>
        <v>6.6119999999999998E-2</v>
      </c>
      <c r="F60" s="156">
        <f t="shared" si="19"/>
        <v>6.747448979591837E-3</v>
      </c>
      <c r="G60" s="160" t="s">
        <v>578</v>
      </c>
      <c r="H60" s="162">
        <f t="shared" si="17"/>
        <v>58.161169760000007</v>
      </c>
      <c r="I60" s="162">
        <f t="shared" si="18"/>
        <v>1041.2938351549337</v>
      </c>
      <c r="J60" s="70">
        <f ca="1">IF(F60=0,C60,IF(G60="Beta",_xlfn.BETA.INV(J55,H60,I60),IF(G60="Lognormal",EXP(NORMINV(J55,H60,I60)),IF(G60="Gamma",_xlfn.GAMMA.INV(J55,H60,I60),IF(G60="Normal",_xlfn.NORM.INV(J55,H60,I60),0)))))</f>
        <v>5.0815975655648847E-2</v>
      </c>
      <c r="K60" s="149">
        <f t="shared" ca="1" si="20"/>
        <v>5081.5975655648845</v>
      </c>
    </row>
    <row r="61" spans="2:28" x14ac:dyDescent="0.3">
      <c r="B61" s="31" t="s">
        <v>1087</v>
      </c>
      <c r="C61" s="156">
        <f>'BoD input'!C56/'Input summary'!$C$168</f>
        <v>5.2900000000000003E-2</v>
      </c>
      <c r="D61" s="156">
        <f>'BoD input'!D56/'Input summary'!$C$168</f>
        <v>3.9669999999999997E-2</v>
      </c>
      <c r="E61" s="156">
        <f>'BoD input'!E56/'Input summary'!$C$168</f>
        <v>6.6119999999999998E-2</v>
      </c>
      <c r="F61" s="156">
        <f t="shared" si="19"/>
        <v>6.747448979591837E-3</v>
      </c>
      <c r="G61" s="160" t="s">
        <v>578</v>
      </c>
      <c r="H61" s="162">
        <f t="shared" si="17"/>
        <v>58.161169760000007</v>
      </c>
      <c r="I61" s="162">
        <f t="shared" si="18"/>
        <v>1041.2938351549337</v>
      </c>
      <c r="J61" s="70">
        <f ca="1">IF(F61=0,C61,IF(G61="Beta",_xlfn.BETA.INV(J55,H61,I61),IF(G61="Lognormal",EXP(NORMINV(J55,H61,I61)),IF(G61="Gamma",_xlfn.GAMMA.INV(J55,H61,I61),IF(G61="Normal",_xlfn.NORM.INV(J55,H61,I61),0)))))</f>
        <v>5.0815975655648847E-2</v>
      </c>
      <c r="K61" s="149">
        <f t="shared" ca="1" si="20"/>
        <v>5081.5975655648845</v>
      </c>
    </row>
    <row r="62" spans="2:28" x14ac:dyDescent="0.3">
      <c r="B62" s="31" t="s">
        <v>1443</v>
      </c>
      <c r="C62" s="156">
        <f>'BoD input'!C57/'Input summary'!$C$168</f>
        <v>6.5300000000000002E-3</v>
      </c>
      <c r="D62" s="156">
        <f>'BoD input'!D57/'Input summary'!$C$168</f>
        <v>2.7000000000000001E-3</v>
      </c>
      <c r="E62" s="156">
        <f>'BoD input'!E57/'Input summary'!$C$168</f>
        <v>1.0359999999999999E-2</v>
      </c>
      <c r="F62" s="156">
        <f t="shared" si="19"/>
        <v>1.9540816326530609E-3</v>
      </c>
      <c r="G62" s="160" t="s">
        <v>578</v>
      </c>
      <c r="H62" s="162">
        <f t="shared" si="17"/>
        <v>11.087662940997408</v>
      </c>
      <c r="I62" s="162">
        <f t="shared" si="18"/>
        <v>1686.8699084215457</v>
      </c>
      <c r="J62" s="70">
        <f ca="1">IF(F62=0,C62,IF(G62="Beta",_xlfn.BETA.INV(J55,H62,I62),IF(G62="Lognormal",EXP(NORMINV(J55,H62,I62)),IF(G62="Gamma",_xlfn.GAMMA.INV(J55,H62,I62),IF(G62="Normal",_xlfn.NORM.INV(J55,H62,I62),0)))))</f>
        <v>5.8284396659498555E-3</v>
      </c>
      <c r="K62" s="149">
        <f t="shared" ca="1" si="20"/>
        <v>582.84396659498555</v>
      </c>
    </row>
    <row r="63" spans="2:28" x14ac:dyDescent="0.3">
      <c r="B63" s="151" t="s">
        <v>227</v>
      </c>
      <c r="C63" s="162"/>
      <c r="D63" s="162"/>
      <c r="E63" s="162"/>
      <c r="F63" s="162"/>
      <c r="G63" s="162"/>
      <c r="H63" s="162"/>
      <c r="I63" s="162"/>
      <c r="J63" s="291">
        <f ca="1">RAND()</f>
        <v>0.73429566001655644</v>
      </c>
      <c r="K63" s="149"/>
    </row>
    <row r="64" spans="2:28" x14ac:dyDescent="0.3">
      <c r="B64" s="31" t="s">
        <v>1437</v>
      </c>
      <c r="C64" s="156">
        <f>'BoD input'!C59/'Input summary'!$C$168</f>
        <v>4.6760000000000003E-2</v>
      </c>
      <c r="D64" s="156">
        <f>'BoD input'!D59/'Input summary'!$C$168</f>
        <v>3.4139999999999997E-2</v>
      </c>
      <c r="E64" s="156">
        <f>'BoD input'!E59/'Input summary'!$C$168</f>
        <v>5.9389999999999998E-2</v>
      </c>
      <c r="F64" s="156">
        <f t="shared" ref="F64:F65" si="21">(E64-D64)/(2*1.96)</f>
        <v>6.4413265306122458E-3</v>
      </c>
      <c r="G64" s="160" t="s">
        <v>578</v>
      </c>
      <c r="H64" s="162">
        <f t="shared" ref="H64:H65" si="22">IF(G64="Beta",C64*(C64*(1-C64)/(F64^2)-1),IF(G64="Lognormal",LN(C64^2/SQRT(F64^2+C64^2)),IF(G64="Gamma",C64^2/F64^2,IF(G64="Normal",C64,0))))</f>
        <v>50.187572066241145</v>
      </c>
      <c r="I64" s="162">
        <f t="shared" ref="I64:I65" si="23">IF(G64="Beta",C64*(1-C64)/(F64^2)-1-H64,IF(G64="Lognormal",SQRT(LN(1+F64^2/C64^2)),IF(G64="Gamma",F64^2/C64,IF(G64="Normal",F64,0))))</f>
        <v>1023.1137980415677</v>
      </c>
      <c r="J64" s="70">
        <f ca="1">IF(F64=0,C64,IF(G64="Beta",_xlfn.BETA.INV(J63,H64,I64),IF(G64="Lognormal",EXP(NORMINV(J63,H64,I64)),IF(G64="Gamma",_xlfn.GAMMA.INV(J63,H64,I64),IF(G64="Normal",_xlfn.NORM.INV(J63,H64,I64),0)))))</f>
        <v>5.0610055855936253E-2</v>
      </c>
      <c r="K64" s="149">
        <f t="shared" ref="K64:K65" ca="1" si="24">J64*100000</f>
        <v>5061.0055855936253</v>
      </c>
    </row>
    <row r="65" spans="2:12" x14ac:dyDescent="0.3">
      <c r="B65" s="31" t="s">
        <v>1438</v>
      </c>
      <c r="C65" s="156">
        <f>'BoD input'!C60/'Input summary'!$C$168</f>
        <v>4.6760000000000003E-2</v>
      </c>
      <c r="D65" s="156">
        <f>'BoD input'!D60/'Input summary'!$C$168</f>
        <v>3.4139999999999997E-2</v>
      </c>
      <c r="E65" s="156">
        <f>'BoD input'!E60/'Input summary'!$C$168</f>
        <v>5.9389999999999998E-2</v>
      </c>
      <c r="F65" s="156">
        <f t="shared" si="21"/>
        <v>6.4413265306122458E-3</v>
      </c>
      <c r="G65" s="160" t="s">
        <v>578</v>
      </c>
      <c r="H65" s="162">
        <f t="shared" si="22"/>
        <v>50.187572066241145</v>
      </c>
      <c r="I65" s="162">
        <f t="shared" si="23"/>
        <v>1023.1137980415677</v>
      </c>
      <c r="J65" s="70">
        <f ca="1">IF(F65=0,C65,IF(G65="Beta",_xlfn.BETA.INV(J63,H65,I65),IF(G65="Lognormal",EXP(NORMINV(J63,H65,I65)),IF(G65="Gamma",_xlfn.GAMMA.INV(J63,H65,I65),IF(G65="Normal",_xlfn.NORM.INV(J63,H65,I65),0)))))</f>
        <v>5.0610055855936253E-2</v>
      </c>
      <c r="K65" s="149">
        <f t="shared" ca="1" si="24"/>
        <v>5061.0055855936253</v>
      </c>
    </row>
    <row r="66" spans="2:12" x14ac:dyDescent="0.3">
      <c r="B66" s="31" t="s">
        <v>1441</v>
      </c>
      <c r="C66" s="156">
        <f>'BoD input'!C61/'Input summary'!$C$168</f>
        <v>8.5849999999999996E-2</v>
      </c>
      <c r="D66" s="156">
        <f>'BoD input'!D61/'Input summary'!$C$168</f>
        <v>5.8380000000000001E-2</v>
      </c>
      <c r="E66" s="156">
        <f>'BoD input'!E61/'Input summary'!$C$168</f>
        <v>0.11332</v>
      </c>
      <c r="F66" s="156">
        <f t="shared" ref="F66:F67" si="25">(E66-D66)/(2*1.96)</f>
        <v>1.401530612244898E-2</v>
      </c>
      <c r="G66" s="160" t="s">
        <v>578</v>
      </c>
      <c r="H66" s="162">
        <f t="shared" ref="H66:H67" si="26">IF(G66="Beta",C66*(C66*(1-C66)/(F66^2)-1),IF(G66="Lognormal",LN(C66^2/SQRT(F66^2+C66^2)),IF(G66="Gamma",C66^2/F66^2,IF(G66="Normal",C66,0))))</f>
        <v>34.214052573661654</v>
      </c>
      <c r="I66" s="162">
        <f t="shared" ref="I66:I67" si="27">IF(G66="Beta",C66*(1-C66)/(F66^2)-1-H66,IF(G66="Lognormal",SQRT(LN(1+F66^2/C66^2)),IF(G66="Gamma",F66^2/C66,IF(G66="Normal",F66,0))))</f>
        <v>364.31888363672454</v>
      </c>
      <c r="J66" s="70">
        <f ca="1">IF(F66=0,C66,IF(G66="Beta",_xlfn.BETA.INV(J63,H66,I66),IF(G66="Lognormal",EXP(NORMINV(J63,H66,I66)),IF(G66="Gamma",_xlfn.GAMMA.INV(J63,H66,I66),IF(G66="Normal",_xlfn.NORM.INV(J63,H66,I66),0)))))</f>
        <v>9.4179847038251996E-2</v>
      </c>
      <c r="K66" s="149">
        <f t="shared" ca="1" si="16"/>
        <v>9417.9847038251992</v>
      </c>
    </row>
    <row r="67" spans="2:12" x14ac:dyDescent="0.3">
      <c r="B67" s="31" t="s">
        <v>1442</v>
      </c>
      <c r="C67" s="156">
        <f>'BoD input'!C62/'Input summary'!$C$168</f>
        <v>8.5849999999999996E-2</v>
      </c>
      <c r="D67" s="156">
        <f>'BoD input'!D62/'Input summary'!$C$168</f>
        <v>5.8380000000000001E-2</v>
      </c>
      <c r="E67" s="156">
        <f>'BoD input'!E62/'Input summary'!$C$168</f>
        <v>0.11332</v>
      </c>
      <c r="F67" s="156">
        <f t="shared" si="25"/>
        <v>1.401530612244898E-2</v>
      </c>
      <c r="G67" s="160" t="s">
        <v>578</v>
      </c>
      <c r="H67" s="162">
        <f t="shared" si="26"/>
        <v>34.214052573661654</v>
      </c>
      <c r="I67" s="162">
        <f t="shared" si="27"/>
        <v>364.31888363672454</v>
      </c>
      <c r="J67" s="70">
        <f ca="1">IF(F67=0,C67,IF(G67="Beta",_xlfn.BETA.INV(J63,H67,I67),IF(G67="Lognormal",EXP(NORMINV(J63,H67,I67)),IF(G67="Gamma",_xlfn.GAMMA.INV(J63,H67,I67),IF(G67="Normal",_xlfn.NORM.INV(J63,H67,I67),0)))))</f>
        <v>9.4179847038251996E-2</v>
      </c>
      <c r="K67" s="149">
        <f t="shared" ca="1" si="16"/>
        <v>9417.9847038251992</v>
      </c>
    </row>
    <row r="68" spans="2:12" x14ac:dyDescent="0.3">
      <c r="B68" s="151" t="s">
        <v>920</v>
      </c>
      <c r="C68" s="162"/>
      <c r="D68" s="162"/>
      <c r="E68" s="162"/>
      <c r="F68" s="162"/>
      <c r="G68" s="162"/>
      <c r="H68" s="162"/>
      <c r="I68" s="162"/>
      <c r="J68" s="291">
        <f ca="1">RAND()</f>
        <v>0.9022139023054796</v>
      </c>
      <c r="K68" s="149"/>
    </row>
    <row r="69" spans="2:12" x14ac:dyDescent="0.3">
      <c r="B69" s="31" t="s">
        <v>920</v>
      </c>
      <c r="C69" s="156">
        <f>'BoD input'!C64/'Input summary'!$C$168</f>
        <v>5.2900000000000003E-2</v>
      </c>
      <c r="D69" s="156">
        <f>'BoD input'!D64/'Input summary'!$C$168</f>
        <v>3.9140000000000001E-2</v>
      </c>
      <c r="E69" s="156">
        <f>'BoD input'!E64/'Input summary'!$C$168</f>
        <v>6.6650000000000001E-2</v>
      </c>
      <c r="F69" s="156">
        <f t="shared" ref="F69:F70" si="28">(E69-D69)/(2*1.96)</f>
        <v>7.0178571428571425E-3</v>
      </c>
      <c r="G69" s="160" t="s">
        <v>578</v>
      </c>
      <c r="H69" s="162">
        <f t="shared" ref="H69:H70" si="29">IF(G69="Beta",C69*(C69*(1-C69)/(F69^2)-1),IF(G69="Lognormal",LN(C69^2/SQRT(F69^2+C69^2)),IF(G69="Gamma",C69^2/F69^2,IF(G69="Normal",C69,0))))</f>
        <v>53.761454331177298</v>
      </c>
      <c r="I69" s="162">
        <f t="shared" ref="I69:I70" si="30">IF(G69="Beta",C69*(1-C69)/(F69^2)-1-H69,IF(G69="Lognormal",SQRT(LN(1+F69^2/C69^2)),IF(G69="Gamma",F69^2/C69,IF(G69="Normal",F69,0))))</f>
        <v>962.52312659845018</v>
      </c>
      <c r="J69" s="70">
        <f ca="1">IF(F69=0,C69,IF(G69="Beta",_xlfn.BETA.INV(J68,H69,I69),IF(G69="Lognormal",EXP(NORMINV(J68,H69,I69)),IF(G69="Gamma",_xlfn.GAMMA.INV(J68,H69,I69),IF(G69="Normal",_xlfn.NORM.INV(J68,H69,I69),0)))))</f>
        <v>6.2163055892552554E-2</v>
      </c>
      <c r="K69" s="149">
        <f t="shared" ca="1" si="16"/>
        <v>6216.3055892552557</v>
      </c>
    </row>
    <row r="70" spans="2:12" x14ac:dyDescent="0.3">
      <c r="B70" s="31" t="s">
        <v>980</v>
      </c>
      <c r="C70" s="156">
        <f>'BoD input'!C65/'Input summary'!$C$168</f>
        <v>5.2900000000000003E-2</v>
      </c>
      <c r="D70" s="156">
        <f>'BoD input'!D65/'Input summary'!$C$168</f>
        <v>3.9140000000000001E-2</v>
      </c>
      <c r="E70" s="156">
        <f>'BoD input'!E65/'Input summary'!$C$168</f>
        <v>6.6650000000000001E-2</v>
      </c>
      <c r="F70" s="156">
        <f t="shared" si="28"/>
        <v>7.0178571428571425E-3</v>
      </c>
      <c r="G70" s="160" t="s">
        <v>578</v>
      </c>
      <c r="H70" s="162">
        <f t="shared" si="29"/>
        <v>53.761454331177298</v>
      </c>
      <c r="I70" s="162">
        <f t="shared" si="30"/>
        <v>962.52312659845018</v>
      </c>
      <c r="J70" s="70">
        <f ca="1">IF(F70=0,C70,IF(G70="Beta",_xlfn.BETA.INV(J68,H70,I70),IF(G70="Lognormal",EXP(NORMINV(J68,H70,I70)),IF(G70="Gamma",_xlfn.GAMMA.INV(J68,H70,I70),IF(G70="Normal",_xlfn.NORM.INV(J68,H70,I70),0)))))</f>
        <v>6.2163055892552554E-2</v>
      </c>
      <c r="K70" s="149">
        <f t="shared" ca="1" si="16"/>
        <v>6216.3055892552557</v>
      </c>
    </row>
    <row r="72" spans="2:12" x14ac:dyDescent="0.3">
      <c r="B72" s="187" t="s">
        <v>235</v>
      </c>
      <c r="C72" s="73"/>
      <c r="D72" s="73"/>
      <c r="E72" s="73"/>
      <c r="F72" s="73"/>
      <c r="G72" s="73"/>
      <c r="H72" s="73"/>
      <c r="I72" s="73"/>
      <c r="J72" s="73"/>
    </row>
    <row r="73" spans="2:12" x14ac:dyDescent="0.3">
      <c r="B73" s="159" t="s">
        <v>1</v>
      </c>
      <c r="C73" s="159" t="s">
        <v>567</v>
      </c>
      <c r="D73" s="159" t="s">
        <v>985</v>
      </c>
      <c r="E73" s="159" t="s">
        <v>986</v>
      </c>
      <c r="F73" s="73" t="s">
        <v>584</v>
      </c>
      <c r="G73" s="73" t="s">
        <v>569</v>
      </c>
      <c r="H73" s="73" t="s">
        <v>581</v>
      </c>
      <c r="I73" s="73" t="s">
        <v>582</v>
      </c>
      <c r="J73" s="73" t="s">
        <v>583</v>
      </c>
    </row>
    <row r="74" spans="2:12" x14ac:dyDescent="0.3">
      <c r="B74" s="150" t="s">
        <v>988</v>
      </c>
      <c r="C74" s="197"/>
      <c r="D74" s="197"/>
      <c r="E74" s="197"/>
      <c r="J74" s="291">
        <f ca="1">RAND()</f>
        <v>2.2639386221536162E-2</v>
      </c>
      <c r="L74" s="79" t="s">
        <v>679</v>
      </c>
    </row>
    <row r="75" spans="2:12" x14ac:dyDescent="0.3">
      <c r="B75" s="31" t="s">
        <v>1082</v>
      </c>
      <c r="C75" s="174">
        <f>'BoD input'!C72/'Input summary'!$C$167</f>
        <v>2.3400000000000001E-3</v>
      </c>
      <c r="D75" s="174">
        <f>'BoD input'!D72/'Input summary'!$C$167</f>
        <v>1.6800000000000001E-3</v>
      </c>
      <c r="E75" s="174">
        <f>'BoD input'!E72/'Input summary'!$C$167</f>
        <v>2.99E-3</v>
      </c>
      <c r="F75" s="156">
        <f>(E75-D75)/(2*1.96)</f>
        <v>3.3418367346938773E-4</v>
      </c>
      <c r="G75" s="160" t="s">
        <v>578</v>
      </c>
      <c r="H75" s="162">
        <f>IF(G75="Beta",C75*(C75*(1-C75)/(F75^2)-1),IF(G75="Lognormal",LN(C75^2/SQRT(F75^2+C75^2)),IF(G75="Gamma",C75^2/F75^2,IF(G75="Normal",C75,0))))</f>
        <v>48.912858200556151</v>
      </c>
      <c r="I75" s="162">
        <f>IF(G75="Beta",C75*(1-C75)/(F75^2)-1-H75,IF(G75="Lognormal",SQRT(LN(1+F75^2/C75^2)),IF(G75="Gamma",F75^2/C75,IF(G75="Normal",F75,0))))</f>
        <v>20854.017996737966</v>
      </c>
      <c r="J75" s="70">
        <f ca="1">IF(F75=0,C75,IF(G75="Beta",_xlfn.BETA.INV(J74,H75,I75),IF(G75="Lognormal",EXP(NORMINV(J74,H75,I75)),IF(G75="Gamma",_xlfn.GAMMA.INV(J74,H75,I75),IF(G75="Normal",_xlfn.NORM.INV(J74,H75,I75),0)))))</f>
        <v>1.7197516201117242E-3</v>
      </c>
      <c r="K75" s="149">
        <f ca="1">J75*100000</f>
        <v>171.97516201117242</v>
      </c>
      <c r="L75">
        <f>(E75+D75)/2</f>
        <v>2.3350000000000003E-3</v>
      </c>
    </row>
    <row r="76" spans="2:12" x14ac:dyDescent="0.3">
      <c r="B76" s="31" t="s">
        <v>1083</v>
      </c>
      <c r="C76" s="174">
        <f>'BoD input'!C73/'Input summary'!$C$167</f>
        <v>2.3400000000000001E-3</v>
      </c>
      <c r="D76" s="174">
        <f>'BoD input'!D73/'Input summary'!$C$167</f>
        <v>1.6800000000000001E-3</v>
      </c>
      <c r="E76" s="174">
        <f>'BoD input'!E73/'Input summary'!$C$167</f>
        <v>2.99E-3</v>
      </c>
      <c r="F76" s="156">
        <f t="shared" ref="F76:F97" si="31">(E76-D76)/(2*1.96)</f>
        <v>3.3418367346938773E-4</v>
      </c>
      <c r="G76" s="160" t="s">
        <v>578</v>
      </c>
      <c r="H76" s="162">
        <f t="shared" ref="H76:H97" si="32">IF(G76="Beta",C76*(C76*(1-C76)/(F76^2)-1),IF(G76="Lognormal",LN(C76^2/SQRT(F76^2+C76^2)),IF(G76="Gamma",C76^2/F76^2,IF(G76="Normal",C76,0))))</f>
        <v>48.912858200556151</v>
      </c>
      <c r="I76" s="162">
        <f t="shared" ref="I76:I97" si="33">IF(G76="Beta",C76*(1-C76)/(F76^2)-1-H76,IF(G76="Lognormal",SQRT(LN(1+F76^2/C76^2)),IF(G76="Gamma",F76^2/C76,IF(G76="Normal",F76,0))))</f>
        <v>20854.017996737966</v>
      </c>
      <c r="J76" s="70">
        <f ca="1">IF(F76=0,C76,IF(G76="Beta",_xlfn.BETA.INV(J74,H76,I76),IF(G76="Lognormal",EXP(NORMINV(J74,H76,I76)),IF(G76="Gamma",_xlfn.GAMMA.INV(J74,H76,I76),IF(G76="Normal",_xlfn.NORM.INV(J74,H76,I76),0)))))</f>
        <v>1.7197516201117242E-3</v>
      </c>
      <c r="K76" s="149">
        <f t="shared" ref="K76:K97" ca="1" si="34">J76*100000</f>
        <v>171.97516201117242</v>
      </c>
    </row>
    <row r="77" spans="2:12" x14ac:dyDescent="0.3">
      <c r="B77" s="31" t="s">
        <v>1084</v>
      </c>
      <c r="C77" s="174">
        <f>'BoD input'!C74/'Input summary'!$C$167</f>
        <v>2.3400000000000001E-3</v>
      </c>
      <c r="D77" s="174">
        <f>'BoD input'!D74/'Input summary'!$C$167</f>
        <v>1.6800000000000001E-3</v>
      </c>
      <c r="E77" s="174">
        <f>'BoD input'!E74/'Input summary'!$C$167</f>
        <v>2.99E-3</v>
      </c>
      <c r="F77" s="156">
        <f t="shared" si="31"/>
        <v>3.3418367346938773E-4</v>
      </c>
      <c r="G77" s="160" t="s">
        <v>578</v>
      </c>
      <c r="H77" s="162">
        <f t="shared" si="32"/>
        <v>48.912858200556151</v>
      </c>
      <c r="I77" s="162">
        <f t="shared" si="33"/>
        <v>20854.017996737966</v>
      </c>
      <c r="J77" s="70">
        <f ca="1">IF(F77=0,C77,IF(G77="Beta",_xlfn.BETA.INV(J74,H77,I77),IF(G77="Lognormal",EXP(NORMINV(J74,H77,I77)),IF(G77="Gamma",_xlfn.GAMMA.INV(J74,H77,I77),IF(G77="Normal",_xlfn.NORM.INV(J74,H77,I77),0)))))</f>
        <v>1.7197516201117242E-3</v>
      </c>
      <c r="K77" s="149">
        <f t="shared" ca="1" si="34"/>
        <v>171.97516201117242</v>
      </c>
    </row>
    <row r="78" spans="2:12" x14ac:dyDescent="0.3">
      <c r="B78" s="31" t="s">
        <v>1085</v>
      </c>
      <c r="C78" s="174">
        <f>'BoD input'!C75/'Input summary'!$C$167</f>
        <v>1.1199999999999999E-3</v>
      </c>
      <c r="D78" s="174">
        <f>'BoD input'!D75/'Input summary'!$C$167</f>
        <v>8.3000000000000001E-4</v>
      </c>
      <c r="E78" s="174">
        <f>'BoD input'!E75/'Input summary'!$C$167</f>
        <v>1.42E-3</v>
      </c>
      <c r="F78" s="156">
        <f t="shared" si="31"/>
        <v>1.5051020408163266E-4</v>
      </c>
      <c r="G78" s="160" t="s">
        <v>578</v>
      </c>
      <c r="H78" s="162">
        <f t="shared" si="32"/>
        <v>55.310639478255659</v>
      </c>
      <c r="I78" s="162">
        <f t="shared" si="33"/>
        <v>49329.188894678584</v>
      </c>
      <c r="J78" s="70">
        <f ca="1">IF(F78=0,C78,IF(G78="Beta",_xlfn.BETA.INV(J74,H78,I78),IF(G78="Lognormal",EXP(NORMINV(J74,H78,I78)),IF(G78="Gamma",_xlfn.GAMMA.INV(J74,H78,I78),IF(G78="Normal",_xlfn.NORM.INV(J74,H78,I78),0)))))</f>
        <v>8.3935316058721143E-4</v>
      </c>
      <c r="K78" s="149">
        <f t="shared" ca="1" si="34"/>
        <v>83.935316058721142</v>
      </c>
    </row>
    <row r="79" spans="2:12" x14ac:dyDescent="0.3">
      <c r="B79" s="31" t="s">
        <v>1086</v>
      </c>
      <c r="C79" s="174">
        <f>'BoD input'!C76/'Input summary'!$C$167</f>
        <v>1.1199999999999999E-3</v>
      </c>
      <c r="D79" s="174">
        <f>'BoD input'!D76/'Input summary'!$C$167</f>
        <v>8.3000000000000001E-4</v>
      </c>
      <c r="E79" s="174">
        <f>'BoD input'!E76/'Input summary'!$C$167</f>
        <v>1.42E-3</v>
      </c>
      <c r="F79" s="156">
        <f t="shared" si="31"/>
        <v>1.5051020408163266E-4</v>
      </c>
      <c r="G79" s="160" t="s">
        <v>578</v>
      </c>
      <c r="H79" s="162">
        <f t="shared" si="32"/>
        <v>55.310639478255659</v>
      </c>
      <c r="I79" s="162">
        <f t="shared" si="33"/>
        <v>49329.188894678584</v>
      </c>
      <c r="J79" s="70">
        <f ca="1">IF(F79=0,C79,IF(G79="Beta",_xlfn.BETA.INV(J74,H79,I79),IF(G79="Lognormal",EXP(NORMINV(J74,H79,I79)),IF(G79="Gamma",_xlfn.GAMMA.INV(J74,H79,I79),IF(G79="Normal",_xlfn.NORM.INV(J74,H79,I79),0)))))</f>
        <v>8.3935316058721143E-4</v>
      </c>
      <c r="K79" s="149">
        <f t="shared" ca="1" si="34"/>
        <v>83.935316058721142</v>
      </c>
    </row>
    <row r="80" spans="2:12" x14ac:dyDescent="0.3">
      <c r="B80" s="31" t="s">
        <v>1087</v>
      </c>
      <c r="C80" s="174">
        <f>'BoD input'!C77/'Input summary'!$C$167</f>
        <v>1.1199999999999999E-3</v>
      </c>
      <c r="D80" s="174">
        <f>'BoD input'!D77/'Input summary'!$C$167</f>
        <v>8.3000000000000001E-4</v>
      </c>
      <c r="E80" s="174">
        <f>'BoD input'!E77/'Input summary'!$C$167</f>
        <v>1.42E-3</v>
      </c>
      <c r="F80" s="156">
        <f t="shared" si="31"/>
        <v>1.5051020408163266E-4</v>
      </c>
      <c r="G80" s="160" t="s">
        <v>578</v>
      </c>
      <c r="H80" s="162">
        <f t="shared" si="32"/>
        <v>55.310639478255659</v>
      </c>
      <c r="I80" s="162">
        <f t="shared" si="33"/>
        <v>49329.188894678584</v>
      </c>
      <c r="J80" s="70">
        <f ca="1">IF(F80=0,C80,IF(G80="Beta",_xlfn.BETA.INV(J74,H80,I80),IF(G80="Lognormal",EXP(NORMINV(J74,H80,I80)),IF(G80="Gamma",_xlfn.GAMMA.INV(J74,H80,I80),IF(G80="Normal",_xlfn.NORM.INV(J74,H80,I80),0)))))</f>
        <v>8.3935316058721143E-4</v>
      </c>
      <c r="K80" s="149">
        <f t="shared" ca="1" si="34"/>
        <v>83.935316058721142</v>
      </c>
    </row>
    <row r="81" spans="2:28" x14ac:dyDescent="0.3">
      <c r="B81" s="31" t="s">
        <v>1443</v>
      </c>
      <c r="C81" s="174">
        <f>'BoD input'!C78/'Input summary'!$C$167</f>
        <v>3.29E-3</v>
      </c>
      <c r="D81" s="174">
        <f>'BoD input'!D78/'Input summary'!$C$167</f>
        <v>1.4400000000000001E-3</v>
      </c>
      <c r="E81" s="174">
        <f>'BoD input'!E78/'Input summary'!$C$167</f>
        <v>5.7000000000000002E-3</v>
      </c>
      <c r="F81" s="156">
        <f t="shared" si="31"/>
        <v>1.0867346938775509E-3</v>
      </c>
      <c r="G81" s="160" t="s">
        <v>578</v>
      </c>
      <c r="H81" s="162">
        <f t="shared" si="32"/>
        <v>9.1318150788374446</v>
      </c>
      <c r="I81" s="162">
        <f t="shared" si="33"/>
        <v>2766.4958684583798</v>
      </c>
      <c r="J81" s="70">
        <f ca="1">IF(F81=0,C81,IF(G81="Beta",_xlfn.BETA.INV(J74,H81,I81),IF(G81="Lognormal",EXP(NORMINV(J74,H81,I81)),IF(G81="Gamma",_xlfn.GAMMA.INV(J74,H81,I81),IF(G81="Normal",_xlfn.NORM.INV(J74,H81,I81),0)))))</f>
        <v>1.4894634075937622E-3</v>
      </c>
      <c r="K81" s="149">
        <f t="shared" ca="1" si="34"/>
        <v>148.94634075937623</v>
      </c>
    </row>
    <row r="82" spans="2:28" x14ac:dyDescent="0.3">
      <c r="B82" s="150" t="s">
        <v>1444</v>
      </c>
      <c r="H82" s="141"/>
      <c r="I82" s="141"/>
      <c r="J82" s="291">
        <f ca="1">RAND()</f>
        <v>0.67034374176161815</v>
      </c>
      <c r="L82" s="79" t="s">
        <v>679</v>
      </c>
    </row>
    <row r="83" spans="2:28" x14ac:dyDescent="0.3">
      <c r="B83" s="31" t="s">
        <v>1082</v>
      </c>
      <c r="C83" s="174">
        <f>'BoD input'!C80/'Input summary'!$C$167</f>
        <v>2.3400000000000001E-3</v>
      </c>
      <c r="D83" s="174">
        <f>'BoD input'!D80/'Input summary'!$C$167</f>
        <v>1.6800000000000001E-3</v>
      </c>
      <c r="E83" s="174">
        <f>'BoD input'!E80/'Input summary'!$C$167</f>
        <v>2.99E-3</v>
      </c>
      <c r="F83" s="156">
        <f>(E83-D83)/(2*1.96)</f>
        <v>3.3418367346938773E-4</v>
      </c>
      <c r="G83" s="160" t="s">
        <v>578</v>
      </c>
      <c r="H83" s="162">
        <f t="shared" ref="H83:H89" si="35">IF(G83="Beta",C83*(C83*(1-C83)/(F83^2)-1),IF(G83="Lognormal",LN(C83^2/SQRT(F83^2+C83^2)),IF(G83="Gamma",C83^2/F83^2,IF(G83="Normal",C83,0))))</f>
        <v>48.912858200556151</v>
      </c>
      <c r="I83" s="162">
        <f t="shared" ref="I83:I89" si="36">IF(G83="Beta",C83*(1-C83)/(F83^2)-1-H83,IF(G83="Lognormal",SQRT(LN(1+F83^2/C83^2)),IF(G83="Gamma",F83^2/C83,IF(G83="Normal",F83,0))))</f>
        <v>20854.017996737966</v>
      </c>
      <c r="J83" s="70">
        <f ca="1">IF(F83=0,C83,IF(G83="Beta",_xlfn.BETA.INV(J82,H83,I83),IF(G83="Lognormal",EXP(NORMINV(J82,H83,I83)),IF(G83="Gamma",_xlfn.GAMMA.INV(J82,H83,I83),IF(G83="Normal",_xlfn.NORM.INV(J82,H83,I83),0)))))</f>
        <v>2.4739980829387997E-3</v>
      </c>
      <c r="K83" s="149">
        <f ca="1">J83*100000</f>
        <v>247.39980829387997</v>
      </c>
    </row>
    <row r="84" spans="2:28" x14ac:dyDescent="0.3">
      <c r="B84" s="31" t="s">
        <v>1083</v>
      </c>
      <c r="C84" s="174">
        <f>'BoD input'!C81/'Input summary'!$C$167</f>
        <v>2.3400000000000001E-3</v>
      </c>
      <c r="D84" s="174">
        <f>'BoD input'!D81/'Input summary'!$C$167</f>
        <v>1.6800000000000001E-3</v>
      </c>
      <c r="E84" s="174">
        <f>'BoD input'!E81/'Input summary'!$C$167</f>
        <v>2.99E-3</v>
      </c>
      <c r="F84" s="156">
        <f t="shared" ref="F84:F89" si="37">(E84-D84)/(2*1.96)</f>
        <v>3.3418367346938773E-4</v>
      </c>
      <c r="G84" s="160" t="s">
        <v>578</v>
      </c>
      <c r="H84" s="162">
        <f t="shared" si="35"/>
        <v>48.912858200556151</v>
      </c>
      <c r="I84" s="162">
        <f t="shared" si="36"/>
        <v>20854.017996737966</v>
      </c>
      <c r="J84" s="70">
        <f ca="1">IF(F84=0,C84,IF(G84="Beta",_xlfn.BETA.INV(J82,H84,I84),IF(G84="Lognormal",EXP(NORMINV(J82,H84,I84)),IF(G84="Gamma",_xlfn.GAMMA.INV(J82,H84,I84),IF(G84="Normal",_xlfn.NORM.INV(J82,H84,I84),0)))))</f>
        <v>2.4739980829387997E-3</v>
      </c>
      <c r="K84" s="149">
        <f t="shared" ref="K84:K89" ca="1" si="38">J84*100000</f>
        <v>247.39980829387997</v>
      </c>
    </row>
    <row r="85" spans="2:28" x14ac:dyDescent="0.3">
      <c r="B85" s="31" t="s">
        <v>1084</v>
      </c>
      <c r="C85" s="174">
        <f>'BoD input'!C82/'Input summary'!$C$167</f>
        <v>2.3400000000000001E-3</v>
      </c>
      <c r="D85" s="174">
        <f>'BoD input'!D82/'Input summary'!$C$167</f>
        <v>1.6800000000000001E-3</v>
      </c>
      <c r="E85" s="174">
        <f>'BoD input'!E82/'Input summary'!$C$167</f>
        <v>2.99E-3</v>
      </c>
      <c r="F85" s="156">
        <f t="shared" si="37"/>
        <v>3.3418367346938773E-4</v>
      </c>
      <c r="G85" s="160" t="s">
        <v>578</v>
      </c>
      <c r="H85" s="162">
        <f t="shared" si="35"/>
        <v>48.912858200556151</v>
      </c>
      <c r="I85" s="162">
        <f t="shared" si="36"/>
        <v>20854.017996737966</v>
      </c>
      <c r="J85" s="70">
        <f ca="1">IF(F85=0,C85,IF(G85="Beta",_xlfn.BETA.INV(J82,H85,I85),IF(G85="Lognormal",EXP(NORMINV(J82,H85,I85)),IF(G85="Gamma",_xlfn.GAMMA.INV(J82,H85,I85),IF(G85="Normal",_xlfn.NORM.INV(J82,H85,I85),0)))))</f>
        <v>2.4739980829387997E-3</v>
      </c>
      <c r="K85" s="149">
        <f t="shared" ca="1" si="38"/>
        <v>247.39980829387997</v>
      </c>
    </row>
    <row r="86" spans="2:28" x14ac:dyDescent="0.3">
      <c r="B86" s="31" t="s">
        <v>1085</v>
      </c>
      <c r="C86" s="174">
        <f>'BoD input'!C83/'Input summary'!$C$167</f>
        <v>2.96E-3</v>
      </c>
      <c r="D86" s="174">
        <f>'BoD input'!D83/'Input summary'!$C$167</f>
        <v>2.2200000000000002E-3</v>
      </c>
      <c r="E86" s="174">
        <f>'BoD input'!E83/'Input summary'!$C$167</f>
        <v>3.7000000000000002E-3</v>
      </c>
      <c r="F86" s="156">
        <f t="shared" si="37"/>
        <v>3.7755102040816328E-4</v>
      </c>
      <c r="G86" s="160" t="s">
        <v>578</v>
      </c>
      <c r="H86" s="162">
        <f t="shared" si="35"/>
        <v>61.280701824000005</v>
      </c>
      <c r="I86" s="162">
        <f t="shared" si="36"/>
        <v>20641.659103581409</v>
      </c>
      <c r="J86" s="70">
        <f ca="1">IF(F86=0,C86,IF(G86="Beta",_xlfn.BETA.INV(J82,H86,I86),IF(G86="Lognormal",EXP(NORMINV(J82,H86,I86)),IF(G86="Gamma",_xlfn.GAMMA.INV(J82,H86,I86),IF(G86="Normal",_xlfn.NORM.INV(J82,H86,I86),0)))))</f>
        <v>3.1130635953187102E-3</v>
      </c>
      <c r="K86" s="149">
        <f t="shared" ca="1" si="38"/>
        <v>311.30635953187101</v>
      </c>
      <c r="AB86" s="67"/>
    </row>
    <row r="87" spans="2:28" x14ac:dyDescent="0.3">
      <c r="B87" s="31" t="s">
        <v>1086</v>
      </c>
      <c r="C87" s="174">
        <f>'BoD input'!C84/'Input summary'!$C$167</f>
        <v>2.96E-3</v>
      </c>
      <c r="D87" s="174">
        <f>'BoD input'!D84/'Input summary'!$C$167</f>
        <v>2.2200000000000002E-3</v>
      </c>
      <c r="E87" s="174">
        <f>'BoD input'!E84/'Input summary'!$C$167</f>
        <v>3.7000000000000002E-3</v>
      </c>
      <c r="F87" s="156">
        <f t="shared" si="37"/>
        <v>3.7755102040816328E-4</v>
      </c>
      <c r="G87" s="160" t="s">
        <v>578</v>
      </c>
      <c r="H87" s="162">
        <f t="shared" si="35"/>
        <v>61.280701824000005</v>
      </c>
      <c r="I87" s="162">
        <f t="shared" si="36"/>
        <v>20641.659103581409</v>
      </c>
      <c r="J87" s="70">
        <f ca="1">IF(F87=0,C87,IF(G87="Beta",_xlfn.BETA.INV(J82,H87,I87),IF(G87="Lognormal",EXP(NORMINV(J82,H87,I87)),IF(G87="Gamma",_xlfn.GAMMA.INV(J82,H87,I87),IF(G87="Normal",_xlfn.NORM.INV(J82,H87,I87),0)))))</f>
        <v>3.1130635953187102E-3</v>
      </c>
      <c r="K87" s="149">
        <f t="shared" ca="1" si="38"/>
        <v>311.30635953187101</v>
      </c>
    </row>
    <row r="88" spans="2:28" x14ac:dyDescent="0.3">
      <c r="B88" s="31" t="s">
        <v>1087</v>
      </c>
      <c r="C88" s="174">
        <f>'BoD input'!C85/'Input summary'!$C$167</f>
        <v>2.96E-3</v>
      </c>
      <c r="D88" s="174">
        <f>'BoD input'!D85/'Input summary'!$C$167</f>
        <v>2.2200000000000002E-3</v>
      </c>
      <c r="E88" s="174">
        <f>'BoD input'!E85/'Input summary'!$C$167</f>
        <v>3.7000000000000002E-3</v>
      </c>
      <c r="F88" s="156">
        <f t="shared" si="37"/>
        <v>3.7755102040816328E-4</v>
      </c>
      <c r="G88" s="160" t="s">
        <v>578</v>
      </c>
      <c r="H88" s="162">
        <f t="shared" si="35"/>
        <v>61.280701824000005</v>
      </c>
      <c r="I88" s="162">
        <f t="shared" si="36"/>
        <v>20641.659103581409</v>
      </c>
      <c r="J88" s="70">
        <f ca="1">IF(F88=0,C88,IF(G88="Beta",_xlfn.BETA.INV(J82,H88,I88),IF(G88="Lognormal",EXP(NORMINV(J82,H88,I88)),IF(G88="Gamma",_xlfn.GAMMA.INV(J82,H88,I88),IF(G88="Normal",_xlfn.NORM.INV(J82,H88,I88),0)))))</f>
        <v>3.1130635953187102E-3</v>
      </c>
      <c r="K88" s="149">
        <f t="shared" ca="1" si="38"/>
        <v>311.30635953187101</v>
      </c>
    </row>
    <row r="89" spans="2:28" x14ac:dyDescent="0.3">
      <c r="B89" s="31" t="s">
        <v>1443</v>
      </c>
      <c r="C89" s="174">
        <f>'BoD input'!C86/'Input summary'!$C$167</f>
        <v>3.29E-3</v>
      </c>
      <c r="D89" s="174">
        <f>'BoD input'!D86/'Input summary'!$C$167</f>
        <v>1.4400000000000001E-3</v>
      </c>
      <c r="E89" s="174">
        <f>'BoD input'!E86/'Input summary'!$C$167</f>
        <v>5.7000000000000002E-3</v>
      </c>
      <c r="F89" s="156">
        <f t="shared" si="37"/>
        <v>1.0867346938775509E-3</v>
      </c>
      <c r="G89" s="160" t="s">
        <v>578</v>
      </c>
      <c r="H89" s="162">
        <f t="shared" si="35"/>
        <v>9.1318150788374446</v>
      </c>
      <c r="I89" s="162">
        <f t="shared" si="36"/>
        <v>2766.4958684583798</v>
      </c>
      <c r="J89" s="70">
        <f ca="1">IF(F89=0,C89,IF(G89="Beta",_xlfn.BETA.INV(J82,H89,I89),IF(G89="Lognormal",EXP(NORMINV(J82,H89,I89)),IF(G89="Gamma",_xlfn.GAMMA.INV(J82,H89,I89),IF(G89="Normal",_xlfn.NORM.INV(J82,H89,I89),0)))))</f>
        <v>3.6639427678286651E-3</v>
      </c>
      <c r="K89" s="149">
        <f t="shared" ca="1" si="38"/>
        <v>366.39427678286654</v>
      </c>
    </row>
    <row r="90" spans="2:28" x14ac:dyDescent="0.3">
      <c r="B90" s="151" t="s">
        <v>227</v>
      </c>
      <c r="C90" s="162"/>
      <c r="D90" s="162"/>
      <c r="E90" s="162"/>
      <c r="F90" s="162"/>
      <c r="G90" s="162"/>
      <c r="H90" s="162"/>
      <c r="I90" s="162"/>
      <c r="J90" s="291">
        <f ca="1">RAND()</f>
        <v>0.75306554205407628</v>
      </c>
      <c r="K90" s="149"/>
    </row>
    <row r="91" spans="2:28" x14ac:dyDescent="0.3">
      <c r="B91" s="31" t="s">
        <v>1437</v>
      </c>
      <c r="C91" s="174">
        <f>'BoD input'!C88/'Input summary'!$C$167</f>
        <v>4.2500000000000003E-3</v>
      </c>
      <c r="D91" s="174">
        <f>'BoD input'!D88/'Input summary'!$C$167</f>
        <v>3.0999999999999999E-3</v>
      </c>
      <c r="E91" s="174">
        <f>'BoD input'!E88/'Input summary'!$C$167</f>
        <v>5.4000000000000003E-3</v>
      </c>
      <c r="F91" s="156">
        <f t="shared" ref="F91:F92" si="39">(E91-D91)/(2*1.96)</f>
        <v>5.8673469387755112E-4</v>
      </c>
      <c r="G91" s="160" t="s">
        <v>578</v>
      </c>
      <c r="H91" s="162">
        <f t="shared" ref="H91:H92" si="40">IF(G91="Beta",C91*(C91*(1-C91)/(F91^2)-1),IF(G91="Lognormal",LN(C91^2/SQRT(F91^2+C91^2)),IF(G91="Gamma",C91^2/F91^2,IF(G91="Normal",C91,0))))</f>
        <v>52.240738412098288</v>
      </c>
      <c r="I91" s="162">
        <f t="shared" ref="I91:I92" si="41">IF(G91="Beta",C91*(1-C91)/(F91^2)-1-H91,IF(G91="Lognormal",SQRT(LN(1+F91^2/C91^2)),IF(G91="Gamma",F91^2/C91,IF(G91="Normal",F91,0))))</f>
        <v>12239.697711493382</v>
      </c>
      <c r="J91" s="70">
        <f ca="1">IF(F91=0,C91,IF(G91="Beta",_xlfn.BETA.INV(J90,H91,I91),IF(G91="Lognormal",EXP(NORMINV(J90,H91,I91)),IF(G91="Gamma",_xlfn.GAMMA.INV(J90,H91,I91),IF(G91="Normal",_xlfn.NORM.INV(J90,H91,I91),0)))))</f>
        <v>4.6357894576816161E-3</v>
      </c>
      <c r="K91" s="149">
        <f t="shared" ref="K91:K92" ca="1" si="42">J91*100000</f>
        <v>463.57894576816159</v>
      </c>
    </row>
    <row r="92" spans="2:28" x14ac:dyDescent="0.3">
      <c r="B92" s="31" t="s">
        <v>1438</v>
      </c>
      <c r="C92" s="174">
        <f>'BoD input'!C89/'Input summary'!$C$167</f>
        <v>4.2500000000000003E-3</v>
      </c>
      <c r="D92" s="174">
        <f>'BoD input'!D89/'Input summary'!$C$167</f>
        <v>3.0999999999999999E-3</v>
      </c>
      <c r="E92" s="174">
        <f>'BoD input'!E89/'Input summary'!$C$167</f>
        <v>5.4000000000000003E-3</v>
      </c>
      <c r="F92" s="156">
        <f t="shared" si="39"/>
        <v>5.8673469387755112E-4</v>
      </c>
      <c r="G92" s="160" t="s">
        <v>578</v>
      </c>
      <c r="H92" s="162">
        <f t="shared" si="40"/>
        <v>52.240738412098288</v>
      </c>
      <c r="I92" s="162">
        <f t="shared" si="41"/>
        <v>12239.697711493382</v>
      </c>
      <c r="J92" s="70">
        <f ca="1">IF(F92=0,C92,IF(G92="Beta",_xlfn.BETA.INV(J90,H92,I92),IF(G92="Lognormal",EXP(NORMINV(J90,H92,I92)),IF(G92="Gamma",_xlfn.GAMMA.INV(J90,H92,I92),IF(G92="Normal",_xlfn.NORM.INV(J90,H92,I92),0)))))</f>
        <v>4.6357894576816161E-3</v>
      </c>
      <c r="K92" s="149">
        <f t="shared" ca="1" si="42"/>
        <v>463.57894576816159</v>
      </c>
    </row>
    <row r="93" spans="2:28" x14ac:dyDescent="0.3">
      <c r="B93" s="31" t="s">
        <v>1441</v>
      </c>
      <c r="C93" s="174">
        <f>'BoD input'!C90/'Input summary'!$C$167</f>
        <v>5.3899999999999998E-3</v>
      </c>
      <c r="D93" s="174">
        <f>'BoD input'!D90/'Input summary'!$C$167</f>
        <v>3.6600000000000001E-3</v>
      </c>
      <c r="E93" s="174">
        <f>'BoD input'!E90/'Input summary'!$C$167</f>
        <v>7.11E-3</v>
      </c>
      <c r="F93" s="156">
        <f t="shared" si="31"/>
        <v>8.8010204081632657E-4</v>
      </c>
      <c r="G93" s="160" t="s">
        <v>578</v>
      </c>
      <c r="H93" s="162">
        <f t="shared" si="32"/>
        <v>37.299373896569485</v>
      </c>
      <c r="I93" s="162">
        <f t="shared" si="33"/>
        <v>6882.8071004205894</v>
      </c>
      <c r="J93" s="70">
        <f ca="1">IF(F93=0,C93,IF(G93="Beta",_xlfn.BETA.INV(J90,H93,I93),IF(G93="Lognormal",EXP(NORMINV(J90,H93,I93)),IF(G93="Gamma",_xlfn.GAMMA.INV(J90,H93,I93),IF(G93="Normal",_xlfn.NORM.INV(J90,H93,I93),0)))))</f>
        <v>5.9640194026434612E-3</v>
      </c>
      <c r="K93" s="149">
        <f t="shared" ca="1" si="34"/>
        <v>596.40194026434608</v>
      </c>
    </row>
    <row r="94" spans="2:28" x14ac:dyDescent="0.3">
      <c r="B94" s="31" t="s">
        <v>1442</v>
      </c>
      <c r="C94" s="174">
        <f>'BoD input'!C91/'Input summary'!$C$167</f>
        <v>5.3899999999999998E-3</v>
      </c>
      <c r="D94" s="174">
        <f>'BoD input'!D91/'Input summary'!$C$167</f>
        <v>3.6600000000000001E-3</v>
      </c>
      <c r="E94" s="174">
        <f>'BoD input'!E91/'Input summary'!$C$167</f>
        <v>7.11E-3</v>
      </c>
      <c r="F94" s="156">
        <f t="shared" si="31"/>
        <v>8.8010204081632657E-4</v>
      </c>
      <c r="G94" s="160" t="s">
        <v>578</v>
      </c>
      <c r="H94" s="162">
        <f t="shared" si="32"/>
        <v>37.299373896569485</v>
      </c>
      <c r="I94" s="162">
        <f t="shared" si="33"/>
        <v>6882.8071004205894</v>
      </c>
      <c r="J94" s="70">
        <f ca="1">IF(F94=0,C94,IF(G94="Beta",_xlfn.BETA.INV(J90,H94,I94),IF(G94="Lognormal",EXP(NORMINV(J90,H94,I94)),IF(G94="Gamma",_xlfn.GAMMA.INV(J90,H94,I94),IF(G94="Normal",_xlfn.NORM.INV(J90,H94,I94),0)))))</f>
        <v>5.9640194026434612E-3</v>
      </c>
      <c r="K94" s="149">
        <f t="shared" ca="1" si="34"/>
        <v>596.40194026434608</v>
      </c>
    </row>
    <row r="95" spans="2:28" x14ac:dyDescent="0.3">
      <c r="B95" s="151" t="s">
        <v>920</v>
      </c>
      <c r="C95" s="162"/>
      <c r="D95" s="162"/>
      <c r="E95" s="162"/>
      <c r="F95" s="162"/>
      <c r="G95" s="162"/>
      <c r="H95" s="162"/>
      <c r="I95" s="162"/>
      <c r="J95" s="291">
        <f ca="1">RAND()</f>
        <v>0.38594588133933627</v>
      </c>
      <c r="K95" s="149"/>
    </row>
    <row r="96" spans="2:28" x14ac:dyDescent="0.3">
      <c r="B96" s="31" t="s">
        <v>920</v>
      </c>
      <c r="C96" s="174">
        <f>'BoD input'!C93/'Input summary'!$C$167</f>
        <v>1.1199999999999999E-3</v>
      </c>
      <c r="D96" s="174">
        <f>'BoD input'!D93/'Input summary'!$C$167</f>
        <v>8.3000000000000001E-4</v>
      </c>
      <c r="E96" s="174">
        <f>'BoD input'!E93/'Input summary'!$C$167</f>
        <v>1.42E-3</v>
      </c>
      <c r="F96" s="156">
        <f t="shared" si="31"/>
        <v>1.5051020408163266E-4</v>
      </c>
      <c r="G96" s="160" t="s">
        <v>578</v>
      </c>
      <c r="H96" s="162">
        <f t="shared" si="32"/>
        <v>55.310639478255659</v>
      </c>
      <c r="I96" s="162">
        <f t="shared" si="33"/>
        <v>49329.188894678584</v>
      </c>
      <c r="J96" s="70">
        <f ca="1">IF(F96=0,C96,IF(G96="Beta",_xlfn.BETA.INV(J95,H96,I96),IF(G96="Lognormal",EXP(NORMINV(J95,H96,I96)),IF(G96="Gamma",_xlfn.GAMMA.INV(J95,H96,I96),IF(G96="Normal",_xlfn.NORM.INV(J95,H96,I96),0)))))</f>
        <v>1.0703557344867531E-3</v>
      </c>
      <c r="K96" s="149">
        <f t="shared" ca="1" si="34"/>
        <v>107.03557344867531</v>
      </c>
    </row>
    <row r="97" spans="2:12" x14ac:dyDescent="0.3">
      <c r="B97" s="31" t="s">
        <v>980</v>
      </c>
      <c r="C97" s="174">
        <f>'BoD input'!C94/'Input summary'!$C$167</f>
        <v>1.1199999999999999E-3</v>
      </c>
      <c r="D97" s="174">
        <f>'BoD input'!D94/'Input summary'!$C$167</f>
        <v>8.3000000000000001E-4</v>
      </c>
      <c r="E97" s="174">
        <f>'BoD input'!E94/'Input summary'!$C$167</f>
        <v>1.42E-3</v>
      </c>
      <c r="F97" s="156">
        <f t="shared" si="31"/>
        <v>1.5051020408163266E-4</v>
      </c>
      <c r="G97" s="160" t="s">
        <v>578</v>
      </c>
      <c r="H97" s="162">
        <f t="shared" si="32"/>
        <v>55.310639478255659</v>
      </c>
      <c r="I97" s="162">
        <f t="shared" si="33"/>
        <v>49329.188894678584</v>
      </c>
      <c r="J97" s="70">
        <f ca="1">IF(F97=0,C97,IF(G97="Beta",_xlfn.BETA.INV(J95,H97,I97),IF(G97="Lognormal",EXP(NORMINV(J95,H97,I97)),IF(G97="Gamma",_xlfn.GAMMA.INV(J95,H97,I97),IF(G97="Normal",_xlfn.NORM.INV(J95,H97,I97),0)))))</f>
        <v>1.0703557344867531E-3</v>
      </c>
      <c r="K97" s="149">
        <f t="shared" ca="1" si="34"/>
        <v>107.03557344867531</v>
      </c>
    </row>
    <row r="99" spans="2:12" x14ac:dyDescent="0.3">
      <c r="B99" s="187" t="s">
        <v>989</v>
      </c>
      <c r="C99" s="73"/>
      <c r="D99" s="73"/>
      <c r="E99" s="73"/>
      <c r="F99" s="73"/>
      <c r="G99" s="73"/>
      <c r="H99" s="73"/>
      <c r="I99" s="73"/>
      <c r="J99" s="73"/>
    </row>
    <row r="100" spans="2:12" x14ac:dyDescent="0.3">
      <c r="B100" s="159" t="s">
        <v>1</v>
      </c>
      <c r="C100" s="159" t="s">
        <v>567</v>
      </c>
      <c r="D100" s="159" t="s">
        <v>985</v>
      </c>
      <c r="E100" s="159" t="s">
        <v>986</v>
      </c>
      <c r="F100" s="73" t="s">
        <v>584</v>
      </c>
      <c r="G100" s="73" t="s">
        <v>569</v>
      </c>
      <c r="H100" s="73" t="s">
        <v>581</v>
      </c>
      <c r="I100" s="73" t="s">
        <v>582</v>
      </c>
      <c r="J100" s="73" t="s">
        <v>583</v>
      </c>
    </row>
    <row r="101" spans="2:12" x14ac:dyDescent="0.3">
      <c r="B101" s="150" t="s">
        <v>988</v>
      </c>
      <c r="C101" s="197"/>
      <c r="D101" s="197"/>
      <c r="E101" s="197"/>
      <c r="J101" s="291">
        <f ca="1">RAND()</f>
        <v>0.92406276247520602</v>
      </c>
      <c r="L101" s="79" t="s">
        <v>679</v>
      </c>
    </row>
    <row r="102" spans="2:12" x14ac:dyDescent="0.3">
      <c r="B102" s="31" t="s">
        <v>1082</v>
      </c>
      <c r="C102" s="157">
        <f>'BoD input'!C101/'Input summary'!$C$167</f>
        <v>1.7000000000000001E-4</v>
      </c>
      <c r="D102" s="157">
        <f>'BoD input'!D101/'Input summary'!$C$167</f>
        <v>1.2E-4</v>
      </c>
      <c r="E102" s="157">
        <f>'BoD input'!E101/'Input summary'!$C$167</f>
        <v>2.1000000000000001E-4</v>
      </c>
      <c r="F102" s="156">
        <f>(E102-D102)/(2*1.96)</f>
        <v>2.295918367346939E-5</v>
      </c>
      <c r="G102" s="160" t="s">
        <v>578</v>
      </c>
      <c r="H102" s="162">
        <f>IF(G102="Beta",C102*(C102*(1-C102)/(F102^2)-1),IF(G102="Lognormal",LN(C102^2/SQRT(F102^2+C102^2)),IF(G102="Gamma",C102^2/F102^2,IF(G102="Normal",C102,0))))</f>
        <v>54.816307145283943</v>
      </c>
      <c r="I102" s="162">
        <f>IF(G102="Beta",C102*(1-C102)/(F102^2)-1-H102,IF(G102="Lognormal",SQRT(LN(1+F102^2/C102^2)),IF(G102="Gamma",F102^2/C102,IF(G102="Normal",F102,0))))</f>
        <v>322394.04925334849</v>
      </c>
      <c r="J102" s="70">
        <f ca="1">IF(F102=0,C102,IF(G102="Beta",_xlfn.BETA.INV(J101,H102,I102),IF(G102="Lognormal",EXP(NORMINV(J101,H102,I102)),IF(G102="Gamma",_xlfn.GAMMA.INV(J101,H102,I102),IF(G102="Normal",_xlfn.NORM.INV(J101,H102,I102),0)))))</f>
        <v>2.0390454410534886E-4</v>
      </c>
      <c r="K102" s="149">
        <f ca="1">J102*100000</f>
        <v>20.390454410534886</v>
      </c>
      <c r="L102">
        <f>(E102+D102)/2</f>
        <v>1.65E-4</v>
      </c>
    </row>
    <row r="103" spans="2:12" x14ac:dyDescent="0.3">
      <c r="B103" s="31" t="s">
        <v>1083</v>
      </c>
      <c r="C103" s="157">
        <f>'BoD input'!C102/'Input summary'!$C$167</f>
        <v>1.7000000000000001E-4</v>
      </c>
      <c r="D103" s="157">
        <f>'BoD input'!D102/'Input summary'!$C$167</f>
        <v>1.2E-4</v>
      </c>
      <c r="E103" s="157">
        <f>'BoD input'!E102/'Input summary'!$C$167</f>
        <v>2.1000000000000001E-4</v>
      </c>
      <c r="F103" s="156">
        <f t="shared" ref="F103:F124" si="43">(E103-D103)/(2*1.96)</f>
        <v>2.295918367346939E-5</v>
      </c>
      <c r="G103" s="160" t="s">
        <v>578</v>
      </c>
      <c r="H103" s="162">
        <f t="shared" ref="H103:H124" si="44">IF(G103="Beta",C103*(C103*(1-C103)/(F103^2)-1),IF(G103="Lognormal",LN(C103^2/SQRT(F103^2+C103^2)),IF(G103="Gamma",C103^2/F103^2,IF(G103="Normal",C103,0))))</f>
        <v>54.816307145283943</v>
      </c>
      <c r="I103" s="162">
        <f t="shared" ref="I103:I124" si="45">IF(G103="Beta",C103*(1-C103)/(F103^2)-1-H103,IF(G103="Lognormal",SQRT(LN(1+F103^2/C103^2)),IF(G103="Gamma",F103^2/C103,IF(G103="Normal",F103,0))))</f>
        <v>322394.04925334849</v>
      </c>
      <c r="J103" s="70">
        <f ca="1">IF(F103=0,C103,IF(G103="Beta",_xlfn.BETA.INV(J101,H103,I103),IF(G103="Lognormal",EXP(NORMINV(J101,H103,I103)),IF(G103="Gamma",_xlfn.GAMMA.INV(J101,H103,I103),IF(G103="Normal",_xlfn.NORM.INV(J101,H103,I103),0)))))</f>
        <v>2.0390454410534886E-4</v>
      </c>
      <c r="K103" s="149">
        <f t="shared" ref="K103:K124" ca="1" si="46">J103*100000</f>
        <v>20.390454410534886</v>
      </c>
    </row>
    <row r="104" spans="2:12" x14ac:dyDescent="0.3">
      <c r="B104" s="31" t="s">
        <v>1084</v>
      </c>
      <c r="C104" s="157">
        <f>'BoD input'!C103/'Input summary'!$C$167</f>
        <v>1.7000000000000001E-4</v>
      </c>
      <c r="D104" s="157">
        <f>'BoD input'!D103/'Input summary'!$C$167</f>
        <v>1.2E-4</v>
      </c>
      <c r="E104" s="157">
        <f>'BoD input'!E103/'Input summary'!$C$167</f>
        <v>2.1000000000000001E-4</v>
      </c>
      <c r="F104" s="156">
        <f t="shared" si="43"/>
        <v>2.295918367346939E-5</v>
      </c>
      <c r="G104" s="160" t="s">
        <v>578</v>
      </c>
      <c r="H104" s="162">
        <f t="shared" si="44"/>
        <v>54.816307145283943</v>
      </c>
      <c r="I104" s="162">
        <f t="shared" si="45"/>
        <v>322394.04925334849</v>
      </c>
      <c r="J104" s="70">
        <f ca="1">IF(F104=0,C104,IF(G104="Beta",_xlfn.BETA.INV(J101,H104,I104),IF(G104="Lognormal",EXP(NORMINV(J101,H104,I104)),IF(G104="Gamma",_xlfn.GAMMA.INV(J101,H104,I104),IF(G104="Normal",_xlfn.NORM.INV(J101,H104,I104),0)))))</f>
        <v>2.0390454410534886E-4</v>
      </c>
      <c r="K104" s="149">
        <f t="shared" ca="1" si="46"/>
        <v>20.390454410534886</v>
      </c>
    </row>
    <row r="105" spans="2:12" x14ac:dyDescent="0.3">
      <c r="B105" s="31" t="s">
        <v>1085</v>
      </c>
      <c r="C105" s="157">
        <f>'BoD input'!C104/'Input summary'!$C$167</f>
        <v>2.7999999999999998E-4</v>
      </c>
      <c r="D105" s="157">
        <f>'BoD input'!D104/'Input summary'!$C$167</f>
        <v>2.1000000000000001E-4</v>
      </c>
      <c r="E105" s="157">
        <f>'BoD input'!E104/'Input summary'!$C$167</f>
        <v>3.6000000000000002E-4</v>
      </c>
      <c r="F105" s="156">
        <f t="shared" si="43"/>
        <v>3.8265306122448984E-5</v>
      </c>
      <c r="G105" s="160" t="s">
        <v>578</v>
      </c>
      <c r="H105" s="162">
        <f t="shared" si="44"/>
        <v>53.528094968319976</v>
      </c>
      <c r="I105" s="162">
        <f t="shared" si="45"/>
        <v>191118.2396490316</v>
      </c>
      <c r="J105" s="70">
        <f ca="1">IF(F105=0,C105,IF(G105="Beta",_xlfn.BETA.INV(J101,H105,I105),IF(G105="Lognormal",EXP(NORMINV(J101,H105,I105)),IF(G105="Gamma",_xlfn.GAMMA.INV(J101,H105,I105),IF(G105="Normal",_xlfn.NORM.INV(J101,H105,I105),0)))))</f>
        <v>3.3652570082276512E-4</v>
      </c>
      <c r="K105" s="149">
        <f t="shared" ca="1" si="46"/>
        <v>33.652570082276512</v>
      </c>
    </row>
    <row r="106" spans="2:12" x14ac:dyDescent="0.3">
      <c r="B106" s="31" t="s">
        <v>1086</v>
      </c>
      <c r="C106" s="157">
        <f>'BoD input'!C105/'Input summary'!$C$167</f>
        <v>2.7999999999999998E-4</v>
      </c>
      <c r="D106" s="157">
        <f>'BoD input'!D105/'Input summary'!$C$167</f>
        <v>2.1000000000000001E-4</v>
      </c>
      <c r="E106" s="157">
        <f>'BoD input'!E105/'Input summary'!$C$167</f>
        <v>3.6000000000000002E-4</v>
      </c>
      <c r="F106" s="156">
        <f t="shared" si="43"/>
        <v>3.8265306122448984E-5</v>
      </c>
      <c r="G106" s="160" t="s">
        <v>578</v>
      </c>
      <c r="H106" s="162">
        <f t="shared" si="44"/>
        <v>53.528094968319976</v>
      </c>
      <c r="I106" s="162">
        <f t="shared" si="45"/>
        <v>191118.2396490316</v>
      </c>
      <c r="J106" s="70">
        <f ca="1">IF(F106=0,C106,IF(G106="Beta",_xlfn.BETA.INV(J101,H106,I106),IF(G106="Lognormal",EXP(NORMINV(J101,H106,I106)),IF(G106="Gamma",_xlfn.GAMMA.INV(J101,H106,I106),IF(G106="Normal",_xlfn.NORM.INV(J101,H106,I106),0)))))</f>
        <v>3.3652570082276512E-4</v>
      </c>
      <c r="K106" s="149">
        <f t="shared" ca="1" si="46"/>
        <v>33.652570082276512</v>
      </c>
    </row>
    <row r="107" spans="2:12" x14ac:dyDescent="0.3">
      <c r="B107" s="31" t="s">
        <v>1087</v>
      </c>
      <c r="C107" s="157">
        <f>'BoD input'!C106/'Input summary'!$C$167</f>
        <v>2.7999999999999998E-4</v>
      </c>
      <c r="D107" s="157">
        <f>'BoD input'!D106/'Input summary'!$C$167</f>
        <v>2.1000000000000001E-4</v>
      </c>
      <c r="E107" s="157">
        <f>'BoD input'!E106/'Input summary'!$C$167</f>
        <v>3.6000000000000002E-4</v>
      </c>
      <c r="F107" s="156">
        <f t="shared" si="43"/>
        <v>3.8265306122448984E-5</v>
      </c>
      <c r="G107" s="160" t="s">
        <v>578</v>
      </c>
      <c r="H107" s="162">
        <f t="shared" si="44"/>
        <v>53.528094968319976</v>
      </c>
      <c r="I107" s="162">
        <f t="shared" si="45"/>
        <v>191118.2396490316</v>
      </c>
      <c r="J107" s="70">
        <f ca="1">IF(F107=0,C107,IF(G107="Beta",_xlfn.BETA.INV(J101,H107,I107),IF(G107="Lognormal",EXP(NORMINV(J101,H107,I107)),IF(G107="Gamma",_xlfn.GAMMA.INV(J101,H107,I107),IF(G107="Normal",_xlfn.NORM.INV(J101,H107,I107),0)))))</f>
        <v>3.3652570082276512E-4</v>
      </c>
      <c r="K107" s="149">
        <f t="shared" ca="1" si="46"/>
        <v>33.652570082276512</v>
      </c>
    </row>
    <row r="108" spans="2:12" x14ac:dyDescent="0.3">
      <c r="B108" s="31" t="s">
        <v>1443</v>
      </c>
      <c r="C108" s="157">
        <f>'BoD input'!C107/'Input summary'!$C$167</f>
        <v>1.3799999999999999E-3</v>
      </c>
      <c r="D108" s="157">
        <f>'BoD input'!D107/'Input summary'!$C$167</f>
        <v>5.6999999999999998E-4</v>
      </c>
      <c r="E108" s="157">
        <f>'BoD input'!E107/'Input summary'!$C$167</f>
        <v>2.48E-3</v>
      </c>
      <c r="F108" s="156">
        <f t="shared" si="43"/>
        <v>4.8724489795918369E-4</v>
      </c>
      <c r="G108" s="160" t="s">
        <v>578</v>
      </c>
      <c r="H108" s="162">
        <f t="shared" si="44"/>
        <v>8.0091976032507883</v>
      </c>
      <c r="I108" s="162">
        <f t="shared" si="45"/>
        <v>5795.7571815639867</v>
      </c>
      <c r="J108" s="70">
        <f ca="1">IF(F108=0,C108,IF(G108="Beta",_xlfn.BETA.INV(J101,H108,I108),IF(G108="Lognormal",EXP(NORMINV(J101,H108,I108)),IF(G108="Gamma",_xlfn.GAMMA.INV(J101,H108,I108),IF(G108="Normal",_xlfn.NORM.INV(J101,H108,I108),0)))))</f>
        <v>2.1263664758675027E-3</v>
      </c>
      <c r="K108" s="149">
        <f t="shared" ca="1" si="46"/>
        <v>212.63664758675026</v>
      </c>
    </row>
    <row r="109" spans="2:12" x14ac:dyDescent="0.3">
      <c r="B109" s="150" t="s">
        <v>1444</v>
      </c>
      <c r="H109" s="141"/>
      <c r="I109" s="141"/>
      <c r="J109" s="291">
        <f ca="1">RAND()</f>
        <v>7.9098851955293092E-2</v>
      </c>
      <c r="L109" s="79" t="s">
        <v>679</v>
      </c>
    </row>
    <row r="110" spans="2:12" x14ac:dyDescent="0.3">
      <c r="B110" s="31" t="s">
        <v>1082</v>
      </c>
      <c r="C110" s="157">
        <f>'BoD input'!C109/'Input summary'!$C$167</f>
        <v>1.7000000000000001E-4</v>
      </c>
      <c r="D110" s="157">
        <f>'BoD input'!D109/'Input summary'!$C$167</f>
        <v>1.2E-4</v>
      </c>
      <c r="E110" s="157">
        <f>'BoD input'!E109/'Input summary'!$C$167</f>
        <v>2.1000000000000001E-4</v>
      </c>
      <c r="F110" s="156">
        <f>(E110-D110)/(2*1.96)</f>
        <v>2.295918367346939E-5</v>
      </c>
      <c r="G110" s="160" t="s">
        <v>578</v>
      </c>
      <c r="H110" s="162">
        <f t="shared" ref="H110:H116" si="47">IF(G110="Beta",C110*(C110*(1-C110)/(F110^2)-1),IF(G110="Lognormal",LN(C110^2/SQRT(F110^2+C110^2)),IF(G110="Gamma",C110^2/F110^2,IF(G110="Normal",C110,0))))</f>
        <v>54.816307145283943</v>
      </c>
      <c r="I110" s="162">
        <f t="shared" ref="I110:I116" si="48">IF(G110="Beta",C110*(1-C110)/(F110^2)-1-H110,IF(G110="Lognormal",SQRT(LN(1+F110^2/C110^2)),IF(G110="Gamma",F110^2/C110,IF(G110="Normal",F110,0))))</f>
        <v>322394.04925334849</v>
      </c>
      <c r="J110" s="70">
        <f ca="1">IF(F110=0,C110,IF(G110="Beta",_xlfn.BETA.INV(J109,H110,I110),IF(G110="Lognormal",EXP(NORMINV(J109,H110,I110)),IF(G110="Gamma",_xlfn.GAMMA.INV(J109,H110,I110),IF(G110="Normal",_xlfn.NORM.INV(J109,H110,I110),0)))))</f>
        <v>1.3870686741546359E-4</v>
      </c>
      <c r="K110" s="149">
        <f ca="1">J110*100000</f>
        <v>13.870686741546359</v>
      </c>
    </row>
    <row r="111" spans="2:12" x14ac:dyDescent="0.3">
      <c r="B111" s="31" t="s">
        <v>1083</v>
      </c>
      <c r="C111" s="157">
        <f>'BoD input'!C110/'Input summary'!$C$167</f>
        <v>1.7000000000000001E-4</v>
      </c>
      <c r="D111" s="157">
        <f>'BoD input'!D110/'Input summary'!$C$167</f>
        <v>1.2E-4</v>
      </c>
      <c r="E111" s="157">
        <f>'BoD input'!E110/'Input summary'!$C$167</f>
        <v>2.1000000000000001E-4</v>
      </c>
      <c r="F111" s="156">
        <f t="shared" ref="F111:F116" si="49">(E111-D111)/(2*1.96)</f>
        <v>2.295918367346939E-5</v>
      </c>
      <c r="G111" s="160" t="s">
        <v>578</v>
      </c>
      <c r="H111" s="162">
        <f t="shared" si="47"/>
        <v>54.816307145283943</v>
      </c>
      <c r="I111" s="162">
        <f t="shared" si="48"/>
        <v>322394.04925334849</v>
      </c>
      <c r="J111" s="70">
        <f ca="1">IF(F111=0,C111,IF(G111="Beta",_xlfn.BETA.INV(J109,H111,I111),IF(G111="Lognormal",EXP(NORMINV(J109,H111,I111)),IF(G111="Gamma",_xlfn.GAMMA.INV(J109,H111,I111),IF(G111="Normal",_xlfn.NORM.INV(J109,H111,I111),0)))))</f>
        <v>1.3870686741546359E-4</v>
      </c>
      <c r="K111" s="149">
        <f t="shared" ref="K111:K116" ca="1" si="50">J111*100000</f>
        <v>13.870686741546359</v>
      </c>
    </row>
    <row r="112" spans="2:12" x14ac:dyDescent="0.3">
      <c r="B112" s="31" t="s">
        <v>1084</v>
      </c>
      <c r="C112" s="157">
        <f>'BoD input'!C111/'Input summary'!$C$167</f>
        <v>1.7000000000000001E-4</v>
      </c>
      <c r="D112" s="157">
        <f>'BoD input'!D111/'Input summary'!$C$167</f>
        <v>1.2E-4</v>
      </c>
      <c r="E112" s="157">
        <f>'BoD input'!E111/'Input summary'!$C$167</f>
        <v>2.1000000000000001E-4</v>
      </c>
      <c r="F112" s="156">
        <f t="shared" si="49"/>
        <v>2.295918367346939E-5</v>
      </c>
      <c r="G112" s="160" t="s">
        <v>578</v>
      </c>
      <c r="H112" s="162">
        <f t="shared" si="47"/>
        <v>54.816307145283943</v>
      </c>
      <c r="I112" s="162">
        <f t="shared" si="48"/>
        <v>322394.04925334849</v>
      </c>
      <c r="J112" s="70">
        <f ca="1">IF(F112=0,C112,IF(G112="Beta",_xlfn.BETA.INV(J109,H112,I112),IF(G112="Lognormal",EXP(NORMINV(J109,H112,I112)),IF(G112="Gamma",_xlfn.GAMMA.INV(J109,H112,I112),IF(G112="Normal",_xlfn.NORM.INV(J109,H112,I112),0)))))</f>
        <v>1.3870686741546359E-4</v>
      </c>
      <c r="K112" s="149">
        <f t="shared" ca="1" si="50"/>
        <v>13.870686741546359</v>
      </c>
    </row>
    <row r="113" spans="2:28" x14ac:dyDescent="0.3">
      <c r="B113" s="31" t="s">
        <v>1085</v>
      </c>
      <c r="C113" s="157">
        <f>'BoD input'!C112/'Input summary'!$C$167</f>
        <v>8.0999999999999996E-4</v>
      </c>
      <c r="D113" s="157">
        <f>'BoD input'!D112/'Input summary'!$C$167</f>
        <v>5.9999999999999995E-4</v>
      </c>
      <c r="E113" s="157">
        <f>'BoD input'!E112/'Input summary'!$C$167</f>
        <v>1.01E-3</v>
      </c>
      <c r="F113" s="156">
        <f t="shared" si="49"/>
        <v>1.045918367346939E-4</v>
      </c>
      <c r="G113" s="160" t="s">
        <v>578</v>
      </c>
      <c r="H113" s="162">
        <f t="shared" si="47"/>
        <v>59.926190029848861</v>
      </c>
      <c r="I113" s="162">
        <f t="shared" si="48"/>
        <v>73923.024464104557</v>
      </c>
      <c r="J113" s="70">
        <f ca="1">IF(F113=0,C113,IF(G113="Beta",_xlfn.BETA.INV(J109,H113,I113),IF(G113="Lognormal",EXP(NORMINV(J109,H113,I113)),IF(G113="Gamma",_xlfn.GAMMA.INV(J109,H113,I113),IF(G113="Normal",_xlfn.NORM.INV(J109,H113,I113),0)))))</f>
        <v>6.6720222283960851E-4</v>
      </c>
      <c r="K113" s="149">
        <f t="shared" ca="1" si="50"/>
        <v>66.720222283960851</v>
      </c>
      <c r="AB113" s="67"/>
    </row>
    <row r="114" spans="2:28" x14ac:dyDescent="0.3">
      <c r="B114" s="31" t="s">
        <v>1086</v>
      </c>
      <c r="C114" s="157">
        <f>'BoD input'!C113/'Input summary'!$C$167</f>
        <v>8.0999999999999996E-4</v>
      </c>
      <c r="D114" s="157">
        <f>'BoD input'!D113/'Input summary'!$C$167</f>
        <v>5.9999999999999995E-4</v>
      </c>
      <c r="E114" s="157">
        <f>'BoD input'!E113/'Input summary'!$C$167</f>
        <v>1.01E-3</v>
      </c>
      <c r="F114" s="156">
        <f t="shared" si="49"/>
        <v>1.045918367346939E-4</v>
      </c>
      <c r="G114" s="160" t="s">
        <v>578</v>
      </c>
      <c r="H114" s="162">
        <f t="shared" si="47"/>
        <v>59.926190029848861</v>
      </c>
      <c r="I114" s="162">
        <f t="shared" si="48"/>
        <v>73923.024464104557</v>
      </c>
      <c r="J114" s="70">
        <f ca="1">IF(F114=0,C114,IF(G114="Beta",_xlfn.BETA.INV(J109,H114,I114),IF(G114="Lognormal",EXP(NORMINV(J109,H114,I114)),IF(G114="Gamma",_xlfn.GAMMA.INV(J109,H114,I114),IF(G114="Normal",_xlfn.NORM.INV(J109,H114,I114),0)))))</f>
        <v>6.6720222283960851E-4</v>
      </c>
      <c r="K114" s="149">
        <f t="shared" ca="1" si="50"/>
        <v>66.720222283960851</v>
      </c>
    </row>
    <row r="115" spans="2:28" x14ac:dyDescent="0.3">
      <c r="B115" s="31" t="s">
        <v>1087</v>
      </c>
      <c r="C115" s="157">
        <f>'BoD input'!C114/'Input summary'!$C$167</f>
        <v>8.0999999999999996E-4</v>
      </c>
      <c r="D115" s="157">
        <f>'BoD input'!D114/'Input summary'!$C$167</f>
        <v>5.9999999999999995E-4</v>
      </c>
      <c r="E115" s="157">
        <f>'BoD input'!E114/'Input summary'!$C$167</f>
        <v>1.01E-3</v>
      </c>
      <c r="F115" s="156">
        <f t="shared" si="49"/>
        <v>1.045918367346939E-4</v>
      </c>
      <c r="G115" s="160" t="s">
        <v>578</v>
      </c>
      <c r="H115" s="162">
        <f t="shared" si="47"/>
        <v>59.926190029848861</v>
      </c>
      <c r="I115" s="162">
        <f t="shared" si="48"/>
        <v>73923.024464104557</v>
      </c>
      <c r="J115" s="70">
        <f ca="1">IF(F115=0,C115,IF(G115="Beta",_xlfn.BETA.INV(J109,H115,I115),IF(G115="Lognormal",EXP(NORMINV(J109,H115,I115)),IF(G115="Gamma",_xlfn.GAMMA.INV(J109,H115,I115),IF(G115="Normal",_xlfn.NORM.INV(J109,H115,I115),0)))))</f>
        <v>6.6720222283960851E-4</v>
      </c>
      <c r="K115" s="149">
        <f t="shared" ca="1" si="50"/>
        <v>66.720222283960851</v>
      </c>
    </row>
    <row r="116" spans="2:28" x14ac:dyDescent="0.3">
      <c r="B116" s="31" t="s">
        <v>1443</v>
      </c>
      <c r="C116" s="157">
        <f>'BoD input'!C115/'Input summary'!$C$167</f>
        <v>1.3799999999999999E-3</v>
      </c>
      <c r="D116" s="157">
        <f>'BoD input'!D115/'Input summary'!$C$167</f>
        <v>5.6999999999999998E-4</v>
      </c>
      <c r="E116" s="157">
        <f>'BoD input'!E115/'Input summary'!$C$167</f>
        <v>2.48E-3</v>
      </c>
      <c r="F116" s="156">
        <f t="shared" si="49"/>
        <v>4.8724489795918369E-4</v>
      </c>
      <c r="G116" s="160" t="s">
        <v>578</v>
      </c>
      <c r="H116" s="162">
        <f t="shared" si="47"/>
        <v>8.0091976032507883</v>
      </c>
      <c r="I116" s="162">
        <f t="shared" si="48"/>
        <v>5795.7571815639867</v>
      </c>
      <c r="J116" s="70">
        <f ca="1">IF(F116=0,C116,IF(G116="Beta",_xlfn.BETA.INV(J109,H116,I116),IF(G116="Lognormal",EXP(NORMINV(J109,H116,I116)),IF(G116="Gamma",_xlfn.GAMMA.INV(J109,H116,I116),IF(G116="Normal",_xlfn.NORM.INV(J109,H116,I116),0)))))</f>
        <v>7.6076127752526231E-4</v>
      </c>
      <c r="K116" s="149">
        <f t="shared" ca="1" si="50"/>
        <v>76.076127752526233</v>
      </c>
    </row>
    <row r="117" spans="2:28" x14ac:dyDescent="0.3">
      <c r="B117" s="151" t="s">
        <v>227</v>
      </c>
      <c r="C117" s="162"/>
      <c r="D117" s="162"/>
      <c r="E117" s="162"/>
      <c r="F117" s="162"/>
      <c r="G117" s="162"/>
      <c r="H117" s="162"/>
      <c r="I117" s="162"/>
      <c r="J117" s="291">
        <f ca="1">RAND()</f>
        <v>0.74610161673747399</v>
      </c>
      <c r="K117" s="149"/>
    </row>
    <row r="118" spans="2:28" x14ac:dyDescent="0.3">
      <c r="B118" s="31" t="s">
        <v>1437</v>
      </c>
      <c r="C118" s="157">
        <f>'BoD input'!C117/'Input summary'!$C$167</f>
        <v>1.6000000000000001E-4</v>
      </c>
      <c r="D118" s="157">
        <f>'BoD input'!D117/'Input summary'!$C$167</f>
        <v>1.2E-4</v>
      </c>
      <c r="E118" s="157">
        <f>'BoD input'!E117/'Input summary'!$C$167</f>
        <v>2.1000000000000001E-4</v>
      </c>
      <c r="F118" s="156">
        <f t="shared" ref="F118:F119" si="51">(E118-D118)/(2*1.96)</f>
        <v>2.295918367346939E-5</v>
      </c>
      <c r="G118" s="160" t="s">
        <v>578</v>
      </c>
      <c r="H118" s="162">
        <f t="shared" ref="H118:H119" si="52">IF(G118="Beta",C118*(C118*(1-C118)/(F118^2)-1),IF(G118="Lognormal",LN(C118^2/SQRT(F118^2+C118^2)),IF(G118="Gamma",C118^2/F118^2,IF(G118="Normal",C118,0))))</f>
        <v>48.557481879703694</v>
      </c>
      <c r="I118" s="162">
        <f t="shared" ref="I118:I119" si="53">IF(G118="Beta",C118*(1-C118)/(F118^2)-1-H118,IF(G118="Lognormal",SQRT(LN(1+F118^2/C118^2)),IF(G118="Gamma",F118^2/C118,IF(G118="Normal",F118,0))))</f>
        <v>303435.70426626835</v>
      </c>
      <c r="J118" s="70">
        <f ca="1">IF(F118=0,C118,IF(G118="Beta",_xlfn.BETA.INV(J117,H118,I118),IF(G118="Lognormal",EXP(NORMINV(J117,H118,I118)),IF(G118="Gamma",_xlfn.GAMMA.INV(J117,H118,I118),IF(G118="Normal",_xlfn.NORM.INV(J117,H118,I118),0)))))</f>
        <v>1.7453279108414765E-4</v>
      </c>
      <c r="K118" s="149">
        <f t="shared" ref="K118:K119" ca="1" si="54">J118*100000</f>
        <v>17.453279108414765</v>
      </c>
    </row>
    <row r="119" spans="2:28" x14ac:dyDescent="0.3">
      <c r="B119" s="31" t="s">
        <v>1438</v>
      </c>
      <c r="C119" s="157">
        <f>'BoD input'!C118/'Input summary'!$C$167</f>
        <v>1.6000000000000001E-4</v>
      </c>
      <c r="D119" s="157">
        <f>'BoD input'!D118/'Input summary'!$C$167</f>
        <v>1.2E-4</v>
      </c>
      <c r="E119" s="157">
        <f>'BoD input'!E118/'Input summary'!$C$167</f>
        <v>2.1000000000000001E-4</v>
      </c>
      <c r="F119" s="156">
        <f t="shared" si="51"/>
        <v>2.295918367346939E-5</v>
      </c>
      <c r="G119" s="160" t="s">
        <v>578</v>
      </c>
      <c r="H119" s="162">
        <f t="shared" si="52"/>
        <v>48.557481879703694</v>
      </c>
      <c r="I119" s="162">
        <f t="shared" si="53"/>
        <v>303435.70426626835</v>
      </c>
      <c r="J119" s="70">
        <f ca="1">IF(F119=0,C119,IF(G119="Beta",_xlfn.BETA.INV(J117,H119,I119),IF(G119="Lognormal",EXP(NORMINV(J117,H119,I119)),IF(G119="Gamma",_xlfn.GAMMA.INV(J117,H119,I119),IF(G119="Normal",_xlfn.NORM.INV(J117,H119,I119),0)))))</f>
        <v>1.7453279108414765E-4</v>
      </c>
      <c r="K119" s="149">
        <f t="shared" ca="1" si="54"/>
        <v>17.453279108414765</v>
      </c>
    </row>
    <row r="120" spans="2:28" x14ac:dyDescent="0.3">
      <c r="B120" s="31" t="s">
        <v>1441</v>
      </c>
      <c r="C120" s="157">
        <f>'BoD input'!C119/'Input summary'!$C$167</f>
        <v>6.0999999999999997E-4</v>
      </c>
      <c r="D120" s="157">
        <f>'BoD input'!D119/'Input summary'!$C$167</f>
        <v>4.0999999999999999E-4</v>
      </c>
      <c r="E120" s="157">
        <f>'BoD input'!E119/'Input summary'!$C$167</f>
        <v>8.0000000000000004E-4</v>
      </c>
      <c r="F120" s="156">
        <f t="shared" si="43"/>
        <v>9.9489795918367355E-5</v>
      </c>
      <c r="G120" s="160" t="s">
        <v>578</v>
      </c>
      <c r="H120" s="162">
        <f t="shared" si="44"/>
        <v>37.569078094422082</v>
      </c>
      <c r="I120" s="162">
        <f t="shared" si="45"/>
        <v>61551.083535712271</v>
      </c>
      <c r="J120" s="70">
        <f ca="1">IF(F120=0,C120,IF(G120="Beta",_xlfn.BETA.INV(J117,H120,I120),IF(G120="Lognormal",EXP(NORMINV(J117,H120,I120)),IF(G120="Gamma",_xlfn.GAMMA.INV(J117,H120,I120),IF(G120="Normal",_xlfn.NORM.INV(J117,H120,I120),0)))))</f>
        <v>6.7254249192205684E-4</v>
      </c>
      <c r="K120" s="149">
        <f t="shared" ca="1" si="46"/>
        <v>67.254249192205691</v>
      </c>
    </row>
    <row r="121" spans="2:28" x14ac:dyDescent="0.3">
      <c r="B121" s="31" t="s">
        <v>1442</v>
      </c>
      <c r="C121" s="157">
        <f>'BoD input'!C120/'Input summary'!$C$167</f>
        <v>6.0999999999999997E-4</v>
      </c>
      <c r="D121" s="157">
        <f>'BoD input'!D120/'Input summary'!$C$167</f>
        <v>4.0999999999999999E-4</v>
      </c>
      <c r="E121" s="157">
        <f>'BoD input'!E120/'Input summary'!$C$167</f>
        <v>8.0000000000000004E-4</v>
      </c>
      <c r="F121" s="156">
        <f t="shared" si="43"/>
        <v>9.9489795918367355E-5</v>
      </c>
      <c r="G121" s="160" t="s">
        <v>578</v>
      </c>
      <c r="H121" s="162">
        <f t="shared" si="44"/>
        <v>37.569078094422082</v>
      </c>
      <c r="I121" s="162">
        <f t="shared" si="45"/>
        <v>61551.083535712271</v>
      </c>
      <c r="J121" s="70">
        <f ca="1">IF(F121=0,C121,IF(G121="Beta",_xlfn.BETA.INV(J117,H121,I121),IF(G121="Lognormal",EXP(NORMINV(J117,H121,I121)),IF(G121="Gamma",_xlfn.GAMMA.INV(J117,H121,I121),IF(G121="Normal",_xlfn.NORM.INV(J117,H121,I121),0)))))</f>
        <v>6.7254249192205684E-4</v>
      </c>
      <c r="K121" s="149">
        <f t="shared" ca="1" si="46"/>
        <v>67.254249192205691</v>
      </c>
    </row>
    <row r="122" spans="2:28" x14ac:dyDescent="0.3">
      <c r="B122" s="151" t="s">
        <v>920</v>
      </c>
      <c r="C122" s="162"/>
      <c r="D122" s="162"/>
      <c r="E122" s="162"/>
      <c r="F122" s="162"/>
      <c r="G122" s="162"/>
      <c r="H122" s="162"/>
      <c r="I122" s="162"/>
      <c r="J122" s="291">
        <f ca="1">RAND()</f>
        <v>0.81844786908549838</v>
      </c>
      <c r="K122" s="149"/>
    </row>
    <row r="123" spans="2:28" x14ac:dyDescent="0.3">
      <c r="B123" s="31" t="s">
        <v>920</v>
      </c>
      <c r="C123" s="157">
        <f>'BoD input'!C122/'Input summary'!$C$167</f>
        <v>0</v>
      </c>
      <c r="D123" s="157">
        <f>'BoD input'!D122/'Input summary'!$C$167</f>
        <v>0</v>
      </c>
      <c r="E123" s="157">
        <f>'BoD input'!E122/'Input summary'!$C$167</f>
        <v>0</v>
      </c>
      <c r="F123" s="156">
        <f t="shared" si="43"/>
        <v>0</v>
      </c>
      <c r="G123" s="160" t="s">
        <v>578</v>
      </c>
      <c r="H123" s="162" t="e">
        <f t="shared" si="44"/>
        <v>#DIV/0!</v>
      </c>
      <c r="I123" s="162" t="e">
        <f t="shared" si="45"/>
        <v>#DIV/0!</v>
      </c>
      <c r="J123" s="70">
        <f>IF(F123=0,C123,IF(G123="Beta",_xlfn.BETA.INV(J122,H123,I123),IF(G123="Lognormal",EXP(NORMINV(J122,H123,I123)),IF(G123="Gamma",_xlfn.GAMMA.INV(J122,H123,I123),IF(G123="Normal",_xlfn.NORM.INV(J122,H123,I123),0)))))</f>
        <v>0</v>
      </c>
      <c r="K123" s="149">
        <f t="shared" si="46"/>
        <v>0</v>
      </c>
    </row>
    <row r="124" spans="2:28" x14ac:dyDescent="0.3">
      <c r="B124" s="31" t="s">
        <v>980</v>
      </c>
      <c r="C124" s="157">
        <f>'BoD input'!C123/'Input summary'!$C$167</f>
        <v>0</v>
      </c>
      <c r="D124" s="157">
        <f>'BoD input'!D123/'Input summary'!$C$167</f>
        <v>0</v>
      </c>
      <c r="E124" s="157">
        <f>'BoD input'!E123/'Input summary'!$C$167</f>
        <v>0</v>
      </c>
      <c r="F124" s="156">
        <f t="shared" si="43"/>
        <v>0</v>
      </c>
      <c r="G124" s="160" t="s">
        <v>578</v>
      </c>
      <c r="H124" s="162" t="e">
        <f t="shared" si="44"/>
        <v>#DIV/0!</v>
      </c>
      <c r="I124" s="162" t="e">
        <f t="shared" si="45"/>
        <v>#DIV/0!</v>
      </c>
      <c r="J124" s="70">
        <f>IF(F124=0,C124,IF(G124="Beta",_xlfn.BETA.INV(J122,H124,I124),IF(G124="Lognormal",EXP(NORMINV(J122,H124,I124)),IF(G124="Gamma",_xlfn.GAMMA.INV(J122,H124,I124),IF(G124="Normal",_xlfn.NORM.INV(J122,H124,I124),0)))))</f>
        <v>0</v>
      </c>
      <c r="K124" s="149">
        <f t="shared" si="46"/>
        <v>0</v>
      </c>
    </row>
    <row r="125" spans="2:28" x14ac:dyDescent="0.3">
      <c r="B125" s="31"/>
      <c r="C125" s="192"/>
      <c r="D125" s="192"/>
      <c r="E125" s="192"/>
      <c r="F125" s="192"/>
      <c r="H125" s="162"/>
      <c r="I125" s="162"/>
      <c r="J125" s="69"/>
    </row>
    <row r="127" spans="2:28" ht="21" x14ac:dyDescent="0.4">
      <c r="B127" s="795" t="s">
        <v>551</v>
      </c>
      <c r="C127" s="795"/>
      <c r="D127" s="795"/>
      <c r="E127" s="795"/>
      <c r="F127" s="795"/>
    </row>
    <row r="129" spans="2:32" ht="15" customHeight="1" x14ac:dyDescent="0.3">
      <c r="B129" s="175" t="s">
        <v>554</v>
      </c>
      <c r="C129" s="175"/>
      <c r="D129" s="175"/>
      <c r="E129" s="175"/>
      <c r="F129" s="175"/>
      <c r="G129" s="175"/>
      <c r="H129" s="84"/>
      <c r="I129" s="175"/>
      <c r="J129" s="175"/>
      <c r="K129" s="84"/>
      <c r="L129" s="84"/>
      <c r="M129" s="84"/>
      <c r="N129" s="84"/>
      <c r="O129" s="84"/>
      <c r="P129" s="84"/>
      <c r="Q129" s="84"/>
      <c r="R129" s="84"/>
      <c r="S129" s="84"/>
      <c r="T129" s="84"/>
      <c r="U129" s="84"/>
      <c r="V129" s="84"/>
      <c r="W129" s="84"/>
      <c r="X129" s="175"/>
      <c r="Y129" s="191"/>
      <c r="Z129" s="191"/>
      <c r="AA129" s="191"/>
      <c r="AB129" s="84"/>
      <c r="AC129" s="84"/>
      <c r="AD129" s="84"/>
      <c r="AE129" s="84"/>
      <c r="AF129" s="84"/>
    </row>
    <row r="130" spans="2:32" x14ac:dyDescent="0.3">
      <c r="B130" s="176" t="s">
        <v>552</v>
      </c>
      <c r="C130" s="165"/>
      <c r="D130" s="165"/>
      <c r="E130" s="165"/>
      <c r="F130" s="165"/>
      <c r="G130" s="165"/>
      <c r="H130" s="292"/>
      <c r="I130" s="292"/>
      <c r="J130" s="292"/>
      <c r="M130" s="176" t="s">
        <v>553</v>
      </c>
      <c r="N130" s="165"/>
      <c r="O130" s="165"/>
      <c r="P130" s="165"/>
      <c r="Q130" s="165"/>
      <c r="R130" s="165"/>
      <c r="S130" s="292"/>
      <c r="T130" s="292"/>
      <c r="U130" s="292"/>
    </row>
    <row r="131" spans="2:32" x14ac:dyDescent="0.3">
      <c r="B131" s="159" t="s">
        <v>555</v>
      </c>
      <c r="C131" s="73"/>
      <c r="D131" s="73"/>
      <c r="E131" s="73"/>
      <c r="F131" s="73"/>
      <c r="G131" s="73"/>
      <c r="H131" s="73"/>
      <c r="I131" s="73"/>
      <c r="J131" s="73"/>
      <c r="M131" s="159" t="s">
        <v>555</v>
      </c>
      <c r="N131" s="73"/>
      <c r="O131" s="73"/>
      <c r="P131" s="73"/>
      <c r="Q131" s="73"/>
      <c r="R131" s="73"/>
      <c r="S131" s="73"/>
      <c r="T131" s="73"/>
      <c r="U131" s="73"/>
    </row>
    <row r="132" spans="2:32" x14ac:dyDescent="0.3">
      <c r="B132" s="159" t="s">
        <v>1</v>
      </c>
      <c r="C132" s="159" t="s">
        <v>567</v>
      </c>
      <c r="D132" s="159" t="s">
        <v>985</v>
      </c>
      <c r="E132" s="159" t="s">
        <v>986</v>
      </c>
      <c r="F132" s="73" t="s">
        <v>584</v>
      </c>
      <c r="G132" s="73" t="s">
        <v>569</v>
      </c>
      <c r="H132" s="73" t="s">
        <v>581</v>
      </c>
      <c r="I132" s="73" t="s">
        <v>582</v>
      </c>
      <c r="J132" s="73" t="s">
        <v>583</v>
      </c>
      <c r="M132" s="159" t="s">
        <v>1</v>
      </c>
      <c r="N132" s="159" t="s">
        <v>567</v>
      </c>
      <c r="O132" s="159" t="s">
        <v>985</v>
      </c>
      <c r="P132" s="159" t="s">
        <v>986</v>
      </c>
      <c r="Q132" s="73" t="s">
        <v>584</v>
      </c>
      <c r="R132" s="73" t="s">
        <v>569</v>
      </c>
      <c r="S132" s="73" t="s">
        <v>581</v>
      </c>
      <c r="T132" s="73" t="s">
        <v>582</v>
      </c>
      <c r="U132" s="73" t="s">
        <v>583</v>
      </c>
    </row>
    <row r="133" spans="2:32" x14ac:dyDescent="0.3">
      <c r="B133" s="150" t="s">
        <v>988</v>
      </c>
      <c r="C133" s="197"/>
      <c r="D133" s="197"/>
      <c r="E133" s="197"/>
      <c r="J133" s="291">
        <f ca="1">RAND()</f>
        <v>0.27575131002703956</v>
      </c>
      <c r="K133" s="79" t="s">
        <v>904</v>
      </c>
      <c r="M133" s="150" t="s">
        <v>988</v>
      </c>
      <c r="U133" s="291">
        <f ca="1">J133</f>
        <v>0.27575131002703956</v>
      </c>
      <c r="V133" s="79" t="s">
        <v>904</v>
      </c>
    </row>
    <row r="134" spans="2:32" x14ac:dyDescent="0.3">
      <c r="B134" s="31" t="s">
        <v>1082</v>
      </c>
      <c r="C134" s="177">
        <f>'VE input'!C14</f>
        <v>0.35</v>
      </c>
      <c r="D134" s="177">
        <f>'VE input'!D14</f>
        <v>0</v>
      </c>
      <c r="E134" s="177">
        <f>'VE input'!E14</f>
        <v>0.7</v>
      </c>
      <c r="F134" s="156">
        <f>(E134-D134)/(2*1.96)</f>
        <v>0.17857142857142858</v>
      </c>
      <c r="G134" s="160" t="s">
        <v>578</v>
      </c>
      <c r="H134" s="162">
        <f>IF(G134="Beta",C134*(C134*(1-C134)/(F134^2)-1),IF(G134="Lognormal",LN(C134^2/SQRT(F134^2+C134^2)),IF(G134="Gamma",C134^2/F134^2,IF(G134="Normal",C134,0))))</f>
        <v>2.1470399999999996</v>
      </c>
      <c r="I134" s="162">
        <f>IF(G134="Beta",C134*(1-C134)/(F134^2)-1-H134,IF(G134="Lognormal",SQRT(LN(1+F134^2/C134^2)),IF(G134="Gamma",F134^2/C134,IF(G134="Normal",F134,0))))</f>
        <v>3.9873599999999998</v>
      </c>
      <c r="J134" s="70">
        <f ca="1">IF(F134=0,C134,IF(G134="Beta",_xlfn.BETA.INV(J133,H134,I134),IF(G134="Lognormal",EXP(NORMINV(J133,H134,I134)),IF(G134="Gamma",_xlfn.GAMMA.INV(J133,H134,I134),IF(G134="Normal",_xlfn.NORM.INV(J133,H134,I134),0)))))</f>
        <v>0.22385951902251913</v>
      </c>
      <c r="K134">
        <f>(E134+D134)/2</f>
        <v>0.35</v>
      </c>
      <c r="M134" s="31" t="s">
        <v>2</v>
      </c>
      <c r="N134" s="696">
        <f>'VE input'!C41</f>
        <v>0.35</v>
      </c>
      <c r="O134" s="177">
        <f>'VE input'!D41</f>
        <v>0</v>
      </c>
      <c r="P134" s="177">
        <f>'VE input'!E41</f>
        <v>0.7</v>
      </c>
      <c r="Q134" s="156">
        <f>(P134-O134)/(2*1.96)</f>
        <v>0.17857142857142858</v>
      </c>
      <c r="R134" s="160" t="s">
        <v>578</v>
      </c>
      <c r="S134" s="162">
        <f>IF(R134="Beta",N134*(N134*(1-N134)/(Q134^2)-1),IF(R134="Lognormal",LN(N134^2/SQRT(Q134^2+N134^2)),IF(R134="Gamma",N134^2/Q134^2,IF(R134="Normal",N134,0))))</f>
        <v>2.1470399999999996</v>
      </c>
      <c r="T134" s="162">
        <f>IF(R134="Beta",N134*(1-N134)/(Q134^2)-1-S134,IF(R134="Lognormal",SQRT(LN(1+Q134^2/N134^2)),IF(R134="Gamma",Q134^2/N134,IF(R134="Normal",Q134,0))))</f>
        <v>3.9873599999999998</v>
      </c>
      <c r="U134" s="70">
        <f ca="1">IF(Q134=0,N134,IF(R134="Beta",_xlfn.BETA.INV(U133,S134,T134),IF(R134="Lognormal",EXP(NORMINV(U133,S134,T134)),IF(R134="Gamma",_xlfn.GAMMA.INV(U133,S134,T134),IF(R134="Normal",_xlfn.NORM.INV(U133,S134,T134),0)))))</f>
        <v>0.22385951902251913</v>
      </c>
    </row>
    <row r="135" spans="2:32" x14ac:dyDescent="0.3">
      <c r="B135" s="31" t="s">
        <v>1083</v>
      </c>
      <c r="C135" s="177">
        <f>'VE input'!C15</f>
        <v>0.35</v>
      </c>
      <c r="D135" s="177">
        <f>'VE input'!D15</f>
        <v>0</v>
      </c>
      <c r="E135" s="177">
        <f>'VE input'!E15</f>
        <v>0.7</v>
      </c>
      <c r="F135" s="156">
        <f t="shared" ref="F135:F156" si="55">(E135-D135)/(2*1.96)</f>
        <v>0.17857142857142858</v>
      </c>
      <c r="G135" s="160" t="s">
        <v>578</v>
      </c>
      <c r="H135" s="162">
        <f t="shared" ref="H135:H156" si="56">IF(G135="Beta",C135*(C135*(1-C135)/(F135^2)-1),IF(G135="Lognormal",LN(C135^2/SQRT(F135^2+C135^2)),IF(G135="Gamma",C135^2/F135^2,IF(G135="Normal",C135,0))))</f>
        <v>2.1470399999999996</v>
      </c>
      <c r="I135" s="162">
        <f t="shared" ref="I135:I156" si="57">IF(G135="Beta",C135*(1-C135)/(F135^2)-1-H135,IF(G135="Lognormal",SQRT(LN(1+F135^2/C135^2)),IF(G135="Gamma",F135^2/C135,IF(G135="Normal",F135,0))))</f>
        <v>3.9873599999999998</v>
      </c>
      <c r="J135" s="70">
        <f ca="1">IF(F135=0,C135,IF(G135="Beta",_xlfn.BETA.INV(J133,H135,I135),IF(G135="Lognormal",EXP(NORMINV(J133,H135,I135)),IF(G135="Gamma",_xlfn.GAMMA.INV(J133,H135,I135),IF(G135="Normal",_xlfn.NORM.INV(J133,H135,I135),0)))))</f>
        <v>0.22385951902251913</v>
      </c>
      <c r="M135" s="31" t="s">
        <v>3</v>
      </c>
      <c r="N135" s="177">
        <f>'VE input'!C42</f>
        <v>0.35</v>
      </c>
      <c r="O135" s="177">
        <f>'VE input'!D42</f>
        <v>0</v>
      </c>
      <c r="P135" s="177">
        <f>'VE input'!E42</f>
        <v>0.7</v>
      </c>
      <c r="Q135" s="156">
        <f t="shared" ref="Q135:Q140" si="58">(P135-O135)/(2*1.96)</f>
        <v>0.17857142857142858</v>
      </c>
      <c r="R135" s="160" t="s">
        <v>578</v>
      </c>
      <c r="S135" s="162">
        <f t="shared" ref="S135:S140" si="59">IF(R135="Beta",N135*(N135*(1-N135)/(Q135^2)-1),IF(R135="Lognormal",LN(N135^2/SQRT(Q135^2+N135^2)),IF(R135="Gamma",N135^2/Q135^2,IF(R135="Normal",N135,0))))</f>
        <v>2.1470399999999996</v>
      </c>
      <c r="T135" s="162">
        <f t="shared" ref="T135:T140" si="60">IF(R135="Beta",N135*(1-N135)/(Q135^2)-1-S135,IF(R135="Lognormal",SQRT(LN(1+Q135^2/N135^2)),IF(R135="Gamma",Q135^2/N135,IF(R135="Normal",Q135,0))))</f>
        <v>3.9873599999999998</v>
      </c>
      <c r="U135" s="70">
        <f ca="1">IF(Q135=0,N135,IF(R135="Beta",_xlfn.BETA.INV(U133,S135,T135),IF(R135="Lognormal",EXP(NORMINV(U133,S135,T135)),IF(R135="Gamma",_xlfn.GAMMA.INV(U133,S135,T135),IF(R135="Normal",_xlfn.NORM.INV(U133,S135,T135),0)))))</f>
        <v>0.22385951902251913</v>
      </c>
    </row>
    <row r="136" spans="2:32" x14ac:dyDescent="0.3">
      <c r="B136" s="31" t="s">
        <v>1084</v>
      </c>
      <c r="C136" s="177">
        <f>'VE input'!C16</f>
        <v>0.39</v>
      </c>
      <c r="D136" s="177">
        <f>'VE input'!D16</f>
        <v>0</v>
      </c>
      <c r="E136" s="177">
        <f>'VE input'!E16</f>
        <v>0.68</v>
      </c>
      <c r="F136" s="156">
        <f t="shared" si="55"/>
        <v>0.17346938775510207</v>
      </c>
      <c r="G136" s="160" t="s">
        <v>578</v>
      </c>
      <c r="H136" s="162">
        <f t="shared" si="56"/>
        <v>2.6932827820069196</v>
      </c>
      <c r="I136" s="162">
        <f t="shared" si="57"/>
        <v>4.2125705051903095</v>
      </c>
      <c r="J136" s="70">
        <f ca="1">IF(F136=0,C136,IF(G136="Beta",_xlfn.BETA.INV(J133,H136,I136),IF(G136="Lognormal",EXP(NORMINV(J133,H136,I136)),IF(G136="Gamma",_xlfn.GAMMA.INV(J133,H136,I136),IF(G136="Normal",_xlfn.NORM.INV(J133,H136,I136),0)))))</f>
        <v>0.27098935718338329</v>
      </c>
      <c r="M136" s="31" t="s">
        <v>4</v>
      </c>
      <c r="N136" s="177">
        <f>'VE input'!C43</f>
        <v>0.39</v>
      </c>
      <c r="O136" s="177">
        <f>'VE input'!D43</f>
        <v>0</v>
      </c>
      <c r="P136" s="177">
        <f>'VE input'!E43</f>
        <v>0.68</v>
      </c>
      <c r="Q136" s="156">
        <f t="shared" si="58"/>
        <v>0.17346938775510207</v>
      </c>
      <c r="R136" s="160" t="s">
        <v>578</v>
      </c>
      <c r="S136" s="162">
        <f t="shared" si="59"/>
        <v>2.6932827820069196</v>
      </c>
      <c r="T136" s="162">
        <f t="shared" si="60"/>
        <v>4.2125705051903095</v>
      </c>
      <c r="U136" s="70">
        <f ca="1">IF(Q136=0,N136,IF(R136="Beta",_xlfn.BETA.INV(U133,S136,T136),IF(R136="Lognormal",EXP(NORMINV(U133,S136,T136)),IF(R136="Gamma",_xlfn.GAMMA.INV(U133,S136,T136),IF(R136="Normal",_xlfn.NORM.INV(U133,S136,T136),0)))))</f>
        <v>0.27098935718338329</v>
      </c>
    </row>
    <row r="137" spans="2:32" x14ac:dyDescent="0.3">
      <c r="B137" s="31" t="s">
        <v>1085</v>
      </c>
      <c r="C137" s="177">
        <f>'VE input'!C17</f>
        <v>0.57999999999999996</v>
      </c>
      <c r="D137" s="177">
        <f>'VE input'!D17</f>
        <v>0.34</v>
      </c>
      <c r="E137" s="177">
        <f>'VE input'!E17</f>
        <v>0.73</v>
      </c>
      <c r="F137" s="156">
        <f t="shared" si="55"/>
        <v>9.9489795918367332E-2</v>
      </c>
      <c r="G137" s="160" t="s">
        <v>578</v>
      </c>
      <c r="H137" s="162">
        <f t="shared" ref="H137" si="61">IF(G137="Beta",C137*(C137*(1-C137)/(F137^2)-1),IF(G137="Lognormal",LN(C137^2/SQRT(F137^2+C137^2)),IF(G137="Gamma",C137^2/F137^2,IF(G137="Normal",C137,0))))</f>
        <v>13.694082335305723</v>
      </c>
      <c r="I137" s="162">
        <f t="shared" ref="I137" si="62">IF(G137="Beta",C137*(1-C137)/(F137^2)-1-H137,IF(G137="Lognormal",SQRT(LN(1+F137^2/C137^2)),IF(G137="Gamma",F137^2/C137,IF(G137="Normal",F137,0))))</f>
        <v>9.9164044497041459</v>
      </c>
      <c r="J137" s="70">
        <f ca="1">IF(F137=0,C137,IF(G137="Beta",_xlfn.BETA.INV(J134,H137,I137),IF(G137="Lognormal",EXP(NORMINV(J134,H137,I137)),IF(G137="Gamma",_xlfn.GAMMA.INV(J134,H137,I137),IF(G137="Normal",_xlfn.NORM.INV(J134,H137,I137),0)))))</f>
        <v>0.50354070803997708</v>
      </c>
      <c r="M137" s="31" t="s">
        <v>5</v>
      </c>
      <c r="N137" s="177">
        <f>'VE input'!C44</f>
        <v>0.57999999999999996</v>
      </c>
      <c r="O137" s="177">
        <f>'VE input'!D44</f>
        <v>0.34</v>
      </c>
      <c r="P137" s="177">
        <f>'VE input'!E44</f>
        <v>0.73</v>
      </c>
      <c r="Q137" s="156">
        <f t="shared" si="58"/>
        <v>9.9489795918367332E-2</v>
      </c>
      <c r="R137" s="160" t="s">
        <v>578</v>
      </c>
      <c r="S137" s="162">
        <f t="shared" si="59"/>
        <v>13.694082335305723</v>
      </c>
      <c r="T137" s="162">
        <f t="shared" si="60"/>
        <v>9.9164044497041459</v>
      </c>
      <c r="U137" s="70">
        <f ca="1">IF(Q137=0,N137,IF(R137="Beta",_xlfn.BETA.INV(U133,S137,T137),IF(R137="Lognormal",EXP(NORMINV(U133,S137,T137)),IF(R137="Gamma",_xlfn.GAMMA.INV(U133,S137,T137),IF(R137="Normal",_xlfn.NORM.INV(U133,S137,T137),0)))))</f>
        <v>0.52060748717289651</v>
      </c>
    </row>
    <row r="138" spans="2:32" x14ac:dyDescent="0.3">
      <c r="B138" s="31" t="s">
        <v>1086</v>
      </c>
      <c r="C138" s="177">
        <f>'VE input'!C18</f>
        <v>0.57999999999999996</v>
      </c>
      <c r="D138" s="177">
        <f>'VE input'!D18</f>
        <v>0.34</v>
      </c>
      <c r="E138" s="177">
        <f>'VE input'!E18</f>
        <v>0.73</v>
      </c>
      <c r="F138" s="156">
        <f t="shared" si="55"/>
        <v>9.9489795918367332E-2</v>
      </c>
      <c r="G138" s="160" t="s">
        <v>578</v>
      </c>
      <c r="H138" s="162">
        <f t="shared" si="56"/>
        <v>13.694082335305723</v>
      </c>
      <c r="I138" s="162">
        <f t="shared" si="57"/>
        <v>9.9164044497041459</v>
      </c>
      <c r="J138" s="70">
        <f ca="1">IF(F138=0,C138,IF(G138="Beta",_xlfn.BETA.INV(J133,H138,I138),IF(G138="Lognormal",EXP(NORMINV(J133,H138,I138)),IF(G138="Gamma",_xlfn.GAMMA.INV(J133,H138,I138),IF(G138="Normal",_xlfn.NORM.INV(J133,H138,I138),0)))))</f>
        <v>0.52060748717289651</v>
      </c>
      <c r="M138" s="31" t="s">
        <v>6</v>
      </c>
      <c r="N138" s="177">
        <f>'VE input'!C45</f>
        <v>0.57999999999999996</v>
      </c>
      <c r="O138" s="177">
        <f>'VE input'!D45</f>
        <v>0.34</v>
      </c>
      <c r="P138" s="177">
        <f>'VE input'!E45</f>
        <v>0.73</v>
      </c>
      <c r="Q138" s="156">
        <f t="shared" si="58"/>
        <v>9.9489795918367332E-2</v>
      </c>
      <c r="R138" s="160" t="s">
        <v>578</v>
      </c>
      <c r="S138" s="162">
        <f t="shared" si="59"/>
        <v>13.694082335305723</v>
      </c>
      <c r="T138" s="162">
        <f t="shared" si="60"/>
        <v>9.9164044497041459</v>
      </c>
      <c r="U138" s="70">
        <f ca="1">IF(Q138=0,N138,IF(R138="Beta",_xlfn.BETA.INV(U133,S138,T138),IF(R138="Lognormal",EXP(NORMINV(U133,S138,T138)),IF(R138="Gamma",_xlfn.GAMMA.INV(U133,S138,T138),IF(R138="Normal",_xlfn.NORM.INV(U133,S138,T138),0)))))</f>
        <v>0.52060748717289651</v>
      </c>
    </row>
    <row r="139" spans="2:32" x14ac:dyDescent="0.3">
      <c r="B139" s="31" t="s">
        <v>1087</v>
      </c>
      <c r="C139" s="177">
        <f>'VE input'!C19</f>
        <v>0.57999999999999996</v>
      </c>
      <c r="D139" s="177">
        <f>'VE input'!D19</f>
        <v>0.34</v>
      </c>
      <c r="E139" s="177">
        <f>'VE input'!E19</f>
        <v>0.73</v>
      </c>
      <c r="F139" s="156">
        <f t="shared" si="55"/>
        <v>9.9489795918367332E-2</v>
      </c>
      <c r="G139" s="160" t="s">
        <v>578</v>
      </c>
      <c r="H139" s="162">
        <f t="shared" si="56"/>
        <v>13.694082335305723</v>
      </c>
      <c r="I139" s="162">
        <f t="shared" si="57"/>
        <v>9.9164044497041459</v>
      </c>
      <c r="J139" s="70">
        <f ca="1">IF(F139=0,C139,IF(G139="Beta",_xlfn.BETA.INV(J133,H139,I139),IF(G139="Lognormal",EXP(NORMINV(J133,H139,I139)),IF(G139="Gamma",_xlfn.GAMMA.INV(J133,H139,I139),IF(G139="Normal",_xlfn.NORM.INV(J133,H139,I139),0)))))</f>
        <v>0.52060748717289651</v>
      </c>
      <c r="M139" s="31" t="s">
        <v>7</v>
      </c>
      <c r="N139" s="177">
        <f>'VE input'!C46</f>
        <v>0.57999999999999996</v>
      </c>
      <c r="O139" s="177">
        <f>'VE input'!D46</f>
        <v>0.34</v>
      </c>
      <c r="P139" s="177">
        <f>'VE input'!E46</f>
        <v>0.73</v>
      </c>
      <c r="Q139" s="156">
        <f t="shared" si="58"/>
        <v>9.9489795918367332E-2</v>
      </c>
      <c r="R139" s="160" t="s">
        <v>578</v>
      </c>
      <c r="S139" s="162">
        <f t="shared" si="59"/>
        <v>13.694082335305723</v>
      </c>
      <c r="T139" s="162">
        <f t="shared" si="60"/>
        <v>9.9164044497041459</v>
      </c>
      <c r="U139" s="70">
        <f ca="1">IF(Q139=0,N139,IF(R139="Beta",_xlfn.BETA.INV(U133,S139,T139),IF(R139="Lognormal",EXP(NORMINV(U133,S139,T139)),IF(R139="Gamma",_xlfn.GAMMA.INV(U133,S139,T139),IF(R139="Normal",_xlfn.NORM.INV(U133,S139,T139),0)))))</f>
        <v>0.52060748717289651</v>
      </c>
    </row>
    <row r="140" spans="2:32" x14ac:dyDescent="0.3">
      <c r="B140" s="31" t="s">
        <v>1443</v>
      </c>
      <c r="C140" s="177">
        <f>'VE input'!C20</f>
        <v>0.57999999999999996</v>
      </c>
      <c r="D140" s="177">
        <f>'VE input'!D20</f>
        <v>0.34</v>
      </c>
      <c r="E140" s="177">
        <f>'VE input'!E20</f>
        <v>0.73</v>
      </c>
      <c r="F140" s="156">
        <f t="shared" si="55"/>
        <v>9.9489795918367332E-2</v>
      </c>
      <c r="G140" s="160" t="s">
        <v>578</v>
      </c>
      <c r="H140" s="162">
        <f t="shared" si="56"/>
        <v>13.694082335305723</v>
      </c>
      <c r="I140" s="162">
        <f t="shared" si="57"/>
        <v>9.9164044497041459</v>
      </c>
      <c r="J140" s="70">
        <f ca="1">IF(F140=0,C140,IF(G140="Beta",_xlfn.BETA.INV(J133,H140,I140),IF(G140="Lognormal",EXP(NORMINV(J133,H140,I140)),IF(G140="Gamma",_xlfn.GAMMA.INV(J133,H140,I140),IF(G140="Normal",_xlfn.NORM.INV(J133,H140,I140),0)))))</f>
        <v>0.52060748717289651</v>
      </c>
      <c r="M140" s="31" t="s">
        <v>11</v>
      </c>
      <c r="N140" s="177">
        <f>'VE input'!C47</f>
        <v>0.57999999999999996</v>
      </c>
      <c r="O140" s="177">
        <f>'VE input'!D47</f>
        <v>0.34</v>
      </c>
      <c r="P140" s="177">
        <f>'VE input'!E47</f>
        <v>0.73</v>
      </c>
      <c r="Q140" s="156">
        <f t="shared" si="58"/>
        <v>9.9489795918367332E-2</v>
      </c>
      <c r="R140" s="160" t="s">
        <v>578</v>
      </c>
      <c r="S140" s="162">
        <f t="shared" si="59"/>
        <v>13.694082335305723</v>
      </c>
      <c r="T140" s="162">
        <f t="shared" si="60"/>
        <v>9.9164044497041459</v>
      </c>
      <c r="U140" s="70">
        <f ca="1">IF(Q140=0,N140,IF(R140="Beta",_xlfn.BETA.INV(U133,S140,T140),IF(R140="Lognormal",EXP(NORMINV(U133,S140,T140)),IF(R140="Gamma",_xlfn.GAMMA.INV(U133,S140,T140),IF(R140="Normal",_xlfn.NORM.INV(U133,S140,T140),0)))))</f>
        <v>0.52060748717289651</v>
      </c>
    </row>
    <row r="141" spans="2:32" x14ac:dyDescent="0.3">
      <c r="B141" s="150" t="s">
        <v>1444</v>
      </c>
      <c r="H141" s="141"/>
      <c r="I141" s="141"/>
      <c r="J141" s="291">
        <f ca="1">RAND()</f>
        <v>0.13239090513451068</v>
      </c>
      <c r="L141" s="79" t="s">
        <v>679</v>
      </c>
      <c r="M141" s="150" t="s">
        <v>1444</v>
      </c>
      <c r="S141" s="141"/>
      <c r="T141" s="141"/>
      <c r="U141" s="291">
        <f ca="1">RAND()</f>
        <v>7.8614252278553343E-2</v>
      </c>
    </row>
    <row r="142" spans="2:32" x14ac:dyDescent="0.3">
      <c r="B142" s="31" t="s">
        <v>1082</v>
      </c>
      <c r="C142" s="177">
        <f>'VE input'!C22</f>
        <v>0</v>
      </c>
      <c r="D142" s="177">
        <f>'VE input'!D22</f>
        <v>0</v>
      </c>
      <c r="E142" s="177">
        <f>'VE input'!E22</f>
        <v>0</v>
      </c>
      <c r="F142" s="156">
        <f>(E142-D142)/(2*1.96)</f>
        <v>0</v>
      </c>
      <c r="G142" s="160" t="s">
        <v>578</v>
      </c>
      <c r="H142" s="162" t="e">
        <f t="shared" ref="H142:H148" si="63">IF(G142="Beta",C142*(C142*(1-C142)/(F142^2)-1),IF(G142="Lognormal",LN(C142^2/SQRT(F142^2+C142^2)),IF(G142="Gamma",C142^2/F142^2,IF(G142="Normal",C142,0))))</f>
        <v>#DIV/0!</v>
      </c>
      <c r="I142" s="162" t="e">
        <f t="shared" ref="I142:I148" si="64">IF(G142="Beta",C142*(1-C142)/(F142^2)-1-H142,IF(G142="Lognormal",SQRT(LN(1+F142^2/C142^2)),IF(G142="Gamma",F142^2/C142,IF(G142="Normal",F142,0))))</f>
        <v>#DIV/0!</v>
      </c>
      <c r="J142" s="70">
        <f>IF(F142=0,C142,IF(G142="Beta",_xlfn.BETA.INV(J141,H142,I142),IF(G142="Lognormal",EXP(NORMINV(J141,H142,I142)),IF(G142="Gamma",_xlfn.GAMMA.INV(J141,H142,I142),IF(G142="Normal",_xlfn.NORM.INV(J141,H142,I142),0)))))</f>
        <v>0</v>
      </c>
      <c r="M142" s="31" t="s">
        <v>1082</v>
      </c>
      <c r="N142" s="177">
        <f>'VE input'!C49</f>
        <v>0</v>
      </c>
      <c r="O142" s="177">
        <f>'VE input'!D49</f>
        <v>0</v>
      </c>
      <c r="P142" s="177">
        <f>'VE input'!E49</f>
        <v>0</v>
      </c>
      <c r="Q142" s="156">
        <f>(P142-O142)/(2*1.96)</f>
        <v>0</v>
      </c>
      <c r="R142" s="160" t="s">
        <v>578</v>
      </c>
      <c r="S142" s="162" t="e">
        <f t="shared" ref="S142:S148" si="65">IF(R142="Beta",N142*(N142*(1-N142)/(Q142^2)-1),IF(R142="Lognormal",LN(N142^2/SQRT(Q142^2+N142^2)),IF(R142="Gamma",N142^2/Q142^2,IF(R142="Normal",N142,0))))</f>
        <v>#DIV/0!</v>
      </c>
      <c r="T142" s="162" t="e">
        <f t="shared" ref="T142:T148" si="66">IF(R142="Beta",N142*(1-N142)/(Q142^2)-1-S142,IF(R142="Lognormal",SQRT(LN(1+Q142^2/N142^2)),IF(R142="Gamma",Q142^2/N142,IF(R142="Normal",Q142,0))))</f>
        <v>#DIV/0!</v>
      </c>
      <c r="U142" s="70">
        <f>IF(Q142=0,N142,IF(R142="Beta",_xlfn.BETA.INV(U141,S142,T142),IF(R142="Lognormal",EXP(NORMINV(U141,S142,T142)),IF(R142="Gamma",_xlfn.GAMMA.INV(U141,S142,T142),IF(R142="Normal",_xlfn.NORM.INV(U141,S142,T142),0)))))</f>
        <v>0</v>
      </c>
    </row>
    <row r="143" spans="2:32" x14ac:dyDescent="0.3">
      <c r="B143" s="31" t="s">
        <v>1083</v>
      </c>
      <c r="C143" s="177">
        <f>'VE input'!C23</f>
        <v>0</v>
      </c>
      <c r="D143" s="177">
        <f>'VE input'!D23</f>
        <v>0</v>
      </c>
      <c r="E143" s="177">
        <f>'VE input'!E23</f>
        <v>0</v>
      </c>
      <c r="F143" s="156">
        <f t="shared" ref="F143:F148" si="67">(E143-D143)/(2*1.96)</f>
        <v>0</v>
      </c>
      <c r="G143" s="160" t="s">
        <v>578</v>
      </c>
      <c r="H143" s="162" t="e">
        <f t="shared" si="63"/>
        <v>#DIV/0!</v>
      </c>
      <c r="I143" s="162" t="e">
        <f t="shared" si="64"/>
        <v>#DIV/0!</v>
      </c>
      <c r="J143" s="70">
        <f>IF(F143=0,C143,IF(G143="Beta",_xlfn.BETA.INV(J141,H143,I143),IF(G143="Lognormal",EXP(NORMINV(J141,H143,I143)),IF(G143="Gamma",_xlfn.GAMMA.INV(J141,H143,I143),IF(G143="Normal",_xlfn.NORM.INV(J141,H143,I143),0)))))</f>
        <v>0</v>
      </c>
      <c r="M143" s="31" t="s">
        <v>1083</v>
      </c>
      <c r="N143" s="177">
        <f>'VE input'!C50</f>
        <v>0</v>
      </c>
      <c r="O143" s="177">
        <f>'VE input'!D50</f>
        <v>0</v>
      </c>
      <c r="P143" s="177">
        <f>'VE input'!E50</f>
        <v>0</v>
      </c>
      <c r="Q143" s="156">
        <f t="shared" ref="Q143:Q148" si="68">(P143-O143)/(2*1.96)</f>
        <v>0</v>
      </c>
      <c r="R143" s="160" t="s">
        <v>578</v>
      </c>
      <c r="S143" s="162" t="e">
        <f t="shared" si="65"/>
        <v>#DIV/0!</v>
      </c>
      <c r="T143" s="162" t="e">
        <f t="shared" si="66"/>
        <v>#DIV/0!</v>
      </c>
      <c r="U143" s="70">
        <f>IF(Q143=0,N143,IF(R143="Beta",_xlfn.BETA.INV(U141,S143,T143),IF(R143="Lognormal",EXP(NORMINV(U141,S143,T143)),IF(R143="Gamma",_xlfn.GAMMA.INV(U141,S143,T143),IF(R143="Normal",_xlfn.NORM.INV(U141,S143,T143),0)))))</f>
        <v>0</v>
      </c>
    </row>
    <row r="144" spans="2:32" x14ac:dyDescent="0.3">
      <c r="B144" s="31" t="s">
        <v>1084</v>
      </c>
      <c r="C144" s="177">
        <f>'VE input'!C24</f>
        <v>0</v>
      </c>
      <c r="D144" s="177">
        <f>'VE input'!D24</f>
        <v>0</v>
      </c>
      <c r="E144" s="177">
        <f>'VE input'!E24</f>
        <v>0</v>
      </c>
      <c r="F144" s="156">
        <f t="shared" si="67"/>
        <v>0</v>
      </c>
      <c r="G144" s="160" t="s">
        <v>578</v>
      </c>
      <c r="H144" s="162" t="e">
        <f t="shared" si="63"/>
        <v>#DIV/0!</v>
      </c>
      <c r="I144" s="162" t="e">
        <f t="shared" si="64"/>
        <v>#DIV/0!</v>
      </c>
      <c r="J144" s="70">
        <f>IF(F144=0,C144,IF(G144="Beta",_xlfn.BETA.INV(J141,H144,I144),IF(G144="Lognormal",EXP(NORMINV(J141,H144,I144)),IF(G144="Gamma",_xlfn.GAMMA.INV(J141,H144,I144),IF(G144="Normal",_xlfn.NORM.INV(J141,H144,I144),0)))))</f>
        <v>0</v>
      </c>
      <c r="M144" s="31" t="s">
        <v>1084</v>
      </c>
      <c r="N144" s="177">
        <f>'VE input'!C51</f>
        <v>0</v>
      </c>
      <c r="O144" s="177">
        <f>'VE input'!D51</f>
        <v>0</v>
      </c>
      <c r="P144" s="177">
        <f>'VE input'!E51</f>
        <v>0</v>
      </c>
      <c r="Q144" s="156">
        <f t="shared" si="68"/>
        <v>0</v>
      </c>
      <c r="R144" s="160" t="s">
        <v>578</v>
      </c>
      <c r="S144" s="162" t="e">
        <f t="shared" si="65"/>
        <v>#DIV/0!</v>
      </c>
      <c r="T144" s="162" t="e">
        <f t="shared" si="66"/>
        <v>#DIV/0!</v>
      </c>
      <c r="U144" s="70">
        <f>IF(Q144=0,N144,IF(R144="Beta",_xlfn.BETA.INV(U141,S144,T144),IF(R144="Lognormal",EXP(NORMINV(U141,S144,T144)),IF(R144="Gamma",_xlfn.GAMMA.INV(U141,S144,T144),IF(R144="Normal",_xlfn.NORM.INV(U141,S144,T144),0)))))</f>
        <v>0</v>
      </c>
    </row>
    <row r="145" spans="2:28" x14ac:dyDescent="0.3">
      <c r="B145" s="31" t="s">
        <v>1085</v>
      </c>
      <c r="C145" s="177">
        <f>'VE input'!C25</f>
        <v>0.43645409834744886</v>
      </c>
      <c r="D145" s="177">
        <f>'VE input'!D25</f>
        <v>0.39206893580364055</v>
      </c>
      <c r="E145" s="177">
        <f>'VE input'!E25</f>
        <v>0.47344173380062254</v>
      </c>
      <c r="F145" s="156">
        <f t="shared" si="67"/>
        <v>2.0758366835964794E-2</v>
      </c>
      <c r="G145" s="160" t="s">
        <v>578</v>
      </c>
      <c r="H145" s="162">
        <f t="shared" si="63"/>
        <v>248.69013547122483</v>
      </c>
      <c r="I145" s="162">
        <f t="shared" si="64"/>
        <v>321.10663448200307</v>
      </c>
      <c r="J145" s="70">
        <f ca="1">IF(F145=0,C145,IF(G145="Beta",_xlfn.BETA.INV(J141,H145,I145),IF(G145="Lognormal",EXP(NORMINV(J141,H145,I145)),IF(G145="Gamma",_xlfn.GAMMA.INV(J141,H145,I145),IF(G145="Normal",_xlfn.NORM.INV(J141,H145,I145),0)))))</f>
        <v>0.41330601359414515</v>
      </c>
      <c r="M145" s="31" t="s">
        <v>1085</v>
      </c>
      <c r="N145" s="177">
        <f>'VE input'!C52</f>
        <v>0.43645409834744886</v>
      </c>
      <c r="O145" s="177">
        <f>'VE input'!D52</f>
        <v>0.39206893580364055</v>
      </c>
      <c r="P145" s="177">
        <f>'VE input'!E52</f>
        <v>0.47344173380062254</v>
      </c>
      <c r="Q145" s="156">
        <f t="shared" si="68"/>
        <v>2.0758366835964794E-2</v>
      </c>
      <c r="R145" s="160" t="s">
        <v>578</v>
      </c>
      <c r="S145" s="162">
        <f t="shared" si="65"/>
        <v>248.69013547122483</v>
      </c>
      <c r="T145" s="162">
        <f t="shared" si="66"/>
        <v>321.10663448200307</v>
      </c>
      <c r="U145" s="70">
        <f ca="1">IF(Q145=0,N145,IF(R145="Beta",_xlfn.BETA.INV(U141,S145,T145),IF(R145="Lognormal",EXP(NORMINV(U141,S145,T145)),IF(R145="Gamma",_xlfn.GAMMA.INV(U141,S145,T145),IF(R145="Normal",_xlfn.NORM.INV(U141,S145,T145),0)))))</f>
        <v>0.40715449862376479</v>
      </c>
      <c r="AB145" s="67"/>
    </row>
    <row r="146" spans="2:28" x14ac:dyDescent="0.3">
      <c r="B146" s="31" t="s">
        <v>1086</v>
      </c>
      <c r="C146" s="177">
        <f>'VE input'!C26</f>
        <v>0.43645409834744886</v>
      </c>
      <c r="D146" s="177">
        <f>'VE input'!D26</f>
        <v>0.39206893580364055</v>
      </c>
      <c r="E146" s="177">
        <f>'VE input'!E26</f>
        <v>0.47344173380062254</v>
      </c>
      <c r="F146" s="156">
        <f t="shared" si="67"/>
        <v>2.0758366835964794E-2</v>
      </c>
      <c r="G146" s="160" t="s">
        <v>578</v>
      </c>
      <c r="H146" s="162">
        <f t="shared" si="63"/>
        <v>248.69013547122483</v>
      </c>
      <c r="I146" s="162">
        <f t="shared" si="64"/>
        <v>321.10663448200307</v>
      </c>
      <c r="J146" s="70">
        <f ca="1">IF(F146=0,C146,IF(G146="Beta",_xlfn.BETA.INV(J141,H146,I146),IF(G146="Lognormal",EXP(NORMINV(J141,H146,I146)),IF(G146="Gamma",_xlfn.GAMMA.INV(J141,H146,I146),IF(G146="Normal",_xlfn.NORM.INV(J141,H146,I146),0)))))</f>
        <v>0.41330601359414515</v>
      </c>
      <c r="M146" s="31" t="s">
        <v>1086</v>
      </c>
      <c r="N146" s="177">
        <f>'VE input'!C53</f>
        <v>0.43645409834744886</v>
      </c>
      <c r="O146" s="177">
        <f>'VE input'!D53</f>
        <v>0.39206893580364055</v>
      </c>
      <c r="P146" s="177">
        <f>'VE input'!E53</f>
        <v>0.47344173380062254</v>
      </c>
      <c r="Q146" s="156">
        <f t="shared" si="68"/>
        <v>2.0758366835964794E-2</v>
      </c>
      <c r="R146" s="160" t="s">
        <v>578</v>
      </c>
      <c r="S146" s="162">
        <f t="shared" si="65"/>
        <v>248.69013547122483</v>
      </c>
      <c r="T146" s="162">
        <f t="shared" si="66"/>
        <v>321.10663448200307</v>
      </c>
      <c r="U146" s="70">
        <f ca="1">IF(Q146=0,N146,IF(R146="Beta",_xlfn.BETA.INV(U141,S146,T146),IF(R146="Lognormal",EXP(NORMINV(U141,S146,T146)),IF(R146="Gamma",_xlfn.GAMMA.INV(U141,S146,T146),IF(R146="Normal",_xlfn.NORM.INV(U141,S146,T146),0)))))</f>
        <v>0.40715449862376479</v>
      </c>
    </row>
    <row r="147" spans="2:28" x14ac:dyDescent="0.3">
      <c r="B147" s="31" t="s">
        <v>1087</v>
      </c>
      <c r="C147" s="177">
        <f>'VE input'!C27</f>
        <v>0.43645409834744886</v>
      </c>
      <c r="D147" s="177">
        <f>'VE input'!D27</f>
        <v>0.39206893580364055</v>
      </c>
      <c r="E147" s="177">
        <f>'VE input'!E27</f>
        <v>0.47344173380062254</v>
      </c>
      <c r="F147" s="156">
        <f t="shared" si="67"/>
        <v>2.0758366835964794E-2</v>
      </c>
      <c r="G147" s="160" t="s">
        <v>578</v>
      </c>
      <c r="H147" s="162">
        <f t="shared" si="63"/>
        <v>248.69013547122483</v>
      </c>
      <c r="I147" s="162">
        <f t="shared" si="64"/>
        <v>321.10663448200307</v>
      </c>
      <c r="J147" s="70">
        <f ca="1">IF(F147=0,C147,IF(G147="Beta",_xlfn.BETA.INV(J141,H147,I147),IF(G147="Lognormal",EXP(NORMINV(J141,H147,I147)),IF(G147="Gamma",_xlfn.GAMMA.INV(J141,H147,I147),IF(G147="Normal",_xlfn.NORM.INV(J141,H147,I147),0)))))</f>
        <v>0.41330601359414515</v>
      </c>
      <c r="M147" s="31" t="s">
        <v>1087</v>
      </c>
      <c r="N147" s="177">
        <f>'VE input'!C54</f>
        <v>0.43645409834744886</v>
      </c>
      <c r="O147" s="177">
        <f>'VE input'!D54</f>
        <v>0.39206893580364055</v>
      </c>
      <c r="P147" s="177">
        <f>'VE input'!E54</f>
        <v>0.47344173380062254</v>
      </c>
      <c r="Q147" s="156">
        <f t="shared" si="68"/>
        <v>2.0758366835964794E-2</v>
      </c>
      <c r="R147" s="160" t="s">
        <v>578</v>
      </c>
      <c r="S147" s="162">
        <f t="shared" si="65"/>
        <v>248.69013547122483</v>
      </c>
      <c r="T147" s="162">
        <f t="shared" si="66"/>
        <v>321.10663448200307</v>
      </c>
      <c r="U147" s="70">
        <f ca="1">IF(Q147=0,N147,IF(R147="Beta",_xlfn.BETA.INV(U141,S147,T147),IF(R147="Lognormal",EXP(NORMINV(U141,S147,T147)),IF(R147="Gamma",_xlfn.GAMMA.INV(U141,S147,T147),IF(R147="Normal",_xlfn.NORM.INV(U141,S147,T147),0)))))</f>
        <v>0.40715449862376479</v>
      </c>
    </row>
    <row r="148" spans="2:28" x14ac:dyDescent="0.3">
      <c r="B148" s="31" t="s">
        <v>1443</v>
      </c>
      <c r="C148" s="177">
        <f>'VE input'!C28</f>
        <v>0</v>
      </c>
      <c r="D148" s="177">
        <f>'VE input'!D28</f>
        <v>0</v>
      </c>
      <c r="E148" s="177">
        <f>'VE input'!E28</f>
        <v>0</v>
      </c>
      <c r="F148" s="156">
        <f t="shared" si="67"/>
        <v>0</v>
      </c>
      <c r="G148" s="160" t="s">
        <v>578</v>
      </c>
      <c r="H148" s="162" t="e">
        <f t="shared" si="63"/>
        <v>#DIV/0!</v>
      </c>
      <c r="I148" s="162" t="e">
        <f t="shared" si="64"/>
        <v>#DIV/0!</v>
      </c>
      <c r="J148" s="70">
        <f>IF(F148=0,C148,IF(G148="Beta",_xlfn.BETA.INV(J141,H148,I148),IF(G148="Lognormal",EXP(NORMINV(J141,H148,I148)),IF(G148="Gamma",_xlfn.GAMMA.INV(J141,H148,I148),IF(G148="Normal",_xlfn.NORM.INV(J141,H148,I148),0)))))</f>
        <v>0</v>
      </c>
      <c r="M148" s="31" t="s">
        <v>1443</v>
      </c>
      <c r="N148" s="177">
        <f>'VE input'!C55</f>
        <v>0</v>
      </c>
      <c r="O148" s="177">
        <f>'VE input'!D55</f>
        <v>0</v>
      </c>
      <c r="P148" s="177">
        <f>'VE input'!E55</f>
        <v>0</v>
      </c>
      <c r="Q148" s="156">
        <f t="shared" si="68"/>
        <v>0</v>
      </c>
      <c r="R148" s="160" t="s">
        <v>578</v>
      </c>
      <c r="S148" s="162" t="e">
        <f t="shared" si="65"/>
        <v>#DIV/0!</v>
      </c>
      <c r="T148" s="162" t="e">
        <f t="shared" si="66"/>
        <v>#DIV/0!</v>
      </c>
      <c r="U148" s="70">
        <f>IF(Q148=0,N148,IF(R148="Beta",_xlfn.BETA.INV(U141,S148,T148),IF(R148="Lognormal",EXP(NORMINV(U141,S148,T148)),IF(R148="Gamma",_xlfn.GAMMA.INV(U141,S148,T148),IF(R148="Normal",_xlfn.NORM.INV(U141,S148,T148),0)))))</f>
        <v>0</v>
      </c>
    </row>
    <row r="149" spans="2:28" x14ac:dyDescent="0.3">
      <c r="B149" s="151" t="s">
        <v>227</v>
      </c>
      <c r="C149" s="162"/>
      <c r="D149" s="162"/>
      <c r="E149" s="162"/>
      <c r="F149" s="162"/>
      <c r="G149" s="162"/>
      <c r="H149" s="162"/>
      <c r="I149" s="162"/>
      <c r="J149" s="291">
        <f ca="1">RAND()</f>
        <v>0.29660371493451132</v>
      </c>
      <c r="M149" s="151" t="s">
        <v>227</v>
      </c>
      <c r="N149" s="162"/>
      <c r="O149" s="162"/>
      <c r="P149" s="162"/>
      <c r="Q149" s="162"/>
      <c r="R149" s="162"/>
      <c r="S149" s="162"/>
      <c r="T149" s="162"/>
      <c r="U149" s="291">
        <f ca="1">RAND()</f>
        <v>0.28742121881605465</v>
      </c>
    </row>
    <row r="150" spans="2:28" x14ac:dyDescent="0.3">
      <c r="B150" s="31" t="s">
        <v>1437</v>
      </c>
      <c r="C150" s="177">
        <f>'VE input'!C30</f>
        <v>0.504</v>
      </c>
      <c r="D150" s="177">
        <f>'VE input'!D30</f>
        <v>0.14199999999999999</v>
      </c>
      <c r="E150" s="177">
        <f>'VE input'!E30</f>
        <v>0.71199999999999997</v>
      </c>
      <c r="F150" s="156">
        <f t="shared" ref="F150:F151" si="69">(E150-D150)/(2*1.96)</f>
        <v>0.14540816326530612</v>
      </c>
      <c r="G150" s="160" t="s">
        <v>578</v>
      </c>
      <c r="H150" s="162">
        <f t="shared" ref="H150:H151" si="70">IF(G150="Beta",C150*(C150*(1-C150)/(F150^2)-1),IF(G150="Lognormal",LN(C150^2/SQRT(F150^2+C150^2)),IF(G150="Gamma",C150^2/F150^2,IF(G150="Normal",C150,0))))</f>
        <v>5.4548873048642665</v>
      </c>
      <c r="I150" s="162">
        <f t="shared" ref="I150:I151" si="71">IF(G150="Beta",C150*(1-C150)/(F150^2)-1-H150,IF(G150="Lognormal",SQRT(LN(1+F150^2/C150^2)),IF(G150="Gamma",F150^2/C150,IF(G150="Normal",F150,0))))</f>
        <v>5.3683017920886424</v>
      </c>
      <c r="J150" s="70">
        <f ca="1">IF(F150=0,C150,IF(G150="Beta",_xlfn.BETA.INV(J149,H150,I150),IF(G150="Lognormal",EXP(NORMINV(J149,H150,I150)),IF(G150="Gamma",_xlfn.GAMMA.INV(J149,H150,I150),IF(G150="Normal",_xlfn.NORM.INV(J149,H150,I150),0)))))</f>
        <v>0.42167194165021987</v>
      </c>
      <c r="M150" s="31" t="s">
        <v>227</v>
      </c>
      <c r="N150" s="177">
        <f>'VE input'!C57</f>
        <v>0.504</v>
      </c>
      <c r="O150" s="177">
        <f>'VE input'!D57</f>
        <v>0.14199999999999999</v>
      </c>
      <c r="P150" s="177">
        <f>'VE input'!E57</f>
        <v>0.71199999999999997</v>
      </c>
      <c r="Q150" s="156">
        <f>(P150-O150)/(2*1.96)</f>
        <v>0.14540816326530612</v>
      </c>
      <c r="R150" s="160" t="s">
        <v>578</v>
      </c>
      <c r="S150" s="162">
        <f t="shared" ref="S150:S151" si="72">IF(R150="Beta",N150*(N150*(1-N150)/(Q150^2)-1),IF(R150="Lognormal",LN(N150^2/SQRT(Q150^2+N150^2)),IF(R150="Gamma",N150^2/Q150^2,IF(R150="Normal",N150,0))))</f>
        <v>5.4548873048642665</v>
      </c>
      <c r="T150" s="162">
        <f t="shared" ref="T150:T151" si="73">IF(R150="Beta",N150*(1-N150)/(Q150^2)-1-S150,IF(R150="Lognormal",SQRT(LN(1+Q150^2/N150^2)),IF(R150="Gamma",Q150^2/N150,IF(R150="Normal",Q150,0))))</f>
        <v>5.3683017920886424</v>
      </c>
      <c r="U150" s="70">
        <f ca="1">IF(Q150=0,N150,IF(R150="Beta",_xlfn.BETA.INV(U149,S150,T150),IF(R150="Lognormal",EXP(NORMINV(U149,S150,T150)),IF(R150="Gamma",_xlfn.GAMMA.INV(U149,S150,T150),IF(R150="Normal",_xlfn.NORM.INV(U149,S150,T150),0)))))</f>
        <v>0.4175955123196281</v>
      </c>
    </row>
    <row r="151" spans="2:28" x14ac:dyDescent="0.3">
      <c r="B151" s="31" t="s">
        <v>1438</v>
      </c>
      <c r="C151" s="177">
        <f>'VE input'!C31</f>
        <v>0</v>
      </c>
      <c r="D151" s="177">
        <f>'VE input'!D31</f>
        <v>0</v>
      </c>
      <c r="E151" s="177">
        <f>'VE input'!E31</f>
        <v>0</v>
      </c>
      <c r="F151" s="156">
        <f t="shared" si="69"/>
        <v>0</v>
      </c>
      <c r="G151" s="160" t="s">
        <v>578</v>
      </c>
      <c r="H151" s="162" t="e">
        <f t="shared" si="70"/>
        <v>#DIV/0!</v>
      </c>
      <c r="I151" s="162" t="e">
        <f t="shared" si="71"/>
        <v>#DIV/0!</v>
      </c>
      <c r="J151" s="70">
        <f>IF(F151=0,C151,IF(G151="Beta",_xlfn.BETA.INV(J149,H151,I151),IF(G151="Lognormal",EXP(NORMINV(J149,H151,I151)),IF(G151="Gamma",_xlfn.GAMMA.INV(J149,H151,I151),IF(G151="Normal",_xlfn.NORM.INV(J149,H151,I151),0)))))</f>
        <v>0</v>
      </c>
      <c r="M151" s="31" t="s">
        <v>8</v>
      </c>
      <c r="N151" s="177">
        <f>'VE input'!C58</f>
        <v>0</v>
      </c>
      <c r="O151" s="177">
        <f>'VE input'!D58</f>
        <v>0</v>
      </c>
      <c r="P151" s="177">
        <f>'VE input'!E58</f>
        <v>0</v>
      </c>
      <c r="Q151" s="156">
        <f t="shared" ref="Q151:Q153" si="74">(P151-O151)/(2*1.96)</f>
        <v>0</v>
      </c>
      <c r="R151" s="160" t="s">
        <v>578</v>
      </c>
      <c r="S151" s="162" t="e">
        <f t="shared" si="72"/>
        <v>#DIV/0!</v>
      </c>
      <c r="T151" s="162" t="e">
        <f t="shared" si="73"/>
        <v>#DIV/0!</v>
      </c>
      <c r="U151" s="70">
        <f>IF(Q151=0,N151,IF(R151="Beta",_xlfn.BETA.INV(U149,S151,T151),IF(R151="Lognormal",EXP(NORMINV(U149,S151,T151)),IF(R151="Gamma",_xlfn.GAMMA.INV(U149,S151,T151),IF(R151="Normal",_xlfn.NORM.INV(U149,S151,T151),0)))))</f>
        <v>0</v>
      </c>
    </row>
    <row r="152" spans="2:28" x14ac:dyDescent="0.3">
      <c r="B152" s="31" t="s">
        <v>1441</v>
      </c>
      <c r="C152" s="177">
        <f>'VE input'!C32</f>
        <v>0.48</v>
      </c>
      <c r="D152" s="177">
        <f>'VE input'!D32</f>
        <v>0.11600000000000001</v>
      </c>
      <c r="E152" s="177">
        <f>'VE input'!E32</f>
        <v>0.70399999999999996</v>
      </c>
      <c r="F152" s="156">
        <f t="shared" si="55"/>
        <v>0.15</v>
      </c>
      <c r="G152" s="160" t="s">
        <v>578</v>
      </c>
      <c r="H152" s="162">
        <f t="shared" si="56"/>
        <v>4.8448000000000002</v>
      </c>
      <c r="I152" s="162">
        <f t="shared" si="57"/>
        <v>5.2485333333333335</v>
      </c>
      <c r="J152" s="70">
        <f ca="1">IF(F152=0,C152,IF(G152="Beta",_xlfn.BETA.INV(J149,H152,I152),IF(G152="Lognormal",EXP(NORMINV(J149,H152,I152)),IF(G152="Gamma",_xlfn.GAMMA.INV(J149,H152,I152),IF(G152="Normal",_xlfn.NORM.INV(J149,H152,I152),0)))))</f>
        <v>0.39359781909162561</v>
      </c>
      <c r="M152" s="31" t="s">
        <v>227</v>
      </c>
      <c r="N152" s="177">
        <f>'VE input'!C59</f>
        <v>0.48</v>
      </c>
      <c r="O152" s="177">
        <f>'VE input'!D59</f>
        <v>0.11600000000000001</v>
      </c>
      <c r="P152" s="177">
        <f>'VE input'!E59</f>
        <v>0.70399999999999996</v>
      </c>
      <c r="Q152" s="156">
        <f t="shared" si="74"/>
        <v>0.15</v>
      </c>
      <c r="R152" s="160" t="s">
        <v>578</v>
      </c>
      <c r="S152" s="162">
        <f t="shared" ref="S152:S153" si="75">IF(R152="Beta",N152*(N152*(1-N152)/(Q152^2)-1),IF(R152="Lognormal",LN(N152^2/SQRT(Q152^2+N152^2)),IF(R152="Gamma",N152^2/Q152^2,IF(R152="Normal",N152,0))))</f>
        <v>4.8448000000000002</v>
      </c>
      <c r="T152" s="162">
        <f t="shared" ref="T152:T153" si="76">IF(R152="Beta",N152*(1-N152)/(Q152^2)-1-S152,IF(R152="Lognormal",SQRT(LN(1+Q152^2/N152^2)),IF(R152="Gamma",Q152^2/N152,IF(R152="Normal",Q152,0))))</f>
        <v>5.2485333333333335</v>
      </c>
      <c r="U152" s="70">
        <f ca="1">IF(Q152=0,N152,IF(R152="Beta",_xlfn.BETA.INV(U149,S152,T152),IF(R152="Lognormal",EXP(NORMINV(U149,S152,T152)),IF(R152="Gamma",_xlfn.GAMMA.INV(U149,S152,T152),IF(R152="Normal",_xlfn.NORM.INV(U149,S152,T152),0)))))</f>
        <v>0.3894318429946404</v>
      </c>
    </row>
    <row r="153" spans="2:28" x14ac:dyDescent="0.3">
      <c r="B153" s="31" t="s">
        <v>1442</v>
      </c>
      <c r="C153" s="177">
        <f>'VE input'!C33</f>
        <v>0</v>
      </c>
      <c r="D153" s="177">
        <f>'VE input'!D33</f>
        <v>0</v>
      </c>
      <c r="E153" s="177">
        <f>'VE input'!E33</f>
        <v>0</v>
      </c>
      <c r="F153" s="156">
        <f t="shared" si="55"/>
        <v>0</v>
      </c>
      <c r="G153" s="160" t="s">
        <v>578</v>
      </c>
      <c r="H153" s="162" t="e">
        <f t="shared" si="56"/>
        <v>#DIV/0!</v>
      </c>
      <c r="I153" s="162" t="e">
        <f t="shared" si="57"/>
        <v>#DIV/0!</v>
      </c>
      <c r="J153" s="70">
        <f>IF(F153=0,C153,IF(G153="Beta",_xlfn.BETA.INV(J149,H153,I153),IF(G153="Lognormal",EXP(NORMINV(J149,H153,I153)),IF(G153="Gamma",_xlfn.GAMMA.INV(J149,H153,I153),IF(G153="Normal",_xlfn.NORM.INV(J149,H153,I153),0)))))</f>
        <v>0</v>
      </c>
      <c r="M153" s="31" t="s">
        <v>8</v>
      </c>
      <c r="N153" s="177">
        <f>'VE input'!C60</f>
        <v>0</v>
      </c>
      <c r="O153" s="177">
        <f>'VE input'!D60</f>
        <v>0</v>
      </c>
      <c r="P153" s="177">
        <f>'VE input'!E60</f>
        <v>0</v>
      </c>
      <c r="Q153" s="156">
        <f t="shared" si="74"/>
        <v>0</v>
      </c>
      <c r="R153" s="160" t="s">
        <v>578</v>
      </c>
      <c r="S153" s="162" t="e">
        <f t="shared" si="75"/>
        <v>#DIV/0!</v>
      </c>
      <c r="T153" s="162" t="e">
        <f t="shared" si="76"/>
        <v>#DIV/0!</v>
      </c>
      <c r="U153" s="70">
        <f>IF(Q153=0,N153,IF(R153="Beta",_xlfn.BETA.INV(U149,S153,T153),IF(R153="Lognormal",EXP(NORMINV(U149,S153,T153)),IF(R153="Gamma",_xlfn.GAMMA.INV(U149,S153,T153),IF(R153="Normal",_xlfn.NORM.INV(U149,S153,T153),0)))))</f>
        <v>0</v>
      </c>
    </row>
    <row r="154" spans="2:28" x14ac:dyDescent="0.3">
      <c r="B154" s="151" t="s">
        <v>920</v>
      </c>
      <c r="C154" s="162"/>
      <c r="D154" s="162"/>
      <c r="E154" s="162"/>
      <c r="F154" s="162"/>
      <c r="G154" s="162"/>
      <c r="H154" s="162"/>
      <c r="I154" s="162"/>
      <c r="J154" s="291">
        <f ca="1">RAND()</f>
        <v>0.67354535342975952</v>
      </c>
      <c r="M154" s="151" t="s">
        <v>920</v>
      </c>
      <c r="N154" s="162"/>
      <c r="O154" s="162"/>
      <c r="P154" s="162"/>
      <c r="Q154" s="162"/>
      <c r="R154" s="162"/>
      <c r="S154" s="162"/>
      <c r="T154" s="162"/>
      <c r="U154" s="291">
        <f ca="1">RAND()</f>
        <v>0.49866894340261114</v>
      </c>
    </row>
    <row r="155" spans="2:28" x14ac:dyDescent="0.3">
      <c r="B155" s="31" t="s">
        <v>920</v>
      </c>
      <c r="C155" s="177">
        <f>'VE input'!C35</f>
        <v>0</v>
      </c>
      <c r="D155" s="177">
        <f>'VE input'!D35</f>
        <v>0</v>
      </c>
      <c r="E155" s="177">
        <f>'VE input'!E35</f>
        <v>0</v>
      </c>
      <c r="F155" s="156">
        <f t="shared" si="55"/>
        <v>0</v>
      </c>
      <c r="G155" s="160" t="s">
        <v>578</v>
      </c>
      <c r="H155" s="162" t="e">
        <f t="shared" si="56"/>
        <v>#DIV/0!</v>
      </c>
      <c r="I155" s="162" t="e">
        <f t="shared" si="57"/>
        <v>#DIV/0!</v>
      </c>
      <c r="J155" s="70">
        <f>IF(F155=0,C155,IF(G155="Beta",_xlfn.BETA.INV(J154,H155,I155),IF(G155="Lognormal",EXP(NORMINV(J154,H155,I155)),IF(G155="Gamma",_xlfn.GAMMA.INV(J154,H155,I155),IF(G155="Normal",_xlfn.NORM.INV(J154,H155,I155),0)))))</f>
        <v>0</v>
      </c>
      <c r="M155" s="31" t="s">
        <v>920</v>
      </c>
      <c r="N155" s="177">
        <f>'VE input'!C62</f>
        <v>0</v>
      </c>
      <c r="O155" s="177">
        <f>'VE input'!D62</f>
        <v>0</v>
      </c>
      <c r="P155" s="177">
        <f>'VE input'!E62</f>
        <v>0</v>
      </c>
      <c r="Q155" s="156">
        <f t="shared" ref="Q155:Q156" si="77">(P155-O155)/(2*1.96)</f>
        <v>0</v>
      </c>
      <c r="R155" s="160" t="s">
        <v>578</v>
      </c>
      <c r="S155" s="162" t="e">
        <f t="shared" ref="S155:S156" si="78">IF(R155="Beta",N155*(N155*(1-N155)/(Q155^2)-1),IF(R155="Lognormal",LN(N155^2/SQRT(Q155^2+N155^2)),IF(R155="Gamma",N155^2/Q155^2,IF(R155="Normal",N155,0))))</f>
        <v>#DIV/0!</v>
      </c>
      <c r="T155" s="162" t="e">
        <f t="shared" ref="T155:T156" si="79">IF(R155="Beta",N155*(1-N155)/(Q155^2)-1-S155,IF(R155="Lognormal",SQRT(LN(1+Q155^2/N155^2)),IF(R155="Gamma",Q155^2/N155,IF(R155="Normal",Q155,0))))</f>
        <v>#DIV/0!</v>
      </c>
      <c r="U155" s="70">
        <f>IF(Q155=0,N155,IF(R155="Beta",_xlfn.BETA.INV(U154,S155,T155),IF(R155="Lognormal",EXP(NORMINV(U154,S155,T155)),IF(R155="Gamma",_xlfn.GAMMA.INV(U154,S155,T155),IF(R155="Normal",_xlfn.NORM.INV(U154,S155,T155),0)))))</f>
        <v>0</v>
      </c>
    </row>
    <row r="156" spans="2:28" x14ac:dyDescent="0.3">
      <c r="B156" s="31" t="s">
        <v>980</v>
      </c>
      <c r="C156" s="177">
        <f>'VE input'!C36</f>
        <v>0</v>
      </c>
      <c r="D156" s="177">
        <f>'VE input'!D36</f>
        <v>0</v>
      </c>
      <c r="E156" s="177">
        <f>'VE input'!E36</f>
        <v>0</v>
      </c>
      <c r="F156" s="156">
        <f t="shared" si="55"/>
        <v>0</v>
      </c>
      <c r="G156" s="160" t="s">
        <v>578</v>
      </c>
      <c r="H156" s="162" t="e">
        <f t="shared" si="56"/>
        <v>#DIV/0!</v>
      </c>
      <c r="I156" s="162" t="e">
        <f t="shared" si="57"/>
        <v>#DIV/0!</v>
      </c>
      <c r="J156" s="70">
        <f>IF(F156=0,C156,IF(G156="Beta",_xlfn.BETA.INV(J154,H156,I156),IF(G156="Lognormal",EXP(NORMINV(J154,H156,I156)),IF(G156="Gamma",_xlfn.GAMMA.INV(J154,H156,I156),IF(G156="Normal",_xlfn.NORM.INV(J154,H156,I156),0)))))</f>
        <v>0</v>
      </c>
      <c r="M156" s="31" t="s">
        <v>980</v>
      </c>
      <c r="N156" s="177">
        <f>'VE input'!C63</f>
        <v>0</v>
      </c>
      <c r="O156" s="177">
        <f>'VE input'!D63</f>
        <v>0</v>
      </c>
      <c r="P156" s="177">
        <f>'VE input'!E63</f>
        <v>0</v>
      </c>
      <c r="Q156" s="156">
        <f t="shared" si="77"/>
        <v>0</v>
      </c>
      <c r="R156" s="160" t="s">
        <v>578</v>
      </c>
      <c r="S156" s="162" t="e">
        <f t="shared" si="78"/>
        <v>#DIV/0!</v>
      </c>
      <c r="T156" s="162" t="e">
        <f t="shared" si="79"/>
        <v>#DIV/0!</v>
      </c>
      <c r="U156" s="70">
        <f>IF(Q156=0,N156,IF(R156="Beta",_xlfn.BETA.INV(U154,S156,T156),IF(R156="Lognormal",EXP(NORMINV(U154,S156,T156)),IF(R156="Gamma",_xlfn.GAMMA.INV(U154,S156,T156),IF(R156="Normal",_xlfn.NORM.INV(U154,S156,T156),0)))))</f>
        <v>0</v>
      </c>
    </row>
    <row r="158" spans="2:28" ht="15" customHeight="1" x14ac:dyDescent="0.3">
      <c r="B158" s="176" t="s">
        <v>552</v>
      </c>
      <c r="C158" s="165"/>
      <c r="D158" s="165"/>
      <c r="E158" s="165"/>
      <c r="F158" s="165"/>
      <c r="G158" s="165"/>
      <c r="H158" s="292"/>
      <c r="I158" s="292"/>
      <c r="J158" s="292"/>
      <c r="M158" s="176" t="s">
        <v>553</v>
      </c>
      <c r="N158" s="165"/>
      <c r="O158" s="165"/>
      <c r="P158" s="165"/>
      <c r="Q158" s="165"/>
      <c r="R158" s="165"/>
      <c r="S158" s="796"/>
      <c r="T158" s="796"/>
      <c r="U158" s="796"/>
    </row>
    <row r="159" spans="2:28" x14ac:dyDescent="0.3">
      <c r="B159" s="71" t="s">
        <v>557</v>
      </c>
      <c r="C159" s="73"/>
      <c r="D159" s="73"/>
      <c r="E159" s="73"/>
      <c r="F159" s="73"/>
      <c r="G159" s="73"/>
      <c r="H159" s="73"/>
      <c r="I159" s="73"/>
      <c r="J159" s="73"/>
      <c r="M159" s="71" t="s">
        <v>557</v>
      </c>
      <c r="N159" s="73"/>
      <c r="O159" s="73"/>
      <c r="P159" s="73"/>
      <c r="Q159" s="73"/>
      <c r="R159" s="73"/>
      <c r="S159" s="73"/>
      <c r="T159" s="73"/>
      <c r="U159" s="73"/>
    </row>
    <row r="160" spans="2:28" x14ac:dyDescent="0.3">
      <c r="B160" s="159" t="s">
        <v>1</v>
      </c>
      <c r="C160" s="159" t="s">
        <v>567</v>
      </c>
      <c r="D160" s="159" t="s">
        <v>985</v>
      </c>
      <c r="E160" s="159" t="s">
        <v>986</v>
      </c>
      <c r="F160" s="73" t="s">
        <v>584</v>
      </c>
      <c r="G160" s="73" t="s">
        <v>569</v>
      </c>
      <c r="H160" s="73" t="s">
        <v>581</v>
      </c>
      <c r="I160" s="73" t="s">
        <v>582</v>
      </c>
      <c r="J160" s="73" t="s">
        <v>583</v>
      </c>
      <c r="M160" s="159" t="s">
        <v>1</v>
      </c>
      <c r="N160" s="159" t="s">
        <v>567</v>
      </c>
      <c r="O160" s="159"/>
      <c r="P160" s="159"/>
      <c r="Q160" s="73" t="s">
        <v>584</v>
      </c>
      <c r="R160" s="73" t="s">
        <v>569</v>
      </c>
      <c r="S160" s="73" t="s">
        <v>581</v>
      </c>
      <c r="T160" s="73" t="s">
        <v>582</v>
      </c>
      <c r="U160" s="73" t="s">
        <v>583</v>
      </c>
    </row>
    <row r="161" spans="2:28" x14ac:dyDescent="0.3">
      <c r="B161" s="150" t="s">
        <v>988</v>
      </c>
      <c r="C161" s="197"/>
      <c r="D161" s="197"/>
      <c r="E161" s="197"/>
      <c r="J161" s="291">
        <f ca="1">RAND()</f>
        <v>0.25078091830701366</v>
      </c>
      <c r="K161" s="79" t="s">
        <v>904</v>
      </c>
      <c r="M161" s="150" t="s">
        <v>988</v>
      </c>
      <c r="U161" s="291">
        <f ca="1">J161</f>
        <v>0.25078091830701366</v>
      </c>
      <c r="V161" s="79" t="s">
        <v>904</v>
      </c>
    </row>
    <row r="162" spans="2:28" x14ac:dyDescent="0.3">
      <c r="B162" s="31" t="s">
        <v>1082</v>
      </c>
      <c r="C162" s="696">
        <f>'VE input'!C72</f>
        <v>0.35</v>
      </c>
      <c r="D162" s="177">
        <f>'VE input'!D72</f>
        <v>0</v>
      </c>
      <c r="E162" s="177">
        <f>'VE input'!E72</f>
        <v>0.7</v>
      </c>
      <c r="F162" s="156">
        <f>(E162-D162)/(2*1.96)</f>
        <v>0.17857142857142858</v>
      </c>
      <c r="G162" s="160" t="s">
        <v>578</v>
      </c>
      <c r="H162" s="162">
        <f t="shared" ref="H162" si="80">IF(G162="Beta",C162*(C162*(1-C162)/(F162^2)-1),IF(G162="Lognormal",LN(C162^2/SQRT(F162^2+C162^2)),IF(G162="Gamma",C162^2/F162^2,IF(G162="Normal",C162,0))))</f>
        <v>2.1470399999999996</v>
      </c>
      <c r="I162" s="162">
        <f t="shared" ref="I162" si="81">IF(G162="Beta",C162*(1-C162)/(F162^2)-1-H162,IF(G162="Lognormal",SQRT(LN(1+F162^2/C162^2)),IF(G162="Gamma",F162^2/C162,IF(G162="Normal",F162,0))))</f>
        <v>3.9873599999999998</v>
      </c>
      <c r="J162" s="70">
        <f ca="1">IF(F162=0,C162,IF(G162="Beta",_xlfn.BETA.INV(J161,H162,I162),IF(G162="Lognormal",EXP(NORMINV(J161,H162,I162)),IF(G162="Gamma",_xlfn.GAMMA.INV(J161,H162,I162),IF(G162="Normal",_xlfn.NORM.INV(J161,H162,I162),0)))))</f>
        <v>0.21134744466063193</v>
      </c>
      <c r="K162">
        <f>(E162+D162)/2</f>
        <v>0.35</v>
      </c>
      <c r="M162" s="31" t="s">
        <v>2</v>
      </c>
      <c r="N162" s="458">
        <f>'VE input'!C99</f>
        <v>0.35</v>
      </c>
      <c r="O162" s="177">
        <f>'VE input'!D99</f>
        <v>0</v>
      </c>
      <c r="P162" s="177">
        <f>'VE input'!E99</f>
        <v>0.7</v>
      </c>
      <c r="Q162" s="156">
        <f>(P162-O162)/(2*1.96)</f>
        <v>0.17857142857142858</v>
      </c>
      <c r="R162" s="160" t="s">
        <v>578</v>
      </c>
      <c r="S162" s="162">
        <f t="shared" ref="S162" si="82">IF(R162="Beta",N162*(N162*(1-N162)/(Q162^2)-1),IF(R162="Lognormal",LN(N162^2/SQRT(Q162^2+N162^2)),IF(R162="Gamma",N162^2/Q162^2,IF(R162="Normal",N162,0))))</f>
        <v>2.1470399999999996</v>
      </c>
      <c r="T162" s="162">
        <f t="shared" ref="T162" si="83">IF(R162="Beta",N162*(1-N162)/(Q162^2)-1-S162,IF(R162="Lognormal",SQRT(LN(1+Q162^2/N162^2)),IF(R162="Gamma",Q162^2/N162,IF(R162="Normal",Q162,0))))</f>
        <v>3.9873599999999998</v>
      </c>
      <c r="U162" s="70">
        <f ca="1">IF(Q162=0,N162,IF(R162="Beta",_xlfn.BETA.INV(U161,S162,T162),IF(R162="Lognormal",EXP(NORMINV(U161,S162,T162)),IF(R162="Gamma",_xlfn.GAMMA.INV(U161,S162,T162),IF(R162="Normal",_xlfn.NORM.INV(U161,S162,T162),0)))))</f>
        <v>0.21134744466063193</v>
      </c>
    </row>
    <row r="163" spans="2:28" x14ac:dyDescent="0.3">
      <c r="B163" s="31" t="s">
        <v>1083</v>
      </c>
      <c r="C163" s="177">
        <f>'VE input'!C73</f>
        <v>0.35</v>
      </c>
      <c r="D163" s="177">
        <f>'VE input'!D73</f>
        <v>0</v>
      </c>
      <c r="E163" s="177">
        <f>'VE input'!E73</f>
        <v>0.7</v>
      </c>
      <c r="F163" s="156">
        <f t="shared" ref="F163:F184" si="84">(E163-D163)/(2*1.96)</f>
        <v>0.17857142857142858</v>
      </c>
      <c r="G163" s="160" t="s">
        <v>578</v>
      </c>
      <c r="H163" s="162">
        <f t="shared" ref="H163:H184" si="85">IF(G163="Beta",C163*(C163*(1-C163)/(F163^2)-1),IF(G163="Lognormal",LN(C163^2/SQRT(F163^2+C163^2)),IF(G163="Gamma",C163^2/F163^2,IF(G163="Normal",C163,0))))</f>
        <v>2.1470399999999996</v>
      </c>
      <c r="I163" s="162">
        <f t="shared" ref="I163:I184" si="86">IF(G163="Beta",C163*(1-C163)/(F163^2)-1-H163,IF(G163="Lognormal",SQRT(LN(1+F163^2/C163^2)),IF(G163="Gamma",F163^2/C163,IF(G163="Normal",F163,0))))</f>
        <v>3.9873599999999998</v>
      </c>
      <c r="J163" s="70">
        <f ca="1">IF(F163=0,C163,IF(G163="Beta",_xlfn.BETA.INV(J161,H163,I163),IF(G163="Lognormal",EXP(NORMINV(J161,H163,I163)),IF(G163="Gamma",_xlfn.GAMMA.INV(J161,H163,I163),IF(G163="Normal",_xlfn.NORM.INV(J161,H163,I163),0)))))</f>
        <v>0.21134744466063193</v>
      </c>
      <c r="M163" s="31" t="s">
        <v>3</v>
      </c>
      <c r="N163" s="177">
        <f>'VE input'!C100</f>
        <v>0.35</v>
      </c>
      <c r="O163" s="177">
        <f>'VE input'!D100</f>
        <v>0</v>
      </c>
      <c r="P163" s="177">
        <f>'VE input'!E100</f>
        <v>0.7</v>
      </c>
      <c r="Q163" s="156">
        <f t="shared" ref="Q163:Q168" si="87">(P163-O163)/(2*1.96)</f>
        <v>0.17857142857142858</v>
      </c>
      <c r="R163" s="160" t="s">
        <v>578</v>
      </c>
      <c r="S163" s="162">
        <f t="shared" ref="S163:S179" si="88">IF(R163="Beta",N163*(N163*(1-N163)/(Q163^2)-1),IF(R163="Lognormal",LN(N163^2/SQRT(Q163^2+N163^2)),IF(R163="Gamma",N163^2/Q163^2,IF(R163="Normal",N163,0))))</f>
        <v>2.1470399999999996</v>
      </c>
      <c r="T163" s="162">
        <f t="shared" ref="T163:T179" si="89">IF(R163="Beta",N163*(1-N163)/(Q163^2)-1-S163,IF(R163="Lognormal",SQRT(LN(1+Q163^2/N163^2)),IF(R163="Gamma",Q163^2/N163,IF(R163="Normal",Q163,0))))</f>
        <v>3.9873599999999998</v>
      </c>
      <c r="U163" s="70">
        <f ca="1">IF(Q163=0,N163,IF(R163="Beta",_xlfn.BETA.INV(U161,S163,T163),IF(R163="Lognormal",EXP(NORMINV(U161,S163,T163)),IF(R163="Gamma",_xlfn.GAMMA.INV(U161,S163,T163),IF(R163="Normal",_xlfn.NORM.INV(U161,S163,T163),0)))))</f>
        <v>0.21134744466063193</v>
      </c>
    </row>
    <row r="164" spans="2:28" x14ac:dyDescent="0.3">
      <c r="B164" s="31" t="s">
        <v>1084</v>
      </c>
      <c r="C164" s="177">
        <f>'VE input'!C74</f>
        <v>0.39</v>
      </c>
      <c r="D164" s="177">
        <f>'VE input'!D74</f>
        <v>0</v>
      </c>
      <c r="E164" s="177">
        <f>'VE input'!E74</f>
        <v>0.68</v>
      </c>
      <c r="F164" s="156">
        <f t="shared" si="84"/>
        <v>0.17346938775510207</v>
      </c>
      <c r="G164" s="160" t="s">
        <v>578</v>
      </c>
      <c r="H164" s="162">
        <f t="shared" si="85"/>
        <v>2.6932827820069196</v>
      </c>
      <c r="I164" s="162">
        <f t="shared" si="86"/>
        <v>4.2125705051903095</v>
      </c>
      <c r="J164" s="70">
        <f ca="1">IF(F164=0,C164,IF(G164="Beta",_xlfn.BETA.INV(J161,H164,I164),IF(G164="Lognormal",EXP(NORMINV(J161,H164,I164)),IF(G164="Gamma",_xlfn.GAMMA.INV(J161,H164,I164),IF(G164="Normal",_xlfn.NORM.INV(J161,H164,I164),0)))))</f>
        <v>0.25821527811738909</v>
      </c>
      <c r="M164" s="31" t="s">
        <v>4</v>
      </c>
      <c r="N164" s="177">
        <f>'VE input'!C101</f>
        <v>0.39</v>
      </c>
      <c r="O164" s="177">
        <f>'VE input'!D101</f>
        <v>0</v>
      </c>
      <c r="P164" s="177">
        <f>'VE input'!E101</f>
        <v>0.68</v>
      </c>
      <c r="Q164" s="156">
        <f t="shared" si="87"/>
        <v>0.17346938775510207</v>
      </c>
      <c r="R164" s="160" t="s">
        <v>578</v>
      </c>
      <c r="S164" s="162">
        <f t="shared" si="88"/>
        <v>2.6932827820069196</v>
      </c>
      <c r="T164" s="162">
        <f t="shared" si="89"/>
        <v>4.2125705051903095</v>
      </c>
      <c r="U164" s="70">
        <f ca="1">IF(Q164=0,N164,IF(R164="Beta",_xlfn.BETA.INV(U161,S164,T164),IF(R164="Lognormal",EXP(NORMINV(U161,S164,T164)),IF(R164="Gamma",_xlfn.GAMMA.INV(U161,S164,T164),IF(R164="Normal",_xlfn.NORM.INV(U161,S164,T164),0)))))</f>
        <v>0.25821527811738909</v>
      </c>
    </row>
    <row r="165" spans="2:28" x14ac:dyDescent="0.3">
      <c r="B165" s="31" t="s">
        <v>1085</v>
      </c>
      <c r="C165" s="177">
        <f>'VE input'!C75</f>
        <v>0.57999999999999996</v>
      </c>
      <c r="D165" s="177">
        <f>'VE input'!D75</f>
        <v>0.34</v>
      </c>
      <c r="E165" s="177">
        <f>'VE input'!E75</f>
        <v>0.73</v>
      </c>
      <c r="F165" s="156">
        <f t="shared" si="84"/>
        <v>9.9489795918367332E-2</v>
      </c>
      <c r="G165" s="160" t="s">
        <v>578</v>
      </c>
      <c r="H165" s="162">
        <f t="shared" si="85"/>
        <v>13.694082335305723</v>
      </c>
      <c r="I165" s="162">
        <f t="shared" si="86"/>
        <v>9.9164044497041459</v>
      </c>
      <c r="J165" s="70">
        <f ca="1">IF(F165=0,C165,IF(G165="Beta",_xlfn.BETA.INV(J161,H165,I165),IF(G165="Lognormal",EXP(NORMINV(J161,H165,I165)),IF(G165="Gamma",_xlfn.GAMMA.INV(J161,H165,I165),IF(G165="Normal",_xlfn.NORM.INV(J161,H165,I165),0)))))</f>
        <v>0.51263067743040569</v>
      </c>
      <c r="M165" s="31" t="s">
        <v>5</v>
      </c>
      <c r="N165" s="177">
        <f>'VE input'!C102</f>
        <v>0.57999999999999996</v>
      </c>
      <c r="O165" s="177">
        <f>'VE input'!D102</f>
        <v>0.34</v>
      </c>
      <c r="P165" s="177">
        <f>'VE input'!E102</f>
        <v>0.73</v>
      </c>
      <c r="Q165" s="156">
        <f t="shared" si="87"/>
        <v>9.9489795918367332E-2</v>
      </c>
      <c r="R165" s="160" t="s">
        <v>578</v>
      </c>
      <c r="S165" s="162">
        <f t="shared" si="88"/>
        <v>13.694082335305723</v>
      </c>
      <c r="T165" s="162">
        <f t="shared" si="89"/>
        <v>9.9164044497041459</v>
      </c>
      <c r="U165" s="70">
        <f ca="1">IF(Q165=0,N165,IF(R165="Beta",_xlfn.BETA.INV(U161,S165,T165),IF(R165="Lognormal",EXP(NORMINV(U161,S165,T165)),IF(R165="Gamma",_xlfn.GAMMA.INV(U161,S165,T165),IF(R165="Normal",_xlfn.NORM.INV(U161,S165,T165),0)))))</f>
        <v>0.51263067743040569</v>
      </c>
    </row>
    <row r="166" spans="2:28" x14ac:dyDescent="0.3">
      <c r="B166" s="31" t="s">
        <v>1086</v>
      </c>
      <c r="C166" s="177">
        <f>'VE input'!C76</f>
        <v>0.57999999999999996</v>
      </c>
      <c r="D166" s="177">
        <f>'VE input'!D76</f>
        <v>0.34</v>
      </c>
      <c r="E166" s="177">
        <f>'VE input'!E76</f>
        <v>0.73</v>
      </c>
      <c r="F166" s="156">
        <f t="shared" si="84"/>
        <v>9.9489795918367332E-2</v>
      </c>
      <c r="G166" s="160" t="s">
        <v>578</v>
      </c>
      <c r="H166" s="162">
        <f t="shared" si="85"/>
        <v>13.694082335305723</v>
      </c>
      <c r="I166" s="162">
        <f t="shared" si="86"/>
        <v>9.9164044497041459</v>
      </c>
      <c r="J166" s="70">
        <f ca="1">IF(F166=0,C166,IF(G166="Beta",_xlfn.BETA.INV(J161,H166,I166),IF(G166="Lognormal",EXP(NORMINV(J161,H166,I166)),IF(G166="Gamma",_xlfn.GAMMA.INV(J161,H166,I166),IF(G166="Normal",_xlfn.NORM.INV(J161,H166,I166),0)))))</f>
        <v>0.51263067743040569</v>
      </c>
      <c r="M166" s="31" t="s">
        <v>6</v>
      </c>
      <c r="N166" s="177">
        <f>'VE input'!C103</f>
        <v>0.57999999999999996</v>
      </c>
      <c r="O166" s="177">
        <f>'VE input'!D103</f>
        <v>0.34</v>
      </c>
      <c r="P166" s="177">
        <f>'VE input'!E103</f>
        <v>0.73</v>
      </c>
      <c r="Q166" s="156">
        <f t="shared" si="87"/>
        <v>9.9489795918367332E-2</v>
      </c>
      <c r="R166" s="160" t="s">
        <v>578</v>
      </c>
      <c r="S166" s="162">
        <f t="shared" si="88"/>
        <v>13.694082335305723</v>
      </c>
      <c r="T166" s="162">
        <f t="shared" si="89"/>
        <v>9.9164044497041459</v>
      </c>
      <c r="U166" s="70">
        <f ca="1">IF(Q166=0,N166,IF(R166="Beta",_xlfn.BETA.INV(U161,S166,T166),IF(R166="Lognormal",EXP(NORMINV(U161,S166,T166)),IF(R166="Gamma",_xlfn.GAMMA.INV(U161,S166,T166),IF(R166="Normal",_xlfn.NORM.INV(U161,S166,T166),0)))))</f>
        <v>0.51263067743040569</v>
      </c>
    </row>
    <row r="167" spans="2:28" x14ac:dyDescent="0.3">
      <c r="B167" s="31" t="s">
        <v>1087</v>
      </c>
      <c r="C167" s="177">
        <f>'VE input'!C77</f>
        <v>0.57999999999999996</v>
      </c>
      <c r="D167" s="177">
        <f>'VE input'!D77</f>
        <v>0.34</v>
      </c>
      <c r="E167" s="177">
        <f>'VE input'!E77</f>
        <v>0.73</v>
      </c>
      <c r="F167" s="156">
        <f t="shared" si="84"/>
        <v>9.9489795918367332E-2</v>
      </c>
      <c r="G167" s="160" t="s">
        <v>578</v>
      </c>
      <c r="H167" s="162">
        <f t="shared" si="85"/>
        <v>13.694082335305723</v>
      </c>
      <c r="I167" s="162">
        <f t="shared" si="86"/>
        <v>9.9164044497041459</v>
      </c>
      <c r="J167" s="70">
        <f ca="1">IF(F167=0,C167,IF(G167="Beta",_xlfn.BETA.INV(J161,H167,I167),IF(G167="Lognormal",EXP(NORMINV(J161,H167,I167)),IF(G167="Gamma",_xlfn.GAMMA.INV(J161,H167,I167),IF(G167="Normal",_xlfn.NORM.INV(J161,H167,I167),0)))))</f>
        <v>0.51263067743040569</v>
      </c>
      <c r="M167" s="31" t="s">
        <v>7</v>
      </c>
      <c r="N167" s="177">
        <f>'VE input'!C104</f>
        <v>0.57999999999999996</v>
      </c>
      <c r="O167" s="177">
        <f>'VE input'!D104</f>
        <v>0.34</v>
      </c>
      <c r="P167" s="177">
        <f>'VE input'!E104</f>
        <v>0.73</v>
      </c>
      <c r="Q167" s="156">
        <f t="shared" si="87"/>
        <v>9.9489795918367332E-2</v>
      </c>
      <c r="R167" s="160" t="s">
        <v>578</v>
      </c>
      <c r="S167" s="162">
        <f t="shared" si="88"/>
        <v>13.694082335305723</v>
      </c>
      <c r="T167" s="162">
        <f t="shared" si="89"/>
        <v>9.9164044497041459</v>
      </c>
      <c r="U167" s="70">
        <f ca="1">IF(Q167=0,N167,IF(R167="Beta",_xlfn.BETA.INV(U161,S167,T167),IF(R167="Lognormal",EXP(NORMINV(U161,S167,T167)),IF(R167="Gamma",_xlfn.GAMMA.INV(U161,S167,T167),IF(R167="Normal",_xlfn.NORM.INV(U161,S167,T167),0)))))</f>
        <v>0.51263067743040569</v>
      </c>
    </row>
    <row r="168" spans="2:28" x14ac:dyDescent="0.3">
      <c r="B168" s="31" t="s">
        <v>1443</v>
      </c>
      <c r="C168" s="177">
        <f>'VE input'!C78</f>
        <v>0.57999999999999996</v>
      </c>
      <c r="D168" s="177">
        <f>'VE input'!D78</f>
        <v>0.34</v>
      </c>
      <c r="E168" s="177">
        <f>'VE input'!E78</f>
        <v>0.73</v>
      </c>
      <c r="F168" s="156">
        <f t="shared" si="84"/>
        <v>9.9489795918367332E-2</v>
      </c>
      <c r="G168" s="160" t="s">
        <v>578</v>
      </c>
      <c r="H168" s="162">
        <f t="shared" si="85"/>
        <v>13.694082335305723</v>
      </c>
      <c r="I168" s="162">
        <f t="shared" si="86"/>
        <v>9.9164044497041459</v>
      </c>
      <c r="J168" s="70">
        <f ca="1">IF(F168=0,C168,IF(G168="Beta",_xlfn.BETA.INV(J161,H168,I168),IF(G168="Lognormal",EXP(NORMINV(J161,H168,I168)),IF(G168="Gamma",_xlfn.GAMMA.INV(J161,H168,I168),IF(G168="Normal",_xlfn.NORM.INV(J161,H168,I168),0)))))</f>
        <v>0.51263067743040569</v>
      </c>
      <c r="M168" s="31" t="s">
        <v>11</v>
      </c>
      <c r="N168" s="177">
        <f>'VE input'!C105</f>
        <v>0.57999999999999996</v>
      </c>
      <c r="O168" s="177">
        <f>'VE input'!D105</f>
        <v>0.34</v>
      </c>
      <c r="P168" s="177">
        <f>'VE input'!E105</f>
        <v>0.73</v>
      </c>
      <c r="Q168" s="156">
        <f t="shared" si="87"/>
        <v>9.9489795918367332E-2</v>
      </c>
      <c r="R168" s="160" t="s">
        <v>578</v>
      </c>
      <c r="S168" s="162">
        <f t="shared" si="88"/>
        <v>13.694082335305723</v>
      </c>
      <c r="T168" s="162">
        <f t="shared" si="89"/>
        <v>9.9164044497041459</v>
      </c>
      <c r="U168" s="70">
        <f ca="1">IF(Q168=0,N168,IF(R168="Beta",_xlfn.BETA.INV(U161,S168,T168),IF(R168="Lognormal",EXP(NORMINV(U161,S168,T168)),IF(R168="Gamma",_xlfn.GAMMA.INV(U161,S168,T168),IF(R168="Normal",_xlfn.NORM.INV(U161,S168,T168),0)))))</f>
        <v>0.51263067743040569</v>
      </c>
    </row>
    <row r="169" spans="2:28" x14ac:dyDescent="0.3">
      <c r="B169" s="150" t="s">
        <v>1444</v>
      </c>
      <c r="C169" s="141"/>
      <c r="D169" s="141"/>
      <c r="E169" s="141"/>
      <c r="F169" s="141"/>
      <c r="G169" s="141"/>
      <c r="H169" s="141"/>
      <c r="I169" s="141"/>
      <c r="J169" s="291">
        <f ca="1">RAND()</f>
        <v>0.54019898842225211</v>
      </c>
      <c r="L169" s="79" t="s">
        <v>679</v>
      </c>
      <c r="M169" s="150" t="s">
        <v>1444</v>
      </c>
      <c r="N169" s="141"/>
      <c r="O169" s="141"/>
      <c r="P169" s="141"/>
      <c r="Q169" s="141"/>
      <c r="R169" s="141"/>
      <c r="S169" s="141"/>
      <c r="T169" s="141"/>
      <c r="U169" s="291">
        <f ca="1">RAND()</f>
        <v>0.63322066610551087</v>
      </c>
    </row>
    <row r="170" spans="2:28" x14ac:dyDescent="0.3">
      <c r="B170" s="31" t="s">
        <v>1082</v>
      </c>
      <c r="C170" s="177">
        <f>'VE input'!C80</f>
        <v>0</v>
      </c>
      <c r="D170" s="177">
        <f>'VE input'!D80</f>
        <v>0</v>
      </c>
      <c r="E170" s="177">
        <f>'VE input'!E80</f>
        <v>0</v>
      </c>
      <c r="F170" s="156">
        <f>(E170-D170)/(2*1.96)</f>
        <v>0</v>
      </c>
      <c r="G170" s="160" t="s">
        <v>578</v>
      </c>
      <c r="H170" s="162" t="e">
        <f t="shared" ref="H170:H176" si="90">IF(G170="Beta",C170*(C170*(1-C170)/(F170^2)-1),IF(G170="Lognormal",LN(C170^2/SQRT(F170^2+C170^2)),IF(G170="Gamma",C170^2/F170^2,IF(G170="Normal",C170,0))))</f>
        <v>#DIV/0!</v>
      </c>
      <c r="I170" s="162" t="e">
        <f t="shared" ref="I170:I176" si="91">IF(G170="Beta",C170*(1-C170)/(F170^2)-1-H170,IF(G170="Lognormal",SQRT(LN(1+F170^2/C170^2)),IF(G170="Gamma",F170^2/C170,IF(G170="Normal",F170,0))))</f>
        <v>#DIV/0!</v>
      </c>
      <c r="J170" s="70">
        <f>IF(F170=0,C170,IF(G170="Beta",_xlfn.BETA.INV(J169,H170,I170),IF(G170="Lognormal",EXP(NORMINV(J169,H170,I170)),IF(G170="Gamma",_xlfn.GAMMA.INV(J169,H170,I170),IF(G170="Normal",_xlfn.NORM.INV(J169,H170,I170),0)))))</f>
        <v>0</v>
      </c>
      <c r="M170" s="31" t="s">
        <v>1082</v>
      </c>
      <c r="N170" s="458">
        <f>'VE input'!C107</f>
        <v>0</v>
      </c>
      <c r="O170" s="177">
        <f>'VE input'!D107</f>
        <v>0</v>
      </c>
      <c r="P170" s="177">
        <f>'VE input'!E107</f>
        <v>0</v>
      </c>
      <c r="Q170" s="156">
        <f>(P170-O170)/(2*1.96)</f>
        <v>0</v>
      </c>
      <c r="R170" s="160" t="s">
        <v>578</v>
      </c>
      <c r="S170" s="162" t="e">
        <f t="shared" ref="S170:S176" si="92">IF(R170="Beta",N170*(N170*(1-N170)/(Q170^2)-1),IF(R170="Lognormal",LN(N170^2/SQRT(Q170^2+N170^2)),IF(R170="Gamma",N170^2/Q170^2,IF(R170="Normal",N170,0))))</f>
        <v>#DIV/0!</v>
      </c>
      <c r="T170" s="162" t="e">
        <f t="shared" ref="T170:T176" si="93">IF(R170="Beta",N170*(1-N170)/(Q170^2)-1-S170,IF(R170="Lognormal",SQRT(LN(1+Q170^2/N170^2)),IF(R170="Gamma",Q170^2/N170,IF(R170="Normal",Q170,0))))</f>
        <v>#DIV/0!</v>
      </c>
      <c r="U170" s="70">
        <f>IF(Q170=0,N170,IF(R170="Beta",_xlfn.BETA.INV(U169,S170,T170),IF(R170="Lognormal",EXP(NORMINV(U169,S170,T170)),IF(R170="Gamma",_xlfn.GAMMA.INV(U169,S170,T170),IF(R170="Normal",_xlfn.NORM.INV(U169,S170,T170),0)))))</f>
        <v>0</v>
      </c>
    </row>
    <row r="171" spans="2:28" x14ac:dyDescent="0.3">
      <c r="B171" s="31" t="s">
        <v>1083</v>
      </c>
      <c r="C171" s="177">
        <f>'VE input'!C81</f>
        <v>0</v>
      </c>
      <c r="D171" s="177">
        <f>'VE input'!D81</f>
        <v>0</v>
      </c>
      <c r="E171" s="177">
        <f>'VE input'!E81</f>
        <v>0</v>
      </c>
      <c r="F171" s="156">
        <f t="shared" ref="F171:F176" si="94">(E171-D171)/(2*1.96)</f>
        <v>0</v>
      </c>
      <c r="G171" s="160" t="s">
        <v>578</v>
      </c>
      <c r="H171" s="162" t="e">
        <f t="shared" si="90"/>
        <v>#DIV/0!</v>
      </c>
      <c r="I171" s="162" t="e">
        <f t="shared" si="91"/>
        <v>#DIV/0!</v>
      </c>
      <c r="J171" s="70">
        <f>IF(F171=0,C171,IF(G171="Beta",_xlfn.BETA.INV(J169,H171,I171),IF(G171="Lognormal",EXP(NORMINV(J169,H171,I171)),IF(G171="Gamma",_xlfn.GAMMA.INV(J169,H171,I171),IF(G171="Normal",_xlfn.NORM.INV(J169,H171,I171),0)))))</f>
        <v>0</v>
      </c>
      <c r="M171" s="31" t="s">
        <v>1083</v>
      </c>
      <c r="N171" s="177">
        <f>'VE input'!C108</f>
        <v>0</v>
      </c>
      <c r="O171" s="177">
        <f>'VE input'!D108</f>
        <v>0</v>
      </c>
      <c r="P171" s="177">
        <f>'VE input'!E108</f>
        <v>0</v>
      </c>
      <c r="Q171" s="156">
        <f t="shared" ref="Q171:Q181" si="95">(P171-O171)/(2*1.96)</f>
        <v>0</v>
      </c>
      <c r="R171" s="160" t="s">
        <v>578</v>
      </c>
      <c r="S171" s="162" t="e">
        <f t="shared" si="92"/>
        <v>#DIV/0!</v>
      </c>
      <c r="T171" s="162" t="e">
        <f t="shared" si="93"/>
        <v>#DIV/0!</v>
      </c>
      <c r="U171" s="70">
        <f>IF(Q171=0,N171,IF(R171="Beta",_xlfn.BETA.INV(U169,S171,T171),IF(R171="Lognormal",EXP(NORMINV(U169,S171,T171)),IF(R171="Gamma",_xlfn.GAMMA.INV(U169,S171,T171),IF(R171="Normal",_xlfn.NORM.INV(U169,S171,T171),0)))))</f>
        <v>0</v>
      </c>
    </row>
    <row r="172" spans="2:28" x14ac:dyDescent="0.3">
      <c r="B172" s="31" t="s">
        <v>1084</v>
      </c>
      <c r="C172" s="177">
        <f>'VE input'!C82</f>
        <v>0</v>
      </c>
      <c r="D172" s="177">
        <f>'VE input'!D82</f>
        <v>0</v>
      </c>
      <c r="E172" s="177">
        <f>'VE input'!E82</f>
        <v>0</v>
      </c>
      <c r="F172" s="156">
        <f t="shared" si="94"/>
        <v>0</v>
      </c>
      <c r="G172" s="160" t="s">
        <v>578</v>
      </c>
      <c r="H172" s="162" t="e">
        <f t="shared" si="90"/>
        <v>#DIV/0!</v>
      </c>
      <c r="I172" s="162" t="e">
        <f t="shared" si="91"/>
        <v>#DIV/0!</v>
      </c>
      <c r="J172" s="70">
        <f>IF(F172=0,C172,IF(G172="Beta",_xlfn.BETA.INV(J169,H172,I172),IF(G172="Lognormal",EXP(NORMINV(J169,H172,I172)),IF(G172="Gamma",_xlfn.GAMMA.INV(J169,H172,I172),IF(G172="Normal",_xlfn.NORM.INV(J169,H172,I172),0)))))</f>
        <v>0</v>
      </c>
      <c r="M172" s="31" t="s">
        <v>1084</v>
      </c>
      <c r="N172" s="177">
        <f>'VE input'!C109</f>
        <v>0</v>
      </c>
      <c r="O172" s="177">
        <f>'VE input'!D109</f>
        <v>0</v>
      </c>
      <c r="P172" s="177">
        <f>'VE input'!E109</f>
        <v>0</v>
      </c>
      <c r="Q172" s="156">
        <f t="shared" si="95"/>
        <v>0</v>
      </c>
      <c r="R172" s="160" t="s">
        <v>578</v>
      </c>
      <c r="S172" s="162" t="e">
        <f t="shared" si="92"/>
        <v>#DIV/0!</v>
      </c>
      <c r="T172" s="162" t="e">
        <f t="shared" si="93"/>
        <v>#DIV/0!</v>
      </c>
      <c r="U172" s="70">
        <f>IF(Q172=0,N172,IF(R172="Beta",_xlfn.BETA.INV(U169,S172,T172),IF(R172="Lognormal",EXP(NORMINV(U169,S172,T172)),IF(R172="Gamma",_xlfn.GAMMA.INV(U169,S172,T172),IF(R172="Normal",_xlfn.NORM.INV(U169,S172,T172),0)))))</f>
        <v>0</v>
      </c>
    </row>
    <row r="173" spans="2:28" x14ac:dyDescent="0.3">
      <c r="B173" s="31" t="s">
        <v>1085</v>
      </c>
      <c r="C173" s="177">
        <f>'VE input'!C83</f>
        <v>0.43645409834744886</v>
      </c>
      <c r="D173" s="177">
        <f>'VE input'!D83</f>
        <v>0.39206893580364055</v>
      </c>
      <c r="E173" s="177">
        <f>'VE input'!E83</f>
        <v>0.47344173380062254</v>
      </c>
      <c r="F173" s="156">
        <f t="shared" si="94"/>
        <v>2.0758366835964794E-2</v>
      </c>
      <c r="G173" s="160" t="s">
        <v>578</v>
      </c>
      <c r="H173" s="162">
        <f t="shared" si="90"/>
        <v>248.69013547122483</v>
      </c>
      <c r="I173" s="162">
        <f t="shared" si="91"/>
        <v>321.10663448200307</v>
      </c>
      <c r="J173" s="70">
        <f ca="1">IF(F173=0,C173,IF(G173="Beta",_xlfn.BETA.INV(J169,H173,I173),IF(G173="Lognormal",EXP(NORMINV(J169,H173,I173)),IF(G173="Gamma",_xlfn.GAMMA.INV(J169,H173,I173),IF(G173="Normal",_xlfn.NORM.INV(J169,H173,I173),0)))))</f>
        <v>0.43847840503759039</v>
      </c>
      <c r="M173" s="31" t="s">
        <v>1085</v>
      </c>
      <c r="N173" s="177">
        <f>'VE input'!C110</f>
        <v>0.43645409834744886</v>
      </c>
      <c r="O173" s="177">
        <f>'VE input'!D110</f>
        <v>0.39206893580364055</v>
      </c>
      <c r="P173" s="177">
        <f>'VE input'!E110</f>
        <v>0.47344173380062254</v>
      </c>
      <c r="Q173" s="156">
        <f t="shared" si="95"/>
        <v>2.0758366835964794E-2</v>
      </c>
      <c r="R173" s="160" t="s">
        <v>578</v>
      </c>
      <c r="S173" s="162">
        <f t="shared" si="92"/>
        <v>248.69013547122483</v>
      </c>
      <c r="T173" s="162">
        <f t="shared" si="93"/>
        <v>321.10663448200307</v>
      </c>
      <c r="U173" s="70">
        <f ca="1">IF(Q173=0,N173,IF(R173="Beta",_xlfn.BETA.INV(U169,S173,T173),IF(R173="Lognormal",EXP(NORMINV(U169,S173,T173)),IF(R173="Gamma",_xlfn.GAMMA.INV(U169,S173,T173),IF(R173="Normal",_xlfn.NORM.INV(U169,S173,T173),0)))))</f>
        <v>0.44346317232302246</v>
      </c>
      <c r="AB173" s="67"/>
    </row>
    <row r="174" spans="2:28" x14ac:dyDescent="0.3">
      <c r="B174" s="31" t="s">
        <v>1086</v>
      </c>
      <c r="C174" s="177">
        <f>'VE input'!C84</f>
        <v>0.43645409834744886</v>
      </c>
      <c r="D174" s="177">
        <f>'VE input'!D84</f>
        <v>0.39206893580364055</v>
      </c>
      <c r="E174" s="177">
        <f>'VE input'!E84</f>
        <v>0.47344173380062254</v>
      </c>
      <c r="F174" s="156">
        <f t="shared" si="94"/>
        <v>2.0758366835964794E-2</v>
      </c>
      <c r="G174" s="160" t="s">
        <v>578</v>
      </c>
      <c r="H174" s="162">
        <f t="shared" si="90"/>
        <v>248.69013547122483</v>
      </c>
      <c r="I174" s="162">
        <f t="shared" si="91"/>
        <v>321.10663448200307</v>
      </c>
      <c r="J174" s="70">
        <f ca="1">IF(F174=0,C174,IF(G174="Beta",_xlfn.BETA.INV(J169,H174,I174),IF(G174="Lognormal",EXP(NORMINV(J169,H174,I174)),IF(G174="Gamma",_xlfn.GAMMA.INV(J169,H174,I174),IF(G174="Normal",_xlfn.NORM.INV(J169,H174,I174),0)))))</f>
        <v>0.43847840503759039</v>
      </c>
      <c r="M174" s="31" t="s">
        <v>1086</v>
      </c>
      <c r="N174" s="177">
        <f>'VE input'!C111</f>
        <v>0.43645409834744886</v>
      </c>
      <c r="O174" s="177">
        <f>'VE input'!D111</f>
        <v>0.39206893580364055</v>
      </c>
      <c r="P174" s="177">
        <f>'VE input'!E111</f>
        <v>0.47344173380062254</v>
      </c>
      <c r="Q174" s="156">
        <f t="shared" si="95"/>
        <v>2.0758366835964794E-2</v>
      </c>
      <c r="R174" s="160" t="s">
        <v>578</v>
      </c>
      <c r="S174" s="162">
        <f t="shared" si="92"/>
        <v>248.69013547122483</v>
      </c>
      <c r="T174" s="162">
        <f t="shared" si="93"/>
        <v>321.10663448200307</v>
      </c>
      <c r="U174" s="70">
        <f ca="1">IF(Q174=0,N174,IF(R174="Beta",_xlfn.BETA.INV(U169,S174,T174),IF(R174="Lognormal",EXP(NORMINV(U169,S174,T174)),IF(R174="Gamma",_xlfn.GAMMA.INV(U169,S174,T174),IF(R174="Normal",_xlfn.NORM.INV(U169,S174,T174),0)))))</f>
        <v>0.44346317232302246</v>
      </c>
    </row>
    <row r="175" spans="2:28" x14ac:dyDescent="0.3">
      <c r="B175" s="31" t="s">
        <v>1087</v>
      </c>
      <c r="C175" s="177">
        <f>'VE input'!C85</f>
        <v>0.43645409834744886</v>
      </c>
      <c r="D175" s="177">
        <f>'VE input'!D85</f>
        <v>0.39206893580364055</v>
      </c>
      <c r="E175" s="177">
        <f>'VE input'!E85</f>
        <v>0.47344173380062254</v>
      </c>
      <c r="F175" s="156">
        <f t="shared" si="94"/>
        <v>2.0758366835964794E-2</v>
      </c>
      <c r="G175" s="160" t="s">
        <v>578</v>
      </c>
      <c r="H175" s="162">
        <f t="shared" si="90"/>
        <v>248.69013547122483</v>
      </c>
      <c r="I175" s="162">
        <f t="shared" si="91"/>
        <v>321.10663448200307</v>
      </c>
      <c r="J175" s="70">
        <f ca="1">IF(F175=0,C175,IF(G175="Beta",_xlfn.BETA.INV(J169,H175,I175),IF(G175="Lognormal",EXP(NORMINV(J169,H175,I175)),IF(G175="Gamma",_xlfn.GAMMA.INV(J169,H175,I175),IF(G175="Normal",_xlfn.NORM.INV(J169,H175,I175),0)))))</f>
        <v>0.43847840503759039</v>
      </c>
      <c r="M175" s="31" t="s">
        <v>1087</v>
      </c>
      <c r="N175" s="177">
        <f>'VE input'!C112</f>
        <v>0.43645409834744886</v>
      </c>
      <c r="O175" s="177">
        <f>'VE input'!D112</f>
        <v>0.39206893580364055</v>
      </c>
      <c r="P175" s="177">
        <f>'VE input'!E112</f>
        <v>0.47344173380062254</v>
      </c>
      <c r="Q175" s="156">
        <f t="shared" si="95"/>
        <v>2.0758366835964794E-2</v>
      </c>
      <c r="R175" s="160" t="s">
        <v>578</v>
      </c>
      <c r="S175" s="162">
        <f t="shared" si="92"/>
        <v>248.69013547122483</v>
      </c>
      <c r="T175" s="162">
        <f t="shared" si="93"/>
        <v>321.10663448200307</v>
      </c>
      <c r="U175" s="70">
        <f ca="1">IF(Q175=0,N175,IF(R175="Beta",_xlfn.BETA.INV(U169,S175,T175),IF(R175="Lognormal",EXP(NORMINV(U169,S175,T175)),IF(R175="Gamma",_xlfn.GAMMA.INV(U169,S175,T175),IF(R175="Normal",_xlfn.NORM.INV(U169,S175,T175),0)))))</f>
        <v>0.44346317232302246</v>
      </c>
    </row>
    <row r="176" spans="2:28" x14ac:dyDescent="0.3">
      <c r="B176" s="31" t="s">
        <v>1443</v>
      </c>
      <c r="C176" s="177">
        <f>'VE input'!C86</f>
        <v>0</v>
      </c>
      <c r="D176" s="177">
        <f>'VE input'!D86</f>
        <v>0</v>
      </c>
      <c r="E176" s="177">
        <f>'VE input'!E86</f>
        <v>0</v>
      </c>
      <c r="F176" s="156">
        <f t="shared" si="94"/>
        <v>0</v>
      </c>
      <c r="G176" s="160" t="s">
        <v>578</v>
      </c>
      <c r="H176" s="162" t="e">
        <f t="shared" si="90"/>
        <v>#DIV/0!</v>
      </c>
      <c r="I176" s="162" t="e">
        <f t="shared" si="91"/>
        <v>#DIV/0!</v>
      </c>
      <c r="J176" s="70">
        <f>IF(F176=0,C176,IF(G176="Beta",_xlfn.BETA.INV(J169,H176,I176),IF(G176="Lognormal",EXP(NORMINV(J169,H176,I176)),IF(G176="Gamma",_xlfn.GAMMA.INV(J169,H176,I176),IF(G176="Normal",_xlfn.NORM.INV(J169,H176,I176),0)))))</f>
        <v>0</v>
      </c>
      <c r="M176" s="31" t="s">
        <v>1443</v>
      </c>
      <c r="N176" s="177">
        <f>'VE input'!C113</f>
        <v>0</v>
      </c>
      <c r="O176" s="177">
        <f>'VE input'!D113</f>
        <v>0</v>
      </c>
      <c r="P176" s="177">
        <f>'VE input'!E113</f>
        <v>0</v>
      </c>
      <c r="Q176" s="156">
        <f t="shared" si="95"/>
        <v>0</v>
      </c>
      <c r="R176" s="160" t="s">
        <v>578</v>
      </c>
      <c r="S176" s="162" t="e">
        <f t="shared" si="92"/>
        <v>#DIV/0!</v>
      </c>
      <c r="T176" s="162" t="e">
        <f t="shared" si="93"/>
        <v>#DIV/0!</v>
      </c>
      <c r="U176" s="70">
        <f>IF(Q176=0,N176,IF(R176="Beta",_xlfn.BETA.INV(U169,S176,T176),IF(R176="Lognormal",EXP(NORMINV(U169,S176,T176)),IF(R176="Gamma",_xlfn.GAMMA.INV(U169,S176,T176),IF(R176="Normal",_xlfn.NORM.INV(U169,S176,T176),0)))))</f>
        <v>0</v>
      </c>
    </row>
    <row r="177" spans="2:36" x14ac:dyDescent="0.3">
      <c r="B177" s="151" t="s">
        <v>227</v>
      </c>
      <c r="C177" s="162"/>
      <c r="D177" s="162"/>
      <c r="E177" s="162"/>
      <c r="F177" s="162"/>
      <c r="G177" s="162"/>
      <c r="H177" s="162"/>
      <c r="I177" s="162"/>
      <c r="J177" s="291">
        <f ca="1">RAND()</f>
        <v>0.13784395734966692</v>
      </c>
      <c r="M177" s="151" t="s">
        <v>227</v>
      </c>
      <c r="N177" s="141"/>
      <c r="O177" s="141"/>
      <c r="P177" s="141"/>
      <c r="Q177" s="141"/>
      <c r="R177" s="141"/>
      <c r="S177" s="162"/>
      <c r="T177" s="162"/>
      <c r="U177" s="291">
        <f ca="1">RAND()</f>
        <v>0.66905036829649034</v>
      </c>
    </row>
    <row r="178" spans="2:36" x14ac:dyDescent="0.3">
      <c r="B178" s="31" t="s">
        <v>1437</v>
      </c>
      <c r="C178" s="177">
        <f>'VE input'!C88</f>
        <v>0.504</v>
      </c>
      <c r="D178" s="177">
        <f>'VE input'!D88</f>
        <v>0.14199999999999999</v>
      </c>
      <c r="E178" s="177">
        <f>'VE input'!E88</f>
        <v>0.71199999999999997</v>
      </c>
      <c r="F178" s="156">
        <f t="shared" si="84"/>
        <v>0.14540816326530612</v>
      </c>
      <c r="G178" s="160" t="s">
        <v>578</v>
      </c>
      <c r="H178" s="162">
        <f t="shared" si="85"/>
        <v>5.4548873048642665</v>
      </c>
      <c r="I178" s="162">
        <f t="shared" si="86"/>
        <v>5.3683017920886424</v>
      </c>
      <c r="J178" s="70">
        <f ca="1">IF(F178=0,C178,IF(G178="Beta",_xlfn.BETA.INV(J177,H178,I178),IF(G178="Lognormal",EXP(NORMINV(J177,H178,I178)),IF(G178="Gamma",_xlfn.GAMMA.INV(J177,H178,I178),IF(G178="Normal",_xlfn.NORM.INV(J177,H178,I178),0)))))</f>
        <v>0.33920118196313342</v>
      </c>
      <c r="M178" s="31" t="s">
        <v>227</v>
      </c>
      <c r="N178" s="177">
        <f>'VE input'!C115</f>
        <v>0.504</v>
      </c>
      <c r="O178" s="177">
        <f>'VE input'!D115</f>
        <v>0.14199999999999999</v>
      </c>
      <c r="P178" s="177">
        <f>'VE input'!E115</f>
        <v>0.71199999999999997</v>
      </c>
      <c r="Q178" s="156">
        <f t="shared" si="95"/>
        <v>0.14540816326530612</v>
      </c>
      <c r="R178" s="160" t="s">
        <v>578</v>
      </c>
      <c r="S178" s="162">
        <f t="shared" si="88"/>
        <v>5.4548873048642665</v>
      </c>
      <c r="T178" s="162">
        <f t="shared" si="89"/>
        <v>5.3683017920886424</v>
      </c>
      <c r="U178" s="70">
        <f ca="1">IF(Q178=0,N178,IF(R178="Beta",_xlfn.BETA.INV(U177,S178,T178),IF(R178="Lognormal",EXP(NORMINV(U177,S178,T178)),IF(R178="Gamma",_xlfn.GAMMA.INV(U177,S178,T178),IF(R178="Normal",_xlfn.NORM.INV(U177,S178,T178),0)))))</f>
        <v>0.57189538056760725</v>
      </c>
    </row>
    <row r="179" spans="2:36" x14ac:dyDescent="0.3">
      <c r="B179" s="31" t="s">
        <v>1438</v>
      </c>
      <c r="C179" s="177">
        <f>'VE input'!C89</f>
        <v>0</v>
      </c>
      <c r="D179" s="177">
        <f>'VE input'!D89</f>
        <v>0</v>
      </c>
      <c r="E179" s="177">
        <f>'VE input'!E89</f>
        <v>0</v>
      </c>
      <c r="F179" s="156">
        <f t="shared" si="84"/>
        <v>0</v>
      </c>
      <c r="G179" s="160" t="s">
        <v>578</v>
      </c>
      <c r="H179" s="162" t="e">
        <f t="shared" si="85"/>
        <v>#DIV/0!</v>
      </c>
      <c r="I179" s="162" t="e">
        <f t="shared" si="86"/>
        <v>#DIV/0!</v>
      </c>
      <c r="J179" s="70">
        <f>IF(F179=0,C179,IF(G179="Beta",_xlfn.BETA.INV(J177,H179,I179),IF(G179="Lognormal",EXP(NORMINV(J177,H179,I179)),IF(G179="Gamma",_xlfn.GAMMA.INV(J177,H179,I179),IF(G179="Normal",_xlfn.NORM.INV(J177,H179,I179),0)))))</f>
        <v>0</v>
      </c>
      <c r="M179" s="31" t="s">
        <v>8</v>
      </c>
      <c r="N179" s="177">
        <f>'VE input'!C116</f>
        <v>0</v>
      </c>
      <c r="O179" s="177">
        <f>'VE input'!D116</f>
        <v>0</v>
      </c>
      <c r="P179" s="177">
        <f>'VE input'!E116</f>
        <v>0</v>
      </c>
      <c r="Q179" s="156">
        <f t="shared" si="95"/>
        <v>0</v>
      </c>
      <c r="R179" s="160" t="s">
        <v>578</v>
      </c>
      <c r="S179" s="162" t="e">
        <f t="shared" si="88"/>
        <v>#DIV/0!</v>
      </c>
      <c r="T179" s="162" t="e">
        <f t="shared" si="89"/>
        <v>#DIV/0!</v>
      </c>
      <c r="U179" s="70">
        <f>IF(Q179=0,N179,IF(R179="Beta",_xlfn.BETA.INV(U177,S179,T179),IF(R179="Lognormal",EXP(NORMINV(U177,S179,T179)),IF(R179="Gamma",_xlfn.GAMMA.INV(U177,S179,T179),IF(R179="Normal",_xlfn.NORM.INV(U177,S179,T179),0)))))</f>
        <v>0</v>
      </c>
    </row>
    <row r="180" spans="2:36" x14ac:dyDescent="0.3">
      <c r="B180" s="31" t="s">
        <v>1441</v>
      </c>
      <c r="C180" s="177">
        <f>'VE input'!C90</f>
        <v>0.48</v>
      </c>
      <c r="D180" s="177">
        <f>'VE input'!D90</f>
        <v>0.11600000000000001</v>
      </c>
      <c r="E180" s="177">
        <f>'VE input'!E90</f>
        <v>0.70399999999999996</v>
      </c>
      <c r="F180" s="156">
        <f t="shared" si="84"/>
        <v>0.15</v>
      </c>
      <c r="G180" s="160" t="s">
        <v>578</v>
      </c>
      <c r="H180" s="162">
        <f t="shared" ref="H180" si="96">IF(G180="Beta",C180*(C180*(1-C180)/(F180^2)-1),IF(G180="Lognormal",LN(C180^2/SQRT(F180^2+C180^2)),IF(G180="Gamma",C180^2/F180^2,IF(G180="Normal",C180,0))))</f>
        <v>4.8448000000000002</v>
      </c>
      <c r="I180" s="162">
        <f t="shared" ref="I180" si="97">IF(G180="Beta",C180*(1-C180)/(F180^2)-1-H180,IF(G180="Lognormal",SQRT(LN(1+F180^2/C180^2)),IF(G180="Gamma",F180^2/C180,IF(G180="Normal",F180,0))))</f>
        <v>5.2485333333333335</v>
      </c>
      <c r="J180" s="70">
        <f ca="1">IF(F180=0,C180,IF(G180="Beta",_xlfn.BETA.INV(J177,H180,I180),IF(G180="Lognormal",EXP(NORMINV(J177,H180,I180)),IF(G180="Gamma",_xlfn.GAMMA.INV(J177,H180,I180),IF(G180="Normal",_xlfn.NORM.INV(J177,H180,I180),0)))))</f>
        <v>0.30999702224757109</v>
      </c>
      <c r="M180" s="31" t="s">
        <v>1441</v>
      </c>
      <c r="N180" s="177">
        <f>'VE input'!C117</f>
        <v>0.48</v>
      </c>
      <c r="O180" s="177">
        <f>'VE input'!D117</f>
        <v>0.11600000000000001</v>
      </c>
      <c r="P180" s="177">
        <f>'VE input'!E117</f>
        <v>0.70399999999999996</v>
      </c>
      <c r="Q180" s="156">
        <f t="shared" si="95"/>
        <v>0.15</v>
      </c>
      <c r="R180" s="160" t="s">
        <v>578</v>
      </c>
      <c r="S180" s="162">
        <f t="shared" ref="S180:S181" si="98">IF(R180="Beta",N180*(N180*(1-N180)/(Q180^2)-1),IF(R180="Lognormal",LN(N180^2/SQRT(Q180^2+N180^2)),IF(R180="Gamma",N180^2/Q180^2,IF(R180="Normal",N180,0))))</f>
        <v>4.8448000000000002</v>
      </c>
      <c r="T180" s="162">
        <f t="shared" ref="T180:T181" si="99">IF(R180="Beta",N180*(1-N180)/(Q180^2)-1-S180,IF(R180="Lognormal",SQRT(LN(1+Q180^2/N180^2)),IF(R180="Gamma",Q180^2/N180,IF(R180="Normal",Q180,0))))</f>
        <v>5.2485333333333335</v>
      </c>
      <c r="U180" s="70">
        <f ca="1">IF(Q180=0,N180,IF(R180="Beta",_xlfn.BETA.INV(U177,S180,T180),IF(R180="Lognormal",EXP(NORMINV(U177,S180,T180)),IF(R180="Gamma",_xlfn.GAMMA.INV(U177,S180,T180),IF(R180="Normal",_xlfn.NORM.INV(U177,S180,T180),0)))))</f>
        <v>0.54904094260327363</v>
      </c>
    </row>
    <row r="181" spans="2:36" x14ac:dyDescent="0.3">
      <c r="B181" s="31" t="s">
        <v>1442</v>
      </c>
      <c r="C181" s="177">
        <f>'VE input'!C91</f>
        <v>0</v>
      </c>
      <c r="D181" s="177">
        <f>'VE input'!D91</f>
        <v>0</v>
      </c>
      <c r="E181" s="177">
        <f>'VE input'!E91</f>
        <v>0</v>
      </c>
      <c r="F181" s="156">
        <f t="shared" si="84"/>
        <v>0</v>
      </c>
      <c r="G181" s="160" t="s">
        <v>578</v>
      </c>
      <c r="H181" s="162" t="e">
        <f t="shared" si="85"/>
        <v>#DIV/0!</v>
      </c>
      <c r="I181" s="162" t="e">
        <f t="shared" si="86"/>
        <v>#DIV/0!</v>
      </c>
      <c r="J181" s="70">
        <f>IF(F181=0,C181,IF(G181="Beta",_xlfn.BETA.INV(J177,H181,I181),IF(G181="Lognormal",EXP(NORMINV(J177,H181,I181)),IF(G181="Gamma",_xlfn.GAMMA.INV(J177,H181,I181),IF(G181="Normal",_xlfn.NORM.INV(J177,H181,I181),0)))))</f>
        <v>0</v>
      </c>
      <c r="M181" s="31" t="s">
        <v>1442</v>
      </c>
      <c r="N181" s="177">
        <f>'VE input'!C118</f>
        <v>0</v>
      </c>
      <c r="O181" s="177">
        <f>'VE input'!D118</f>
        <v>0</v>
      </c>
      <c r="P181" s="177">
        <f>'VE input'!E118</f>
        <v>0</v>
      </c>
      <c r="Q181" s="156">
        <f t="shared" si="95"/>
        <v>0</v>
      </c>
      <c r="R181" s="160" t="s">
        <v>578</v>
      </c>
      <c r="S181" s="162" t="e">
        <f t="shared" si="98"/>
        <v>#DIV/0!</v>
      </c>
      <c r="T181" s="162" t="e">
        <f t="shared" si="99"/>
        <v>#DIV/0!</v>
      </c>
      <c r="U181" s="70">
        <f>IF(Q181=0,N181,IF(R181="Beta",_xlfn.BETA.INV(U177,S181,T181),IF(R181="Lognormal",EXP(NORMINV(U177,S181,T181)),IF(R181="Gamma",_xlfn.GAMMA.INV(U177,S181,T181),IF(R181="Normal",_xlfn.NORM.INV(U177,S181,T181),0)))))</f>
        <v>0</v>
      </c>
    </row>
    <row r="182" spans="2:36" x14ac:dyDescent="0.3">
      <c r="B182" s="151" t="s">
        <v>920</v>
      </c>
      <c r="J182" s="291">
        <f ca="1">RAND()</f>
        <v>0.61530117877115598</v>
      </c>
      <c r="M182" s="151" t="s">
        <v>920</v>
      </c>
      <c r="U182" s="291">
        <f ca="1">RAND()</f>
        <v>0.13847861717530929</v>
      </c>
    </row>
    <row r="183" spans="2:36" x14ac:dyDescent="0.3">
      <c r="B183" s="31" t="s">
        <v>920</v>
      </c>
      <c r="C183" s="177">
        <f>'VE input'!C93</f>
        <v>0</v>
      </c>
      <c r="D183" s="177">
        <f>'VE input'!D93</f>
        <v>0</v>
      </c>
      <c r="E183" s="177">
        <f>'VE input'!E93</f>
        <v>0</v>
      </c>
      <c r="F183" s="156">
        <f t="shared" si="84"/>
        <v>0</v>
      </c>
      <c r="G183" s="160" t="s">
        <v>578</v>
      </c>
      <c r="H183" s="162" t="e">
        <f t="shared" si="85"/>
        <v>#DIV/0!</v>
      </c>
      <c r="I183" s="162" t="e">
        <f t="shared" si="86"/>
        <v>#DIV/0!</v>
      </c>
      <c r="J183" s="70">
        <f>IF(F183=0,C183,IF(G183="Beta",_xlfn.BETA.INV(J182,H183,I183),IF(G183="Lognormal",EXP(NORMINV(J182,H183,I183)),IF(G183="Gamma",_xlfn.GAMMA.INV(J182,H183,I183),IF(G183="Normal",_xlfn.NORM.INV(J182,H183,I183),0)))))</f>
        <v>0</v>
      </c>
      <c r="M183" s="31" t="s">
        <v>920</v>
      </c>
      <c r="N183" s="177">
        <f>'VE input'!C120</f>
        <v>0</v>
      </c>
      <c r="O183" s="177">
        <f>'VE input'!D120</f>
        <v>0</v>
      </c>
      <c r="P183" s="177">
        <f>'VE input'!E120</f>
        <v>0</v>
      </c>
      <c r="Q183" s="156">
        <f>(P183-O183)/(2*1.96)</f>
        <v>0</v>
      </c>
      <c r="R183" s="160" t="s">
        <v>578</v>
      </c>
      <c r="S183" s="162" t="e">
        <f>IF(R183="Beta",N183*(N183*(1-N183)/(Q183^2)-1),IF(R183="Lognormal",LN(N183^2/SQRT(Q183^2+N183^2)),IF(R183="Gamma",N183^2/Q183^2,IF(R183="Normal",N183,0))))</f>
        <v>#DIV/0!</v>
      </c>
      <c r="T183" s="162" t="e">
        <f>IF(R183="Beta",N183*(1-N183)/(Q183^2)-1-S183,IF(R183="Lognormal",SQRT(LN(1+Q183^2/N183^2)),IF(R183="Gamma",Q183^2/N183,IF(R183="Normal",Q183,0))))</f>
        <v>#DIV/0!</v>
      </c>
      <c r="U183" s="70">
        <f>IF(Q183=0,N183,IF(R183="Beta",_xlfn.BETA.INV(U182,S183,T183),IF(R183="Lognormal",EXP(NORMINV(U182,S183,T183)),IF(R183="Gamma",_xlfn.GAMMA.INV(U182,S183,T183),IF(R183="Normal",_xlfn.NORM.INV(U182,S183,T183),0)))))</f>
        <v>0</v>
      </c>
      <c r="AI183" s="31"/>
      <c r="AJ183" s="179"/>
    </row>
    <row r="184" spans="2:36" x14ac:dyDescent="0.3">
      <c r="B184" s="31" t="s">
        <v>980</v>
      </c>
      <c r="C184" s="177">
        <f>'VE input'!C94</f>
        <v>0</v>
      </c>
      <c r="D184" s="177">
        <f>'VE input'!D94</f>
        <v>0</v>
      </c>
      <c r="E184" s="177">
        <f>'VE input'!E94</f>
        <v>0</v>
      </c>
      <c r="F184" s="156">
        <f t="shared" si="84"/>
        <v>0</v>
      </c>
      <c r="G184" s="160" t="s">
        <v>578</v>
      </c>
      <c r="H184" s="162" t="e">
        <f t="shared" si="85"/>
        <v>#DIV/0!</v>
      </c>
      <c r="I184" s="162" t="e">
        <f t="shared" si="86"/>
        <v>#DIV/0!</v>
      </c>
      <c r="J184" s="70">
        <f>IF(F184=0,C184,IF(G184="Beta",_xlfn.BETA.INV(J182,H184,I184),IF(G184="Lognormal",EXP(NORMINV(J182,H184,I184)),IF(G184="Gamma",_xlfn.GAMMA.INV(J182,H184,I184),IF(G184="Normal",_xlfn.NORM.INV(J182,H184,I184),0)))))</f>
        <v>0</v>
      </c>
      <c r="M184" s="31" t="s">
        <v>980</v>
      </c>
      <c r="N184" s="177">
        <f>'VE input'!C121</f>
        <v>0</v>
      </c>
      <c r="O184" s="177">
        <f>'VE input'!D121</f>
        <v>0</v>
      </c>
      <c r="P184" s="177">
        <f>'VE input'!E121</f>
        <v>0</v>
      </c>
      <c r="Q184" s="156">
        <f>(P184-O184)/(2*1.96)</f>
        <v>0</v>
      </c>
      <c r="R184" s="160" t="s">
        <v>578</v>
      </c>
      <c r="S184" s="162" t="e">
        <f>IF(R184="Beta",N184*(N184*(1-N184)/(Q184^2)-1),IF(R184="Lognormal",LN(N184^2/SQRT(Q184^2+N184^2)),IF(R184="Gamma",N184^2/Q184^2,IF(R184="Normal",N184,0))))</f>
        <v>#DIV/0!</v>
      </c>
      <c r="T184" s="162" t="e">
        <f>IF(R184="Beta",N184*(1-N184)/(Q184^2)-1-S184,IF(R184="Lognormal",SQRT(LN(1+Q184^2/N184^2)),IF(R184="Gamma",Q184^2/N184,IF(R184="Normal",Q184,0))))</f>
        <v>#DIV/0!</v>
      </c>
      <c r="U184" s="70">
        <f>IF(Q184=0,N184,IF(R184="Beta",_xlfn.BETA.INV(U182,S184,T184),IF(R184="Lognormal",EXP(NORMINV(U182,S184,T184)),IF(R184="Gamma",_xlfn.GAMMA.INV(U182,S184,T184),IF(R184="Normal",_xlfn.NORM.INV(U182,S184,T184),0)))))</f>
        <v>0</v>
      </c>
      <c r="AI184" s="31"/>
      <c r="AJ184" s="179"/>
    </row>
    <row r="185" spans="2:36" x14ac:dyDescent="0.3">
      <c r="B185" s="31"/>
      <c r="C185" s="178"/>
      <c r="D185" s="178"/>
      <c r="E185" s="178"/>
      <c r="F185" s="459"/>
      <c r="H185" s="695"/>
      <c r="I185" s="695"/>
      <c r="J185" s="368"/>
      <c r="M185" s="31"/>
      <c r="N185" s="178"/>
      <c r="O185" s="178"/>
      <c r="P185" s="178"/>
      <c r="Q185" s="459"/>
      <c r="S185" s="695"/>
      <c r="T185" s="695"/>
      <c r="U185" s="368"/>
      <c r="AI185" s="31"/>
      <c r="AJ185" s="179"/>
    </row>
    <row r="186" spans="2:36" x14ac:dyDescent="0.3">
      <c r="B186" s="71" t="s">
        <v>556</v>
      </c>
      <c r="C186" s="73"/>
      <c r="D186" s="73"/>
      <c r="E186" s="73"/>
      <c r="F186" s="73"/>
      <c r="G186" s="73"/>
      <c r="H186" s="73"/>
      <c r="I186" s="73"/>
      <c r="J186" s="73"/>
      <c r="M186" s="71" t="s">
        <v>556</v>
      </c>
      <c r="N186" s="73"/>
      <c r="O186" s="73"/>
      <c r="P186" s="73"/>
      <c r="Q186" s="73"/>
      <c r="R186" s="73"/>
      <c r="S186" s="73"/>
      <c r="T186" s="73"/>
      <c r="U186" s="73"/>
      <c r="AI186" s="31"/>
      <c r="AJ186" s="179"/>
    </row>
    <row r="187" spans="2:36" x14ac:dyDescent="0.3">
      <c r="B187" s="159" t="s">
        <v>1</v>
      </c>
      <c r="C187" s="159" t="s">
        <v>567</v>
      </c>
      <c r="D187" s="159" t="s">
        <v>985</v>
      </c>
      <c r="E187" s="159" t="s">
        <v>986</v>
      </c>
      <c r="F187" s="73" t="s">
        <v>584</v>
      </c>
      <c r="G187" s="73" t="s">
        <v>569</v>
      </c>
      <c r="H187" s="73" t="s">
        <v>581</v>
      </c>
      <c r="I187" s="73" t="s">
        <v>582</v>
      </c>
      <c r="J187" s="73" t="s">
        <v>583</v>
      </c>
      <c r="M187" s="159" t="s">
        <v>1</v>
      </c>
      <c r="N187" s="159" t="s">
        <v>567</v>
      </c>
      <c r="O187" s="159"/>
      <c r="P187" s="159"/>
      <c r="Q187" s="73" t="s">
        <v>584</v>
      </c>
      <c r="R187" s="73" t="s">
        <v>569</v>
      </c>
      <c r="S187" s="73" t="s">
        <v>581</v>
      </c>
      <c r="T187" s="73" t="s">
        <v>582</v>
      </c>
      <c r="U187" s="73" t="s">
        <v>583</v>
      </c>
      <c r="AI187" s="31"/>
      <c r="AJ187" s="179"/>
    </row>
    <row r="188" spans="2:36" x14ac:dyDescent="0.3">
      <c r="B188" s="150" t="s">
        <v>988</v>
      </c>
      <c r="C188" s="197"/>
      <c r="D188" s="197"/>
      <c r="E188" s="197"/>
      <c r="J188" s="291">
        <f ca="1">RAND()</f>
        <v>0.24724057640662411</v>
      </c>
      <c r="K188" s="79" t="s">
        <v>904</v>
      </c>
      <c r="M188" s="150" t="s">
        <v>988</v>
      </c>
      <c r="U188" s="291">
        <f ca="1">J188</f>
        <v>0.24724057640662411</v>
      </c>
      <c r="V188" s="79" t="s">
        <v>904</v>
      </c>
      <c r="AI188" s="31"/>
      <c r="AJ188" s="179"/>
    </row>
    <row r="189" spans="2:36" x14ac:dyDescent="0.3">
      <c r="B189" s="31" t="s">
        <v>2</v>
      </c>
      <c r="C189" s="458">
        <f>'VE input'!C130</f>
        <v>0.35</v>
      </c>
      <c r="D189" s="177">
        <f>'VE input'!D130</f>
        <v>0</v>
      </c>
      <c r="E189" s="177">
        <f>'VE input'!E130</f>
        <v>0.7</v>
      </c>
      <c r="F189" s="156">
        <f>(E189-D189)/(2*1.96)</f>
        <v>0.17857142857142858</v>
      </c>
      <c r="G189" s="160" t="s">
        <v>578</v>
      </c>
      <c r="H189" s="162">
        <f t="shared" ref="H189" si="100">IF(G189="Beta",C189*(C189*(1-C189)/(F189^2)-1),IF(G189="Lognormal",LN(C189^2/SQRT(F189^2+C189^2)),IF(G189="Gamma",C189^2/F189^2,IF(G189="Normal",C189,0))))</f>
        <v>2.1470399999999996</v>
      </c>
      <c r="I189" s="162">
        <f t="shared" ref="I189" si="101">IF(G189="Beta",C189*(1-C189)/(F189^2)-1-H189,IF(G189="Lognormal",SQRT(LN(1+F189^2/C189^2)),IF(G189="Gamma",F189^2/C189,IF(G189="Normal",F189,0))))</f>
        <v>3.9873599999999998</v>
      </c>
      <c r="J189" s="70">
        <f ca="1">IF(F189=0,C189,IF(G189="Beta",_xlfn.BETA.INV(J188,H189,I189),IF(G189="Lognormal",EXP(NORMINV(J188,H189,I189)),IF(G189="Gamma",_xlfn.GAMMA.INV(J188,H189,I189),IF(G189="Normal",_xlfn.NORM.INV(J188,H189,I189),0)))))</f>
        <v>0.20955387978183881</v>
      </c>
      <c r="K189">
        <f>(E189+D189)/2</f>
        <v>0.35</v>
      </c>
      <c r="M189" s="31" t="s">
        <v>2</v>
      </c>
      <c r="N189" s="458">
        <f>'VE input'!C157</f>
        <v>0.35</v>
      </c>
      <c r="O189" s="458">
        <f>'VE input'!D157</f>
        <v>0</v>
      </c>
      <c r="P189" s="458">
        <f>'VE input'!E157</f>
        <v>0.7</v>
      </c>
      <c r="Q189" s="156">
        <f>(P189-O189)/(2*1.96)</f>
        <v>0.17857142857142858</v>
      </c>
      <c r="R189" s="160" t="s">
        <v>578</v>
      </c>
      <c r="S189" s="162">
        <f t="shared" ref="S189" si="102">IF(R189="Beta",N189*(N189*(1-N189)/(Q189^2)-1),IF(R189="Lognormal",LN(N189^2/SQRT(Q189^2+N189^2)),IF(R189="Gamma",N189^2/Q189^2,IF(R189="Normal",N189,0))))</f>
        <v>2.1470399999999996</v>
      </c>
      <c r="T189" s="162">
        <f t="shared" ref="T189" si="103">IF(R189="Beta",N189*(1-N189)/(Q189^2)-1-S189,IF(R189="Lognormal",SQRT(LN(1+Q189^2/N189^2)),IF(R189="Gamma",Q189^2/N189,IF(R189="Normal",Q189,0))))</f>
        <v>3.9873599999999998</v>
      </c>
      <c r="U189" s="70">
        <f ca="1">IF(Q189=0,N189,IF(R189="Beta",_xlfn.BETA.INV(U188,S189,T189),IF(R189="Lognormal",EXP(NORMINV(U188,S189,T189)),IF(R189="Gamma",_xlfn.GAMMA.INV(U188,S189,T189),IF(R189="Normal",_xlfn.NORM.INV(U188,S189,T189),0)))))</f>
        <v>0.20955387978183881</v>
      </c>
      <c r="AI189" s="31"/>
      <c r="AJ189" s="179"/>
    </row>
    <row r="190" spans="2:36" x14ac:dyDescent="0.3">
      <c r="B190" s="31" t="s">
        <v>3</v>
      </c>
      <c r="C190" s="177">
        <f>'VE input'!C131</f>
        <v>0.35</v>
      </c>
      <c r="D190" s="177">
        <f>'VE input'!D131</f>
        <v>0</v>
      </c>
      <c r="E190" s="177">
        <f>'VE input'!E131</f>
        <v>0.7</v>
      </c>
      <c r="F190" s="156">
        <f t="shared" ref="F190:F211" si="104">(E190-D190)/(2*1.96)</f>
        <v>0.17857142857142858</v>
      </c>
      <c r="G190" s="160" t="s">
        <v>578</v>
      </c>
      <c r="H190" s="162">
        <f t="shared" ref="H190:H211" si="105">IF(G190="Beta",C190*(C190*(1-C190)/(F190^2)-1),IF(G190="Lognormal",LN(C190^2/SQRT(F190^2+C190^2)),IF(G190="Gamma",C190^2/F190^2,IF(G190="Normal",C190,0))))</f>
        <v>2.1470399999999996</v>
      </c>
      <c r="I190" s="162">
        <f t="shared" ref="I190:I211" si="106">IF(G190="Beta",C190*(1-C190)/(F190^2)-1-H190,IF(G190="Lognormal",SQRT(LN(1+F190^2/C190^2)),IF(G190="Gamma",F190^2/C190,IF(G190="Normal",F190,0))))</f>
        <v>3.9873599999999998</v>
      </c>
      <c r="J190" s="70">
        <f ca="1">IF(F190=0,C190,IF(G190="Beta",_xlfn.BETA.INV(J188,H190,I190),IF(G190="Lognormal",EXP(NORMINV(J188,H190,I190)),IF(G190="Gamma",_xlfn.GAMMA.INV(J188,H190,I190),IF(G190="Normal",_xlfn.NORM.INV(J188,H190,I190),0)))))</f>
        <v>0.20955387978183881</v>
      </c>
      <c r="M190" s="31" t="s">
        <v>3</v>
      </c>
      <c r="N190" s="177">
        <f>'VE input'!C158</f>
        <v>0.35</v>
      </c>
      <c r="O190" s="177">
        <f>'VE input'!D158</f>
        <v>0</v>
      </c>
      <c r="P190" s="177">
        <f>'VE input'!E158</f>
        <v>0.7</v>
      </c>
      <c r="Q190" s="156">
        <f t="shared" ref="Q190:Q211" si="107">(P190-O190)/(2*1.96)</f>
        <v>0.17857142857142858</v>
      </c>
      <c r="R190" s="160" t="s">
        <v>578</v>
      </c>
      <c r="S190" s="162">
        <f t="shared" ref="S190:S211" si="108">IF(R190="Beta",N190*(N190*(1-N190)/(Q190^2)-1),IF(R190="Lognormal",LN(N190^2/SQRT(Q190^2+N190^2)),IF(R190="Gamma",N190^2/Q190^2,IF(R190="Normal",N190,0))))</f>
        <v>2.1470399999999996</v>
      </c>
      <c r="T190" s="162">
        <f t="shared" ref="T190:T211" si="109">IF(R190="Beta",N190*(1-N190)/(Q190^2)-1-S190,IF(R190="Lognormal",SQRT(LN(1+Q190^2/N190^2)),IF(R190="Gamma",Q190^2/N190,IF(R190="Normal",Q190,0))))</f>
        <v>3.9873599999999998</v>
      </c>
      <c r="U190" s="70">
        <f ca="1">IF(Q190=0,N190,IF(R190="Beta",_xlfn.BETA.INV(U188,S190,T190),IF(R190="Lognormal",EXP(NORMINV(U188,S190,T190)),IF(R190="Gamma",_xlfn.GAMMA.INV(U188,S190,T190),IF(R190="Normal",_xlfn.NORM.INV(U188,S190,T190),0)))))</f>
        <v>0.20955387978183881</v>
      </c>
      <c r="AI190" s="31"/>
      <c r="AJ190" s="179"/>
    </row>
    <row r="191" spans="2:36" x14ac:dyDescent="0.3">
      <c r="B191" s="31" t="s">
        <v>4</v>
      </c>
      <c r="C191" s="177">
        <f>'VE input'!C132</f>
        <v>0.39</v>
      </c>
      <c r="D191" s="177">
        <f>'VE input'!D132</f>
        <v>0</v>
      </c>
      <c r="E191" s="177">
        <f>'VE input'!E132</f>
        <v>0.68</v>
      </c>
      <c r="F191" s="156">
        <f t="shared" si="104"/>
        <v>0.17346938775510207</v>
      </c>
      <c r="G191" s="160" t="s">
        <v>578</v>
      </c>
      <c r="H191" s="162">
        <f t="shared" si="105"/>
        <v>2.6932827820069196</v>
      </c>
      <c r="I191" s="162">
        <f t="shared" si="106"/>
        <v>4.2125705051903095</v>
      </c>
      <c r="J191" s="70">
        <f ca="1">IF(F191=0,C191,IF(G191="Beta",_xlfn.BETA.INV(J188,H191,I191),IF(G191="Lognormal",EXP(NORMINV(J188,H191,I191)),IF(G191="Gamma",_xlfn.GAMMA.INV(J188,H191,I191),IF(G191="Normal",_xlfn.NORM.INV(J188,H191,I191),0)))))</f>
        <v>0.25637589222009616</v>
      </c>
      <c r="M191" s="31" t="s">
        <v>4</v>
      </c>
      <c r="N191" s="177">
        <f>'VE input'!C159</f>
        <v>0.39</v>
      </c>
      <c r="O191" s="177">
        <f>'VE input'!D159</f>
        <v>0</v>
      </c>
      <c r="P191" s="177">
        <f>'VE input'!E159</f>
        <v>0.68</v>
      </c>
      <c r="Q191" s="156">
        <f t="shared" si="107"/>
        <v>0.17346938775510207</v>
      </c>
      <c r="R191" s="160" t="s">
        <v>578</v>
      </c>
      <c r="S191" s="162">
        <f t="shared" si="108"/>
        <v>2.6932827820069196</v>
      </c>
      <c r="T191" s="162">
        <f t="shared" si="109"/>
        <v>4.2125705051903095</v>
      </c>
      <c r="U191" s="70">
        <f ca="1">IF(Q191=0,N191,IF(R191="Beta",_xlfn.BETA.INV(U188,S191,T191),IF(R191="Lognormal",EXP(NORMINV(U188,S191,T191)),IF(R191="Gamma",_xlfn.GAMMA.INV(U188,S191,T191),IF(R191="Normal",_xlfn.NORM.INV(U188,S191,T191),0)))))</f>
        <v>0.25637589222009616</v>
      </c>
      <c r="AI191" s="31"/>
      <c r="AJ191" s="179"/>
    </row>
    <row r="192" spans="2:36" x14ac:dyDescent="0.3">
      <c r="B192" s="31" t="s">
        <v>5</v>
      </c>
      <c r="C192" s="177">
        <f>'VE input'!C133</f>
        <v>0.57999999999999996</v>
      </c>
      <c r="D192" s="177">
        <f>'VE input'!D133</f>
        <v>0.34</v>
      </c>
      <c r="E192" s="177">
        <f>'VE input'!E133</f>
        <v>0.73</v>
      </c>
      <c r="F192" s="156">
        <f t="shared" si="104"/>
        <v>9.9489795918367332E-2</v>
      </c>
      <c r="G192" s="160" t="s">
        <v>578</v>
      </c>
      <c r="H192" s="162">
        <f t="shared" si="105"/>
        <v>13.694082335305723</v>
      </c>
      <c r="I192" s="162">
        <f t="shared" si="106"/>
        <v>9.9164044497041459</v>
      </c>
      <c r="J192" s="70">
        <f ca="1">IF(F192=0,C192,IF(G192="Beta",_xlfn.BETA.INV(J188,H192,I192),IF(G192="Lognormal",EXP(NORMINV(J188,H192,I192)),IF(G192="Gamma",_xlfn.GAMMA.INV(J188,H192,I192),IF(G192="Normal",_xlfn.NORM.INV(J188,H192,I192),0)))))</f>
        <v>0.51146670626725277</v>
      </c>
      <c r="M192" s="31" t="s">
        <v>5</v>
      </c>
      <c r="N192" s="177">
        <f>'VE input'!C160</f>
        <v>0.57999999999999996</v>
      </c>
      <c r="O192" s="177">
        <f>'VE input'!D160</f>
        <v>0.34</v>
      </c>
      <c r="P192" s="177">
        <f>'VE input'!E160</f>
        <v>0.73</v>
      </c>
      <c r="Q192" s="156">
        <f t="shared" si="107"/>
        <v>9.9489795918367332E-2</v>
      </c>
      <c r="R192" s="160" t="s">
        <v>578</v>
      </c>
      <c r="S192" s="162">
        <f t="shared" si="108"/>
        <v>13.694082335305723</v>
      </c>
      <c r="T192" s="162">
        <f t="shared" si="109"/>
        <v>9.9164044497041459</v>
      </c>
      <c r="U192" s="70">
        <f ca="1">IF(Q192=0,N192,IF(R192="Beta",_xlfn.BETA.INV(U188,S192,T192),IF(R192="Lognormal",EXP(NORMINV(U188,S192,T192)),IF(R192="Gamma",_xlfn.GAMMA.INV(U188,S192,T192),IF(R192="Normal",_xlfn.NORM.INV(U188,S192,T192),0)))))</f>
        <v>0.51146670626725277</v>
      </c>
      <c r="AI192" s="31"/>
      <c r="AJ192" s="179"/>
    </row>
    <row r="193" spans="2:36" x14ac:dyDescent="0.3">
      <c r="B193" s="31" t="s">
        <v>6</v>
      </c>
      <c r="C193" s="177">
        <f>'VE input'!C134</f>
        <v>0.57999999999999996</v>
      </c>
      <c r="D193" s="177">
        <f>'VE input'!D134</f>
        <v>0.34</v>
      </c>
      <c r="E193" s="177">
        <f>'VE input'!E134</f>
        <v>0.73</v>
      </c>
      <c r="F193" s="156">
        <f t="shared" si="104"/>
        <v>9.9489795918367332E-2</v>
      </c>
      <c r="G193" s="160" t="s">
        <v>578</v>
      </c>
      <c r="H193" s="162">
        <f t="shared" si="105"/>
        <v>13.694082335305723</v>
      </c>
      <c r="I193" s="162">
        <f t="shared" si="106"/>
        <v>9.9164044497041459</v>
      </c>
      <c r="J193" s="70">
        <f ca="1">IF(F193=0,C193,IF(G193="Beta",_xlfn.BETA.INV(J188,H193,I193),IF(G193="Lognormal",EXP(NORMINV(J188,H193,I193)),IF(G193="Gamma",_xlfn.GAMMA.INV(J188,H193,I193),IF(G193="Normal",_xlfn.NORM.INV(J188,H193,I193),0)))))</f>
        <v>0.51146670626725277</v>
      </c>
      <c r="M193" s="31" t="s">
        <v>6</v>
      </c>
      <c r="N193" s="177">
        <f>'VE input'!C161</f>
        <v>0.57999999999999996</v>
      </c>
      <c r="O193" s="177">
        <f>'VE input'!D161</f>
        <v>0.34</v>
      </c>
      <c r="P193" s="177">
        <f>'VE input'!E161</f>
        <v>0.73</v>
      </c>
      <c r="Q193" s="156">
        <f t="shared" si="107"/>
        <v>9.9489795918367332E-2</v>
      </c>
      <c r="R193" s="160" t="s">
        <v>578</v>
      </c>
      <c r="S193" s="162">
        <f t="shared" si="108"/>
        <v>13.694082335305723</v>
      </c>
      <c r="T193" s="162">
        <f t="shared" si="109"/>
        <v>9.9164044497041459</v>
      </c>
      <c r="U193" s="70">
        <f ca="1">IF(Q193=0,N193,IF(R193="Beta",_xlfn.BETA.INV(U188,S193,T193),IF(R193="Lognormal",EXP(NORMINV(U188,S193,T193)),IF(R193="Gamma",_xlfn.GAMMA.INV(U188,S193,T193),IF(R193="Normal",_xlfn.NORM.INV(U188,S193,T193),0)))))</f>
        <v>0.51146670626725277</v>
      </c>
      <c r="AI193" s="31"/>
      <c r="AJ193" s="179"/>
    </row>
    <row r="194" spans="2:36" x14ac:dyDescent="0.3">
      <c r="B194" s="31" t="s">
        <v>7</v>
      </c>
      <c r="C194" s="177">
        <f>'VE input'!C135</f>
        <v>0.57999999999999996</v>
      </c>
      <c r="D194" s="177">
        <f>'VE input'!D135</f>
        <v>0.34</v>
      </c>
      <c r="E194" s="177">
        <f>'VE input'!E135</f>
        <v>0.73</v>
      </c>
      <c r="F194" s="156">
        <f t="shared" si="104"/>
        <v>9.9489795918367332E-2</v>
      </c>
      <c r="G194" s="160" t="s">
        <v>578</v>
      </c>
      <c r="H194" s="162">
        <f t="shared" si="105"/>
        <v>13.694082335305723</v>
      </c>
      <c r="I194" s="162">
        <f t="shared" si="106"/>
        <v>9.9164044497041459</v>
      </c>
      <c r="J194" s="70">
        <f ca="1">IF(F194=0,C194,IF(G194="Beta",_xlfn.BETA.INV(J188,H194,I194),IF(G194="Lognormal",EXP(NORMINV(J188,H194,I194)),IF(G194="Gamma",_xlfn.GAMMA.INV(J188,H194,I194),IF(G194="Normal",_xlfn.NORM.INV(J188,H194,I194),0)))))</f>
        <v>0.51146670626725277</v>
      </c>
      <c r="M194" s="31" t="s">
        <v>7</v>
      </c>
      <c r="N194" s="177">
        <f>'VE input'!C162</f>
        <v>0.57999999999999996</v>
      </c>
      <c r="O194" s="177">
        <f>'VE input'!D162</f>
        <v>0.34</v>
      </c>
      <c r="P194" s="177">
        <f>'VE input'!E162</f>
        <v>0.73</v>
      </c>
      <c r="Q194" s="156">
        <f t="shared" si="107"/>
        <v>9.9489795918367332E-2</v>
      </c>
      <c r="R194" s="160" t="s">
        <v>578</v>
      </c>
      <c r="S194" s="162">
        <f t="shared" si="108"/>
        <v>13.694082335305723</v>
      </c>
      <c r="T194" s="162">
        <f t="shared" si="109"/>
        <v>9.9164044497041459</v>
      </c>
      <c r="U194" s="70">
        <f ca="1">IF(Q194=0,N194,IF(R194="Beta",_xlfn.BETA.INV(U188,S194,T194),IF(R194="Lognormal",EXP(NORMINV(U188,S194,T194)),IF(R194="Gamma",_xlfn.GAMMA.INV(U188,S194,T194),IF(R194="Normal",_xlfn.NORM.INV(U188,S194,T194),0)))))</f>
        <v>0.51146670626725277</v>
      </c>
      <c r="AI194" s="31"/>
      <c r="AJ194" s="179"/>
    </row>
    <row r="195" spans="2:36" x14ac:dyDescent="0.3">
      <c r="B195" s="31" t="s">
        <v>11</v>
      </c>
      <c r="C195" s="177">
        <f>'VE input'!C136</f>
        <v>0.57999999999999996</v>
      </c>
      <c r="D195" s="177">
        <f>'VE input'!D136</f>
        <v>0.34</v>
      </c>
      <c r="E195" s="177">
        <f>'VE input'!E136</f>
        <v>0.73</v>
      </c>
      <c r="F195" s="156">
        <f t="shared" si="104"/>
        <v>9.9489795918367332E-2</v>
      </c>
      <c r="G195" s="160" t="s">
        <v>578</v>
      </c>
      <c r="H195" s="162">
        <f t="shared" si="105"/>
        <v>13.694082335305723</v>
      </c>
      <c r="I195" s="162">
        <f t="shared" si="106"/>
        <v>9.9164044497041459</v>
      </c>
      <c r="J195" s="70">
        <f ca="1">IF(F195=0,C195,IF(G195="Beta",_xlfn.BETA.INV(J188,H195,I195),IF(G195="Lognormal",EXP(NORMINV(J188,H195,I195)),IF(G195="Gamma",_xlfn.GAMMA.INV(J188,H195,I195),IF(G195="Normal",_xlfn.NORM.INV(J188,H195,I195),0)))))</f>
        <v>0.51146670626725277</v>
      </c>
      <c r="M195" s="31" t="s">
        <v>11</v>
      </c>
      <c r="N195" s="177">
        <f>'VE input'!C163</f>
        <v>0.57999999999999996</v>
      </c>
      <c r="O195" s="177">
        <f>'VE input'!D163</f>
        <v>0.34</v>
      </c>
      <c r="P195" s="177">
        <f>'VE input'!E163</f>
        <v>0.73</v>
      </c>
      <c r="Q195" s="156">
        <f t="shared" si="107"/>
        <v>9.9489795918367332E-2</v>
      </c>
      <c r="R195" s="160" t="s">
        <v>578</v>
      </c>
      <c r="S195" s="162">
        <f t="shared" si="108"/>
        <v>13.694082335305723</v>
      </c>
      <c r="T195" s="162">
        <f t="shared" si="109"/>
        <v>9.9164044497041459</v>
      </c>
      <c r="U195" s="70">
        <f ca="1">IF(Q195=0,N195,IF(R195="Beta",_xlfn.BETA.INV(U188,S195,T195),IF(R195="Lognormal",EXP(NORMINV(U188,S195,T195)),IF(R195="Gamma",_xlfn.GAMMA.INV(U188,S195,T195),IF(R195="Normal",_xlfn.NORM.INV(U188,S195,T195),0)))))</f>
        <v>0.51146670626725277</v>
      </c>
      <c r="AI195" s="31"/>
      <c r="AJ195" s="179"/>
    </row>
    <row r="196" spans="2:36" x14ac:dyDescent="0.3">
      <c r="B196" s="150" t="s">
        <v>1444</v>
      </c>
      <c r="H196" s="141"/>
      <c r="I196" s="141"/>
      <c r="J196" s="291">
        <f ca="1">RAND()</f>
        <v>0.99895558017556441</v>
      </c>
      <c r="L196" s="79" t="s">
        <v>679</v>
      </c>
      <c r="M196" s="150" t="s">
        <v>988</v>
      </c>
      <c r="U196" s="291">
        <f ca="1">RAND()</f>
        <v>0.77484608713522862</v>
      </c>
    </row>
    <row r="197" spans="2:36" x14ac:dyDescent="0.3">
      <c r="B197" s="31" t="s">
        <v>1082</v>
      </c>
      <c r="C197" s="177">
        <f>'VE input'!C138</f>
        <v>0</v>
      </c>
      <c r="D197" s="177">
        <f>'VE input'!D138</f>
        <v>0</v>
      </c>
      <c r="E197" s="177">
        <f>'VE input'!E138</f>
        <v>0</v>
      </c>
      <c r="F197" s="156">
        <f>(E197-D197)/(2*1.96)</f>
        <v>0</v>
      </c>
      <c r="G197" s="160" t="s">
        <v>578</v>
      </c>
      <c r="H197" s="162" t="e">
        <f t="shared" ref="H197:H203" si="110">IF(G197="Beta",C197*(C197*(1-C197)/(F197^2)-1),IF(G197="Lognormal",LN(C197^2/SQRT(F197^2+C197^2)),IF(G197="Gamma",C197^2/F197^2,IF(G197="Normal",C197,0))))</f>
        <v>#DIV/0!</v>
      </c>
      <c r="I197" s="162" t="e">
        <f t="shared" ref="I197:I203" si="111">IF(G197="Beta",C197*(1-C197)/(F197^2)-1-H197,IF(G197="Lognormal",SQRT(LN(1+F197^2/C197^2)),IF(G197="Gamma",F197^2/C197,IF(G197="Normal",F197,0))))</f>
        <v>#DIV/0!</v>
      </c>
      <c r="J197" s="70">
        <f>IF(F197=0,C197,IF(G197="Beta",_xlfn.BETA.INV(J196,H197,I197),IF(G197="Lognormal",EXP(NORMINV(J196,H197,I197)),IF(G197="Gamma",_xlfn.GAMMA.INV(J196,H197,I197),IF(G197="Normal",_xlfn.NORM.INV(J196,H197,I197),0)))))</f>
        <v>0</v>
      </c>
      <c r="M197" s="31" t="s">
        <v>2</v>
      </c>
      <c r="N197" s="458">
        <f>'VE input'!C165</f>
        <v>0</v>
      </c>
      <c r="O197" s="458">
        <f>'VE input'!D165</f>
        <v>0</v>
      </c>
      <c r="P197" s="458">
        <f>'VE input'!E165</f>
        <v>0</v>
      </c>
      <c r="Q197" s="156">
        <f>(P197-O197)/(2*1.96)</f>
        <v>0</v>
      </c>
      <c r="R197" s="160" t="s">
        <v>578</v>
      </c>
      <c r="S197" s="162" t="e">
        <f t="shared" ref="S197:S203" si="112">IF(R197="Beta",N197*(N197*(1-N197)/(Q197^2)-1),IF(R197="Lognormal",LN(N197^2/SQRT(Q197^2+N197^2)),IF(R197="Gamma",N197^2/Q197^2,IF(R197="Normal",N197,0))))</f>
        <v>#DIV/0!</v>
      </c>
      <c r="T197" s="162" t="e">
        <f t="shared" ref="T197:T203" si="113">IF(R197="Beta",N197*(1-N197)/(Q197^2)-1-S197,IF(R197="Lognormal",SQRT(LN(1+Q197^2/N197^2)),IF(R197="Gamma",Q197^2/N197,IF(R197="Normal",Q197,0))))</f>
        <v>#DIV/0!</v>
      </c>
      <c r="U197" s="70">
        <f>IF(Q197=0,N197,IF(R197="Beta",_xlfn.BETA.INV(U196,S197,T197),IF(R197="Lognormal",EXP(NORMINV(U196,S197,T197)),IF(R197="Gamma",_xlfn.GAMMA.INV(U196,S197,T197),IF(R197="Normal",_xlfn.NORM.INV(U196,S197,T197),0)))))</f>
        <v>0</v>
      </c>
    </row>
    <row r="198" spans="2:36" x14ac:dyDescent="0.3">
      <c r="B198" s="31" t="s">
        <v>1083</v>
      </c>
      <c r="C198" s="177">
        <f>'VE input'!C139</f>
        <v>0</v>
      </c>
      <c r="D198" s="177">
        <f>'VE input'!D139</f>
        <v>0</v>
      </c>
      <c r="E198" s="177">
        <f>'VE input'!E139</f>
        <v>0</v>
      </c>
      <c r="F198" s="156">
        <f t="shared" ref="F198:F203" si="114">(E198-D198)/(2*1.96)</f>
        <v>0</v>
      </c>
      <c r="G198" s="160" t="s">
        <v>578</v>
      </c>
      <c r="H198" s="162" t="e">
        <f t="shared" si="110"/>
        <v>#DIV/0!</v>
      </c>
      <c r="I198" s="162" t="e">
        <f t="shared" si="111"/>
        <v>#DIV/0!</v>
      </c>
      <c r="J198" s="70">
        <f>IF(F198=0,C198,IF(G198="Beta",_xlfn.BETA.INV(J196,H198,I198),IF(G198="Lognormal",EXP(NORMINV(J196,H198,I198)),IF(G198="Gamma",_xlfn.GAMMA.INV(J196,H198,I198),IF(G198="Normal",_xlfn.NORM.INV(J196,H198,I198),0)))))</f>
        <v>0</v>
      </c>
      <c r="M198" s="31" t="s">
        <v>3</v>
      </c>
      <c r="N198" s="458">
        <f>'VE input'!C166</f>
        <v>0</v>
      </c>
      <c r="O198" s="458">
        <f>'VE input'!D166</f>
        <v>0</v>
      </c>
      <c r="P198" s="458">
        <f>'VE input'!E166</f>
        <v>0</v>
      </c>
      <c r="Q198" s="156">
        <f t="shared" ref="Q198:Q203" si="115">(P198-O198)/(2*1.96)</f>
        <v>0</v>
      </c>
      <c r="R198" s="160" t="s">
        <v>578</v>
      </c>
      <c r="S198" s="162" t="e">
        <f t="shared" si="112"/>
        <v>#DIV/0!</v>
      </c>
      <c r="T198" s="162" t="e">
        <f t="shared" si="113"/>
        <v>#DIV/0!</v>
      </c>
      <c r="U198" s="70">
        <f>IF(Q198=0,N198,IF(R198="Beta",_xlfn.BETA.INV(U196,S198,T198),IF(R198="Lognormal",EXP(NORMINV(U196,S198,T198)),IF(R198="Gamma",_xlfn.GAMMA.INV(U196,S198,T198),IF(R198="Normal",_xlfn.NORM.INV(U196,S198,T198),0)))))</f>
        <v>0</v>
      </c>
    </row>
    <row r="199" spans="2:36" x14ac:dyDescent="0.3">
      <c r="B199" s="31" t="s">
        <v>1084</v>
      </c>
      <c r="C199" s="177">
        <f>'VE input'!C140</f>
        <v>0</v>
      </c>
      <c r="D199" s="177">
        <f>'VE input'!D140</f>
        <v>0</v>
      </c>
      <c r="E199" s="177">
        <f>'VE input'!E140</f>
        <v>0</v>
      </c>
      <c r="F199" s="156">
        <f t="shared" si="114"/>
        <v>0</v>
      </c>
      <c r="G199" s="160" t="s">
        <v>578</v>
      </c>
      <c r="H199" s="162" t="e">
        <f t="shared" si="110"/>
        <v>#DIV/0!</v>
      </c>
      <c r="I199" s="162" t="e">
        <f t="shared" si="111"/>
        <v>#DIV/0!</v>
      </c>
      <c r="J199" s="70">
        <f>IF(F199=0,C199,IF(G199="Beta",_xlfn.BETA.INV(J196,H199,I199),IF(G199="Lognormal",EXP(NORMINV(J196,H199,I199)),IF(G199="Gamma",_xlfn.GAMMA.INV(J196,H199,I199),IF(G199="Normal",_xlfn.NORM.INV(J196,H199,I199),0)))))</f>
        <v>0</v>
      </c>
      <c r="M199" s="31" t="s">
        <v>4</v>
      </c>
      <c r="N199" s="458">
        <f>'VE input'!C167</f>
        <v>0</v>
      </c>
      <c r="O199" s="458">
        <f>'VE input'!D167</f>
        <v>0</v>
      </c>
      <c r="P199" s="458">
        <f>'VE input'!E167</f>
        <v>0</v>
      </c>
      <c r="Q199" s="156">
        <f t="shared" si="115"/>
        <v>0</v>
      </c>
      <c r="R199" s="160" t="s">
        <v>578</v>
      </c>
      <c r="S199" s="162" t="e">
        <f t="shared" si="112"/>
        <v>#DIV/0!</v>
      </c>
      <c r="T199" s="162" t="e">
        <f t="shared" si="113"/>
        <v>#DIV/0!</v>
      </c>
      <c r="U199" s="70">
        <f>IF(Q199=0,N199,IF(R199="Beta",_xlfn.BETA.INV(U196,S199,T199),IF(R199="Lognormal",EXP(NORMINV(U196,S199,T199)),IF(R199="Gamma",_xlfn.GAMMA.INV(U196,S199,T199),IF(R199="Normal",_xlfn.NORM.INV(U196,S199,T199),0)))))</f>
        <v>0</v>
      </c>
    </row>
    <row r="200" spans="2:36" x14ac:dyDescent="0.3">
      <c r="B200" s="31" t="s">
        <v>1085</v>
      </c>
      <c r="C200" s="177">
        <f>'VE input'!C141</f>
        <v>0.43645409834744886</v>
      </c>
      <c r="D200" s="177">
        <f>'VE input'!D141</f>
        <v>0.39206893580364055</v>
      </c>
      <c r="E200" s="177">
        <f>'VE input'!E141</f>
        <v>0.47344173380062254</v>
      </c>
      <c r="F200" s="156">
        <f t="shared" si="114"/>
        <v>2.0758366835964794E-2</v>
      </c>
      <c r="G200" s="160" t="s">
        <v>578</v>
      </c>
      <c r="H200" s="162">
        <f t="shared" si="110"/>
        <v>248.69013547122483</v>
      </c>
      <c r="I200" s="162">
        <f t="shared" si="111"/>
        <v>321.10663448200307</v>
      </c>
      <c r="J200" s="70">
        <f ca="1">IF(F200=0,C200,IF(G200="Beta",_xlfn.BETA.INV(J196,H200,I200),IF(G200="Lognormal",EXP(NORMINV(J196,H200,I200)),IF(G200="Gamma",_xlfn.GAMMA.INV(J196,H200,I200),IF(G200="Normal",_xlfn.NORM.INV(J196,H200,I200),0)))))</f>
        <v>0.50078109208474952</v>
      </c>
      <c r="M200" s="31" t="s">
        <v>5</v>
      </c>
      <c r="N200" s="458">
        <f>'VE input'!C168</f>
        <v>0.43645409834744886</v>
      </c>
      <c r="O200" s="458">
        <f>'VE input'!D168</f>
        <v>0.39206893580364055</v>
      </c>
      <c r="P200" s="458">
        <f>'VE input'!E168</f>
        <v>0.47344173380062254</v>
      </c>
      <c r="Q200" s="156">
        <f t="shared" si="115"/>
        <v>2.0758366835964794E-2</v>
      </c>
      <c r="R200" s="160" t="s">
        <v>578</v>
      </c>
      <c r="S200" s="162">
        <f t="shared" si="112"/>
        <v>248.69013547122483</v>
      </c>
      <c r="T200" s="162">
        <f t="shared" si="113"/>
        <v>321.10663448200307</v>
      </c>
      <c r="U200" s="70">
        <f ca="1">IF(Q200=0,N200,IF(R200="Beta",_xlfn.BETA.INV(U196,S200,T200),IF(R200="Lognormal",EXP(NORMINV(U196,S200,T200)),IF(R200="Gamma",_xlfn.GAMMA.INV(U196,S200,T200),IF(R200="Normal",_xlfn.NORM.INV(U196,S200,T200),0)))))</f>
        <v>0.45210906054215483</v>
      </c>
      <c r="AB200" s="67"/>
    </row>
    <row r="201" spans="2:36" x14ac:dyDescent="0.3">
      <c r="B201" s="31" t="s">
        <v>1086</v>
      </c>
      <c r="C201" s="177">
        <f>'VE input'!C142</f>
        <v>0.43645409834744886</v>
      </c>
      <c r="D201" s="177">
        <f>'VE input'!D142</f>
        <v>0.39206893580364055</v>
      </c>
      <c r="E201" s="177">
        <f>'VE input'!E142</f>
        <v>0.47344173380062254</v>
      </c>
      <c r="F201" s="156">
        <f t="shared" si="114"/>
        <v>2.0758366835964794E-2</v>
      </c>
      <c r="G201" s="160" t="s">
        <v>578</v>
      </c>
      <c r="H201" s="162">
        <f t="shared" si="110"/>
        <v>248.69013547122483</v>
      </c>
      <c r="I201" s="162">
        <f t="shared" si="111"/>
        <v>321.10663448200307</v>
      </c>
      <c r="J201" s="70">
        <f ca="1">IF(F201=0,C201,IF(G201="Beta",_xlfn.BETA.INV(J196,H201,I201),IF(G201="Lognormal",EXP(NORMINV(J196,H201,I201)),IF(G201="Gamma",_xlfn.GAMMA.INV(J196,H201,I201),IF(G201="Normal",_xlfn.NORM.INV(J196,H201,I201),0)))))</f>
        <v>0.50078109208474952</v>
      </c>
      <c r="M201" s="31" t="s">
        <v>6</v>
      </c>
      <c r="N201" s="458">
        <f>'VE input'!C169</f>
        <v>0.43645409834744886</v>
      </c>
      <c r="O201" s="458">
        <f>'VE input'!D169</f>
        <v>0.39206893580364055</v>
      </c>
      <c r="P201" s="458">
        <f>'VE input'!E169</f>
        <v>0.47344173380062254</v>
      </c>
      <c r="Q201" s="156">
        <f t="shared" si="115"/>
        <v>2.0758366835964794E-2</v>
      </c>
      <c r="R201" s="160" t="s">
        <v>578</v>
      </c>
      <c r="S201" s="162">
        <f t="shared" si="112"/>
        <v>248.69013547122483</v>
      </c>
      <c r="T201" s="162">
        <f t="shared" si="113"/>
        <v>321.10663448200307</v>
      </c>
      <c r="U201" s="70">
        <f ca="1">IF(Q201=0,N201,IF(R201="Beta",_xlfn.BETA.INV(U196,S201,T201),IF(R201="Lognormal",EXP(NORMINV(U196,S201,T201)),IF(R201="Gamma",_xlfn.GAMMA.INV(U196,S201,T201),IF(R201="Normal",_xlfn.NORM.INV(U196,S201,T201),0)))))</f>
        <v>0.45210906054215483</v>
      </c>
    </row>
    <row r="202" spans="2:36" x14ac:dyDescent="0.3">
      <c r="B202" s="31" t="s">
        <v>1087</v>
      </c>
      <c r="C202" s="177">
        <f>'VE input'!C143</f>
        <v>0.43645409834744886</v>
      </c>
      <c r="D202" s="177">
        <f>'VE input'!D143</f>
        <v>0.39206893580364055</v>
      </c>
      <c r="E202" s="177">
        <f>'VE input'!E143</f>
        <v>0.47344173380062254</v>
      </c>
      <c r="F202" s="156">
        <f t="shared" si="114"/>
        <v>2.0758366835964794E-2</v>
      </c>
      <c r="G202" s="160" t="s">
        <v>578</v>
      </c>
      <c r="H202" s="162">
        <f t="shared" si="110"/>
        <v>248.69013547122483</v>
      </c>
      <c r="I202" s="162">
        <f t="shared" si="111"/>
        <v>321.10663448200307</v>
      </c>
      <c r="J202" s="70">
        <f ca="1">IF(F202=0,C202,IF(G202="Beta",_xlfn.BETA.INV(J196,H202,I202),IF(G202="Lognormal",EXP(NORMINV(J196,H202,I202)),IF(G202="Gamma",_xlfn.GAMMA.INV(J196,H202,I202),IF(G202="Normal",_xlfn.NORM.INV(J196,H202,I202),0)))))</f>
        <v>0.50078109208474952</v>
      </c>
      <c r="M202" s="31" t="s">
        <v>7</v>
      </c>
      <c r="N202" s="458">
        <f>'VE input'!C170</f>
        <v>0.43645409834744886</v>
      </c>
      <c r="O202" s="458">
        <f>'VE input'!D170</f>
        <v>0.39206893580364055</v>
      </c>
      <c r="P202" s="458">
        <f>'VE input'!E170</f>
        <v>0.47344173380062254</v>
      </c>
      <c r="Q202" s="156">
        <f t="shared" si="115"/>
        <v>2.0758366835964794E-2</v>
      </c>
      <c r="R202" s="160" t="s">
        <v>578</v>
      </c>
      <c r="S202" s="162">
        <f t="shared" si="112"/>
        <v>248.69013547122483</v>
      </c>
      <c r="T202" s="162">
        <f t="shared" si="113"/>
        <v>321.10663448200307</v>
      </c>
      <c r="U202" s="70">
        <f ca="1">IF(Q202=0,N202,IF(R202="Beta",_xlfn.BETA.INV(U196,S202,T202),IF(R202="Lognormal",EXP(NORMINV(U196,S202,T202)),IF(R202="Gamma",_xlfn.GAMMA.INV(U196,S202,T202),IF(R202="Normal",_xlfn.NORM.INV(U196,S202,T202),0)))))</f>
        <v>0.45210906054215483</v>
      </c>
    </row>
    <row r="203" spans="2:36" x14ac:dyDescent="0.3">
      <c r="B203" s="31" t="s">
        <v>1443</v>
      </c>
      <c r="C203" s="177">
        <f>'VE input'!C144</f>
        <v>0</v>
      </c>
      <c r="D203" s="177">
        <f>'VE input'!D144</f>
        <v>0</v>
      </c>
      <c r="E203" s="177">
        <f>'VE input'!E144</f>
        <v>0</v>
      </c>
      <c r="F203" s="156">
        <f t="shared" si="114"/>
        <v>0</v>
      </c>
      <c r="G203" s="160" t="s">
        <v>578</v>
      </c>
      <c r="H203" s="162" t="e">
        <f t="shared" si="110"/>
        <v>#DIV/0!</v>
      </c>
      <c r="I203" s="162" t="e">
        <f t="shared" si="111"/>
        <v>#DIV/0!</v>
      </c>
      <c r="J203" s="70">
        <f>IF(F203=0,C203,IF(G203="Beta",_xlfn.BETA.INV(J196,H203,I203),IF(G203="Lognormal",EXP(NORMINV(J196,H203,I203)),IF(G203="Gamma",_xlfn.GAMMA.INV(J196,H203,I203),IF(G203="Normal",_xlfn.NORM.INV(J196,H203,I203),0)))))</f>
        <v>0</v>
      </c>
      <c r="M203" s="31" t="s">
        <v>11</v>
      </c>
      <c r="N203" s="458">
        <f>'VE input'!C171</f>
        <v>0</v>
      </c>
      <c r="O203" s="458">
        <f>'VE input'!D171</f>
        <v>0</v>
      </c>
      <c r="P203" s="458">
        <f>'VE input'!E171</f>
        <v>0</v>
      </c>
      <c r="Q203" s="156">
        <f t="shared" si="115"/>
        <v>0</v>
      </c>
      <c r="R203" s="160" t="s">
        <v>578</v>
      </c>
      <c r="S203" s="162" t="e">
        <f t="shared" si="112"/>
        <v>#DIV/0!</v>
      </c>
      <c r="T203" s="162" t="e">
        <f t="shared" si="113"/>
        <v>#DIV/0!</v>
      </c>
      <c r="U203" s="70">
        <f>IF(Q203=0,N203,IF(R203="Beta",_xlfn.BETA.INV(U196,S203,T203),IF(R203="Lognormal",EXP(NORMINV(U196,S203,T203)),IF(R203="Gamma",_xlfn.GAMMA.INV(U196,S203,T203),IF(R203="Normal",_xlfn.NORM.INV(U196,S203,T203),0)))))</f>
        <v>0</v>
      </c>
    </row>
    <row r="204" spans="2:36" x14ac:dyDescent="0.3">
      <c r="B204" s="151" t="s">
        <v>227</v>
      </c>
      <c r="C204" s="162"/>
      <c r="D204" s="162"/>
      <c r="E204" s="162"/>
      <c r="F204" s="162"/>
      <c r="G204" s="162"/>
      <c r="H204" s="162"/>
      <c r="I204" s="162"/>
      <c r="J204" s="291">
        <f ca="1">RAND()</f>
        <v>0.73799641630473511</v>
      </c>
      <c r="M204" s="151" t="s">
        <v>227</v>
      </c>
      <c r="U204" s="291">
        <f ca="1">RAND()</f>
        <v>0.63794882007259102</v>
      </c>
      <c r="AI204" s="31"/>
      <c r="AJ204" s="179"/>
    </row>
    <row r="205" spans="2:36" x14ac:dyDescent="0.3">
      <c r="B205" s="31" t="s">
        <v>227</v>
      </c>
      <c r="C205" s="177">
        <f>'VE input'!C146</f>
        <v>0.504</v>
      </c>
      <c r="D205" s="177">
        <f>'VE input'!D146</f>
        <v>0.14199999999999999</v>
      </c>
      <c r="E205" s="177">
        <f>'VE input'!E146</f>
        <v>0.71199999999999997</v>
      </c>
      <c r="F205" s="156">
        <f t="shared" ref="F205:F206" si="116">(E205-D205)/(2*1.96)</f>
        <v>0.14540816326530612</v>
      </c>
      <c r="G205" s="160" t="s">
        <v>578</v>
      </c>
      <c r="H205" s="162">
        <f t="shared" ref="H205:H206" si="117">IF(G205="Beta",C205*(C205*(1-C205)/(F205^2)-1),IF(G205="Lognormal",LN(C205^2/SQRT(F205^2+C205^2)),IF(G205="Gamma",C205^2/F205^2,IF(G205="Normal",C205,0))))</f>
        <v>5.4548873048642665</v>
      </c>
      <c r="I205" s="162">
        <f t="shared" ref="I205:I206" si="118">IF(G205="Beta",C205*(1-C205)/(F205^2)-1-H205,IF(G205="Lognormal",SQRT(LN(1+F205^2/C205^2)),IF(G205="Gamma",F205^2/C205,IF(G205="Normal",F205,0))))</f>
        <v>5.3683017920886424</v>
      </c>
      <c r="J205" s="70">
        <f ca="1">IF(F205=0,C205,IF(G205="Beta",_xlfn.BETA.INV(J204,H205,I205),IF(G205="Lognormal",EXP(NORMINV(J204,H205,I205)),IF(G205="Gamma",_xlfn.GAMMA.INV(J204,H205,I205),IF(G205="Normal",_xlfn.NORM.INV(J204,H205,I205),0)))))</f>
        <v>0.60226688020858465</v>
      </c>
      <c r="M205" s="31" t="s">
        <v>227</v>
      </c>
      <c r="N205" s="458">
        <f>'VE input'!C173</f>
        <v>0.504</v>
      </c>
      <c r="O205" s="458">
        <f>'VE input'!D173</f>
        <v>0.14199999999999999</v>
      </c>
      <c r="P205" s="458">
        <f>'VE input'!E173</f>
        <v>0.71199999999999997</v>
      </c>
      <c r="Q205" s="156">
        <f t="shared" ref="Q205:Q206" si="119">(P205-O205)/(2*1.96)</f>
        <v>0.14540816326530612</v>
      </c>
      <c r="R205" s="160" t="s">
        <v>578</v>
      </c>
      <c r="S205" s="162">
        <f t="shared" ref="S205:S206" si="120">IF(R205="Beta",N205*(N205*(1-N205)/(Q205^2)-1),IF(R205="Lognormal",LN(N205^2/SQRT(Q205^2+N205^2)),IF(R205="Gamma",N205^2/Q205^2,IF(R205="Normal",N205,0))))</f>
        <v>5.4548873048642665</v>
      </c>
      <c r="T205" s="162">
        <f t="shared" ref="T205:T206" si="121">IF(R205="Beta",N205*(1-N205)/(Q205^2)-1-S205,IF(R205="Lognormal",SQRT(LN(1+Q205^2/N205^2)),IF(R205="Gamma",Q205^2/N205,IF(R205="Normal",Q205,0))))</f>
        <v>5.3683017920886424</v>
      </c>
      <c r="U205" s="70">
        <f ca="1">IF(Q205=0,N205,IF(R205="Beta",_xlfn.BETA.INV(U204,S205,T205),IF(R205="Lognormal",EXP(NORMINV(U204,S205,T205)),IF(R205="Gamma",_xlfn.GAMMA.INV(U204,S205,T205),IF(R205="Normal",_xlfn.NORM.INV(U204,S205,T205),0)))))</f>
        <v>0.5589509610735337</v>
      </c>
      <c r="AI205" s="31"/>
      <c r="AJ205" s="179"/>
    </row>
    <row r="206" spans="2:36" x14ac:dyDescent="0.3">
      <c r="B206" s="31" t="s">
        <v>8</v>
      </c>
      <c r="C206" s="177">
        <f>'VE input'!C147</f>
        <v>0</v>
      </c>
      <c r="D206" s="177">
        <f>'VE input'!D147</f>
        <v>0</v>
      </c>
      <c r="E206" s="177">
        <f>'VE input'!E147</f>
        <v>0</v>
      </c>
      <c r="F206" s="156">
        <f t="shared" si="116"/>
        <v>0</v>
      </c>
      <c r="G206" s="160" t="s">
        <v>578</v>
      </c>
      <c r="H206" s="162" t="e">
        <f t="shared" si="117"/>
        <v>#DIV/0!</v>
      </c>
      <c r="I206" s="162" t="e">
        <f t="shared" si="118"/>
        <v>#DIV/0!</v>
      </c>
      <c r="J206" s="70">
        <f>IF(F206=0,C206,IF(G206="Beta",_xlfn.BETA.INV(J204,H206,I206),IF(G206="Lognormal",EXP(NORMINV(J204,H206,I206)),IF(G206="Gamma",_xlfn.GAMMA.INV(J204,H206,I206),IF(G206="Normal",_xlfn.NORM.INV(J204,H206,I206),0)))))</f>
        <v>0</v>
      </c>
      <c r="M206" s="31" t="s">
        <v>8</v>
      </c>
      <c r="N206" s="458">
        <f>'VE input'!C174</f>
        <v>0</v>
      </c>
      <c r="O206" s="458">
        <f>'VE input'!D174</f>
        <v>0</v>
      </c>
      <c r="P206" s="458">
        <f>'VE input'!E174</f>
        <v>0</v>
      </c>
      <c r="Q206" s="156">
        <f t="shared" si="119"/>
        <v>0</v>
      </c>
      <c r="R206" s="160" t="s">
        <v>578</v>
      </c>
      <c r="S206" s="162" t="e">
        <f t="shared" si="120"/>
        <v>#DIV/0!</v>
      </c>
      <c r="T206" s="162" t="e">
        <f t="shared" si="121"/>
        <v>#DIV/0!</v>
      </c>
      <c r="U206" s="70">
        <f>IF(Q206=0,N206,IF(R206="Beta",_xlfn.BETA.INV(U204,S206,T206),IF(R206="Lognormal",EXP(NORMINV(U204,S206,T206)),IF(R206="Gamma",_xlfn.GAMMA.INV(U204,S206,T206),IF(R206="Normal",_xlfn.NORM.INV(U204,S206,T206),0)))))</f>
        <v>0</v>
      </c>
      <c r="AI206" s="31"/>
      <c r="AJ206" s="179"/>
    </row>
    <row r="207" spans="2:36" x14ac:dyDescent="0.3">
      <c r="B207" s="31" t="s">
        <v>227</v>
      </c>
      <c r="C207" s="177">
        <f>'VE input'!C148</f>
        <v>0.48</v>
      </c>
      <c r="D207" s="177">
        <f>'VE input'!D148</f>
        <v>0.11600000000000001</v>
      </c>
      <c r="E207" s="177">
        <f>'VE input'!E148</f>
        <v>0.70399999999999996</v>
      </c>
      <c r="F207" s="156">
        <f t="shared" si="104"/>
        <v>0.15</v>
      </c>
      <c r="G207" s="160" t="s">
        <v>578</v>
      </c>
      <c r="H207" s="162">
        <f t="shared" si="105"/>
        <v>4.8448000000000002</v>
      </c>
      <c r="I207" s="162">
        <f t="shared" si="106"/>
        <v>5.2485333333333335</v>
      </c>
      <c r="J207" s="70">
        <f ca="1">IF(F207=0,C207,IF(G207="Beta",_xlfn.BETA.INV(J204,H207,I207),IF(G207="Lognormal",EXP(NORMINV(J204,H207,I207)),IF(G207="Gamma",_xlfn.GAMMA.INV(J204,H207,I207),IF(G207="Normal",_xlfn.NORM.INV(J204,H207,I207),0)))))</f>
        <v>0.58084217437529362</v>
      </c>
      <c r="M207" s="31" t="s">
        <v>227</v>
      </c>
      <c r="N207" s="458">
        <f>'VE input'!C175</f>
        <v>0.48</v>
      </c>
      <c r="O207" s="458">
        <f>'VE input'!D175</f>
        <v>0.11600000000000001</v>
      </c>
      <c r="P207" s="458">
        <f>'VE input'!E175</f>
        <v>0.70399999999999996</v>
      </c>
      <c r="Q207" s="156">
        <f t="shared" si="107"/>
        <v>0.15</v>
      </c>
      <c r="R207" s="160" t="s">
        <v>578</v>
      </c>
      <c r="S207" s="162">
        <f t="shared" si="108"/>
        <v>4.8448000000000002</v>
      </c>
      <c r="T207" s="162">
        <f t="shared" si="109"/>
        <v>5.2485333333333335</v>
      </c>
      <c r="U207" s="70">
        <f ca="1">IF(Q207=0,N207,IF(R207="Beta",_xlfn.BETA.INV(U204,S207,T207),IF(R207="Lognormal",EXP(NORMINV(U204,S207,T207)),IF(R207="Gamma",_xlfn.GAMMA.INV(U204,S207,T207),IF(R207="Normal",_xlfn.NORM.INV(U204,S207,T207),0)))))</f>
        <v>0.5355198740470184</v>
      </c>
      <c r="AI207" s="31"/>
      <c r="AJ207" s="179"/>
    </row>
    <row r="208" spans="2:36" x14ac:dyDescent="0.3">
      <c r="B208" s="31" t="s">
        <v>8</v>
      </c>
      <c r="C208" s="177">
        <f>'VE input'!C149</f>
        <v>0</v>
      </c>
      <c r="D208" s="177">
        <f>'VE input'!D149</f>
        <v>0</v>
      </c>
      <c r="E208" s="177">
        <f>'VE input'!E149</f>
        <v>0</v>
      </c>
      <c r="F208" s="156">
        <f t="shared" si="104"/>
        <v>0</v>
      </c>
      <c r="G208" s="160" t="s">
        <v>578</v>
      </c>
      <c r="H208" s="162" t="e">
        <f t="shared" si="105"/>
        <v>#DIV/0!</v>
      </c>
      <c r="I208" s="162" t="e">
        <f t="shared" si="106"/>
        <v>#DIV/0!</v>
      </c>
      <c r="J208" s="70">
        <f>IF(F208=0,C208,IF(G208="Beta",_xlfn.BETA.INV(J204,H208,I208),IF(G208="Lognormal",EXP(NORMINV(J204,H208,I208)),IF(G208="Gamma",_xlfn.GAMMA.INV(J204,H208,I208),IF(G208="Normal",_xlfn.NORM.INV(J204,H208,I208),0)))))</f>
        <v>0</v>
      </c>
      <c r="M208" s="31" t="s">
        <v>8</v>
      </c>
      <c r="N208" s="458">
        <f>'VE input'!C176</f>
        <v>0</v>
      </c>
      <c r="O208" s="458">
        <f>'VE input'!D176</f>
        <v>0</v>
      </c>
      <c r="P208" s="458">
        <f>'VE input'!E176</f>
        <v>0</v>
      </c>
      <c r="Q208" s="156">
        <f t="shared" si="107"/>
        <v>0</v>
      </c>
      <c r="R208" s="160" t="s">
        <v>578</v>
      </c>
      <c r="S208" s="162" t="e">
        <f t="shared" si="108"/>
        <v>#DIV/0!</v>
      </c>
      <c r="T208" s="162" t="e">
        <f t="shared" si="109"/>
        <v>#DIV/0!</v>
      </c>
      <c r="U208" s="70">
        <f>IF(Q208=0,N208,IF(R208="Beta",_xlfn.BETA.INV(U204,S208,T208),IF(R208="Lognormal",EXP(NORMINV(U204,S208,T208)),IF(R208="Gamma",_xlfn.GAMMA.INV(U204,S208,T208),IF(R208="Normal",_xlfn.NORM.INV(U204,S208,T208),0)))))</f>
        <v>0</v>
      </c>
      <c r="AI208" s="31"/>
      <c r="AJ208" s="179"/>
    </row>
    <row r="209" spans="2:36" x14ac:dyDescent="0.3">
      <c r="B209" s="151" t="s">
        <v>920</v>
      </c>
      <c r="C209" s="162"/>
      <c r="D209" s="162"/>
      <c r="E209" s="162"/>
      <c r="F209" s="162"/>
      <c r="G209" s="162"/>
      <c r="H209" s="162"/>
      <c r="I209" s="162"/>
      <c r="J209" s="291">
        <f ca="1">RAND()</f>
        <v>0.57812720803677875</v>
      </c>
      <c r="M209" s="151" t="s">
        <v>920</v>
      </c>
      <c r="U209" s="291">
        <f ca="1">RAND()</f>
        <v>0.64230814636515154</v>
      </c>
      <c r="AI209" s="31"/>
      <c r="AJ209" s="179"/>
    </row>
    <row r="210" spans="2:36" x14ac:dyDescent="0.3">
      <c r="B210" s="31" t="s">
        <v>920</v>
      </c>
      <c r="C210" s="177">
        <f>'VE input'!C151</f>
        <v>0</v>
      </c>
      <c r="D210" s="177">
        <f>'VE input'!D151</f>
        <v>0</v>
      </c>
      <c r="E210" s="177">
        <f>'VE input'!E151</f>
        <v>0</v>
      </c>
      <c r="F210" s="156">
        <f t="shared" si="104"/>
        <v>0</v>
      </c>
      <c r="G210" s="160" t="s">
        <v>578</v>
      </c>
      <c r="H210" s="162" t="e">
        <f t="shared" si="105"/>
        <v>#DIV/0!</v>
      </c>
      <c r="I210" s="162" t="e">
        <f t="shared" si="106"/>
        <v>#DIV/0!</v>
      </c>
      <c r="J210" s="70">
        <f>IF(F210=0,C210,IF(G210="Beta",_xlfn.BETA.INV(J209,H210,I210),IF(G210="Lognormal",EXP(NORMINV(J209,H210,I210)),IF(G210="Gamma",_xlfn.GAMMA.INV(J209,H210,I210),IF(G210="Normal",_xlfn.NORM.INV(J209,H210,I210),0)))))</f>
        <v>0</v>
      </c>
      <c r="M210" s="31" t="s">
        <v>920</v>
      </c>
      <c r="N210" s="458">
        <f>'VE input'!C178</f>
        <v>0</v>
      </c>
      <c r="O210" s="458">
        <f>'VE input'!D178</f>
        <v>0</v>
      </c>
      <c r="P210" s="458">
        <f>'VE input'!E178</f>
        <v>0</v>
      </c>
      <c r="Q210" s="156">
        <f t="shared" si="107"/>
        <v>0</v>
      </c>
      <c r="R210" s="160" t="s">
        <v>578</v>
      </c>
      <c r="S210" s="162" t="e">
        <f t="shared" si="108"/>
        <v>#DIV/0!</v>
      </c>
      <c r="T210" s="162" t="e">
        <f t="shared" si="109"/>
        <v>#DIV/0!</v>
      </c>
      <c r="U210" s="70">
        <f>IF(Q210=0,N210,IF(R210="Beta",_xlfn.BETA.INV(U209,S210,T210),IF(R210="Lognormal",EXP(NORMINV(U209,S210,T210)),IF(R210="Gamma",_xlfn.GAMMA.INV(U209,S210,T210),IF(R210="Normal",_xlfn.NORM.INV(U209,S210,T210),0)))))</f>
        <v>0</v>
      </c>
      <c r="AI210" s="31"/>
      <c r="AJ210" s="179"/>
    </row>
    <row r="211" spans="2:36" x14ac:dyDescent="0.3">
      <c r="B211" s="31" t="s">
        <v>980</v>
      </c>
      <c r="C211" s="177">
        <f>'VE input'!C152</f>
        <v>0</v>
      </c>
      <c r="D211" s="177">
        <f>'VE input'!D152</f>
        <v>0</v>
      </c>
      <c r="E211" s="177">
        <f>'VE input'!E152</f>
        <v>0</v>
      </c>
      <c r="F211" s="156">
        <f t="shared" si="104"/>
        <v>0</v>
      </c>
      <c r="G211" s="160" t="s">
        <v>578</v>
      </c>
      <c r="H211" s="162" t="e">
        <f t="shared" si="105"/>
        <v>#DIV/0!</v>
      </c>
      <c r="I211" s="162" t="e">
        <f t="shared" si="106"/>
        <v>#DIV/0!</v>
      </c>
      <c r="J211" s="70">
        <f>IF(F211=0,C211,IF(G211="Beta",_xlfn.BETA.INV(J209,H211,I211),IF(G211="Lognormal",EXP(NORMINV(J209,H211,I211)),IF(G211="Gamma",_xlfn.GAMMA.INV(J209,H211,I211),IF(G211="Normal",_xlfn.NORM.INV(J209,H211,I211),0)))))</f>
        <v>0</v>
      </c>
      <c r="M211" s="31" t="s">
        <v>980</v>
      </c>
      <c r="N211" s="458">
        <f>'VE input'!C179</f>
        <v>0</v>
      </c>
      <c r="O211" s="458">
        <f>'VE input'!D179</f>
        <v>0</v>
      </c>
      <c r="P211" s="458">
        <f>'VE input'!E179</f>
        <v>0</v>
      </c>
      <c r="Q211" s="156">
        <f t="shared" si="107"/>
        <v>0</v>
      </c>
      <c r="R211" s="160" t="s">
        <v>578</v>
      </c>
      <c r="S211" s="162" t="e">
        <f t="shared" si="108"/>
        <v>#DIV/0!</v>
      </c>
      <c r="T211" s="162" t="e">
        <f t="shared" si="109"/>
        <v>#DIV/0!</v>
      </c>
      <c r="U211" s="70">
        <f>IF(Q211=0,N211,IF(R211="Beta",_xlfn.BETA.INV(U209,S211,T211),IF(R211="Lognormal",EXP(NORMINV(U209,S211,T211)),IF(R211="Gamma",_xlfn.GAMMA.INV(U209,S211,T211),IF(R211="Normal",_xlfn.NORM.INV(U209,S211,T211),0)))))</f>
        <v>0</v>
      </c>
      <c r="AI211" s="31"/>
      <c r="AJ211" s="179"/>
    </row>
    <row r="212" spans="2:36" x14ac:dyDescent="0.3">
      <c r="AI212" s="31"/>
      <c r="AJ212" s="179"/>
    </row>
    <row r="213" spans="2:36" ht="15" customHeight="1" x14ac:dyDescent="0.3">
      <c r="B213" s="176" t="s">
        <v>552</v>
      </c>
      <c r="C213" s="165"/>
      <c r="D213" s="165"/>
      <c r="E213" s="165"/>
      <c r="F213" s="165"/>
      <c r="G213" s="165"/>
      <c r="H213" s="292"/>
      <c r="I213" s="292"/>
      <c r="J213" s="292"/>
      <c r="M213" s="176" t="s">
        <v>553</v>
      </c>
      <c r="N213" s="165"/>
      <c r="O213" s="165"/>
      <c r="P213" s="165"/>
      <c r="Q213" s="165"/>
      <c r="R213" s="165"/>
      <c r="S213" s="796"/>
      <c r="T213" s="796"/>
      <c r="U213" s="796"/>
    </row>
    <row r="214" spans="2:36" s="296" customFormat="1" ht="15" customHeight="1" x14ac:dyDescent="0.3">
      <c r="B214" s="294" t="s">
        <v>1448</v>
      </c>
      <c r="C214" s="305"/>
      <c r="D214" s="305"/>
      <c r="E214" s="305"/>
      <c r="F214" s="305"/>
      <c r="G214" s="305"/>
      <c r="M214" s="294" t="s">
        <v>1448</v>
      </c>
      <c r="N214" s="305"/>
      <c r="O214" s="305"/>
      <c r="P214" s="305"/>
      <c r="Q214" s="305"/>
      <c r="R214" s="305"/>
    </row>
    <row r="215" spans="2:36" s="296" customFormat="1" ht="15" customHeight="1" x14ac:dyDescent="0.3">
      <c r="B215" s="17" t="s">
        <v>950</v>
      </c>
      <c r="C215" s="152" t="s">
        <v>1477</v>
      </c>
      <c r="D215" s="152" t="s">
        <v>985</v>
      </c>
      <c r="E215" s="152" t="s">
        <v>986</v>
      </c>
      <c r="F215" s="73" t="s">
        <v>584</v>
      </c>
      <c r="G215" s="73" t="s">
        <v>569</v>
      </c>
      <c r="H215" s="73" t="s">
        <v>581</v>
      </c>
      <c r="I215" s="73" t="s">
        <v>582</v>
      </c>
      <c r="J215" s="73" t="s">
        <v>583</v>
      </c>
      <c r="M215" s="17" t="s">
        <v>950</v>
      </c>
      <c r="N215" s="152" t="s">
        <v>1477</v>
      </c>
      <c r="O215" s="152" t="s">
        <v>985</v>
      </c>
      <c r="P215" s="152" t="s">
        <v>986</v>
      </c>
      <c r="Q215" s="73" t="s">
        <v>584</v>
      </c>
      <c r="R215" s="73" t="s">
        <v>569</v>
      </c>
      <c r="S215" s="73" t="s">
        <v>581</v>
      </c>
      <c r="T215" s="73" t="s">
        <v>582</v>
      </c>
      <c r="U215" s="73" t="s">
        <v>583</v>
      </c>
    </row>
    <row r="216" spans="2:36" s="296" customFormat="1" ht="15" customHeight="1" x14ac:dyDescent="0.3">
      <c r="B216" s="315" t="s">
        <v>1445</v>
      </c>
      <c r="C216" s="306"/>
      <c r="D216" s="306"/>
      <c r="F216"/>
      <c r="G216"/>
      <c r="H216"/>
      <c r="I216"/>
      <c r="J216" s="291">
        <f ca="1">RAND()</f>
        <v>0.99241382274231149</v>
      </c>
      <c r="M216" s="315" t="s">
        <v>1445</v>
      </c>
      <c r="N216" s="306"/>
      <c r="O216" s="306"/>
      <c r="Q216"/>
      <c r="R216"/>
      <c r="S216"/>
      <c r="T216"/>
      <c r="U216" s="291">
        <f ca="1">RAND()</f>
        <v>0.60199111480988288</v>
      </c>
    </row>
    <row r="217" spans="2:36" s="296" customFormat="1" ht="15" customHeight="1" x14ac:dyDescent="0.3">
      <c r="B217" s="313" t="s">
        <v>2</v>
      </c>
      <c r="C217" s="700">
        <f>'VE input'!C187/'Input summary'!$C$167</f>
        <v>0.12</v>
      </c>
      <c r="D217" s="700">
        <f>'VE input'!D187/'Input summary'!$C$167</f>
        <v>0.06</v>
      </c>
      <c r="E217" s="700">
        <f>'VE input'!E187/'Input summary'!$C$167</f>
        <v>0.18</v>
      </c>
      <c r="F217" s="702">
        <f>(E217-D217)/(2*1.96)</f>
        <v>3.0612244897959183E-2</v>
      </c>
      <c r="G217" s="160" t="s">
        <v>578</v>
      </c>
      <c r="H217" s="162">
        <f t="shared" ref="H217:H223" si="122">IF(G217="Beta",C217*(C217*(1-C217)/(F217^2)-1),IF(G217="Lognormal",LN(C217^2/SQRT(F217^2+C217^2)),IF(G217="Gamma",C217^2/F217^2,IF(G217="Normal",C217,0))))</f>
        <v>13.402432000000001</v>
      </c>
      <c r="I217" s="162">
        <f t="shared" ref="I217:I223" si="123">IF(G217="Beta",C217*(1-C217)/(F217^2)-1-H217,IF(G217="Lognormal",SQRT(LN(1+F217^2/C217^2)),IF(G217="Gamma",F217^2/C217,IF(G217="Normal",F217,0))))</f>
        <v>98.284501333333338</v>
      </c>
      <c r="J217" s="70">
        <f ca="1">IF(F217=0,C217,IF(G217="Beta",_xlfn.BETA.INV(J216,H217,I217),IF(G217="Lognormal",EXP(NORMINV(J216,H217,I217)),IF(G217="Gamma",_xlfn.GAMMA.INV(J216,H217,I217),IF(G217="Normal",_xlfn.NORM.INV(J216,H217,I217),0)))))</f>
        <v>0.20474477904165322</v>
      </c>
      <c r="K217">
        <f>(E217+D217)/2</f>
        <v>0.12</v>
      </c>
      <c r="M217" s="313" t="s">
        <v>2</v>
      </c>
      <c r="N217" s="700">
        <f>'VE input'!C242/'Input summary'!$C$167</f>
        <v>0.12</v>
      </c>
      <c r="O217" s="700">
        <f>'VE input'!D242/'Input summary'!$C$167</f>
        <v>0.06</v>
      </c>
      <c r="P217" s="700">
        <f>'VE input'!E242/'Input summary'!$C$167</f>
        <v>0.18</v>
      </c>
      <c r="Q217" s="702">
        <f>(P217-O217)/(2*1.96)</f>
        <v>3.0612244897959183E-2</v>
      </c>
      <c r="R217" s="160" t="s">
        <v>578</v>
      </c>
      <c r="S217" s="162">
        <f t="shared" ref="S217:S223" si="124">IF(R217="Beta",N217*(N217*(1-N217)/(Q217^2)-1),IF(R217="Lognormal",LN(N217^2/SQRT(Q217^2+N217^2)),IF(R217="Gamma",N217^2/Q217^2,IF(R217="Normal",N217,0))))</f>
        <v>13.402432000000001</v>
      </c>
      <c r="T217" s="162">
        <f t="shared" ref="T217:T223" si="125">IF(R217="Beta",N217*(1-N217)/(Q217^2)-1-S217,IF(R217="Lognormal",SQRT(LN(1+Q217^2/N217^2)),IF(R217="Gamma",Q217^2/N217,IF(R217="Normal",Q217,0))))</f>
        <v>98.284501333333338</v>
      </c>
      <c r="U217" s="70">
        <f ca="1">IF(Q217=0,N217,IF(R217="Beta",_xlfn.BETA.INV(U216,S217,T217),IF(R217="Lognormal",EXP(NORMINV(U216,S217,T217)),IF(R217="Gamma",_xlfn.GAMMA.INV(U216,S217,T217),IF(R217="Normal",_xlfn.NORM.INV(U216,S217,T217),0)))))</f>
        <v>0.1257730225575997</v>
      </c>
      <c r="V217">
        <f>(P217+O217)/2</f>
        <v>0.12</v>
      </c>
    </row>
    <row r="218" spans="2:36" s="296" customFormat="1" ht="15" customHeight="1" x14ac:dyDescent="0.3">
      <c r="B218" s="313" t="s">
        <v>3</v>
      </c>
      <c r="C218" s="700">
        <f>'VE input'!C188/'Input summary'!$C$167</f>
        <v>0.12</v>
      </c>
      <c r="D218" s="700">
        <f>'VE input'!D188/'Input summary'!$C$167</f>
        <v>0.06</v>
      </c>
      <c r="E218" s="700">
        <f>'VE input'!E188/'Input summary'!$C$167</f>
        <v>0.18</v>
      </c>
      <c r="F218" s="702">
        <f t="shared" ref="F218:F223" si="126">(E218-D218)/(2*1.96)</f>
        <v>3.0612244897959183E-2</v>
      </c>
      <c r="G218" s="160" t="s">
        <v>578</v>
      </c>
      <c r="H218" s="162">
        <f t="shared" si="122"/>
        <v>13.402432000000001</v>
      </c>
      <c r="I218" s="162">
        <f t="shared" si="123"/>
        <v>98.284501333333338</v>
      </c>
      <c r="J218" s="70">
        <f ca="1">IF(F218=0,C218,IF(G218="Beta",_xlfn.BETA.INV(J216,H218,I218),IF(G218="Lognormal",EXP(NORMINV(J216,H218,I218)),IF(G218="Gamma",_xlfn.GAMMA.INV(J216,H218,I218),IF(G218="Normal",_xlfn.NORM.INV(J216,H218,I218),0)))))</f>
        <v>0.20474477904165322</v>
      </c>
      <c r="M218" s="313" t="s">
        <v>3</v>
      </c>
      <c r="N218" s="700">
        <f>'VE input'!C243/'Input summary'!$C$167</f>
        <v>0.12</v>
      </c>
      <c r="O218" s="700">
        <f>'VE input'!D243/'Input summary'!$C$167</f>
        <v>0.06</v>
      </c>
      <c r="P218" s="700">
        <f>'VE input'!E243/'Input summary'!$C$167</f>
        <v>0.18</v>
      </c>
      <c r="Q218" s="702">
        <f t="shared" ref="Q218:Q223" si="127">(P218-O218)/(2*1.96)</f>
        <v>3.0612244897959183E-2</v>
      </c>
      <c r="R218" s="160" t="s">
        <v>578</v>
      </c>
      <c r="S218" s="162">
        <f t="shared" si="124"/>
        <v>13.402432000000001</v>
      </c>
      <c r="T218" s="162">
        <f t="shared" si="125"/>
        <v>98.284501333333338</v>
      </c>
      <c r="U218" s="70">
        <f ca="1">IF(Q218=0,N218,IF(R218="Beta",_xlfn.BETA.INV(U216,S218,T218),IF(R218="Lognormal",EXP(NORMINV(U216,S218,T218)),IF(R218="Gamma",_xlfn.GAMMA.INV(U216,S218,T218),IF(R218="Normal",_xlfn.NORM.INV(U216,S218,T218),0)))))</f>
        <v>0.1257730225575997</v>
      </c>
    </row>
    <row r="219" spans="2:36" s="296" customFormat="1" ht="15" customHeight="1" x14ac:dyDescent="0.3">
      <c r="B219" s="313" t="s">
        <v>4</v>
      </c>
      <c r="C219" s="700">
        <f>'VE input'!C189/'Input summary'!$C$167</f>
        <v>0.12</v>
      </c>
      <c r="D219" s="700">
        <f>'VE input'!D189/'Input summary'!$C$167</f>
        <v>0.06</v>
      </c>
      <c r="E219" s="700">
        <f>'VE input'!E189/'Input summary'!$C$167</f>
        <v>0.18</v>
      </c>
      <c r="F219" s="702">
        <f t="shared" si="126"/>
        <v>3.0612244897959183E-2</v>
      </c>
      <c r="G219" s="160" t="s">
        <v>578</v>
      </c>
      <c r="H219" s="162">
        <f t="shared" si="122"/>
        <v>13.402432000000001</v>
      </c>
      <c r="I219" s="162">
        <f t="shared" si="123"/>
        <v>98.284501333333338</v>
      </c>
      <c r="J219" s="70">
        <f ca="1">IF(F219=0,C219,IF(G219="Beta",_xlfn.BETA.INV(J216,H219,I219),IF(G219="Lognormal",EXP(NORMINV(J216,H219,I219)),IF(G219="Gamma",_xlfn.GAMMA.INV(J216,H219,I219),IF(G219="Normal",_xlfn.NORM.INV(J216,H219,I219),0)))))</f>
        <v>0.20474477904165322</v>
      </c>
      <c r="M219" s="313" t="s">
        <v>4</v>
      </c>
      <c r="N219" s="700">
        <f>'VE input'!C244/'Input summary'!$C$167</f>
        <v>0.12</v>
      </c>
      <c r="O219" s="700">
        <f>'VE input'!D244/'Input summary'!$C$167</f>
        <v>0.06</v>
      </c>
      <c r="P219" s="700">
        <f>'VE input'!E244/'Input summary'!$C$167</f>
        <v>0.18</v>
      </c>
      <c r="Q219" s="702">
        <f t="shared" si="127"/>
        <v>3.0612244897959183E-2</v>
      </c>
      <c r="R219" s="160" t="s">
        <v>578</v>
      </c>
      <c r="S219" s="162">
        <f t="shared" si="124"/>
        <v>13.402432000000001</v>
      </c>
      <c r="T219" s="162">
        <f t="shared" si="125"/>
        <v>98.284501333333338</v>
      </c>
      <c r="U219" s="70">
        <f ca="1">IF(Q219=0,N219,IF(R219="Beta",_xlfn.BETA.INV(U216,S219,T219),IF(R219="Lognormal",EXP(NORMINV(U216,S219,T219)),IF(R219="Gamma",_xlfn.GAMMA.INV(U216,S219,T219),IF(R219="Normal",_xlfn.NORM.INV(U216,S219,T219),0)))))</f>
        <v>0.1257730225575997</v>
      </c>
    </row>
    <row r="220" spans="2:36" s="296" customFormat="1" ht="15" customHeight="1" x14ac:dyDescent="0.3">
      <c r="B220" s="313" t="s">
        <v>5</v>
      </c>
      <c r="C220" s="700">
        <f>'VE input'!C190/'Input summary'!$C$167</f>
        <v>0.12</v>
      </c>
      <c r="D220" s="700">
        <f>'VE input'!D190/'Input summary'!$C$167</f>
        <v>0.06</v>
      </c>
      <c r="E220" s="700">
        <f>'VE input'!E190/'Input summary'!$C$167</f>
        <v>0.18</v>
      </c>
      <c r="F220" s="702">
        <f t="shared" si="126"/>
        <v>3.0612244897959183E-2</v>
      </c>
      <c r="G220" s="160" t="s">
        <v>578</v>
      </c>
      <c r="H220" s="162">
        <f t="shared" si="122"/>
        <v>13.402432000000001</v>
      </c>
      <c r="I220" s="162">
        <f t="shared" si="123"/>
        <v>98.284501333333338</v>
      </c>
      <c r="J220" s="70">
        <f ca="1">IF(F220=0,C220,IF(G220="Beta",_xlfn.BETA.INV(J216,H220,I220),IF(G220="Lognormal",EXP(NORMINV(J216,H220,I220)),IF(G220="Gamma",_xlfn.GAMMA.INV(J216,H220,I220),IF(G220="Normal",_xlfn.NORM.INV(J216,H220,I220),0)))))</f>
        <v>0.20474477904165322</v>
      </c>
      <c r="M220" s="313" t="s">
        <v>5</v>
      </c>
      <c r="N220" s="700">
        <f>'VE input'!C245/'Input summary'!$C$167</f>
        <v>0.12</v>
      </c>
      <c r="O220" s="700">
        <f>'VE input'!D245/'Input summary'!$C$167</f>
        <v>0.06</v>
      </c>
      <c r="P220" s="700">
        <f>'VE input'!E245/'Input summary'!$C$167</f>
        <v>0.18</v>
      </c>
      <c r="Q220" s="702">
        <f t="shared" si="127"/>
        <v>3.0612244897959183E-2</v>
      </c>
      <c r="R220" s="160" t="s">
        <v>578</v>
      </c>
      <c r="S220" s="162">
        <f t="shared" si="124"/>
        <v>13.402432000000001</v>
      </c>
      <c r="T220" s="162">
        <f t="shared" si="125"/>
        <v>98.284501333333338</v>
      </c>
      <c r="U220" s="70">
        <f ca="1">IF(Q220=0,N220,IF(R220="Beta",_xlfn.BETA.INV(U216,S220,T220),IF(R220="Lognormal",EXP(NORMINV(U216,S220,T220)),IF(R220="Gamma",_xlfn.GAMMA.INV(U216,S220,T220),IF(R220="Normal",_xlfn.NORM.INV(U216,S220,T220),0)))))</f>
        <v>0.1257730225575997</v>
      </c>
    </row>
    <row r="221" spans="2:36" s="296" customFormat="1" ht="15" customHeight="1" x14ac:dyDescent="0.3">
      <c r="B221" s="313" t="s">
        <v>6</v>
      </c>
      <c r="C221" s="700">
        <f>'VE input'!C191/'Input summary'!$C$167</f>
        <v>0.12</v>
      </c>
      <c r="D221" s="700">
        <f>'VE input'!D191/'Input summary'!$C$167</f>
        <v>0.06</v>
      </c>
      <c r="E221" s="700">
        <f>'VE input'!E191/'Input summary'!$C$167</f>
        <v>0.18</v>
      </c>
      <c r="F221" s="702">
        <f t="shared" si="126"/>
        <v>3.0612244897959183E-2</v>
      </c>
      <c r="G221" s="160" t="s">
        <v>578</v>
      </c>
      <c r="H221" s="162">
        <f t="shared" si="122"/>
        <v>13.402432000000001</v>
      </c>
      <c r="I221" s="162">
        <f t="shared" si="123"/>
        <v>98.284501333333338</v>
      </c>
      <c r="J221" s="70">
        <f ca="1">IF(F221=0,C221,IF(G221="Beta",_xlfn.BETA.INV(J216,H221,I221),IF(G221="Lognormal",EXP(NORMINV(J216,H221,I221)),IF(G221="Gamma",_xlfn.GAMMA.INV(J216,H221,I221),IF(G221="Normal",_xlfn.NORM.INV(J216,H221,I221),0)))))</f>
        <v>0.20474477904165322</v>
      </c>
      <c r="M221" s="313" t="s">
        <v>6</v>
      </c>
      <c r="N221" s="700">
        <f>'VE input'!C246/'Input summary'!$C$167</f>
        <v>0.12</v>
      </c>
      <c r="O221" s="700">
        <f>'VE input'!D246/'Input summary'!$C$167</f>
        <v>0.06</v>
      </c>
      <c r="P221" s="700">
        <f>'VE input'!E246/'Input summary'!$C$167</f>
        <v>0.18</v>
      </c>
      <c r="Q221" s="702">
        <f t="shared" si="127"/>
        <v>3.0612244897959183E-2</v>
      </c>
      <c r="R221" s="160" t="s">
        <v>578</v>
      </c>
      <c r="S221" s="162">
        <f t="shared" si="124"/>
        <v>13.402432000000001</v>
      </c>
      <c r="T221" s="162">
        <f t="shared" si="125"/>
        <v>98.284501333333338</v>
      </c>
      <c r="U221" s="70">
        <f ca="1">IF(Q221=0,N221,IF(R221="Beta",_xlfn.BETA.INV(U216,S221,T221),IF(R221="Lognormal",EXP(NORMINV(U216,S221,T221)),IF(R221="Gamma",_xlfn.GAMMA.INV(U216,S221,T221),IF(R221="Normal",_xlfn.NORM.INV(U216,S221,T221),0)))))</f>
        <v>0.1257730225575997</v>
      </c>
    </row>
    <row r="222" spans="2:36" s="296" customFormat="1" ht="15" customHeight="1" x14ac:dyDescent="0.3">
      <c r="B222" s="313" t="s">
        <v>7</v>
      </c>
      <c r="C222" s="700">
        <f>'VE input'!C192/'Input summary'!$C$167</f>
        <v>0.12</v>
      </c>
      <c r="D222" s="700">
        <f>'VE input'!D192/'Input summary'!$C$167</f>
        <v>0.06</v>
      </c>
      <c r="E222" s="700">
        <f>'VE input'!E192/'Input summary'!$C$167</f>
        <v>0.18</v>
      </c>
      <c r="F222" s="702">
        <f t="shared" si="126"/>
        <v>3.0612244897959183E-2</v>
      </c>
      <c r="G222" s="160" t="s">
        <v>578</v>
      </c>
      <c r="H222" s="162">
        <f t="shared" si="122"/>
        <v>13.402432000000001</v>
      </c>
      <c r="I222" s="162">
        <f t="shared" si="123"/>
        <v>98.284501333333338</v>
      </c>
      <c r="J222" s="70">
        <f ca="1">IF(F222=0,C222,IF(G222="Beta",_xlfn.BETA.INV(J216,H222,I222),IF(G222="Lognormal",EXP(NORMINV(J216,H222,I222)),IF(G222="Gamma",_xlfn.GAMMA.INV(J216,H222,I222),IF(G222="Normal",_xlfn.NORM.INV(J216,H222,I222),0)))))</f>
        <v>0.20474477904165322</v>
      </c>
      <c r="M222" s="313" t="s">
        <v>7</v>
      </c>
      <c r="N222" s="700">
        <f>'VE input'!C247/'Input summary'!$C$167</f>
        <v>0.12</v>
      </c>
      <c r="O222" s="700">
        <f>'VE input'!D247/'Input summary'!$C$167</f>
        <v>0.06</v>
      </c>
      <c r="P222" s="700">
        <f>'VE input'!E247/'Input summary'!$C$167</f>
        <v>0.18</v>
      </c>
      <c r="Q222" s="702">
        <f t="shared" si="127"/>
        <v>3.0612244897959183E-2</v>
      </c>
      <c r="R222" s="160" t="s">
        <v>578</v>
      </c>
      <c r="S222" s="162">
        <f t="shared" si="124"/>
        <v>13.402432000000001</v>
      </c>
      <c r="T222" s="162">
        <f t="shared" si="125"/>
        <v>98.284501333333338</v>
      </c>
      <c r="U222" s="70">
        <f ca="1">IF(Q222=0,N222,IF(R222="Beta",_xlfn.BETA.INV(U216,S222,T222),IF(R222="Lognormal",EXP(NORMINV(U216,S222,T222)),IF(R222="Gamma",_xlfn.GAMMA.INV(U216,S222,T222),IF(R222="Normal",_xlfn.NORM.INV(U216,S222,T222),0)))))</f>
        <v>0.1257730225575997</v>
      </c>
    </row>
    <row r="223" spans="2:36" s="296" customFormat="1" ht="15" customHeight="1" x14ac:dyDescent="0.3">
      <c r="B223" s="313" t="s">
        <v>11</v>
      </c>
      <c r="C223" s="700">
        <f>'VE input'!C193/'Input summary'!$C$167</f>
        <v>0.12</v>
      </c>
      <c r="D223" s="700">
        <f>'VE input'!D193/'Input summary'!$C$167</f>
        <v>0.06</v>
      </c>
      <c r="E223" s="700">
        <f>'VE input'!E193/'Input summary'!$C$167</f>
        <v>0.18</v>
      </c>
      <c r="F223" s="702">
        <f t="shared" si="126"/>
        <v>3.0612244897959183E-2</v>
      </c>
      <c r="G223" s="160" t="s">
        <v>578</v>
      </c>
      <c r="H223" s="162">
        <f t="shared" si="122"/>
        <v>13.402432000000001</v>
      </c>
      <c r="I223" s="162">
        <f t="shared" si="123"/>
        <v>98.284501333333338</v>
      </c>
      <c r="J223" s="70">
        <f ca="1">IF(F223=0,C223,IF(G223="Beta",_xlfn.BETA.INV(J216,H223,I223),IF(G223="Lognormal",EXP(NORMINV(J216,H223,I223)),IF(G223="Gamma",_xlfn.GAMMA.INV(J216,H223,I223),IF(G223="Normal",_xlfn.NORM.INV(J216,H223,I223),0)))))</f>
        <v>0.20474477904165322</v>
      </c>
      <c r="M223" s="313" t="s">
        <v>11</v>
      </c>
      <c r="N223" s="700">
        <f>'VE input'!C248/'Input summary'!$C$167</f>
        <v>0.12</v>
      </c>
      <c r="O223" s="700">
        <f>'VE input'!D248/'Input summary'!$C$167</f>
        <v>0.06</v>
      </c>
      <c r="P223" s="700">
        <f>'VE input'!E248/'Input summary'!$C$167</f>
        <v>0.18</v>
      </c>
      <c r="Q223" s="702">
        <f t="shared" si="127"/>
        <v>3.0612244897959183E-2</v>
      </c>
      <c r="R223" s="160" t="s">
        <v>578</v>
      </c>
      <c r="S223" s="162">
        <f t="shared" si="124"/>
        <v>13.402432000000001</v>
      </c>
      <c r="T223" s="162">
        <f t="shared" si="125"/>
        <v>98.284501333333338</v>
      </c>
      <c r="U223" s="70">
        <f ca="1">IF(Q223=0,N223,IF(R223="Beta",_xlfn.BETA.INV(U216,S223,T223),IF(R223="Lognormal",EXP(NORMINV(U216,S223,T223)),IF(R223="Gamma",_xlfn.GAMMA.INV(U216,S223,T223),IF(R223="Normal",_xlfn.NORM.INV(U216,S223,T223),0)))))</f>
        <v>0.1257730225575997</v>
      </c>
    </row>
    <row r="224" spans="2:36" s="296" customFormat="1" x14ac:dyDescent="0.3">
      <c r="B224" s="315" t="s">
        <v>1444</v>
      </c>
      <c r="C224" s="701"/>
      <c r="D224" s="701"/>
      <c r="E224" s="701"/>
      <c r="F224" s="703"/>
      <c r="G224"/>
      <c r="H224" s="141"/>
      <c r="I224" s="141"/>
      <c r="J224" s="291">
        <f ca="1">RAND()</f>
        <v>0.78409086666162064</v>
      </c>
      <c r="M224" s="315" t="s">
        <v>1444</v>
      </c>
      <c r="N224" s="701">
        <f>'VE input'!C249/'Input summary'!$C$167</f>
        <v>0</v>
      </c>
      <c r="O224" s="701">
        <f>'VE input'!D249/'Input summary'!$C$167</f>
        <v>0</v>
      </c>
      <c r="P224" s="701">
        <f>'VE input'!E249/'Input summary'!$C$167</f>
        <v>0</v>
      </c>
      <c r="Q224" s="703"/>
      <c r="R224"/>
      <c r="S224" s="141"/>
      <c r="T224" s="141"/>
      <c r="U224" s="291">
        <f ca="1">RAND()</f>
        <v>0.18217276795034032</v>
      </c>
    </row>
    <row r="225" spans="2:21" s="296" customFormat="1" x14ac:dyDescent="0.3">
      <c r="B225" s="313" t="s">
        <v>2</v>
      </c>
      <c r="C225" s="700">
        <f>'VE input'!C195/'Input summary'!$C$167</f>
        <v>0.12</v>
      </c>
      <c r="D225" s="700">
        <f>'VE input'!D195/'Input summary'!$C$167</f>
        <v>0.06</v>
      </c>
      <c r="E225" s="700">
        <f>'VE input'!E195/'Input summary'!$C$167</f>
        <v>0.18</v>
      </c>
      <c r="F225" s="702">
        <f>(E225-D225)/(2*1.96)</f>
        <v>3.0612244897959183E-2</v>
      </c>
      <c r="G225" s="160" t="s">
        <v>578</v>
      </c>
      <c r="H225" s="162">
        <f t="shared" ref="H225:H231" si="128">IF(G225="Beta",C225*(C225*(1-C225)/(F225^2)-1),IF(G225="Lognormal",LN(C225^2/SQRT(F225^2+C225^2)),IF(G225="Gamma",C225^2/F225^2,IF(G225="Normal",C225,0))))</f>
        <v>13.402432000000001</v>
      </c>
      <c r="I225" s="162">
        <f t="shared" ref="I225:I231" si="129">IF(G225="Beta",C225*(1-C225)/(F225^2)-1-H225,IF(G225="Lognormal",SQRT(LN(1+F225^2/C225^2)),IF(G225="Gamma",F225^2/C225,IF(G225="Normal",F225,0))))</f>
        <v>98.284501333333338</v>
      </c>
      <c r="J225" s="70">
        <f ca="1">IF(F225=0,C225,IF(G225="Beta",_xlfn.BETA.INV(J224,H225,I225),IF(G225="Lognormal",EXP(NORMINV(J224,H225,I225)),IF(G225="Gamma",_xlfn.GAMMA.INV(J224,H225,I225),IF(G225="Normal",_xlfn.NORM.INV(J224,H225,I225),0)))))</f>
        <v>0.14312361795657047</v>
      </c>
      <c r="M225" s="313" t="s">
        <v>2</v>
      </c>
      <c r="N225" s="700">
        <f>'VE input'!C250/'Input summary'!$C$167</f>
        <v>0.12</v>
      </c>
      <c r="O225" s="700">
        <f>'VE input'!D250/'Input summary'!$C$167</f>
        <v>0.06</v>
      </c>
      <c r="P225" s="700">
        <f>'VE input'!E250/'Input summary'!$C$167</f>
        <v>0.18</v>
      </c>
      <c r="Q225" s="702">
        <f>(P225-O225)/(2*1.96)</f>
        <v>3.0612244897959183E-2</v>
      </c>
      <c r="R225" s="160" t="s">
        <v>578</v>
      </c>
      <c r="S225" s="162">
        <f t="shared" ref="S225:S231" si="130">IF(R225="Beta",N225*(N225*(1-N225)/(Q225^2)-1),IF(R225="Lognormal",LN(N225^2/SQRT(Q225^2+N225^2)),IF(R225="Gamma",N225^2/Q225^2,IF(R225="Normal",N225,0))))</f>
        <v>13.402432000000001</v>
      </c>
      <c r="T225" s="162">
        <f t="shared" ref="T225:T231" si="131">IF(R225="Beta",N225*(1-N225)/(Q225^2)-1-S225,IF(R225="Lognormal",SQRT(LN(1+Q225^2/N225^2)),IF(R225="Gamma",Q225^2/N225,IF(R225="Normal",Q225,0))))</f>
        <v>98.284501333333338</v>
      </c>
      <c r="U225" s="70">
        <f ca="1">IF(Q225=0,N225,IF(R225="Beta",_xlfn.BETA.INV(U224,S225,T225),IF(R225="Lognormal",EXP(NORMINV(U224,S225,T225)),IF(R225="Gamma",_xlfn.GAMMA.INV(U224,S225,T225),IF(R225="Normal",_xlfn.NORM.INV(U224,S225,T225),0)))))</f>
        <v>9.194396574773922E-2</v>
      </c>
    </row>
    <row r="226" spans="2:21" s="296" customFormat="1" x14ac:dyDescent="0.3">
      <c r="B226" s="313" t="s">
        <v>3</v>
      </c>
      <c r="C226" s="700">
        <f>'VE input'!C196/'Input summary'!$C$167</f>
        <v>0.12</v>
      </c>
      <c r="D226" s="700">
        <f>'VE input'!D196/'Input summary'!$C$167</f>
        <v>0.06</v>
      </c>
      <c r="E226" s="700">
        <f>'VE input'!E196/'Input summary'!$C$167</f>
        <v>0.18</v>
      </c>
      <c r="F226" s="702">
        <f t="shared" ref="F226:F231" si="132">(E226-D226)/(2*1.96)</f>
        <v>3.0612244897959183E-2</v>
      </c>
      <c r="G226" s="160" t="s">
        <v>578</v>
      </c>
      <c r="H226" s="162">
        <f t="shared" si="128"/>
        <v>13.402432000000001</v>
      </c>
      <c r="I226" s="162">
        <f t="shared" si="129"/>
        <v>98.284501333333338</v>
      </c>
      <c r="J226" s="70">
        <f ca="1">IF(F226=0,C226,IF(G226="Beta",_xlfn.BETA.INV(J224,H226,I226),IF(G226="Lognormal",EXP(NORMINV(J224,H226,I226)),IF(G226="Gamma",_xlfn.GAMMA.INV(J224,H226,I226),IF(G226="Normal",_xlfn.NORM.INV(J224,H226,I226),0)))))</f>
        <v>0.14312361795657047</v>
      </c>
      <c r="M226" s="313" t="s">
        <v>3</v>
      </c>
      <c r="N226" s="700">
        <f>'VE input'!C251/'Input summary'!$C$167</f>
        <v>0.12</v>
      </c>
      <c r="O226" s="700">
        <f>'VE input'!D251/'Input summary'!$C$167</f>
        <v>0.06</v>
      </c>
      <c r="P226" s="700">
        <f>'VE input'!E251/'Input summary'!$C$167</f>
        <v>0.18</v>
      </c>
      <c r="Q226" s="702">
        <f t="shared" ref="Q226:Q231" si="133">(P226-O226)/(2*1.96)</f>
        <v>3.0612244897959183E-2</v>
      </c>
      <c r="R226" s="160" t="s">
        <v>578</v>
      </c>
      <c r="S226" s="162">
        <f t="shared" si="130"/>
        <v>13.402432000000001</v>
      </c>
      <c r="T226" s="162">
        <f t="shared" si="131"/>
        <v>98.284501333333338</v>
      </c>
      <c r="U226" s="70">
        <f ca="1">IF(Q226=0,N226,IF(R226="Beta",_xlfn.BETA.INV(U224,S226,T226),IF(R226="Lognormal",EXP(NORMINV(U224,S226,T226)),IF(R226="Gamma",_xlfn.GAMMA.INV(U224,S226,T226),IF(R226="Normal",_xlfn.NORM.INV(U224,S226,T226),0)))))</f>
        <v>9.194396574773922E-2</v>
      </c>
    </row>
    <row r="227" spans="2:21" s="296" customFormat="1" x14ac:dyDescent="0.3">
      <c r="B227" s="313" t="s">
        <v>4</v>
      </c>
      <c r="C227" s="700">
        <f>'VE input'!C197/'Input summary'!$C$167</f>
        <v>0.12</v>
      </c>
      <c r="D227" s="700">
        <f>'VE input'!D197/'Input summary'!$C$167</f>
        <v>0.06</v>
      </c>
      <c r="E227" s="700">
        <f>'VE input'!E197/'Input summary'!$C$167</f>
        <v>0.18</v>
      </c>
      <c r="F227" s="702">
        <f t="shared" si="132"/>
        <v>3.0612244897959183E-2</v>
      </c>
      <c r="G227" s="160" t="s">
        <v>578</v>
      </c>
      <c r="H227" s="162">
        <f t="shared" si="128"/>
        <v>13.402432000000001</v>
      </c>
      <c r="I227" s="162">
        <f t="shared" si="129"/>
        <v>98.284501333333338</v>
      </c>
      <c r="J227" s="70">
        <f ca="1">IF(F227=0,C227,IF(G227="Beta",_xlfn.BETA.INV(J224,H227,I227),IF(G227="Lognormal",EXP(NORMINV(J224,H227,I227)),IF(G227="Gamma",_xlfn.GAMMA.INV(J224,H227,I227),IF(G227="Normal",_xlfn.NORM.INV(J224,H227,I227),0)))))</f>
        <v>0.14312361795657047</v>
      </c>
      <c r="M227" s="313" t="s">
        <v>4</v>
      </c>
      <c r="N227" s="700">
        <f>'VE input'!C252/'Input summary'!$C$167</f>
        <v>0.12</v>
      </c>
      <c r="O227" s="700">
        <f>'VE input'!D252/'Input summary'!$C$167</f>
        <v>0.06</v>
      </c>
      <c r="P227" s="700">
        <f>'VE input'!E252/'Input summary'!$C$167</f>
        <v>0.18</v>
      </c>
      <c r="Q227" s="702">
        <f t="shared" si="133"/>
        <v>3.0612244897959183E-2</v>
      </c>
      <c r="R227" s="160" t="s">
        <v>578</v>
      </c>
      <c r="S227" s="162">
        <f t="shared" si="130"/>
        <v>13.402432000000001</v>
      </c>
      <c r="T227" s="162">
        <f t="shared" si="131"/>
        <v>98.284501333333338</v>
      </c>
      <c r="U227" s="70">
        <f ca="1">IF(Q227=0,N227,IF(R227="Beta",_xlfn.BETA.INV(U224,S227,T227),IF(R227="Lognormal",EXP(NORMINV(U224,S227,T227)),IF(R227="Gamma",_xlfn.GAMMA.INV(U224,S227,T227),IF(R227="Normal",_xlfn.NORM.INV(U224,S227,T227),0)))))</f>
        <v>9.194396574773922E-2</v>
      </c>
    </row>
    <row r="228" spans="2:21" s="296" customFormat="1" x14ac:dyDescent="0.3">
      <c r="B228" s="313" t="s">
        <v>5</v>
      </c>
      <c r="C228" s="700">
        <f>'VE input'!C198/'Input summary'!$C$167</f>
        <v>0.12</v>
      </c>
      <c r="D228" s="700">
        <f>'VE input'!D198/'Input summary'!$C$167</f>
        <v>0.06</v>
      </c>
      <c r="E228" s="700">
        <f>'VE input'!E198/'Input summary'!$C$167</f>
        <v>0.18</v>
      </c>
      <c r="F228" s="702">
        <f t="shared" si="132"/>
        <v>3.0612244897959183E-2</v>
      </c>
      <c r="G228" s="160" t="s">
        <v>578</v>
      </c>
      <c r="H228" s="162">
        <f t="shared" si="128"/>
        <v>13.402432000000001</v>
      </c>
      <c r="I228" s="162">
        <f t="shared" si="129"/>
        <v>98.284501333333338</v>
      </c>
      <c r="J228" s="70">
        <f ca="1">IF(F228=0,C228,IF(G228="Beta",_xlfn.BETA.INV(J224,H228,I228),IF(G228="Lognormal",EXP(NORMINV(J224,H228,I228)),IF(G228="Gamma",_xlfn.GAMMA.INV(J224,H228,I228),IF(G228="Normal",_xlfn.NORM.INV(J224,H228,I228),0)))))</f>
        <v>0.14312361795657047</v>
      </c>
      <c r="M228" s="313" t="s">
        <v>5</v>
      </c>
      <c r="N228" s="700">
        <f>'VE input'!C253/'Input summary'!$C$167</f>
        <v>0.12</v>
      </c>
      <c r="O228" s="700">
        <f>'VE input'!D253/'Input summary'!$C$167</f>
        <v>0.06</v>
      </c>
      <c r="P228" s="700">
        <f>'VE input'!E253/'Input summary'!$C$167</f>
        <v>0.18</v>
      </c>
      <c r="Q228" s="702">
        <f t="shared" si="133"/>
        <v>3.0612244897959183E-2</v>
      </c>
      <c r="R228" s="160" t="s">
        <v>578</v>
      </c>
      <c r="S228" s="162">
        <f t="shared" si="130"/>
        <v>13.402432000000001</v>
      </c>
      <c r="T228" s="162">
        <f t="shared" si="131"/>
        <v>98.284501333333338</v>
      </c>
      <c r="U228" s="70">
        <f ca="1">IF(Q228=0,N228,IF(R228="Beta",_xlfn.BETA.INV(U224,S228,T228),IF(R228="Lognormal",EXP(NORMINV(U224,S228,T228)),IF(R228="Gamma",_xlfn.GAMMA.INV(U224,S228,T228),IF(R228="Normal",_xlfn.NORM.INV(U224,S228,T228),0)))))</f>
        <v>9.194396574773922E-2</v>
      </c>
    </row>
    <row r="229" spans="2:21" s="296" customFormat="1" x14ac:dyDescent="0.3">
      <c r="B229" s="313" t="s">
        <v>6</v>
      </c>
      <c r="C229" s="700">
        <f>'VE input'!C199/'Input summary'!$C$167</f>
        <v>0.12</v>
      </c>
      <c r="D229" s="700">
        <f>'VE input'!D199/'Input summary'!$C$167</f>
        <v>0.06</v>
      </c>
      <c r="E229" s="700">
        <f>'VE input'!E199/'Input summary'!$C$167</f>
        <v>0.18</v>
      </c>
      <c r="F229" s="702">
        <f t="shared" si="132"/>
        <v>3.0612244897959183E-2</v>
      </c>
      <c r="G229" s="160" t="s">
        <v>578</v>
      </c>
      <c r="H229" s="162">
        <f t="shared" si="128"/>
        <v>13.402432000000001</v>
      </c>
      <c r="I229" s="162">
        <f t="shared" si="129"/>
        <v>98.284501333333338</v>
      </c>
      <c r="J229" s="70">
        <f ca="1">IF(F229=0,C229,IF(G229="Beta",_xlfn.BETA.INV(J224,H229,I229),IF(G229="Lognormal",EXP(NORMINV(J224,H229,I229)),IF(G229="Gamma",_xlfn.GAMMA.INV(J224,H229,I229),IF(G229="Normal",_xlfn.NORM.INV(J224,H229,I229),0)))))</f>
        <v>0.14312361795657047</v>
      </c>
      <c r="M229" s="313" t="s">
        <v>6</v>
      </c>
      <c r="N229" s="700">
        <f>'VE input'!C254/'Input summary'!$C$167</f>
        <v>0.12</v>
      </c>
      <c r="O229" s="700">
        <f>'VE input'!D254/'Input summary'!$C$167</f>
        <v>0.06</v>
      </c>
      <c r="P229" s="700">
        <f>'VE input'!E254/'Input summary'!$C$167</f>
        <v>0.18</v>
      </c>
      <c r="Q229" s="702">
        <f t="shared" si="133"/>
        <v>3.0612244897959183E-2</v>
      </c>
      <c r="R229" s="160" t="s">
        <v>578</v>
      </c>
      <c r="S229" s="162">
        <f t="shared" si="130"/>
        <v>13.402432000000001</v>
      </c>
      <c r="T229" s="162">
        <f t="shared" si="131"/>
        <v>98.284501333333338</v>
      </c>
      <c r="U229" s="70">
        <f ca="1">IF(Q229=0,N229,IF(R229="Beta",_xlfn.BETA.INV(U224,S229,T229),IF(R229="Lognormal",EXP(NORMINV(U224,S229,T229)),IF(R229="Gamma",_xlfn.GAMMA.INV(U224,S229,T229),IF(R229="Normal",_xlfn.NORM.INV(U224,S229,T229),0)))))</f>
        <v>9.194396574773922E-2</v>
      </c>
    </row>
    <row r="230" spans="2:21" s="296" customFormat="1" x14ac:dyDescent="0.3">
      <c r="B230" s="313" t="s">
        <v>7</v>
      </c>
      <c r="C230" s="700">
        <f>'VE input'!C200/'Input summary'!$C$167</f>
        <v>0.12</v>
      </c>
      <c r="D230" s="700">
        <f>'VE input'!D200/'Input summary'!$C$167</f>
        <v>0.06</v>
      </c>
      <c r="E230" s="700">
        <f>'VE input'!E200/'Input summary'!$C$167</f>
        <v>0.18</v>
      </c>
      <c r="F230" s="702">
        <f t="shared" si="132"/>
        <v>3.0612244897959183E-2</v>
      </c>
      <c r="G230" s="160" t="s">
        <v>578</v>
      </c>
      <c r="H230" s="162">
        <f t="shared" si="128"/>
        <v>13.402432000000001</v>
      </c>
      <c r="I230" s="162">
        <f t="shared" si="129"/>
        <v>98.284501333333338</v>
      </c>
      <c r="J230" s="70">
        <f ca="1">IF(F230=0,C230,IF(G230="Beta",_xlfn.BETA.INV(J224,H230,I230),IF(G230="Lognormal",EXP(NORMINV(J224,H230,I230)),IF(G230="Gamma",_xlfn.GAMMA.INV(J224,H230,I230),IF(G230="Normal",_xlfn.NORM.INV(J224,H230,I230),0)))))</f>
        <v>0.14312361795657047</v>
      </c>
      <c r="M230" s="313" t="s">
        <v>7</v>
      </c>
      <c r="N230" s="700">
        <f>'VE input'!C255/'Input summary'!$C$167</f>
        <v>0.12</v>
      </c>
      <c r="O230" s="700">
        <f>'VE input'!D255/'Input summary'!$C$167</f>
        <v>0.06</v>
      </c>
      <c r="P230" s="700">
        <f>'VE input'!E255/'Input summary'!$C$167</f>
        <v>0.18</v>
      </c>
      <c r="Q230" s="702">
        <f t="shared" si="133"/>
        <v>3.0612244897959183E-2</v>
      </c>
      <c r="R230" s="160" t="s">
        <v>578</v>
      </c>
      <c r="S230" s="162">
        <f t="shared" si="130"/>
        <v>13.402432000000001</v>
      </c>
      <c r="T230" s="162">
        <f t="shared" si="131"/>
        <v>98.284501333333338</v>
      </c>
      <c r="U230" s="70">
        <f ca="1">IF(Q230=0,N230,IF(R230="Beta",_xlfn.BETA.INV(U224,S230,T230),IF(R230="Lognormal",EXP(NORMINV(U224,S230,T230)),IF(R230="Gamma",_xlfn.GAMMA.INV(U224,S230,T230),IF(R230="Normal",_xlfn.NORM.INV(U224,S230,T230),0)))))</f>
        <v>9.194396574773922E-2</v>
      </c>
    </row>
    <row r="231" spans="2:21" s="296" customFormat="1" x14ac:dyDescent="0.3">
      <c r="B231" s="313" t="s">
        <v>11</v>
      </c>
      <c r="C231" s="700">
        <f>'VE input'!C201/'Input summary'!$C$167</f>
        <v>0.12</v>
      </c>
      <c r="D231" s="700">
        <f>'VE input'!D201/'Input summary'!$C$167</f>
        <v>0.06</v>
      </c>
      <c r="E231" s="700">
        <f>'VE input'!E201/'Input summary'!$C$167</f>
        <v>0.18</v>
      </c>
      <c r="F231" s="702">
        <f t="shared" si="132"/>
        <v>3.0612244897959183E-2</v>
      </c>
      <c r="G231" s="160" t="s">
        <v>578</v>
      </c>
      <c r="H231" s="162">
        <f t="shared" si="128"/>
        <v>13.402432000000001</v>
      </c>
      <c r="I231" s="162">
        <f t="shared" si="129"/>
        <v>98.284501333333338</v>
      </c>
      <c r="J231" s="70">
        <f ca="1">IF(F231=0,C231,IF(G231="Beta",_xlfn.BETA.INV(J224,H231,I231),IF(G231="Lognormal",EXP(NORMINV(J224,H231,I231)),IF(G231="Gamma",_xlfn.GAMMA.INV(J224,H231,I231),IF(G231="Normal",_xlfn.NORM.INV(J224,H231,I231),0)))))</f>
        <v>0.14312361795657047</v>
      </c>
      <c r="M231" s="313" t="s">
        <v>11</v>
      </c>
      <c r="N231" s="700">
        <f>'VE input'!C256/'Input summary'!$C$167</f>
        <v>0.12</v>
      </c>
      <c r="O231" s="700">
        <f>'VE input'!D256/'Input summary'!$C$167</f>
        <v>0.06</v>
      </c>
      <c r="P231" s="700">
        <f>'VE input'!E256/'Input summary'!$C$167</f>
        <v>0.18</v>
      </c>
      <c r="Q231" s="702">
        <f t="shared" si="133"/>
        <v>3.0612244897959183E-2</v>
      </c>
      <c r="R231" s="160" t="s">
        <v>578</v>
      </c>
      <c r="S231" s="162">
        <f t="shared" si="130"/>
        <v>13.402432000000001</v>
      </c>
      <c r="T231" s="162">
        <f t="shared" si="131"/>
        <v>98.284501333333338</v>
      </c>
      <c r="U231" s="70">
        <f ca="1">IF(Q231=0,N231,IF(R231="Beta",_xlfn.BETA.INV(U224,S231,T231),IF(R231="Lognormal",EXP(NORMINV(U224,S231,T231)),IF(R231="Gamma",_xlfn.GAMMA.INV(U224,S231,T231),IF(R231="Normal",_xlfn.NORM.INV(U224,S231,T231),0)))))</f>
        <v>9.194396574773922E-2</v>
      </c>
    </row>
    <row r="232" spans="2:21" s="296" customFormat="1" ht="15" customHeight="1" x14ac:dyDescent="0.3">
      <c r="B232" s="207" t="s">
        <v>227</v>
      </c>
      <c r="C232" s="701"/>
      <c r="D232" s="701"/>
      <c r="E232" s="701"/>
      <c r="F232" s="703"/>
      <c r="G232" s="162"/>
      <c r="H232" s="162"/>
      <c r="I232" s="162"/>
      <c r="J232" s="291">
        <f ca="1">RAND()</f>
        <v>7.8049521856430104E-2</v>
      </c>
      <c r="M232" s="207" t="s">
        <v>227</v>
      </c>
      <c r="N232" s="701">
        <f>'VE input'!C257/'Input summary'!$C$167</f>
        <v>0</v>
      </c>
      <c r="O232" s="701">
        <f>'VE input'!D257/'Input summary'!$C$167</f>
        <v>0</v>
      </c>
      <c r="P232" s="701">
        <f>'VE input'!E257/'Input summary'!$C$167</f>
        <v>0</v>
      </c>
      <c r="Q232" s="703"/>
      <c r="R232" s="162"/>
      <c r="S232" s="162"/>
      <c r="T232" s="162"/>
      <c r="U232" s="291">
        <f ca="1">RAND()</f>
        <v>4.6543202570104136E-2</v>
      </c>
    </row>
    <row r="233" spans="2:21" s="296" customFormat="1" ht="15" customHeight="1" x14ac:dyDescent="0.3">
      <c r="B233" s="206" t="s">
        <v>1437</v>
      </c>
      <c r="C233" s="700">
        <f>'VE input'!C203/'Input summary'!$C$167</f>
        <v>0.12</v>
      </c>
      <c r="D233" s="700">
        <f>'VE input'!D203/'Input summary'!$C$167</f>
        <v>0.06</v>
      </c>
      <c r="E233" s="700">
        <f>'VE input'!E203/'Input summary'!$C$167</f>
        <v>0.18</v>
      </c>
      <c r="F233" s="702">
        <f t="shared" ref="F233:F236" si="134">(E233-D233)/(2*1.96)</f>
        <v>3.0612244897959183E-2</v>
      </c>
      <c r="G233" s="160" t="s">
        <v>578</v>
      </c>
      <c r="H233" s="162">
        <f t="shared" ref="H233:H236" si="135">IF(G233="Beta",C233*(C233*(1-C233)/(F233^2)-1),IF(G233="Lognormal",LN(C233^2/SQRT(F233^2+C233^2)),IF(G233="Gamma",C233^2/F233^2,IF(G233="Normal",C233,0))))</f>
        <v>13.402432000000001</v>
      </c>
      <c r="I233" s="162">
        <f t="shared" ref="I233:I236" si="136">IF(G233="Beta",C233*(1-C233)/(F233^2)-1-H233,IF(G233="Lognormal",SQRT(LN(1+F233^2/C233^2)),IF(G233="Gamma",F233^2/C233,IF(G233="Normal",F233,0))))</f>
        <v>98.284501333333338</v>
      </c>
      <c r="J233" s="70">
        <f ca="1">IF(F233=0,C233,IF(G233="Beta",_xlfn.BETA.INV(J232,H233,I233),IF(G233="Lognormal",EXP(NORMINV(J232,H233,I233)),IF(G233="Gamma",_xlfn.GAMMA.INV(J232,H233,I233),IF(G233="Normal",_xlfn.NORM.INV(J232,H233,I233),0)))))</f>
        <v>7.9093379133416797E-2</v>
      </c>
      <c r="M233" s="206" t="s">
        <v>1437</v>
      </c>
      <c r="N233" s="700">
        <f>'VE input'!C258/'Input summary'!$C$167</f>
        <v>0.12</v>
      </c>
      <c r="O233" s="700">
        <f>'VE input'!D258/'Input summary'!$C$167</f>
        <v>0.06</v>
      </c>
      <c r="P233" s="700">
        <f>'VE input'!E258/'Input summary'!$C$167</f>
        <v>0.18</v>
      </c>
      <c r="Q233" s="702">
        <f t="shared" ref="Q233:Q236" si="137">(P233-O233)/(2*1.96)</f>
        <v>3.0612244897959183E-2</v>
      </c>
      <c r="R233" s="160" t="s">
        <v>578</v>
      </c>
      <c r="S233" s="162">
        <f t="shared" ref="S233:S236" si="138">IF(R233="Beta",N233*(N233*(1-N233)/(Q233^2)-1),IF(R233="Lognormal",LN(N233^2/SQRT(Q233^2+N233^2)),IF(R233="Gamma",N233^2/Q233^2,IF(R233="Normal",N233,0))))</f>
        <v>13.402432000000001</v>
      </c>
      <c r="T233" s="162">
        <f t="shared" ref="T233:T236" si="139">IF(R233="Beta",N233*(1-N233)/(Q233^2)-1-S233,IF(R233="Lognormal",SQRT(LN(1+Q233^2/N233^2)),IF(R233="Gamma",Q233^2/N233,IF(R233="Normal",Q233,0))))</f>
        <v>98.284501333333338</v>
      </c>
      <c r="U233" s="70">
        <f ca="1">IF(Q233=0,N233,IF(R233="Beta",_xlfn.BETA.INV(U232,S233,T233),IF(R233="Lognormal",EXP(NORMINV(U232,S233,T233)),IF(R233="Gamma",_xlfn.GAMMA.INV(U232,S233,T233),IF(R233="Normal",_xlfn.NORM.INV(U232,S233,T233),0)))))</f>
        <v>7.2997319058615687E-2</v>
      </c>
    </row>
    <row r="234" spans="2:21" s="296" customFormat="1" ht="15" customHeight="1" x14ac:dyDescent="0.3">
      <c r="B234" s="206" t="s">
        <v>1438</v>
      </c>
      <c r="C234" s="700">
        <f>'VE input'!C204/'Input summary'!$C$167</f>
        <v>0.12</v>
      </c>
      <c r="D234" s="700">
        <f>'VE input'!D204/'Input summary'!$C$167</f>
        <v>0.06</v>
      </c>
      <c r="E234" s="700">
        <f>'VE input'!E204/'Input summary'!$C$167</f>
        <v>0.18</v>
      </c>
      <c r="F234" s="702">
        <f t="shared" si="134"/>
        <v>3.0612244897959183E-2</v>
      </c>
      <c r="G234" s="160" t="s">
        <v>578</v>
      </c>
      <c r="H234" s="162">
        <f t="shared" si="135"/>
        <v>13.402432000000001</v>
      </c>
      <c r="I234" s="162">
        <f t="shared" si="136"/>
        <v>98.284501333333338</v>
      </c>
      <c r="J234" s="70">
        <f ca="1">IF(F234=0,C234,IF(G234="Beta",_xlfn.BETA.INV(J232,H234,I234),IF(G234="Lognormal",EXP(NORMINV(J232,H234,I234)),IF(G234="Gamma",_xlfn.GAMMA.INV(J232,H234,I234),IF(G234="Normal",_xlfn.NORM.INV(J232,H234,I234),0)))))</f>
        <v>7.9093379133416797E-2</v>
      </c>
      <c r="M234" s="206" t="s">
        <v>1438</v>
      </c>
      <c r="N234" s="700">
        <f>'VE input'!C259/'Input summary'!$C$167</f>
        <v>0.12</v>
      </c>
      <c r="O234" s="700">
        <f>'VE input'!D259/'Input summary'!$C$167</f>
        <v>0.06</v>
      </c>
      <c r="P234" s="700">
        <f>'VE input'!E259/'Input summary'!$C$167</f>
        <v>0.18</v>
      </c>
      <c r="Q234" s="702">
        <f t="shared" si="137"/>
        <v>3.0612244897959183E-2</v>
      </c>
      <c r="R234" s="160" t="s">
        <v>578</v>
      </c>
      <c r="S234" s="162">
        <f t="shared" si="138"/>
        <v>13.402432000000001</v>
      </c>
      <c r="T234" s="162">
        <f t="shared" si="139"/>
        <v>98.284501333333338</v>
      </c>
      <c r="U234" s="70">
        <f ca="1">IF(Q234=0,N234,IF(R234="Beta",_xlfn.BETA.INV(U232,S234,T234),IF(R234="Lognormal",EXP(NORMINV(U232,S234,T234)),IF(R234="Gamma",_xlfn.GAMMA.INV(U232,S234,T234),IF(R234="Normal",_xlfn.NORM.INV(U232,S234,T234),0)))))</f>
        <v>7.2997319058615687E-2</v>
      </c>
    </row>
    <row r="235" spans="2:21" s="296" customFormat="1" ht="15" customHeight="1" x14ac:dyDescent="0.3">
      <c r="B235" s="206" t="s">
        <v>1441</v>
      </c>
      <c r="C235" s="700">
        <f>'VE input'!C205/'Input summary'!$C$167</f>
        <v>0.12</v>
      </c>
      <c r="D235" s="700">
        <f>'VE input'!D205/'Input summary'!$C$167</f>
        <v>0.06</v>
      </c>
      <c r="E235" s="700">
        <f>'VE input'!E205/'Input summary'!$C$167</f>
        <v>0.18</v>
      </c>
      <c r="F235" s="702">
        <f t="shared" si="134"/>
        <v>3.0612244897959183E-2</v>
      </c>
      <c r="G235" s="160" t="s">
        <v>578</v>
      </c>
      <c r="H235" s="162">
        <f t="shared" si="135"/>
        <v>13.402432000000001</v>
      </c>
      <c r="I235" s="162">
        <f t="shared" si="136"/>
        <v>98.284501333333338</v>
      </c>
      <c r="J235" s="70">
        <f ca="1">IF(F235=0,C235,IF(G235="Beta",_xlfn.BETA.INV(J232,H235,I235),IF(G235="Lognormal",EXP(NORMINV(J232,H235,I235)),IF(G235="Gamma",_xlfn.GAMMA.INV(J232,H235,I235),IF(G235="Normal",_xlfn.NORM.INV(J232,H235,I235),0)))))</f>
        <v>7.9093379133416797E-2</v>
      </c>
      <c r="M235" s="206" t="s">
        <v>1441</v>
      </c>
      <c r="N235" s="700">
        <f>'VE input'!C260/'Input summary'!$C$167</f>
        <v>0.12</v>
      </c>
      <c r="O235" s="700">
        <f>'VE input'!D260/'Input summary'!$C$167</f>
        <v>0.06</v>
      </c>
      <c r="P235" s="700">
        <f>'VE input'!E260/'Input summary'!$C$167</f>
        <v>0.18</v>
      </c>
      <c r="Q235" s="702">
        <f t="shared" si="137"/>
        <v>3.0612244897959183E-2</v>
      </c>
      <c r="R235" s="160" t="s">
        <v>578</v>
      </c>
      <c r="S235" s="162">
        <f t="shared" si="138"/>
        <v>13.402432000000001</v>
      </c>
      <c r="T235" s="162">
        <f t="shared" si="139"/>
        <v>98.284501333333338</v>
      </c>
      <c r="U235" s="70">
        <f ca="1">IF(Q235=0,N235,IF(R235="Beta",_xlfn.BETA.INV(U232,S235,T235),IF(R235="Lognormal",EXP(NORMINV(U232,S235,T235)),IF(R235="Gamma",_xlfn.GAMMA.INV(U232,S235,T235),IF(R235="Normal",_xlfn.NORM.INV(U232,S235,T235),0)))))</f>
        <v>7.2997319058615687E-2</v>
      </c>
    </row>
    <row r="236" spans="2:21" s="296" customFormat="1" ht="15" customHeight="1" x14ac:dyDescent="0.3">
      <c r="B236" s="206" t="s">
        <v>1442</v>
      </c>
      <c r="C236" s="700">
        <f>'VE input'!C206/'Input summary'!$C$167</f>
        <v>0.12</v>
      </c>
      <c r="D236" s="700">
        <f>'VE input'!D206/'Input summary'!$C$167</f>
        <v>0.06</v>
      </c>
      <c r="E236" s="700">
        <f>'VE input'!E206/'Input summary'!$C$167</f>
        <v>0.18</v>
      </c>
      <c r="F236" s="702">
        <f t="shared" si="134"/>
        <v>3.0612244897959183E-2</v>
      </c>
      <c r="G236" s="160" t="s">
        <v>578</v>
      </c>
      <c r="H236" s="162">
        <f t="shared" si="135"/>
        <v>13.402432000000001</v>
      </c>
      <c r="I236" s="162">
        <f t="shared" si="136"/>
        <v>98.284501333333338</v>
      </c>
      <c r="J236" s="70">
        <f ca="1">IF(F236=0,C236,IF(G236="Beta",_xlfn.BETA.INV(J232,H236,I236),IF(G236="Lognormal",EXP(NORMINV(J232,H236,I236)),IF(G236="Gamma",_xlfn.GAMMA.INV(J232,H236,I236),IF(G236="Normal",_xlfn.NORM.INV(J232,H236,I236),0)))))</f>
        <v>7.9093379133416797E-2</v>
      </c>
      <c r="M236" s="206" t="s">
        <v>1442</v>
      </c>
      <c r="N236" s="700">
        <f>'VE input'!C261/'Input summary'!$C$167</f>
        <v>0.12</v>
      </c>
      <c r="O236" s="700">
        <f>'VE input'!D261/'Input summary'!$C$167</f>
        <v>0.06</v>
      </c>
      <c r="P236" s="700">
        <f>'VE input'!E261/'Input summary'!$C$167</f>
        <v>0.18</v>
      </c>
      <c r="Q236" s="702">
        <f t="shared" si="137"/>
        <v>3.0612244897959183E-2</v>
      </c>
      <c r="R236" s="160" t="s">
        <v>578</v>
      </c>
      <c r="S236" s="162">
        <f t="shared" si="138"/>
        <v>13.402432000000001</v>
      </c>
      <c r="T236" s="162">
        <f t="shared" si="139"/>
        <v>98.284501333333338</v>
      </c>
      <c r="U236" s="70">
        <f ca="1">IF(Q236=0,N236,IF(R236="Beta",_xlfn.BETA.INV(U232,S236,T236),IF(R236="Lognormal",EXP(NORMINV(U232,S236,T236)),IF(R236="Gamma",_xlfn.GAMMA.INV(U232,S236,T236),IF(R236="Normal",_xlfn.NORM.INV(U232,S236,T236),0)))))</f>
        <v>7.2997319058615687E-2</v>
      </c>
    </row>
    <row r="237" spans="2:21" s="296" customFormat="1" ht="15" customHeight="1" x14ac:dyDescent="0.3">
      <c r="B237" s="207" t="s">
        <v>920</v>
      </c>
      <c r="C237" s="701"/>
      <c r="D237" s="701"/>
      <c r="E237" s="701"/>
      <c r="F237" s="703"/>
      <c r="G237" s="162"/>
      <c r="H237" s="162"/>
      <c r="I237" s="162"/>
      <c r="J237" s="291">
        <f ca="1">RAND()</f>
        <v>0.73585938002330564</v>
      </c>
      <c r="M237" s="207" t="s">
        <v>920</v>
      </c>
      <c r="N237" s="701">
        <f>'VE input'!C262/'Input summary'!$C$167</f>
        <v>0</v>
      </c>
      <c r="O237" s="701">
        <f>'VE input'!D262/'Input summary'!$C$167</f>
        <v>0</v>
      </c>
      <c r="P237" s="701">
        <f>'VE input'!E262/'Input summary'!$C$167</f>
        <v>0</v>
      </c>
      <c r="Q237" s="703"/>
      <c r="R237" s="162"/>
      <c r="S237" s="162"/>
      <c r="T237" s="162"/>
      <c r="U237" s="291">
        <f ca="1">RAND()</f>
        <v>0.98091054379095943</v>
      </c>
    </row>
    <row r="238" spans="2:21" s="296" customFormat="1" ht="15" customHeight="1" x14ac:dyDescent="0.3">
      <c r="B238" s="206" t="s">
        <v>920</v>
      </c>
      <c r="C238" s="700">
        <f>'VE input'!C208/'Input summary'!$C$167</f>
        <v>0.12</v>
      </c>
      <c r="D238" s="700">
        <f>'VE input'!D208/'Input summary'!$C$167</f>
        <v>0.06</v>
      </c>
      <c r="E238" s="700">
        <f>'VE input'!E208/'Input summary'!$C$167</f>
        <v>0.18</v>
      </c>
      <c r="F238" s="702">
        <f t="shared" ref="F238:F239" si="140">(E238-D238)/(2*1.96)</f>
        <v>3.0612244897959183E-2</v>
      </c>
      <c r="G238" s="160" t="s">
        <v>578</v>
      </c>
      <c r="H238" s="162">
        <f t="shared" ref="H238:H239" si="141">IF(G238="Beta",C238*(C238*(1-C238)/(F238^2)-1),IF(G238="Lognormal",LN(C238^2/SQRT(F238^2+C238^2)),IF(G238="Gamma",C238^2/F238^2,IF(G238="Normal",C238,0))))</f>
        <v>13.402432000000001</v>
      </c>
      <c r="I238" s="162">
        <f t="shared" ref="I238:I239" si="142">IF(G238="Beta",C238*(1-C238)/(F238^2)-1-H238,IF(G238="Lognormal",SQRT(LN(1+F238^2/C238^2)),IF(G238="Gamma",F238^2/C238,IF(G238="Normal",F238,0))))</f>
        <v>98.284501333333338</v>
      </c>
      <c r="J238" s="70">
        <f ca="1">IF(F238=0,C238,IF(G238="Beta",_xlfn.BETA.INV(J237,H238,I238),IF(G238="Lognormal",EXP(NORMINV(J237,H238,I238)),IF(G238="Gamma",_xlfn.GAMMA.INV(J237,H238,I238),IF(G238="Normal",_xlfn.NORM.INV(J237,H238,I238),0)))))</f>
        <v>0.13788193791860803</v>
      </c>
      <c r="M238" s="206" t="s">
        <v>920</v>
      </c>
      <c r="N238" s="700">
        <f>'VE input'!C263/'Input summary'!$C$167</f>
        <v>0.12</v>
      </c>
      <c r="O238" s="700">
        <f>'VE input'!D263/'Input summary'!$C$167</f>
        <v>0.06</v>
      </c>
      <c r="P238" s="700">
        <f>'VE input'!E263/'Input summary'!$C$167</f>
        <v>0.18</v>
      </c>
      <c r="Q238" s="702">
        <f t="shared" ref="Q238:Q239" si="143">(P238-O238)/(2*1.96)</f>
        <v>3.0612244897959183E-2</v>
      </c>
      <c r="R238" s="160" t="s">
        <v>578</v>
      </c>
      <c r="S238" s="162">
        <f t="shared" ref="S238:S239" si="144">IF(R238="Beta",N238*(N238*(1-N238)/(Q238^2)-1),IF(R238="Lognormal",LN(N238^2/SQRT(Q238^2+N238^2)),IF(R238="Gamma",N238^2/Q238^2,IF(R238="Normal",N238,0))))</f>
        <v>13.402432000000001</v>
      </c>
      <c r="T238" s="162">
        <f t="shared" ref="T238:T239" si="145">IF(R238="Beta",N238*(1-N238)/(Q238^2)-1-S238,IF(R238="Lognormal",SQRT(LN(1+Q238^2/N238^2)),IF(R238="Gamma",Q238^2/N238,IF(R238="Normal",Q238,0))))</f>
        <v>98.284501333333338</v>
      </c>
      <c r="U238" s="70">
        <f ca="1">IF(Q238=0,N238,IF(R238="Beta",_xlfn.BETA.INV(U237,S238,T238),IF(R238="Lognormal",EXP(NORMINV(U237,S238,T238)),IF(R238="Gamma",_xlfn.GAMMA.INV(U237,S238,T238),IF(R238="Normal",_xlfn.NORM.INV(U237,S238,T238),0)))))</f>
        <v>0.19048780557116007</v>
      </c>
    </row>
    <row r="239" spans="2:21" s="296" customFormat="1" ht="15" customHeight="1" x14ac:dyDescent="0.3">
      <c r="B239" s="206" t="s">
        <v>980</v>
      </c>
      <c r="C239" s="700">
        <f>'VE input'!C209/'Input summary'!$C$167</f>
        <v>0.12</v>
      </c>
      <c r="D239" s="700">
        <f>'VE input'!D209/'Input summary'!$C$167</f>
        <v>0.06</v>
      </c>
      <c r="E239" s="700">
        <f>'VE input'!E209/'Input summary'!$C$167</f>
        <v>0.18</v>
      </c>
      <c r="F239" s="702">
        <f t="shared" si="140"/>
        <v>3.0612244897959183E-2</v>
      </c>
      <c r="G239" s="160" t="s">
        <v>578</v>
      </c>
      <c r="H239" s="162">
        <f t="shared" si="141"/>
        <v>13.402432000000001</v>
      </c>
      <c r="I239" s="162">
        <f t="shared" si="142"/>
        <v>98.284501333333338</v>
      </c>
      <c r="J239" s="70">
        <f ca="1">IF(F239=0,C239,IF(G239="Beta",_xlfn.BETA.INV(J237,H239,I239),IF(G239="Lognormal",EXP(NORMINV(J237,H239,I239)),IF(G239="Gamma",_xlfn.GAMMA.INV(J237,H239,I239),IF(G239="Normal",_xlfn.NORM.INV(J237,H239,I239),0)))))</f>
        <v>0.13788193791860803</v>
      </c>
      <c r="M239" s="206" t="s">
        <v>980</v>
      </c>
      <c r="N239" s="700">
        <f>'VE input'!C264/'Input summary'!$C$167</f>
        <v>0.12</v>
      </c>
      <c r="O239" s="700">
        <f>'VE input'!D264/'Input summary'!$C$167</f>
        <v>0.06</v>
      </c>
      <c r="P239" s="700">
        <f>'VE input'!E264/'Input summary'!$C$167</f>
        <v>0.18</v>
      </c>
      <c r="Q239" s="702">
        <f t="shared" si="143"/>
        <v>3.0612244897959183E-2</v>
      </c>
      <c r="R239" s="160" t="s">
        <v>578</v>
      </c>
      <c r="S239" s="162">
        <f t="shared" si="144"/>
        <v>13.402432000000001</v>
      </c>
      <c r="T239" s="162">
        <f t="shared" si="145"/>
        <v>98.284501333333338</v>
      </c>
      <c r="U239" s="70">
        <f ca="1">IF(Q239=0,N239,IF(R239="Beta",_xlfn.BETA.INV(U237,S239,T239),IF(R239="Lognormal",EXP(NORMINV(U237,S239,T239)),IF(R239="Gamma",_xlfn.GAMMA.INV(U237,S239,T239),IF(R239="Normal",_xlfn.NORM.INV(U237,S239,T239),0)))))</f>
        <v>0.19048780557116007</v>
      </c>
    </row>
    <row r="240" spans="2:21" s="296" customFormat="1" ht="15" customHeight="1" x14ac:dyDescent="0.3">
      <c r="B240" s="306"/>
      <c r="C240" s="306"/>
      <c r="D240" s="306"/>
      <c r="E240" s="306"/>
      <c r="I240" s="304"/>
    </row>
    <row r="241" spans="2:22" ht="15" customHeight="1" x14ac:dyDescent="0.3">
      <c r="B241" s="176" t="s">
        <v>552</v>
      </c>
      <c r="C241" s="165"/>
      <c r="D241" s="165"/>
      <c r="E241" s="165"/>
      <c r="F241" s="165"/>
      <c r="G241" s="165"/>
      <c r="H241" s="292"/>
      <c r="I241" s="292"/>
      <c r="J241" s="292"/>
      <c r="M241" s="176" t="s">
        <v>553</v>
      </c>
      <c r="N241" s="165"/>
      <c r="O241" s="165"/>
      <c r="P241" s="165"/>
      <c r="Q241" s="165"/>
      <c r="R241" s="165"/>
      <c r="S241" s="796"/>
      <c r="T241" s="796"/>
      <c r="U241" s="796"/>
    </row>
    <row r="242" spans="2:22" s="296" customFormat="1" ht="15" customHeight="1" x14ac:dyDescent="0.3">
      <c r="B242" s="294" t="s">
        <v>1449</v>
      </c>
      <c r="C242" s="305"/>
      <c r="D242" s="305"/>
      <c r="E242" s="305"/>
      <c r="F242" s="305"/>
      <c r="G242" s="305"/>
      <c r="M242" s="294" t="s">
        <v>1449</v>
      </c>
      <c r="N242" s="305"/>
      <c r="O242" s="305"/>
      <c r="P242" s="305"/>
      <c r="Q242" s="305"/>
      <c r="R242" s="305"/>
    </row>
    <row r="243" spans="2:22" s="296" customFormat="1" ht="15" customHeight="1" x14ac:dyDescent="0.3">
      <c r="B243" s="17" t="s">
        <v>950</v>
      </c>
      <c r="C243" s="152" t="s">
        <v>1477</v>
      </c>
      <c r="D243" s="152" t="s">
        <v>985</v>
      </c>
      <c r="E243" s="152" t="s">
        <v>986</v>
      </c>
      <c r="F243" s="73" t="s">
        <v>584</v>
      </c>
      <c r="G243" s="73" t="s">
        <v>569</v>
      </c>
      <c r="H243" s="73" t="s">
        <v>581</v>
      </c>
      <c r="I243" s="73" t="s">
        <v>582</v>
      </c>
      <c r="J243" s="73" t="s">
        <v>583</v>
      </c>
      <c r="M243" s="17" t="s">
        <v>950</v>
      </c>
      <c r="N243" s="152" t="s">
        <v>1477</v>
      </c>
      <c r="O243" s="152" t="s">
        <v>985</v>
      </c>
      <c r="P243" s="152" t="s">
        <v>986</v>
      </c>
      <c r="Q243" s="73" t="s">
        <v>584</v>
      </c>
      <c r="R243" s="73" t="s">
        <v>569</v>
      </c>
      <c r="S243" s="73" t="s">
        <v>581</v>
      </c>
      <c r="T243" s="73" t="s">
        <v>582</v>
      </c>
      <c r="U243" s="73" t="s">
        <v>583</v>
      </c>
    </row>
    <row r="244" spans="2:22" s="296" customFormat="1" ht="15" customHeight="1" x14ac:dyDescent="0.3">
      <c r="B244" s="315" t="s">
        <v>1445</v>
      </c>
      <c r="C244" s="306"/>
      <c r="D244" s="306"/>
      <c r="F244"/>
      <c r="G244"/>
      <c r="H244"/>
      <c r="I244"/>
      <c r="J244" s="291">
        <f ca="1">RAND()</f>
        <v>0.43804579786289699</v>
      </c>
      <c r="M244" s="315" t="s">
        <v>1445</v>
      </c>
      <c r="N244" s="306"/>
      <c r="O244" s="306"/>
      <c r="Q244"/>
      <c r="R244"/>
      <c r="S244"/>
      <c r="T244"/>
      <c r="U244" s="291">
        <f ca="1">RAND()</f>
        <v>0.51821200820213897</v>
      </c>
    </row>
    <row r="245" spans="2:22" s="296" customFormat="1" ht="15" customHeight="1" x14ac:dyDescent="0.3">
      <c r="B245" s="313" t="s">
        <v>2</v>
      </c>
      <c r="C245" s="700">
        <f>'VE input'!C214/'Input summary'!$C$167</f>
        <v>1.5E-6</v>
      </c>
      <c r="D245" s="700">
        <f>'VE input'!D214/'Input summary'!$C$167</f>
        <v>7.5000000000000002E-7</v>
      </c>
      <c r="E245" s="700">
        <f>'VE input'!E214/'Input summary'!$C$167</f>
        <v>2.2499999999999996E-6</v>
      </c>
      <c r="F245" s="702">
        <f>(E245-D245)/(2*1.96)</f>
        <v>3.8265306122448971E-7</v>
      </c>
      <c r="G245" s="160" t="s">
        <v>578</v>
      </c>
      <c r="H245" s="162">
        <f t="shared" ref="H245:H251" si="146">IF(G245="Beta",C245*(C245*(1-C245)/(F245^2)-1),IF(G245="Lognormal",LN(C245^2/SQRT(F245^2+C245^2)),IF(G245="Gamma",C245^2/F245^2,IF(G245="Normal",C245,0))))</f>
        <v>15.366375450400009</v>
      </c>
      <c r="I245" s="162">
        <f t="shared" ref="I245:I251" si="147">IF(G245="Beta",C245*(1-C245)/(F245^2)-1-H245,IF(G245="Lognormal",SQRT(LN(1+F245^2/C245^2)),IF(G245="Gamma",F245^2/C245,IF(G245="Normal",F245,0))))</f>
        <v>10244234.933891222</v>
      </c>
      <c r="J245" s="70">
        <f ca="1">IF(F245=0,C245,IF(G245="Beta",_xlfn.BETA.INV(J244,H245,I245),IF(G245="Lognormal",EXP(NORMINV(J244,H245,I245)),IF(G245="Gamma",_xlfn.GAMMA.INV(J244,H245,I245),IF(G245="Normal",_xlfn.NORM.INV(J244,H245,I245),0)))))</f>
        <v>1.4094693697877626E-6</v>
      </c>
      <c r="K245">
        <f>(E245+D245)/2</f>
        <v>1.4999999999999998E-6</v>
      </c>
      <c r="M245" s="313" t="s">
        <v>2</v>
      </c>
      <c r="N245" s="700">
        <f>'VE input'!C269/'Input summary'!$C$167</f>
        <v>1.5E-6</v>
      </c>
      <c r="O245" s="700">
        <f>'VE input'!D269/'Input summary'!$C$167</f>
        <v>7.5000000000000002E-7</v>
      </c>
      <c r="P245" s="700">
        <f>'VE input'!E269/'Input summary'!$C$167</f>
        <v>2.2499999999999996E-6</v>
      </c>
      <c r="Q245" s="702">
        <f>(P245-O245)/(2*1.96)</f>
        <v>3.8265306122448971E-7</v>
      </c>
      <c r="R245" s="160" t="s">
        <v>578</v>
      </c>
      <c r="S245" s="162">
        <f t="shared" ref="S245:S251" si="148">IF(R245="Beta",N245*(N245*(1-N245)/(Q245^2)-1),IF(R245="Lognormal",LN(N245^2/SQRT(Q245^2+N245^2)),IF(R245="Gamma",N245^2/Q245^2,IF(R245="Normal",N245,0))))</f>
        <v>15.366375450400009</v>
      </c>
      <c r="T245" s="162">
        <f t="shared" ref="T245:T251" si="149">IF(R245="Beta",N245*(1-N245)/(Q245^2)-1-S245,IF(R245="Lognormal",SQRT(LN(1+Q245^2/N245^2)),IF(R245="Gamma",Q245^2/N245,IF(R245="Normal",Q245,0))))</f>
        <v>10244234.933891222</v>
      </c>
      <c r="U245" s="70">
        <f ca="1">IF(Q245=0,N245,IF(R245="Beta",_xlfn.BETA.INV(U244,S245,T245),IF(R245="Lognormal",EXP(NORMINV(U244,S245,T245)),IF(R245="Gamma",_xlfn.GAMMA.INV(U244,S245,T245),IF(R245="Normal",_xlfn.NORM.INV(U244,S245,T245),0)))))</f>
        <v>1.4849103355807358E-6</v>
      </c>
      <c r="V245">
        <f>(P245+O245)/2</f>
        <v>1.4999999999999998E-6</v>
      </c>
    </row>
    <row r="246" spans="2:22" s="296" customFormat="1" ht="15" customHeight="1" x14ac:dyDescent="0.3">
      <c r="B246" s="313" t="s">
        <v>3</v>
      </c>
      <c r="C246" s="700">
        <f>'VE input'!C215/'Input summary'!$C$167</f>
        <v>1.5E-6</v>
      </c>
      <c r="D246" s="700">
        <f>'VE input'!D215/'Input summary'!$C$167</f>
        <v>7.5000000000000002E-7</v>
      </c>
      <c r="E246" s="700">
        <f>'VE input'!E215/'Input summary'!$C$167</f>
        <v>2.2499999999999996E-6</v>
      </c>
      <c r="F246" s="702">
        <f t="shared" ref="F246:F251" si="150">(E246-D246)/(2*1.96)</f>
        <v>3.8265306122448971E-7</v>
      </c>
      <c r="G246" s="160" t="s">
        <v>578</v>
      </c>
      <c r="H246" s="162">
        <f t="shared" si="146"/>
        <v>15.366375450400009</v>
      </c>
      <c r="I246" s="162">
        <f t="shared" si="147"/>
        <v>10244234.933891222</v>
      </c>
      <c r="J246" s="70">
        <f ca="1">IF(F246=0,C246,IF(G246="Beta",_xlfn.BETA.INV(J244,H246,I246),IF(G246="Lognormal",EXP(NORMINV(J244,H246,I246)),IF(G246="Gamma",_xlfn.GAMMA.INV(J244,H246,I246),IF(G246="Normal",_xlfn.NORM.INV(J244,H246,I246),0)))))</f>
        <v>1.4094693697877626E-6</v>
      </c>
      <c r="M246" s="313" t="s">
        <v>3</v>
      </c>
      <c r="N246" s="700">
        <f>'VE input'!C270/'Input summary'!$C$167</f>
        <v>1.5E-6</v>
      </c>
      <c r="O246" s="700">
        <f>'VE input'!D270/'Input summary'!$C$167</f>
        <v>7.5000000000000002E-7</v>
      </c>
      <c r="P246" s="700">
        <f>'VE input'!E270/'Input summary'!$C$167</f>
        <v>2.2499999999999996E-6</v>
      </c>
      <c r="Q246" s="702">
        <f t="shared" ref="Q246:Q251" si="151">(P246-O246)/(2*1.96)</f>
        <v>3.8265306122448971E-7</v>
      </c>
      <c r="R246" s="160" t="s">
        <v>578</v>
      </c>
      <c r="S246" s="162">
        <f t="shared" si="148"/>
        <v>15.366375450400009</v>
      </c>
      <c r="T246" s="162">
        <f t="shared" si="149"/>
        <v>10244234.933891222</v>
      </c>
      <c r="U246" s="70">
        <f ca="1">IF(Q246=0,N246,IF(R246="Beta",_xlfn.BETA.INV(U244,S246,T246),IF(R246="Lognormal",EXP(NORMINV(U244,S246,T246)),IF(R246="Gamma",_xlfn.GAMMA.INV(U244,S246,T246),IF(R246="Normal",_xlfn.NORM.INV(U244,S246,T246),0)))))</f>
        <v>1.4849103355807358E-6</v>
      </c>
    </row>
    <row r="247" spans="2:22" s="296" customFormat="1" ht="15" customHeight="1" x14ac:dyDescent="0.3">
      <c r="B247" s="313" t="s">
        <v>4</v>
      </c>
      <c r="C247" s="700">
        <f>'VE input'!C216/'Input summary'!$C$167</f>
        <v>1.5E-6</v>
      </c>
      <c r="D247" s="700">
        <f>'VE input'!D216/'Input summary'!$C$167</f>
        <v>7.5000000000000002E-7</v>
      </c>
      <c r="E247" s="700">
        <f>'VE input'!E216/'Input summary'!$C$167</f>
        <v>2.2499999999999996E-6</v>
      </c>
      <c r="F247" s="702">
        <f t="shared" si="150"/>
        <v>3.8265306122448971E-7</v>
      </c>
      <c r="G247" s="160" t="s">
        <v>578</v>
      </c>
      <c r="H247" s="162">
        <f t="shared" si="146"/>
        <v>15.366375450400009</v>
      </c>
      <c r="I247" s="162">
        <f t="shared" si="147"/>
        <v>10244234.933891222</v>
      </c>
      <c r="J247" s="70">
        <f ca="1">IF(F247=0,C247,IF(G247="Beta",_xlfn.BETA.INV(J244,H247,I247),IF(G247="Lognormal",EXP(NORMINV(J244,H247,I247)),IF(G247="Gamma",_xlfn.GAMMA.INV(J244,H247,I247),IF(G247="Normal",_xlfn.NORM.INV(J244,H247,I247),0)))))</f>
        <v>1.4094693697877626E-6</v>
      </c>
      <c r="M247" s="313" t="s">
        <v>4</v>
      </c>
      <c r="N247" s="700">
        <f>'VE input'!C271/'Input summary'!$C$167</f>
        <v>1.5E-6</v>
      </c>
      <c r="O247" s="700">
        <f>'VE input'!D271/'Input summary'!$C$167</f>
        <v>7.5000000000000002E-7</v>
      </c>
      <c r="P247" s="700">
        <f>'VE input'!E271/'Input summary'!$C$167</f>
        <v>2.2499999999999996E-6</v>
      </c>
      <c r="Q247" s="702">
        <f t="shared" si="151"/>
        <v>3.8265306122448971E-7</v>
      </c>
      <c r="R247" s="160" t="s">
        <v>578</v>
      </c>
      <c r="S247" s="162">
        <f t="shared" si="148"/>
        <v>15.366375450400009</v>
      </c>
      <c r="T247" s="162">
        <f t="shared" si="149"/>
        <v>10244234.933891222</v>
      </c>
      <c r="U247" s="70">
        <f ca="1">IF(Q247=0,N247,IF(R247="Beta",_xlfn.BETA.INV(U244,S247,T247),IF(R247="Lognormal",EXP(NORMINV(U244,S247,T247)),IF(R247="Gamma",_xlfn.GAMMA.INV(U244,S247,T247),IF(R247="Normal",_xlfn.NORM.INV(U244,S247,T247),0)))))</f>
        <v>1.4849103355807358E-6</v>
      </c>
    </row>
    <row r="248" spans="2:22" s="296" customFormat="1" ht="15" customHeight="1" x14ac:dyDescent="0.3">
      <c r="B248" s="313" t="s">
        <v>5</v>
      </c>
      <c r="C248" s="700">
        <f>'VE input'!C217/'Input summary'!$C$167</f>
        <v>1.5E-6</v>
      </c>
      <c r="D248" s="700">
        <f>'VE input'!D217/'Input summary'!$C$167</f>
        <v>7.5000000000000002E-7</v>
      </c>
      <c r="E248" s="700">
        <f>'VE input'!E217/'Input summary'!$C$167</f>
        <v>2.2499999999999996E-6</v>
      </c>
      <c r="F248" s="702">
        <f t="shared" si="150"/>
        <v>3.8265306122448971E-7</v>
      </c>
      <c r="G248" s="160" t="s">
        <v>578</v>
      </c>
      <c r="H248" s="162">
        <f t="shared" si="146"/>
        <v>15.366375450400009</v>
      </c>
      <c r="I248" s="162">
        <f t="shared" si="147"/>
        <v>10244234.933891222</v>
      </c>
      <c r="J248" s="70">
        <f ca="1">IF(F248=0,C248,IF(G248="Beta",_xlfn.BETA.INV(J244,H248,I248),IF(G248="Lognormal",EXP(NORMINV(J244,H248,I248)),IF(G248="Gamma",_xlfn.GAMMA.INV(J244,H248,I248),IF(G248="Normal",_xlfn.NORM.INV(J244,H248,I248),0)))))</f>
        <v>1.4094693697877626E-6</v>
      </c>
      <c r="M248" s="313" t="s">
        <v>5</v>
      </c>
      <c r="N248" s="700">
        <f>'VE input'!C272/'Input summary'!$C$167</f>
        <v>1.5E-6</v>
      </c>
      <c r="O248" s="700">
        <f>'VE input'!D272/'Input summary'!$C$167</f>
        <v>7.5000000000000002E-7</v>
      </c>
      <c r="P248" s="700">
        <f>'VE input'!E272/'Input summary'!$C$167</f>
        <v>2.2499999999999996E-6</v>
      </c>
      <c r="Q248" s="702">
        <f t="shared" si="151"/>
        <v>3.8265306122448971E-7</v>
      </c>
      <c r="R248" s="160" t="s">
        <v>578</v>
      </c>
      <c r="S248" s="162">
        <f t="shared" si="148"/>
        <v>15.366375450400009</v>
      </c>
      <c r="T248" s="162">
        <f t="shared" si="149"/>
        <v>10244234.933891222</v>
      </c>
      <c r="U248" s="70">
        <f ca="1">IF(Q248=0,N248,IF(R248="Beta",_xlfn.BETA.INV(U244,S248,T248),IF(R248="Lognormal",EXP(NORMINV(U244,S248,T248)),IF(R248="Gamma",_xlfn.GAMMA.INV(U244,S248,T248),IF(R248="Normal",_xlfn.NORM.INV(U244,S248,T248),0)))))</f>
        <v>1.4849103355807358E-6</v>
      </c>
    </row>
    <row r="249" spans="2:22" s="296" customFormat="1" ht="15" customHeight="1" x14ac:dyDescent="0.3">
      <c r="B249" s="313" t="s">
        <v>6</v>
      </c>
      <c r="C249" s="700">
        <f>'VE input'!C218/'Input summary'!$C$167</f>
        <v>1.5E-6</v>
      </c>
      <c r="D249" s="700">
        <f>'VE input'!D218/'Input summary'!$C$167</f>
        <v>7.5000000000000002E-7</v>
      </c>
      <c r="E249" s="700">
        <f>'VE input'!E218/'Input summary'!$C$167</f>
        <v>2.2499999999999996E-6</v>
      </c>
      <c r="F249" s="702">
        <f t="shared" si="150"/>
        <v>3.8265306122448971E-7</v>
      </c>
      <c r="G249" s="160" t="s">
        <v>578</v>
      </c>
      <c r="H249" s="162">
        <f t="shared" si="146"/>
        <v>15.366375450400009</v>
      </c>
      <c r="I249" s="162">
        <f t="shared" si="147"/>
        <v>10244234.933891222</v>
      </c>
      <c r="J249" s="70">
        <f ca="1">IF(F249=0,C249,IF(G249="Beta",_xlfn.BETA.INV(J244,H249,I249),IF(G249="Lognormal",EXP(NORMINV(J244,H249,I249)),IF(G249="Gamma",_xlfn.GAMMA.INV(J244,H249,I249),IF(G249="Normal",_xlfn.NORM.INV(J244,H249,I249),0)))))</f>
        <v>1.4094693697877626E-6</v>
      </c>
      <c r="M249" s="313" t="s">
        <v>6</v>
      </c>
      <c r="N249" s="700">
        <f>'VE input'!C273/'Input summary'!$C$167</f>
        <v>1.5E-6</v>
      </c>
      <c r="O249" s="700">
        <f>'VE input'!D273/'Input summary'!$C$167</f>
        <v>7.5000000000000002E-7</v>
      </c>
      <c r="P249" s="700">
        <f>'VE input'!E273/'Input summary'!$C$167</f>
        <v>2.2499999999999996E-6</v>
      </c>
      <c r="Q249" s="702">
        <f t="shared" si="151"/>
        <v>3.8265306122448971E-7</v>
      </c>
      <c r="R249" s="160" t="s">
        <v>578</v>
      </c>
      <c r="S249" s="162">
        <f t="shared" si="148"/>
        <v>15.366375450400009</v>
      </c>
      <c r="T249" s="162">
        <f t="shared" si="149"/>
        <v>10244234.933891222</v>
      </c>
      <c r="U249" s="70">
        <f ca="1">IF(Q249=0,N249,IF(R249="Beta",_xlfn.BETA.INV(U244,S249,T249),IF(R249="Lognormal",EXP(NORMINV(U244,S249,T249)),IF(R249="Gamma",_xlfn.GAMMA.INV(U244,S249,T249),IF(R249="Normal",_xlfn.NORM.INV(U244,S249,T249),0)))))</f>
        <v>1.4849103355807358E-6</v>
      </c>
    </row>
    <row r="250" spans="2:22" s="296" customFormat="1" ht="15" customHeight="1" x14ac:dyDescent="0.3">
      <c r="B250" s="313" t="s">
        <v>7</v>
      </c>
      <c r="C250" s="700">
        <f>'VE input'!C219/'Input summary'!$C$167</f>
        <v>1.5E-6</v>
      </c>
      <c r="D250" s="700">
        <f>'VE input'!D219/'Input summary'!$C$167</f>
        <v>7.5000000000000002E-7</v>
      </c>
      <c r="E250" s="700">
        <f>'VE input'!E219/'Input summary'!$C$167</f>
        <v>2.2499999999999996E-6</v>
      </c>
      <c r="F250" s="702">
        <f t="shared" si="150"/>
        <v>3.8265306122448971E-7</v>
      </c>
      <c r="G250" s="160" t="s">
        <v>578</v>
      </c>
      <c r="H250" s="162">
        <f t="shared" si="146"/>
        <v>15.366375450400009</v>
      </c>
      <c r="I250" s="162">
        <f t="shared" si="147"/>
        <v>10244234.933891222</v>
      </c>
      <c r="J250" s="70">
        <f ca="1">IF(F250=0,C250,IF(G250="Beta",_xlfn.BETA.INV(J244,H250,I250),IF(G250="Lognormal",EXP(NORMINV(J244,H250,I250)),IF(G250="Gamma",_xlfn.GAMMA.INV(J244,H250,I250),IF(G250="Normal",_xlfn.NORM.INV(J244,H250,I250),0)))))</f>
        <v>1.4094693697877626E-6</v>
      </c>
      <c r="M250" s="313" t="s">
        <v>7</v>
      </c>
      <c r="N250" s="700">
        <f>'VE input'!C274/'Input summary'!$C$167</f>
        <v>1.5E-6</v>
      </c>
      <c r="O250" s="700">
        <f>'VE input'!D274/'Input summary'!$C$167</f>
        <v>7.5000000000000002E-7</v>
      </c>
      <c r="P250" s="700">
        <f>'VE input'!E274/'Input summary'!$C$167</f>
        <v>2.2499999999999996E-6</v>
      </c>
      <c r="Q250" s="702">
        <f t="shared" si="151"/>
        <v>3.8265306122448971E-7</v>
      </c>
      <c r="R250" s="160" t="s">
        <v>578</v>
      </c>
      <c r="S250" s="162">
        <f t="shared" si="148"/>
        <v>15.366375450400009</v>
      </c>
      <c r="T250" s="162">
        <f t="shared" si="149"/>
        <v>10244234.933891222</v>
      </c>
      <c r="U250" s="70">
        <f ca="1">IF(Q250=0,N250,IF(R250="Beta",_xlfn.BETA.INV(U244,S250,T250),IF(R250="Lognormal",EXP(NORMINV(U244,S250,T250)),IF(R250="Gamma",_xlfn.GAMMA.INV(U244,S250,T250),IF(R250="Normal",_xlfn.NORM.INV(U244,S250,T250),0)))))</f>
        <v>1.4849103355807358E-6</v>
      </c>
    </row>
    <row r="251" spans="2:22" s="296" customFormat="1" ht="15" customHeight="1" x14ac:dyDescent="0.3">
      <c r="B251" s="313" t="s">
        <v>11</v>
      </c>
      <c r="C251" s="700">
        <f>'VE input'!C220/'Input summary'!$C$167</f>
        <v>1.5E-6</v>
      </c>
      <c r="D251" s="700">
        <f>'VE input'!D220/'Input summary'!$C$167</f>
        <v>7.5000000000000002E-7</v>
      </c>
      <c r="E251" s="700">
        <f>'VE input'!E220/'Input summary'!$C$167</f>
        <v>2.2499999999999996E-6</v>
      </c>
      <c r="F251" s="702">
        <f t="shared" si="150"/>
        <v>3.8265306122448971E-7</v>
      </c>
      <c r="G251" s="160" t="s">
        <v>578</v>
      </c>
      <c r="H251" s="162">
        <f t="shared" si="146"/>
        <v>15.366375450400009</v>
      </c>
      <c r="I251" s="162">
        <f t="shared" si="147"/>
        <v>10244234.933891222</v>
      </c>
      <c r="J251" s="70">
        <f ca="1">IF(F251=0,C251,IF(G251="Beta",_xlfn.BETA.INV(J244,H251,I251),IF(G251="Lognormal",EXP(NORMINV(J244,H251,I251)),IF(G251="Gamma",_xlfn.GAMMA.INV(J244,H251,I251),IF(G251="Normal",_xlfn.NORM.INV(J244,H251,I251),0)))))</f>
        <v>1.4094693697877626E-6</v>
      </c>
      <c r="M251" s="313" t="s">
        <v>11</v>
      </c>
      <c r="N251" s="700">
        <f>'VE input'!C275/'Input summary'!$C$167</f>
        <v>1.5E-6</v>
      </c>
      <c r="O251" s="700">
        <f>'VE input'!D275/'Input summary'!$C$167</f>
        <v>7.5000000000000002E-7</v>
      </c>
      <c r="P251" s="700">
        <f>'VE input'!E275/'Input summary'!$C$167</f>
        <v>2.2499999999999996E-6</v>
      </c>
      <c r="Q251" s="702">
        <f t="shared" si="151"/>
        <v>3.8265306122448971E-7</v>
      </c>
      <c r="R251" s="160" t="s">
        <v>578</v>
      </c>
      <c r="S251" s="162">
        <f t="shared" si="148"/>
        <v>15.366375450400009</v>
      </c>
      <c r="T251" s="162">
        <f t="shared" si="149"/>
        <v>10244234.933891222</v>
      </c>
      <c r="U251" s="70">
        <f ca="1">IF(Q251=0,N251,IF(R251="Beta",_xlfn.BETA.INV(U244,S251,T251),IF(R251="Lognormal",EXP(NORMINV(U244,S251,T251)),IF(R251="Gamma",_xlfn.GAMMA.INV(U244,S251,T251),IF(R251="Normal",_xlfn.NORM.INV(U244,S251,T251),0)))))</f>
        <v>1.4849103355807358E-6</v>
      </c>
    </row>
    <row r="252" spans="2:22" s="296" customFormat="1" x14ac:dyDescent="0.3">
      <c r="B252" s="315" t="s">
        <v>1444</v>
      </c>
      <c r="C252" s="701"/>
      <c r="D252" s="701"/>
      <c r="E252" s="701"/>
      <c r="F252" s="703"/>
      <c r="G252"/>
      <c r="H252" s="141"/>
      <c r="I252" s="141"/>
      <c r="J252" s="291">
        <f ca="1">RAND()</f>
        <v>0.4257885209704233</v>
      </c>
      <c r="M252" s="315" t="s">
        <v>1444</v>
      </c>
      <c r="N252" s="701"/>
      <c r="O252" s="701"/>
      <c r="P252" s="701"/>
      <c r="Q252" s="703"/>
      <c r="R252"/>
      <c r="S252" s="141"/>
      <c r="T252" s="141"/>
      <c r="U252" s="291">
        <f ca="1">RAND()</f>
        <v>0.28055675025645832</v>
      </c>
    </row>
    <row r="253" spans="2:22" s="296" customFormat="1" x14ac:dyDescent="0.3">
      <c r="B253" s="313" t="s">
        <v>2</v>
      </c>
      <c r="C253" s="700">
        <f>'VE input'!C222/'Input summary'!$C$167</f>
        <v>1.5E-6</v>
      </c>
      <c r="D253" s="700">
        <f>'VE input'!D222/'Input summary'!$C$167</f>
        <v>7.5000000000000002E-7</v>
      </c>
      <c r="E253" s="700">
        <f>'VE input'!E222/'Input summary'!$C$167</f>
        <v>2.2499999999999996E-6</v>
      </c>
      <c r="F253" s="702">
        <f>(E253-D253)/(2*1.96)</f>
        <v>3.8265306122448971E-7</v>
      </c>
      <c r="G253" s="160" t="s">
        <v>578</v>
      </c>
      <c r="H253" s="162">
        <f t="shared" ref="H253:H259" si="152">IF(G253="Beta",C253*(C253*(1-C253)/(F253^2)-1),IF(G253="Lognormal",LN(C253^2/SQRT(F253^2+C253^2)),IF(G253="Gamma",C253^2/F253^2,IF(G253="Normal",C253,0))))</f>
        <v>15.366375450400009</v>
      </c>
      <c r="I253" s="162">
        <f t="shared" ref="I253:I259" si="153">IF(G253="Beta",C253*(1-C253)/(F253^2)-1-H253,IF(G253="Lognormal",SQRT(LN(1+F253^2/C253^2)),IF(G253="Gamma",F253^2/C253,IF(G253="Normal",F253,0))))</f>
        <v>10244234.933891222</v>
      </c>
      <c r="J253" s="70">
        <f ca="1">IF(F253=0,C253,IF(G253="Beta",_xlfn.BETA.INV(J252,H253,I253),IF(G253="Lognormal",EXP(NORMINV(J252,H253,I253)),IF(G253="Gamma",_xlfn.GAMMA.INV(J252,H253,I253),IF(G253="Normal",_xlfn.NORM.INV(J252,H253,I253),0)))))</f>
        <v>1.3980348992820152E-6</v>
      </c>
      <c r="M253" s="313" t="s">
        <v>2</v>
      </c>
      <c r="N253" s="700">
        <f>'VE input'!C277/'Input summary'!$C$167</f>
        <v>1.5E-6</v>
      </c>
      <c r="O253" s="700">
        <f>'VE input'!D277/'Input summary'!$C$167</f>
        <v>7.5000000000000002E-7</v>
      </c>
      <c r="P253" s="700">
        <f>'VE input'!E277/'Input summary'!$C$167</f>
        <v>2.2499999999999996E-6</v>
      </c>
      <c r="Q253" s="702">
        <f>(P253-O253)/(2*1.96)</f>
        <v>3.8265306122448971E-7</v>
      </c>
      <c r="R253" s="160" t="s">
        <v>578</v>
      </c>
      <c r="S253" s="162">
        <f t="shared" ref="S253:S259" si="154">IF(R253="Beta",N253*(N253*(1-N253)/(Q253^2)-1),IF(R253="Lognormal",LN(N253^2/SQRT(Q253^2+N253^2)),IF(R253="Gamma",N253^2/Q253^2,IF(R253="Normal",N253,0))))</f>
        <v>15.366375450400009</v>
      </c>
      <c r="T253" s="162">
        <f t="shared" ref="T253:T259" si="155">IF(R253="Beta",N253*(1-N253)/(Q253^2)-1-S253,IF(R253="Lognormal",SQRT(LN(1+Q253^2/N253^2)),IF(R253="Gamma",Q253^2/N253,IF(R253="Normal",Q253,0))))</f>
        <v>10244234.933891222</v>
      </c>
      <c r="U253" s="70">
        <f ca="1">IF(Q253=0,N253,IF(R253="Beta",_xlfn.BETA.INV(U252,S253,T253),IF(R253="Lognormal",EXP(NORMINV(U252,S253,T253)),IF(R253="Gamma",_xlfn.GAMMA.INV(U252,S253,T253),IF(R253="Normal",_xlfn.NORM.INV(U252,S253,T253),0)))))</f>
        <v>1.2588519232034511E-6</v>
      </c>
    </row>
    <row r="254" spans="2:22" s="296" customFormat="1" x14ac:dyDescent="0.3">
      <c r="B254" s="313" t="s">
        <v>3</v>
      </c>
      <c r="C254" s="700">
        <f>'VE input'!C223/'Input summary'!$C$167</f>
        <v>1.5E-6</v>
      </c>
      <c r="D254" s="700">
        <f>'VE input'!D223/'Input summary'!$C$167</f>
        <v>7.5000000000000002E-7</v>
      </c>
      <c r="E254" s="700">
        <f>'VE input'!E223/'Input summary'!$C$167</f>
        <v>2.2499999999999996E-6</v>
      </c>
      <c r="F254" s="702">
        <f t="shared" ref="F254:F259" si="156">(E254-D254)/(2*1.96)</f>
        <v>3.8265306122448971E-7</v>
      </c>
      <c r="G254" s="160" t="s">
        <v>578</v>
      </c>
      <c r="H254" s="162">
        <f t="shared" si="152"/>
        <v>15.366375450400009</v>
      </c>
      <c r="I254" s="162">
        <f t="shared" si="153"/>
        <v>10244234.933891222</v>
      </c>
      <c r="J254" s="70">
        <f ca="1">IF(F254=0,C254,IF(G254="Beta",_xlfn.BETA.INV(J252,H254,I254),IF(G254="Lognormal",EXP(NORMINV(J252,H254,I254)),IF(G254="Gamma",_xlfn.GAMMA.INV(J252,H254,I254),IF(G254="Normal",_xlfn.NORM.INV(J252,H254,I254),0)))))</f>
        <v>1.3980348992820152E-6</v>
      </c>
      <c r="M254" s="313" t="s">
        <v>3</v>
      </c>
      <c r="N254" s="700">
        <f>'VE input'!C278/'Input summary'!$C$167</f>
        <v>1.5E-6</v>
      </c>
      <c r="O254" s="700">
        <f>'VE input'!D278/'Input summary'!$C$167</f>
        <v>7.5000000000000002E-7</v>
      </c>
      <c r="P254" s="700">
        <f>'VE input'!E278/'Input summary'!$C$167</f>
        <v>2.2499999999999996E-6</v>
      </c>
      <c r="Q254" s="702">
        <f t="shared" ref="Q254:Q259" si="157">(P254-O254)/(2*1.96)</f>
        <v>3.8265306122448971E-7</v>
      </c>
      <c r="R254" s="160" t="s">
        <v>578</v>
      </c>
      <c r="S254" s="162">
        <f t="shared" si="154"/>
        <v>15.366375450400009</v>
      </c>
      <c r="T254" s="162">
        <f t="shared" si="155"/>
        <v>10244234.933891222</v>
      </c>
      <c r="U254" s="70">
        <f ca="1">IF(Q254=0,N254,IF(R254="Beta",_xlfn.BETA.INV(U252,S254,T254),IF(R254="Lognormal",EXP(NORMINV(U252,S254,T254)),IF(R254="Gamma",_xlfn.GAMMA.INV(U252,S254,T254),IF(R254="Normal",_xlfn.NORM.INV(U252,S254,T254),0)))))</f>
        <v>1.2588519232034511E-6</v>
      </c>
    </row>
    <row r="255" spans="2:22" s="296" customFormat="1" x14ac:dyDescent="0.3">
      <c r="B255" s="313" t="s">
        <v>4</v>
      </c>
      <c r="C255" s="700">
        <f>'VE input'!C224/'Input summary'!$C$167</f>
        <v>1.5E-6</v>
      </c>
      <c r="D255" s="700">
        <f>'VE input'!D224/'Input summary'!$C$167</f>
        <v>7.5000000000000002E-7</v>
      </c>
      <c r="E255" s="700">
        <f>'VE input'!E224/'Input summary'!$C$167</f>
        <v>2.2499999999999996E-6</v>
      </c>
      <c r="F255" s="702">
        <f t="shared" si="156"/>
        <v>3.8265306122448971E-7</v>
      </c>
      <c r="G255" s="160" t="s">
        <v>578</v>
      </c>
      <c r="H255" s="162">
        <f t="shared" si="152"/>
        <v>15.366375450400009</v>
      </c>
      <c r="I255" s="162">
        <f t="shared" si="153"/>
        <v>10244234.933891222</v>
      </c>
      <c r="J255" s="70">
        <f ca="1">IF(F255=0,C255,IF(G255="Beta",_xlfn.BETA.INV(J252,H255,I255),IF(G255="Lognormal",EXP(NORMINV(J252,H255,I255)),IF(G255="Gamma",_xlfn.GAMMA.INV(J252,H255,I255),IF(G255="Normal",_xlfn.NORM.INV(J252,H255,I255),0)))))</f>
        <v>1.3980348992820152E-6</v>
      </c>
      <c r="M255" s="313" t="s">
        <v>4</v>
      </c>
      <c r="N255" s="700">
        <f>'VE input'!C279/'Input summary'!$C$167</f>
        <v>1.5E-6</v>
      </c>
      <c r="O255" s="700">
        <f>'VE input'!D279/'Input summary'!$C$167</f>
        <v>7.5000000000000002E-7</v>
      </c>
      <c r="P255" s="700">
        <f>'VE input'!E279/'Input summary'!$C$167</f>
        <v>2.2499999999999996E-6</v>
      </c>
      <c r="Q255" s="702">
        <f t="shared" si="157"/>
        <v>3.8265306122448971E-7</v>
      </c>
      <c r="R255" s="160" t="s">
        <v>578</v>
      </c>
      <c r="S255" s="162">
        <f t="shared" si="154"/>
        <v>15.366375450400009</v>
      </c>
      <c r="T255" s="162">
        <f t="shared" si="155"/>
        <v>10244234.933891222</v>
      </c>
      <c r="U255" s="70">
        <f ca="1">IF(Q255=0,N255,IF(R255="Beta",_xlfn.BETA.INV(U252,S255,T255),IF(R255="Lognormal",EXP(NORMINV(U252,S255,T255)),IF(R255="Gamma",_xlfn.GAMMA.INV(U252,S255,T255),IF(R255="Normal",_xlfn.NORM.INV(U252,S255,T255),0)))))</f>
        <v>1.2588519232034511E-6</v>
      </c>
    </row>
    <row r="256" spans="2:22" s="296" customFormat="1" x14ac:dyDescent="0.3">
      <c r="B256" s="313" t="s">
        <v>5</v>
      </c>
      <c r="C256" s="700">
        <f>'VE input'!C225/'Input summary'!$C$167</f>
        <v>1.5E-6</v>
      </c>
      <c r="D256" s="700">
        <f>'VE input'!D225/'Input summary'!$C$167</f>
        <v>7.5000000000000002E-7</v>
      </c>
      <c r="E256" s="700">
        <f>'VE input'!E225/'Input summary'!$C$167</f>
        <v>2.2499999999999996E-6</v>
      </c>
      <c r="F256" s="702">
        <f t="shared" si="156"/>
        <v>3.8265306122448971E-7</v>
      </c>
      <c r="G256" s="160" t="s">
        <v>578</v>
      </c>
      <c r="H256" s="162">
        <f t="shared" si="152"/>
        <v>15.366375450400009</v>
      </c>
      <c r="I256" s="162">
        <f t="shared" si="153"/>
        <v>10244234.933891222</v>
      </c>
      <c r="J256" s="70">
        <f ca="1">IF(F256=0,C256,IF(G256="Beta",_xlfn.BETA.INV(J252,H256,I256),IF(G256="Lognormal",EXP(NORMINV(J252,H256,I256)),IF(G256="Gamma",_xlfn.GAMMA.INV(J252,H256,I256),IF(G256="Normal",_xlfn.NORM.INV(J252,H256,I256),0)))))</f>
        <v>1.3980348992820152E-6</v>
      </c>
      <c r="M256" s="313" t="s">
        <v>5</v>
      </c>
      <c r="N256" s="700">
        <f>'VE input'!C280/'Input summary'!$C$167</f>
        <v>1.5E-6</v>
      </c>
      <c r="O256" s="700">
        <f>'VE input'!D280/'Input summary'!$C$167</f>
        <v>7.5000000000000002E-7</v>
      </c>
      <c r="P256" s="700">
        <f>'VE input'!E280/'Input summary'!$C$167</f>
        <v>2.2499999999999996E-6</v>
      </c>
      <c r="Q256" s="702">
        <f t="shared" si="157"/>
        <v>3.8265306122448971E-7</v>
      </c>
      <c r="R256" s="160" t="s">
        <v>578</v>
      </c>
      <c r="S256" s="162">
        <f t="shared" si="154"/>
        <v>15.366375450400009</v>
      </c>
      <c r="T256" s="162">
        <f t="shared" si="155"/>
        <v>10244234.933891222</v>
      </c>
      <c r="U256" s="70">
        <f ca="1">IF(Q256=0,N256,IF(R256="Beta",_xlfn.BETA.INV(U252,S256,T256),IF(R256="Lognormal",EXP(NORMINV(U252,S256,T256)),IF(R256="Gamma",_xlfn.GAMMA.INV(U252,S256,T256),IF(R256="Normal",_xlfn.NORM.INV(U252,S256,T256),0)))))</f>
        <v>1.2588519232034511E-6</v>
      </c>
    </row>
    <row r="257" spans="2:27" s="296" customFormat="1" x14ac:dyDescent="0.3">
      <c r="B257" s="313" t="s">
        <v>6</v>
      </c>
      <c r="C257" s="700">
        <f>'VE input'!C226/'Input summary'!$C$167</f>
        <v>1.5E-6</v>
      </c>
      <c r="D257" s="700">
        <f>'VE input'!D226/'Input summary'!$C$167</f>
        <v>7.5000000000000002E-7</v>
      </c>
      <c r="E257" s="700">
        <f>'VE input'!E226/'Input summary'!$C$167</f>
        <v>2.2499999999999996E-6</v>
      </c>
      <c r="F257" s="702">
        <f t="shared" si="156"/>
        <v>3.8265306122448971E-7</v>
      </c>
      <c r="G257" s="160" t="s">
        <v>578</v>
      </c>
      <c r="H257" s="162">
        <f t="shared" si="152"/>
        <v>15.366375450400009</v>
      </c>
      <c r="I257" s="162">
        <f t="shared" si="153"/>
        <v>10244234.933891222</v>
      </c>
      <c r="J257" s="70">
        <f ca="1">IF(F257=0,C257,IF(G257="Beta",_xlfn.BETA.INV(J252,H257,I257),IF(G257="Lognormal",EXP(NORMINV(J252,H257,I257)),IF(G257="Gamma",_xlfn.GAMMA.INV(J252,H257,I257),IF(G257="Normal",_xlfn.NORM.INV(J252,H257,I257),0)))))</f>
        <v>1.3980348992820152E-6</v>
      </c>
      <c r="M257" s="313" t="s">
        <v>6</v>
      </c>
      <c r="N257" s="700">
        <f>'VE input'!C281/'Input summary'!$C$167</f>
        <v>1.5E-6</v>
      </c>
      <c r="O257" s="700">
        <f>'VE input'!D281/'Input summary'!$C$167</f>
        <v>7.5000000000000002E-7</v>
      </c>
      <c r="P257" s="700">
        <f>'VE input'!E281/'Input summary'!$C$167</f>
        <v>2.2499999999999996E-6</v>
      </c>
      <c r="Q257" s="702">
        <f t="shared" si="157"/>
        <v>3.8265306122448971E-7</v>
      </c>
      <c r="R257" s="160" t="s">
        <v>578</v>
      </c>
      <c r="S257" s="162">
        <f t="shared" si="154"/>
        <v>15.366375450400009</v>
      </c>
      <c r="T257" s="162">
        <f t="shared" si="155"/>
        <v>10244234.933891222</v>
      </c>
      <c r="U257" s="70">
        <f ca="1">IF(Q257=0,N257,IF(R257="Beta",_xlfn.BETA.INV(U252,S257,T257),IF(R257="Lognormal",EXP(NORMINV(U252,S257,T257)),IF(R257="Gamma",_xlfn.GAMMA.INV(U252,S257,T257),IF(R257="Normal",_xlfn.NORM.INV(U252,S257,T257),0)))))</f>
        <v>1.2588519232034511E-6</v>
      </c>
    </row>
    <row r="258" spans="2:27" s="296" customFormat="1" x14ac:dyDescent="0.3">
      <c r="B258" s="313" t="s">
        <v>7</v>
      </c>
      <c r="C258" s="700">
        <f>'VE input'!C227/'Input summary'!$C$167</f>
        <v>1.5E-6</v>
      </c>
      <c r="D258" s="700">
        <f>'VE input'!D227/'Input summary'!$C$167</f>
        <v>7.5000000000000002E-7</v>
      </c>
      <c r="E258" s="700">
        <f>'VE input'!E227/'Input summary'!$C$167</f>
        <v>2.2499999999999996E-6</v>
      </c>
      <c r="F258" s="702">
        <f t="shared" si="156"/>
        <v>3.8265306122448971E-7</v>
      </c>
      <c r="G258" s="160" t="s">
        <v>578</v>
      </c>
      <c r="H258" s="162">
        <f t="shared" si="152"/>
        <v>15.366375450400009</v>
      </c>
      <c r="I258" s="162">
        <f t="shared" si="153"/>
        <v>10244234.933891222</v>
      </c>
      <c r="J258" s="70">
        <f ca="1">IF(F258=0,C258,IF(G258="Beta",_xlfn.BETA.INV(J252,H258,I258),IF(G258="Lognormal",EXP(NORMINV(J252,H258,I258)),IF(G258="Gamma",_xlfn.GAMMA.INV(J252,H258,I258),IF(G258="Normal",_xlfn.NORM.INV(J252,H258,I258),0)))))</f>
        <v>1.3980348992820152E-6</v>
      </c>
      <c r="M258" s="313" t="s">
        <v>7</v>
      </c>
      <c r="N258" s="700">
        <f>'VE input'!C282/'Input summary'!$C$167</f>
        <v>1.5E-6</v>
      </c>
      <c r="O258" s="700">
        <f>'VE input'!D282/'Input summary'!$C$167</f>
        <v>7.5000000000000002E-7</v>
      </c>
      <c r="P258" s="700">
        <f>'VE input'!E282/'Input summary'!$C$167</f>
        <v>2.2499999999999996E-6</v>
      </c>
      <c r="Q258" s="702">
        <f t="shared" si="157"/>
        <v>3.8265306122448971E-7</v>
      </c>
      <c r="R258" s="160" t="s">
        <v>578</v>
      </c>
      <c r="S258" s="162">
        <f t="shared" si="154"/>
        <v>15.366375450400009</v>
      </c>
      <c r="T258" s="162">
        <f t="shared" si="155"/>
        <v>10244234.933891222</v>
      </c>
      <c r="U258" s="70">
        <f ca="1">IF(Q258=0,N258,IF(R258="Beta",_xlfn.BETA.INV(U252,S258,T258),IF(R258="Lognormal",EXP(NORMINV(U252,S258,T258)),IF(R258="Gamma",_xlfn.GAMMA.INV(U252,S258,T258),IF(R258="Normal",_xlfn.NORM.INV(U252,S258,T258),0)))))</f>
        <v>1.2588519232034511E-6</v>
      </c>
    </row>
    <row r="259" spans="2:27" s="296" customFormat="1" x14ac:dyDescent="0.3">
      <c r="B259" s="313" t="s">
        <v>11</v>
      </c>
      <c r="C259" s="700">
        <f>'VE input'!C228/'Input summary'!$C$167</f>
        <v>1.5E-6</v>
      </c>
      <c r="D259" s="700">
        <f>'VE input'!D228/'Input summary'!$C$167</f>
        <v>7.5000000000000002E-7</v>
      </c>
      <c r="E259" s="700">
        <f>'VE input'!E228/'Input summary'!$C$167</f>
        <v>2.2499999999999996E-6</v>
      </c>
      <c r="F259" s="702">
        <f t="shared" si="156"/>
        <v>3.8265306122448971E-7</v>
      </c>
      <c r="G259" s="160" t="s">
        <v>578</v>
      </c>
      <c r="H259" s="162">
        <f t="shared" si="152"/>
        <v>15.366375450400009</v>
      </c>
      <c r="I259" s="162">
        <f t="shared" si="153"/>
        <v>10244234.933891222</v>
      </c>
      <c r="J259" s="70">
        <f ca="1">IF(F259=0,C259,IF(G259="Beta",_xlfn.BETA.INV(J252,H259,I259),IF(G259="Lognormal",EXP(NORMINV(J252,H259,I259)),IF(G259="Gamma",_xlfn.GAMMA.INV(J252,H259,I259),IF(G259="Normal",_xlfn.NORM.INV(J252,H259,I259),0)))))</f>
        <v>1.3980348992820152E-6</v>
      </c>
      <c r="M259" s="313" t="s">
        <v>11</v>
      </c>
      <c r="N259" s="700">
        <f>'VE input'!C283/'Input summary'!$C$167</f>
        <v>1.5E-6</v>
      </c>
      <c r="O259" s="700">
        <f>'VE input'!D283/'Input summary'!$C$167</f>
        <v>7.5000000000000002E-7</v>
      </c>
      <c r="P259" s="700">
        <f>'VE input'!E283/'Input summary'!$C$167</f>
        <v>2.2499999999999996E-6</v>
      </c>
      <c r="Q259" s="702">
        <f t="shared" si="157"/>
        <v>3.8265306122448971E-7</v>
      </c>
      <c r="R259" s="160" t="s">
        <v>578</v>
      </c>
      <c r="S259" s="162">
        <f t="shared" si="154"/>
        <v>15.366375450400009</v>
      </c>
      <c r="T259" s="162">
        <f t="shared" si="155"/>
        <v>10244234.933891222</v>
      </c>
      <c r="U259" s="70">
        <f ca="1">IF(Q259=0,N259,IF(R259="Beta",_xlfn.BETA.INV(U252,S259,T259),IF(R259="Lognormal",EXP(NORMINV(U252,S259,T259)),IF(R259="Gamma",_xlfn.GAMMA.INV(U252,S259,T259),IF(R259="Normal",_xlfn.NORM.INV(U252,S259,T259),0)))))</f>
        <v>1.2588519232034511E-6</v>
      </c>
    </row>
    <row r="260" spans="2:27" s="296" customFormat="1" ht="15" customHeight="1" x14ac:dyDescent="0.3">
      <c r="B260" s="207" t="s">
        <v>227</v>
      </c>
      <c r="C260" s="701"/>
      <c r="D260" s="701"/>
      <c r="E260" s="701"/>
      <c r="F260" s="703"/>
      <c r="G260" s="162"/>
      <c r="H260" s="162"/>
      <c r="I260" s="162"/>
      <c r="J260" s="291">
        <f ca="1">RAND()</f>
        <v>0.80845537040924553</v>
      </c>
      <c r="M260" s="207" t="s">
        <v>227</v>
      </c>
      <c r="N260" s="701"/>
      <c r="O260" s="701"/>
      <c r="P260" s="701"/>
      <c r="Q260" s="703"/>
      <c r="R260" s="162"/>
      <c r="S260" s="162"/>
      <c r="T260" s="162"/>
      <c r="U260" s="291">
        <f ca="1">RAND()</f>
        <v>6.2305572875459014E-2</v>
      </c>
    </row>
    <row r="261" spans="2:27" s="296" customFormat="1" ht="15" customHeight="1" x14ac:dyDescent="0.3">
      <c r="B261" s="206" t="s">
        <v>1437</v>
      </c>
      <c r="C261" s="700">
        <f>'VE input'!C230/'Input summary'!$C$167</f>
        <v>1.5E-6</v>
      </c>
      <c r="D261" s="700">
        <f>'VE input'!D230/'Input summary'!$C$167</f>
        <v>7.5000000000000002E-7</v>
      </c>
      <c r="E261" s="700">
        <f>'VE input'!E230/'Input summary'!$C$167</f>
        <v>2.2499999999999996E-6</v>
      </c>
      <c r="F261" s="702">
        <f t="shared" ref="F261:F264" si="158">(E261-D261)/(2*1.96)</f>
        <v>3.8265306122448971E-7</v>
      </c>
      <c r="G261" s="160" t="s">
        <v>578</v>
      </c>
      <c r="H261" s="162">
        <f t="shared" ref="H261:H264" si="159">IF(G261="Beta",C261*(C261*(1-C261)/(F261^2)-1),IF(G261="Lognormal",LN(C261^2/SQRT(F261^2+C261^2)),IF(G261="Gamma",C261^2/F261^2,IF(G261="Normal",C261,0))))</f>
        <v>15.366375450400009</v>
      </c>
      <c r="I261" s="162">
        <f t="shared" ref="I261:I264" si="160">IF(G261="Beta",C261*(1-C261)/(F261^2)-1-H261,IF(G261="Lognormal",SQRT(LN(1+F261^2/C261^2)),IF(G261="Gamma",F261^2/C261,IF(G261="Normal",F261,0))))</f>
        <v>10244234.933891222</v>
      </c>
      <c r="J261" s="70">
        <f ca="1">IF(F261=0,C261,IF(G261="Beta",_xlfn.BETA.INV(J260,H261,I261),IF(G261="Lognormal",EXP(NORMINV(J260,H261,I261)),IF(G261="Gamma",_xlfn.GAMMA.INV(J260,H261,I261),IF(G261="Normal",_xlfn.NORM.INV(J260,H261,I261),0)))))</f>
        <v>1.822271603280079E-6</v>
      </c>
      <c r="M261" s="206" t="s">
        <v>1437</v>
      </c>
      <c r="N261" s="700">
        <f>'VE input'!C285/'Input summary'!$C$167</f>
        <v>1.5E-6</v>
      </c>
      <c r="O261" s="700">
        <f>'VE input'!D285/'Input summary'!$C$167</f>
        <v>7.5000000000000002E-7</v>
      </c>
      <c r="P261" s="700">
        <f>'VE input'!E285/'Input summary'!$C$167</f>
        <v>2.2499999999999996E-6</v>
      </c>
      <c r="Q261" s="702">
        <f t="shared" ref="Q261:Q264" si="161">(P261-O261)/(2*1.96)</f>
        <v>3.8265306122448971E-7</v>
      </c>
      <c r="R261" s="160" t="s">
        <v>578</v>
      </c>
      <c r="S261" s="162">
        <f t="shared" ref="S261:S264" si="162">IF(R261="Beta",N261*(N261*(1-N261)/(Q261^2)-1),IF(R261="Lognormal",LN(N261^2/SQRT(Q261^2+N261^2)),IF(R261="Gamma",N261^2/Q261^2,IF(R261="Normal",N261,0))))</f>
        <v>15.366375450400009</v>
      </c>
      <c r="T261" s="162">
        <f t="shared" ref="T261:T264" si="163">IF(R261="Beta",N261*(1-N261)/(Q261^2)-1-S261,IF(R261="Lognormal",SQRT(LN(1+Q261^2/N261^2)),IF(R261="Gamma",Q261^2/N261,IF(R261="Normal",Q261,0))))</f>
        <v>10244234.933891222</v>
      </c>
      <c r="U261" s="70">
        <f ca="1">IF(Q261=0,N261,IF(R261="Beta",_xlfn.BETA.INV(U260,S261,T261),IF(R261="Lognormal",EXP(NORMINV(U260,S261,T261)),IF(R261="Gamma",_xlfn.GAMMA.INV(U260,S261,T261),IF(R261="Normal",_xlfn.NORM.INV(U260,S261,T261),0)))))</f>
        <v>9.6133491008771197E-7</v>
      </c>
    </row>
    <row r="262" spans="2:27" s="296" customFormat="1" ht="15" customHeight="1" x14ac:dyDescent="0.3">
      <c r="B262" s="206" t="s">
        <v>1438</v>
      </c>
      <c r="C262" s="700">
        <f>'VE input'!C231/'Input summary'!$C$167</f>
        <v>1.5E-6</v>
      </c>
      <c r="D262" s="700">
        <f>'VE input'!D231/'Input summary'!$C$167</f>
        <v>7.5000000000000002E-7</v>
      </c>
      <c r="E262" s="700">
        <f>'VE input'!E231/'Input summary'!$C$167</f>
        <v>2.2499999999999996E-6</v>
      </c>
      <c r="F262" s="702">
        <f t="shared" si="158"/>
        <v>3.8265306122448971E-7</v>
      </c>
      <c r="G262" s="160" t="s">
        <v>578</v>
      </c>
      <c r="H262" s="162">
        <f t="shared" si="159"/>
        <v>15.366375450400009</v>
      </c>
      <c r="I262" s="162">
        <f t="shared" si="160"/>
        <v>10244234.933891222</v>
      </c>
      <c r="J262" s="70">
        <f ca="1">IF(F262=0,C262,IF(G262="Beta",_xlfn.BETA.INV(J260,H262,I262),IF(G262="Lognormal",EXP(NORMINV(J260,H262,I262)),IF(G262="Gamma",_xlfn.GAMMA.INV(J260,H262,I262),IF(G262="Normal",_xlfn.NORM.INV(J260,H262,I262),0)))))</f>
        <v>1.822271603280079E-6</v>
      </c>
      <c r="M262" s="206" t="s">
        <v>1438</v>
      </c>
      <c r="N262" s="700">
        <f>'VE input'!C286/'Input summary'!$C$167</f>
        <v>1.5E-6</v>
      </c>
      <c r="O262" s="700">
        <f>'VE input'!D286/'Input summary'!$C$167</f>
        <v>7.5000000000000002E-7</v>
      </c>
      <c r="P262" s="700">
        <f>'VE input'!E286/'Input summary'!$C$167</f>
        <v>2.2499999999999996E-6</v>
      </c>
      <c r="Q262" s="702">
        <f t="shared" si="161"/>
        <v>3.8265306122448971E-7</v>
      </c>
      <c r="R262" s="160" t="s">
        <v>578</v>
      </c>
      <c r="S262" s="162">
        <f t="shared" si="162"/>
        <v>15.366375450400009</v>
      </c>
      <c r="T262" s="162">
        <f t="shared" si="163"/>
        <v>10244234.933891222</v>
      </c>
      <c r="U262" s="70">
        <f ca="1">IF(Q262=0,N262,IF(R262="Beta",_xlfn.BETA.INV(U260,S262,T262),IF(R262="Lognormal",EXP(NORMINV(U260,S262,T262)),IF(R262="Gamma",_xlfn.GAMMA.INV(U260,S262,T262),IF(R262="Normal",_xlfn.NORM.INV(U260,S262,T262),0)))))</f>
        <v>9.6133491008771197E-7</v>
      </c>
    </row>
    <row r="263" spans="2:27" s="296" customFormat="1" ht="15" customHeight="1" x14ac:dyDescent="0.3">
      <c r="B263" s="206" t="s">
        <v>1441</v>
      </c>
      <c r="C263" s="700">
        <f>'VE input'!C232/'Input summary'!$C$167</f>
        <v>1.5E-6</v>
      </c>
      <c r="D263" s="700">
        <f>'VE input'!D232/'Input summary'!$C$167</f>
        <v>7.5000000000000002E-7</v>
      </c>
      <c r="E263" s="700">
        <f>'VE input'!E232/'Input summary'!$C$167</f>
        <v>2.2499999999999996E-6</v>
      </c>
      <c r="F263" s="702">
        <f t="shared" si="158"/>
        <v>3.8265306122448971E-7</v>
      </c>
      <c r="G263" s="160" t="s">
        <v>578</v>
      </c>
      <c r="H263" s="162">
        <f t="shared" si="159"/>
        <v>15.366375450400009</v>
      </c>
      <c r="I263" s="162">
        <f t="shared" si="160"/>
        <v>10244234.933891222</v>
      </c>
      <c r="J263" s="70">
        <f ca="1">IF(F263=0,C263,IF(G263="Beta",_xlfn.BETA.INV(J260,H263,I263),IF(G263="Lognormal",EXP(NORMINV(J260,H263,I263)),IF(G263="Gamma",_xlfn.GAMMA.INV(J260,H263,I263),IF(G263="Normal",_xlfn.NORM.INV(J260,H263,I263),0)))))</f>
        <v>1.822271603280079E-6</v>
      </c>
      <c r="M263" s="206" t="s">
        <v>1441</v>
      </c>
      <c r="N263" s="700">
        <f>'VE input'!C287/'Input summary'!$C$167</f>
        <v>1.5E-6</v>
      </c>
      <c r="O263" s="700">
        <f>'VE input'!D287/'Input summary'!$C$167</f>
        <v>7.5000000000000002E-7</v>
      </c>
      <c r="P263" s="700">
        <f>'VE input'!E287/'Input summary'!$C$167</f>
        <v>2.2499999999999996E-6</v>
      </c>
      <c r="Q263" s="702">
        <f t="shared" si="161"/>
        <v>3.8265306122448971E-7</v>
      </c>
      <c r="R263" s="160" t="s">
        <v>578</v>
      </c>
      <c r="S263" s="162">
        <f t="shared" si="162"/>
        <v>15.366375450400009</v>
      </c>
      <c r="T263" s="162">
        <f t="shared" si="163"/>
        <v>10244234.933891222</v>
      </c>
      <c r="U263" s="70">
        <f ca="1">IF(Q263=0,N263,IF(R263="Beta",_xlfn.BETA.INV(U260,S263,T263),IF(R263="Lognormal",EXP(NORMINV(U260,S263,T263)),IF(R263="Gamma",_xlfn.GAMMA.INV(U260,S263,T263),IF(R263="Normal",_xlfn.NORM.INV(U260,S263,T263),0)))))</f>
        <v>9.6133491008771197E-7</v>
      </c>
    </row>
    <row r="264" spans="2:27" s="296" customFormat="1" ht="15" customHeight="1" x14ac:dyDescent="0.3">
      <c r="B264" s="206" t="s">
        <v>1442</v>
      </c>
      <c r="C264" s="700">
        <f>'VE input'!C233/'Input summary'!$C$167</f>
        <v>1.5E-6</v>
      </c>
      <c r="D264" s="700">
        <f>'VE input'!D233/'Input summary'!$C$167</f>
        <v>7.5000000000000002E-7</v>
      </c>
      <c r="E264" s="700">
        <f>'VE input'!E233/'Input summary'!$C$167</f>
        <v>2.2499999999999996E-6</v>
      </c>
      <c r="F264" s="702">
        <f t="shared" si="158"/>
        <v>3.8265306122448971E-7</v>
      </c>
      <c r="G264" s="160" t="s">
        <v>578</v>
      </c>
      <c r="H264" s="162">
        <f t="shared" si="159"/>
        <v>15.366375450400009</v>
      </c>
      <c r="I264" s="162">
        <f t="shared" si="160"/>
        <v>10244234.933891222</v>
      </c>
      <c r="J264" s="70">
        <f ca="1">IF(F264=0,C264,IF(G264="Beta",_xlfn.BETA.INV(J260,H264,I264),IF(G264="Lognormal",EXP(NORMINV(J260,H264,I264)),IF(G264="Gamma",_xlfn.GAMMA.INV(J260,H264,I264),IF(G264="Normal",_xlfn.NORM.INV(J260,H264,I264),0)))))</f>
        <v>1.822271603280079E-6</v>
      </c>
      <c r="M264" s="206" t="s">
        <v>1442</v>
      </c>
      <c r="N264" s="700">
        <f>'VE input'!C288/'Input summary'!$C$167</f>
        <v>1.5E-6</v>
      </c>
      <c r="O264" s="700">
        <f>'VE input'!D288/'Input summary'!$C$167</f>
        <v>7.5000000000000002E-7</v>
      </c>
      <c r="P264" s="700">
        <f>'VE input'!E288/'Input summary'!$C$167</f>
        <v>2.2499999999999996E-6</v>
      </c>
      <c r="Q264" s="702">
        <f t="shared" si="161"/>
        <v>3.8265306122448971E-7</v>
      </c>
      <c r="R264" s="160" t="s">
        <v>578</v>
      </c>
      <c r="S264" s="162">
        <f t="shared" si="162"/>
        <v>15.366375450400009</v>
      </c>
      <c r="T264" s="162">
        <f t="shared" si="163"/>
        <v>10244234.933891222</v>
      </c>
      <c r="U264" s="70">
        <f ca="1">IF(Q264=0,N264,IF(R264="Beta",_xlfn.BETA.INV(U260,S264,T264),IF(R264="Lognormal",EXP(NORMINV(U260,S264,T264)),IF(R264="Gamma",_xlfn.GAMMA.INV(U260,S264,T264),IF(R264="Normal",_xlfn.NORM.INV(U260,S264,T264),0)))))</f>
        <v>9.6133491008771197E-7</v>
      </c>
    </row>
    <row r="265" spans="2:27" s="296" customFormat="1" ht="15" customHeight="1" x14ac:dyDescent="0.3">
      <c r="B265" s="207" t="s">
        <v>920</v>
      </c>
      <c r="C265" s="701"/>
      <c r="D265" s="701"/>
      <c r="E265" s="701"/>
      <c r="F265" s="703"/>
      <c r="G265" s="162"/>
      <c r="H265" s="162"/>
      <c r="I265" s="162"/>
      <c r="J265" s="291">
        <f ca="1">RAND()</f>
        <v>0.28365585176784114</v>
      </c>
      <c r="M265" s="207" t="s">
        <v>920</v>
      </c>
      <c r="N265" s="701"/>
      <c r="O265" s="701"/>
      <c r="P265" s="701"/>
      <c r="Q265" s="703"/>
      <c r="R265" s="162"/>
      <c r="S265" s="162"/>
      <c r="T265" s="162"/>
      <c r="U265" s="291">
        <f ca="1">RAND()</f>
        <v>0.74591951631537434</v>
      </c>
    </row>
    <row r="266" spans="2:27" s="296" customFormat="1" ht="15" customHeight="1" x14ac:dyDescent="0.3">
      <c r="B266" s="206" t="s">
        <v>920</v>
      </c>
      <c r="C266" s="700">
        <f>'VE input'!C235/'Input summary'!$C$167</f>
        <v>1.5E-6</v>
      </c>
      <c r="D266" s="700">
        <f>'VE input'!D235/'Input summary'!$C$167</f>
        <v>7.5000000000000002E-7</v>
      </c>
      <c r="E266" s="700">
        <f>'VE input'!E235/'Input summary'!$C$167</f>
        <v>2.2499999999999996E-6</v>
      </c>
      <c r="F266" s="702">
        <f t="shared" ref="F266:F267" si="164">(E266-D266)/(2*1.96)</f>
        <v>3.8265306122448971E-7</v>
      </c>
      <c r="G266" s="160" t="s">
        <v>578</v>
      </c>
      <c r="H266" s="162">
        <f t="shared" ref="H266:H267" si="165">IF(G266="Beta",C266*(C266*(1-C266)/(F266^2)-1),IF(G266="Lognormal",LN(C266^2/SQRT(F266^2+C266^2)),IF(G266="Gamma",C266^2/F266^2,IF(G266="Normal",C266,0))))</f>
        <v>15.366375450400009</v>
      </c>
      <c r="I266" s="162">
        <f t="shared" ref="I266:I267" si="166">IF(G266="Beta",C266*(1-C266)/(F266^2)-1-H266,IF(G266="Lognormal",SQRT(LN(1+F266^2/C266^2)),IF(G266="Gamma",F266^2/C266,IF(G266="Normal",F266,0))))</f>
        <v>10244234.933891222</v>
      </c>
      <c r="J266" s="70">
        <f ca="1">IF(F266=0,C266,IF(G266="Beta",_xlfn.BETA.INV(J265,H266,I266),IF(G266="Lognormal",EXP(NORMINV(J265,H266,I266)),IF(G266="Gamma",_xlfn.GAMMA.INV(J265,H266,I266),IF(G266="Normal",_xlfn.NORM.INV(J265,H266,I266),0)))))</f>
        <v>1.2619804912205568E-6</v>
      </c>
      <c r="M266" s="206" t="s">
        <v>920</v>
      </c>
      <c r="N266" s="700">
        <f>'VE input'!C290/'Input summary'!$C$167</f>
        <v>1.5E-6</v>
      </c>
      <c r="O266" s="700">
        <f>'VE input'!D290/'Input summary'!$C$167</f>
        <v>7.5000000000000002E-7</v>
      </c>
      <c r="P266" s="700">
        <f>'VE input'!E290/'Input summary'!$C$167</f>
        <v>2.2499999999999996E-6</v>
      </c>
      <c r="Q266" s="702">
        <f t="shared" ref="Q266:Q267" si="167">(P266-O266)/(2*1.96)</f>
        <v>3.8265306122448971E-7</v>
      </c>
      <c r="R266" s="160" t="s">
        <v>578</v>
      </c>
      <c r="S266" s="162">
        <f t="shared" ref="S266:S267" si="168">IF(R266="Beta",N266*(N266*(1-N266)/(Q266^2)-1),IF(R266="Lognormal",LN(N266^2/SQRT(Q266^2+N266^2)),IF(R266="Gamma",N266^2/Q266^2,IF(R266="Normal",N266,0))))</f>
        <v>15.366375450400009</v>
      </c>
      <c r="T266" s="162">
        <f t="shared" ref="T266:T267" si="169">IF(R266="Beta",N266*(1-N266)/(Q266^2)-1-S266,IF(R266="Lognormal",SQRT(LN(1+Q266^2/N266^2)),IF(R266="Gamma",Q266^2/N266,IF(R266="Normal",Q266,0))))</f>
        <v>10244234.933891222</v>
      </c>
      <c r="U266" s="70">
        <f ca="1">IF(Q266=0,N266,IF(R266="Beta",_xlfn.BETA.INV(U265,S266,T266),IF(R266="Lognormal",EXP(NORMINV(U265,S266,T266)),IF(R266="Gamma",_xlfn.GAMMA.INV(U265,S266,T266),IF(R266="Normal",_xlfn.NORM.INV(U265,S266,T266),0)))))</f>
        <v>1.7319984436658942E-6</v>
      </c>
    </row>
    <row r="267" spans="2:27" s="296" customFormat="1" ht="15" customHeight="1" x14ac:dyDescent="0.3">
      <c r="B267" s="206" t="s">
        <v>980</v>
      </c>
      <c r="C267" s="700">
        <f>'VE input'!C236/'Input summary'!$C$167</f>
        <v>1.5E-6</v>
      </c>
      <c r="D267" s="700">
        <f>'VE input'!D236/'Input summary'!$C$167</f>
        <v>7.5000000000000002E-7</v>
      </c>
      <c r="E267" s="700">
        <f>'VE input'!E236/'Input summary'!$C$167</f>
        <v>2.2499999999999996E-6</v>
      </c>
      <c r="F267" s="702">
        <f t="shared" si="164"/>
        <v>3.8265306122448971E-7</v>
      </c>
      <c r="G267" s="160" t="s">
        <v>578</v>
      </c>
      <c r="H267" s="162">
        <f t="shared" si="165"/>
        <v>15.366375450400009</v>
      </c>
      <c r="I267" s="162">
        <f t="shared" si="166"/>
        <v>10244234.933891222</v>
      </c>
      <c r="J267" s="70">
        <f ca="1">IF(F267=0,C267,IF(G267="Beta",_xlfn.BETA.INV(J265,H267,I267),IF(G267="Lognormal",EXP(NORMINV(J265,H267,I267)),IF(G267="Gamma",_xlfn.GAMMA.INV(J265,H267,I267),IF(G267="Normal",_xlfn.NORM.INV(J265,H267,I267),0)))))</f>
        <v>1.2619804912205568E-6</v>
      </c>
      <c r="M267" s="206" t="s">
        <v>980</v>
      </c>
      <c r="N267" s="700">
        <f>'VE input'!C291/'Input summary'!$C$167</f>
        <v>1.5E-6</v>
      </c>
      <c r="O267" s="700">
        <f>'VE input'!D291/'Input summary'!$C$167</f>
        <v>7.5000000000000002E-7</v>
      </c>
      <c r="P267" s="700">
        <f>'VE input'!E291/'Input summary'!$C$167</f>
        <v>2.2499999999999996E-6</v>
      </c>
      <c r="Q267" s="702">
        <f t="shared" si="167"/>
        <v>3.8265306122448971E-7</v>
      </c>
      <c r="R267" s="160" t="s">
        <v>578</v>
      </c>
      <c r="S267" s="162">
        <f t="shared" si="168"/>
        <v>15.366375450400009</v>
      </c>
      <c r="T267" s="162">
        <f t="shared" si="169"/>
        <v>10244234.933891222</v>
      </c>
      <c r="U267" s="70">
        <f ca="1">IF(Q267=0,N267,IF(R267="Beta",_xlfn.BETA.INV(U265,S267,T267),IF(R267="Lognormal",EXP(NORMINV(U265,S267,T267)),IF(R267="Gamma",_xlfn.GAMMA.INV(U265,S267,T267),IF(R267="Normal",_xlfn.NORM.INV(U265,S267,T267),0)))))</f>
        <v>1.7319984436658942E-6</v>
      </c>
    </row>
    <row r="268" spans="2:27" x14ac:dyDescent="0.3">
      <c r="B268" s="31"/>
      <c r="C268" s="178"/>
      <c r="D268" s="178"/>
      <c r="E268" s="178"/>
      <c r="M268" s="31"/>
      <c r="N268" s="179"/>
      <c r="O268" s="179"/>
      <c r="P268" s="179"/>
      <c r="X268" s="31"/>
      <c r="Y268" s="179"/>
      <c r="Z268" s="179"/>
      <c r="AA268" s="179"/>
    </row>
    <row r="269" spans="2:27" ht="21" x14ac:dyDescent="0.4">
      <c r="B269" s="180" t="s">
        <v>563</v>
      </c>
      <c r="C269" s="180"/>
      <c r="D269" s="180"/>
      <c r="E269" s="180"/>
      <c r="F269" s="180"/>
      <c r="G269" s="180"/>
      <c r="H269" s="84"/>
      <c r="I269" s="84"/>
      <c r="J269" s="84"/>
    </row>
    <row r="270" spans="2:27" ht="21" x14ac:dyDescent="0.4">
      <c r="B270" s="181"/>
      <c r="C270" s="181"/>
      <c r="D270" s="181"/>
      <c r="E270" s="181"/>
      <c r="F270" s="181"/>
      <c r="G270" s="181"/>
      <c r="I270" s="11"/>
      <c r="J270" s="11"/>
    </row>
    <row r="271" spans="2:27" x14ac:dyDescent="0.3">
      <c r="B271" s="139" t="s">
        <v>1002</v>
      </c>
      <c r="C271" s="139"/>
      <c r="D271" s="139"/>
      <c r="E271" s="139"/>
      <c r="F271" s="173"/>
      <c r="G271" s="173"/>
      <c r="H271" s="173"/>
      <c r="I271" s="173"/>
      <c r="J271" s="173"/>
      <c r="K271" s="173"/>
      <c r="L271" s="173"/>
      <c r="M271" s="173"/>
      <c r="N271" s="173"/>
      <c r="O271" s="139"/>
      <c r="P271" s="139"/>
      <c r="Q271" s="139"/>
      <c r="R271" s="139"/>
      <c r="S271" s="173"/>
      <c r="T271" s="173"/>
      <c r="U271" s="173"/>
    </row>
    <row r="272" spans="2:27" ht="21" x14ac:dyDescent="0.4">
      <c r="B272" s="181"/>
      <c r="C272" s="181"/>
      <c r="D272" s="181"/>
      <c r="E272" s="181"/>
      <c r="F272" s="181"/>
      <c r="G272" s="181"/>
      <c r="I272" s="11"/>
      <c r="J272" s="11"/>
    </row>
    <row r="273" spans="2:32" ht="15" customHeight="1" x14ac:dyDescent="0.3">
      <c r="B273" s="175" t="s">
        <v>12</v>
      </c>
      <c r="C273" s="164"/>
      <c r="D273" s="164"/>
      <c r="E273" s="164"/>
      <c r="F273" s="164"/>
      <c r="G273" s="16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84"/>
    </row>
    <row r="274" spans="2:32" ht="15" customHeight="1" x14ac:dyDescent="0.3">
      <c r="B274" s="176" t="s">
        <v>552</v>
      </c>
      <c r="C274" s="165"/>
      <c r="D274" s="165"/>
      <c r="E274" s="165"/>
      <c r="F274" s="165"/>
      <c r="G274" s="165"/>
      <c r="H274" s="73"/>
      <c r="I274" s="73"/>
      <c r="J274" s="73"/>
      <c r="M274" s="176" t="s">
        <v>651</v>
      </c>
      <c r="N274" s="165"/>
      <c r="O274" s="165"/>
      <c r="P274" s="165"/>
      <c r="Q274" s="165"/>
      <c r="R274" s="165"/>
      <c r="S274" s="73"/>
      <c r="T274" s="73"/>
      <c r="U274" s="73"/>
    </row>
    <row r="275" spans="2:32" ht="15" customHeight="1" x14ac:dyDescent="0.3">
      <c r="B275" s="159" t="s">
        <v>536</v>
      </c>
      <c r="C275" s="165"/>
      <c r="D275" s="165"/>
      <c r="E275" s="165"/>
      <c r="F275" s="165"/>
      <c r="G275" s="165"/>
      <c r="H275" s="73"/>
      <c r="I275" s="73"/>
      <c r="J275" s="73"/>
      <c r="M275" s="159" t="s">
        <v>536</v>
      </c>
      <c r="N275" s="165"/>
      <c r="O275" s="165"/>
      <c r="P275" s="165"/>
      <c r="Q275" s="165"/>
      <c r="R275" s="165"/>
      <c r="S275" s="73"/>
      <c r="T275" s="73"/>
      <c r="U275" s="73"/>
    </row>
    <row r="276" spans="2:32" ht="15" customHeight="1" x14ac:dyDescent="0.3">
      <c r="B276" s="159" t="s">
        <v>1</v>
      </c>
      <c r="C276" s="159" t="s">
        <v>567</v>
      </c>
      <c r="D276" s="159" t="s">
        <v>985</v>
      </c>
      <c r="E276" s="159" t="s">
        <v>986</v>
      </c>
      <c r="F276" s="73" t="s">
        <v>584</v>
      </c>
      <c r="G276" s="73" t="s">
        <v>569</v>
      </c>
      <c r="H276" s="73" t="s">
        <v>581</v>
      </c>
      <c r="I276" s="73" t="s">
        <v>582</v>
      </c>
      <c r="J276" s="73" t="s">
        <v>583</v>
      </c>
      <c r="M276" s="159" t="s">
        <v>1</v>
      </c>
      <c r="N276" s="166" t="s">
        <v>630</v>
      </c>
      <c r="O276" s="166"/>
      <c r="P276" s="166"/>
      <c r="Q276" s="73" t="s">
        <v>584</v>
      </c>
      <c r="R276" s="73" t="s">
        <v>569</v>
      </c>
      <c r="S276" s="73" t="s">
        <v>581</v>
      </c>
      <c r="T276" s="73" t="s">
        <v>582</v>
      </c>
      <c r="U276" s="73" t="s">
        <v>583</v>
      </c>
    </row>
    <row r="277" spans="2:32" ht="15" customHeight="1" x14ac:dyDescent="0.3">
      <c r="B277" s="150" t="s">
        <v>988</v>
      </c>
      <c r="C277" s="197"/>
      <c r="D277" s="197"/>
      <c r="E277" s="197"/>
      <c r="J277" s="291">
        <f ca="1">RAND()</f>
        <v>0.37422913509788136</v>
      </c>
      <c r="M277" s="150" t="s">
        <v>988</v>
      </c>
      <c r="U277" s="291">
        <f ca="1">J277</f>
        <v>0.37422913509788136</v>
      </c>
    </row>
    <row r="278" spans="2:32" ht="15" customHeight="1" x14ac:dyDescent="0.3">
      <c r="B278" s="31" t="s">
        <v>1082</v>
      </c>
      <c r="C278" s="188">
        <f>'Cost input'!O16</f>
        <v>40.22</v>
      </c>
      <c r="D278" s="188">
        <f>'Cost input'!P16</f>
        <v>14.29</v>
      </c>
      <c r="E278" s="188">
        <f>'Cost input'!Q16</f>
        <v>56.64965311236994</v>
      </c>
      <c r="F278" s="156">
        <f t="shared" ref="F278" si="170">(E278-D278)/(2*1.96)</f>
        <v>10.806033957237229</v>
      </c>
      <c r="G278" s="160" t="s">
        <v>575</v>
      </c>
      <c r="H278" s="162">
        <f t="shared" ref="H278" si="171">IF(G278="Beta",C278*(C278*(1-C278)/(F278^2)-1),IF(G278="Lognormal",LN(C278^2/SQRT(F278^2+C278^2)),IF(G278="Gamma",C278^2/F278^2,IF(G278="Normal",C278,0))))</f>
        <v>13.853243777455019</v>
      </c>
      <c r="I278" s="162">
        <f t="shared" ref="I278" si="172">IF(G278="Beta",C278*(1-C278)/(F278^2)-1-H278,IF(G278="Lognormal",SQRT(LN(1+F278^2/C278^2)),IF(G278="Gamma",F278^2/C278,IF(G278="Normal",F278,0))))</f>
        <v>2.9032911458220809</v>
      </c>
      <c r="J278" s="70">
        <f ca="1">IF(F278=0,C278,IF(G278="Beta",_xlfn.BETA.INV(J277,H278,I278),IF(G278="Lognormal",EXP(NORMINV(J277,H278,I278)),IF(G278="Gamma",_xlfn.GAMMA.INV(J277,H278,I278),IF(G278="Normal",_xlfn.NORM.INV(J277,H278,I278),0)))))</f>
        <v>35.938706586803228</v>
      </c>
      <c r="K278">
        <f>(E278+D278)/2</f>
        <v>35.469826556184969</v>
      </c>
      <c r="M278" s="31" t="s">
        <v>2</v>
      </c>
      <c r="N278" s="188">
        <f>'Cost input'!O44</f>
        <v>40.22</v>
      </c>
      <c r="O278" s="188">
        <f>'Cost input'!P44</f>
        <v>14.29</v>
      </c>
      <c r="P278" s="188">
        <f>'Cost input'!Q44</f>
        <v>56.64965311236994</v>
      </c>
      <c r="Q278" s="156">
        <f>(P278-O278)/(2*1.96)</f>
        <v>10.806033957237229</v>
      </c>
      <c r="R278" s="160" t="s">
        <v>575</v>
      </c>
      <c r="S278" s="162">
        <f t="shared" ref="S278:S300" si="173">IF(R278="Beta",N278*(N278*(1-N278)/(Q278^2)-1),IF(R278="Lognormal",LN(N278^2/SQRT(Q278^2+N278^2)),IF(R278="Gamma",N278^2/Q278^2,IF(R278="Normal",N278,0))))</f>
        <v>13.853243777455019</v>
      </c>
      <c r="T278" s="162">
        <f t="shared" ref="T278:T300" si="174">IF(R278="Beta",N278*(1-N278)/(Q278^2)-1-S278,IF(R278="Lognormal",SQRT(LN(1+Q278^2/N278^2)),IF(R278="Gamma",Q278^2/N278,IF(R278="Normal",Q278,0))))</f>
        <v>2.9032911458220809</v>
      </c>
      <c r="U278" s="70">
        <f ca="1">IF(Q278=0,N278,IF(R278="Beta",_xlfn.BETA.INV(U277,S278,T278),IF(R278="Lognormal",EXP(NORMINV(U277,S278,T278)),IF(R278="Gamma",_xlfn.GAMMA.INV(U277,S278,T278),IF(R278="Normal",_xlfn.NORM.INV(U277,S278,T278),0)))))</f>
        <v>35.938706586803228</v>
      </c>
      <c r="V278">
        <f>(P278+O278)/2</f>
        <v>35.469826556184969</v>
      </c>
    </row>
    <row r="279" spans="2:32" ht="15" customHeight="1" x14ac:dyDescent="0.3">
      <c r="B279" s="31" t="s">
        <v>1083</v>
      </c>
      <c r="C279" s="188">
        <f>'Cost input'!O17</f>
        <v>40.22</v>
      </c>
      <c r="D279" s="188">
        <f>'Cost input'!P17</f>
        <v>14.29</v>
      </c>
      <c r="E279" s="188">
        <f>'Cost input'!Q17</f>
        <v>56.64965311236994</v>
      </c>
      <c r="F279" s="156">
        <f t="shared" ref="F279:F300" si="175">(E279-D279)/(2*1.96)</f>
        <v>10.806033957237229</v>
      </c>
      <c r="G279" s="160" t="s">
        <v>575</v>
      </c>
      <c r="H279" s="162">
        <f t="shared" ref="H279:H300" si="176">IF(G279="Beta",C279*(C279*(1-C279)/(F279^2)-1),IF(G279="Lognormal",LN(C279^2/SQRT(F279^2+C279^2)),IF(G279="Gamma",C279^2/F279^2,IF(G279="Normal",C279,0))))</f>
        <v>13.853243777455019</v>
      </c>
      <c r="I279" s="162">
        <f t="shared" ref="I279:I300" si="177">IF(G279="Beta",C279*(1-C279)/(F279^2)-1-H279,IF(G279="Lognormal",SQRT(LN(1+F279^2/C279^2)),IF(G279="Gamma",F279^2/C279,IF(G279="Normal",F279,0))))</f>
        <v>2.9032911458220809</v>
      </c>
      <c r="J279" s="70">
        <f ca="1">IF(F279=0,C279,IF(G279="Beta",_xlfn.BETA.INV(J277,H279,I279),IF(G279="Lognormal",EXP(NORMINV(J277,H279,I279)),IF(G279="Gamma",_xlfn.GAMMA.INV(J277,H279,I279),IF(G279="Normal",_xlfn.NORM.INV(J277,H279,I279),0)))))</f>
        <v>35.938706586803228</v>
      </c>
      <c r="M279" s="31" t="s">
        <v>3</v>
      </c>
      <c r="N279" s="188">
        <f>'Cost input'!O45</f>
        <v>40.22</v>
      </c>
      <c r="O279" s="188">
        <f>'Cost input'!P45</f>
        <v>14.29</v>
      </c>
      <c r="P279" s="188">
        <f>'Cost input'!Q45</f>
        <v>56.64965311236994</v>
      </c>
      <c r="Q279" s="156">
        <f t="shared" ref="Q279:Q284" si="178">(P279-O279)/(2*1.96)</f>
        <v>10.806033957237229</v>
      </c>
      <c r="R279" s="160" t="s">
        <v>575</v>
      </c>
      <c r="S279" s="162">
        <f t="shared" si="173"/>
        <v>13.853243777455019</v>
      </c>
      <c r="T279" s="162">
        <f t="shared" si="174"/>
        <v>2.9032911458220809</v>
      </c>
      <c r="U279" s="70">
        <f ca="1">IF(Q279=0,N279,IF(R279="Beta",_xlfn.BETA.INV(U277,S279,T279),IF(R279="Lognormal",EXP(NORMINV(U277,S279,T279)),IF(R279="Gamma",_xlfn.GAMMA.INV(U277,S279,T279),IF(R279="Normal",_xlfn.NORM.INV(U277,S279,T279),0)))))</f>
        <v>35.938706586803228</v>
      </c>
    </row>
    <row r="280" spans="2:32" ht="15" customHeight="1" x14ac:dyDescent="0.3">
      <c r="B280" s="31" t="s">
        <v>1084</v>
      </c>
      <c r="C280" s="188">
        <f>'Cost input'!O18</f>
        <v>40.22</v>
      </c>
      <c r="D280" s="188">
        <f>'Cost input'!P18</f>
        <v>14.29</v>
      </c>
      <c r="E280" s="188">
        <f>'Cost input'!Q18</f>
        <v>56.64965311236994</v>
      </c>
      <c r="F280" s="156">
        <f t="shared" si="175"/>
        <v>10.806033957237229</v>
      </c>
      <c r="G280" s="160" t="s">
        <v>575</v>
      </c>
      <c r="H280" s="162">
        <f t="shared" si="176"/>
        <v>13.853243777455019</v>
      </c>
      <c r="I280" s="162">
        <f t="shared" si="177"/>
        <v>2.9032911458220809</v>
      </c>
      <c r="J280" s="70">
        <f ca="1">IF(F280=0,C280,IF(G280="Beta",_xlfn.BETA.INV(J277,H280,I280),IF(G280="Lognormal",EXP(NORMINV(J277,H280,I280)),IF(G280="Gamma",_xlfn.GAMMA.INV(J277,H280,I280),IF(G280="Normal",_xlfn.NORM.INV(J277,H280,I280),0)))))</f>
        <v>35.938706586803228</v>
      </c>
      <c r="M280" s="31" t="s">
        <v>4</v>
      </c>
      <c r="N280" s="188">
        <f>'Cost input'!O46</f>
        <v>40.22</v>
      </c>
      <c r="O280" s="188">
        <f>'Cost input'!P46</f>
        <v>14.29</v>
      </c>
      <c r="P280" s="188">
        <f>'Cost input'!Q46</f>
        <v>56.64965311236994</v>
      </c>
      <c r="Q280" s="156">
        <f t="shared" si="178"/>
        <v>10.806033957237229</v>
      </c>
      <c r="R280" s="160" t="s">
        <v>575</v>
      </c>
      <c r="S280" s="162">
        <f t="shared" si="173"/>
        <v>13.853243777455019</v>
      </c>
      <c r="T280" s="162">
        <f t="shared" si="174"/>
        <v>2.9032911458220809</v>
      </c>
      <c r="U280" s="70">
        <f ca="1">IF(Q280=0,N280,IF(R280="Beta",_xlfn.BETA.INV(U277,S280,T280),IF(R280="Lognormal",EXP(NORMINV(U277,S280,T280)),IF(R280="Gamma",_xlfn.GAMMA.INV(U277,S280,T280),IF(R280="Normal",_xlfn.NORM.INV(U277,S280,T280),0)))))</f>
        <v>35.938706586803228</v>
      </c>
    </row>
    <row r="281" spans="2:32" ht="15" customHeight="1" x14ac:dyDescent="0.3">
      <c r="B281" s="31" t="s">
        <v>1085</v>
      </c>
      <c r="C281" s="188">
        <f>'Cost input'!O19</f>
        <v>40.22</v>
      </c>
      <c r="D281" s="188">
        <f>'Cost input'!P19</f>
        <v>14.29</v>
      </c>
      <c r="E281" s="188">
        <f>'Cost input'!Q19</f>
        <v>56.64965311236994</v>
      </c>
      <c r="F281" s="156">
        <f t="shared" si="175"/>
        <v>10.806033957237229</v>
      </c>
      <c r="G281" s="160" t="s">
        <v>575</v>
      </c>
      <c r="H281" s="162">
        <f>IF(G281="Beta",C281*(C281*(1-C281)/(F281^2)-1),IF(G281="Lognormal",LN(C281^2/SQRT(F281^2+C281^2)),IF(G281="Gamma",C281^2/F281^2,IF(G281="Normal",C281,0))))</f>
        <v>13.853243777455019</v>
      </c>
      <c r="I281" s="162">
        <f t="shared" si="177"/>
        <v>2.9032911458220809</v>
      </c>
      <c r="J281" s="70">
        <f ca="1">IF(F281=0,C281,IF(G281="Beta",_xlfn.BETA.INV(J277,H281,I281),IF(G281="Lognormal",EXP(NORMINV(J277,H281,I281)),IF(G281="Gamma",_xlfn.GAMMA.INV(J277,H281,I281),IF(G281="Normal",_xlfn.NORM.INV(J277,H281,I281),0)))))</f>
        <v>35.938706586803228</v>
      </c>
      <c r="M281" s="31" t="s">
        <v>5</v>
      </c>
      <c r="N281" s="188">
        <f>'Cost input'!O47</f>
        <v>40.22</v>
      </c>
      <c r="O281" s="188">
        <f>'Cost input'!P47</f>
        <v>14.29</v>
      </c>
      <c r="P281" s="188">
        <f>'Cost input'!Q47</f>
        <v>56.64965311236994</v>
      </c>
      <c r="Q281" s="156">
        <f t="shared" si="178"/>
        <v>10.806033957237229</v>
      </c>
      <c r="R281" s="160" t="s">
        <v>575</v>
      </c>
      <c r="S281" s="162">
        <f t="shared" si="173"/>
        <v>13.853243777455019</v>
      </c>
      <c r="T281" s="162">
        <f t="shared" si="174"/>
        <v>2.9032911458220809</v>
      </c>
      <c r="U281" s="70">
        <f ca="1">IF(Q281=0,N281,IF(R281="Beta",_xlfn.BETA.INV(U277,S281,T281),IF(R281="Lognormal",EXP(NORMINV(U277,S281,T281)),IF(R281="Gamma",_xlfn.GAMMA.INV(U277,S281,T281),IF(R281="Normal",_xlfn.NORM.INV(U277,S281,T281),0)))))</f>
        <v>35.938706586803228</v>
      </c>
    </row>
    <row r="282" spans="2:32" ht="15" customHeight="1" x14ac:dyDescent="0.3">
      <c r="B282" s="31" t="s">
        <v>1086</v>
      </c>
      <c r="C282" s="188">
        <f>'Cost input'!O20</f>
        <v>40.22</v>
      </c>
      <c r="D282" s="188">
        <f>'Cost input'!P20</f>
        <v>14.29</v>
      </c>
      <c r="E282" s="188">
        <f>'Cost input'!Q20</f>
        <v>56.64965311236994</v>
      </c>
      <c r="F282" s="156">
        <f t="shared" si="175"/>
        <v>10.806033957237229</v>
      </c>
      <c r="G282" s="160" t="s">
        <v>575</v>
      </c>
      <c r="H282" s="162">
        <f t="shared" si="176"/>
        <v>13.853243777455019</v>
      </c>
      <c r="I282" s="162">
        <f t="shared" si="177"/>
        <v>2.9032911458220809</v>
      </c>
      <c r="J282" s="70">
        <f ca="1">IF(F282=0,C282,IF(G282="Beta",_xlfn.BETA.INV(J277,H282,I282),IF(G282="Lognormal",EXP(NORMINV(J277,H282,I282)),IF(G282="Gamma",_xlfn.GAMMA.INV(J277,H282,I282),IF(G282="Normal",_xlfn.NORM.INV(J277,H282,I282),0)))))</f>
        <v>35.938706586803228</v>
      </c>
      <c r="M282" s="31" t="s">
        <v>6</v>
      </c>
      <c r="N282" s="188">
        <f>'Cost input'!O48</f>
        <v>40.22</v>
      </c>
      <c r="O282" s="188">
        <f>'Cost input'!P48</f>
        <v>14.29</v>
      </c>
      <c r="P282" s="188">
        <f>'Cost input'!Q48</f>
        <v>56.64965311236994</v>
      </c>
      <c r="Q282" s="156">
        <f t="shared" si="178"/>
        <v>10.806033957237229</v>
      </c>
      <c r="R282" s="160" t="s">
        <v>575</v>
      </c>
      <c r="S282" s="162">
        <f t="shared" si="173"/>
        <v>13.853243777455019</v>
      </c>
      <c r="T282" s="162">
        <f t="shared" si="174"/>
        <v>2.9032911458220809</v>
      </c>
      <c r="U282" s="70">
        <f ca="1">IF(Q282=0,N282,IF(R282="Beta",_xlfn.BETA.INV(U277,S282,T282),IF(R282="Lognormal",EXP(NORMINV(U277,S282,T282)),IF(R282="Gamma",_xlfn.GAMMA.INV(U277,S282,T282),IF(R282="Normal",_xlfn.NORM.INV(U277,S282,T282),0)))))</f>
        <v>35.938706586803228</v>
      </c>
    </row>
    <row r="283" spans="2:32" ht="15" customHeight="1" x14ac:dyDescent="0.3">
      <c r="B283" s="31" t="s">
        <v>1087</v>
      </c>
      <c r="C283" s="188">
        <f>'Cost input'!O21</f>
        <v>40.22</v>
      </c>
      <c r="D283" s="188">
        <f>'Cost input'!P21</f>
        <v>14.29</v>
      </c>
      <c r="E283" s="188">
        <f>'Cost input'!Q21</f>
        <v>56.64965311236994</v>
      </c>
      <c r="F283" s="156">
        <f t="shared" si="175"/>
        <v>10.806033957237229</v>
      </c>
      <c r="G283" s="160" t="s">
        <v>575</v>
      </c>
      <c r="H283" s="162">
        <f t="shared" si="176"/>
        <v>13.853243777455019</v>
      </c>
      <c r="I283" s="162">
        <f t="shared" si="177"/>
        <v>2.9032911458220809</v>
      </c>
      <c r="J283" s="70">
        <f ca="1">IF(F283=0,C283,IF(G283="Beta",_xlfn.BETA.INV(J277,H283,I283),IF(G283="Lognormal",EXP(NORMINV(J277,H283,I283)),IF(G283="Gamma",_xlfn.GAMMA.INV(J277,H283,I283),IF(G283="Normal",_xlfn.NORM.INV(J277,H283,I283),0)))))</f>
        <v>35.938706586803228</v>
      </c>
      <c r="M283" s="31" t="s">
        <v>7</v>
      </c>
      <c r="N283" s="188">
        <f>'Cost input'!O49</f>
        <v>40.22</v>
      </c>
      <c r="O283" s="188">
        <f>'Cost input'!P49</f>
        <v>14.29</v>
      </c>
      <c r="P283" s="188">
        <f>'Cost input'!Q49</f>
        <v>56.64965311236994</v>
      </c>
      <c r="Q283" s="156">
        <f t="shared" si="178"/>
        <v>10.806033957237229</v>
      </c>
      <c r="R283" s="160" t="s">
        <v>575</v>
      </c>
      <c r="S283" s="162">
        <f t="shared" si="173"/>
        <v>13.853243777455019</v>
      </c>
      <c r="T283" s="162">
        <f t="shared" si="174"/>
        <v>2.9032911458220809</v>
      </c>
      <c r="U283" s="70">
        <f ca="1">IF(Q283=0,N283,IF(R283="Beta",_xlfn.BETA.INV(U277,S283,T283),IF(R283="Lognormal",EXP(NORMINV(U277,S283,T283)),IF(R283="Gamma",_xlfn.GAMMA.INV(U277,S283,T283),IF(R283="Normal",_xlfn.NORM.INV(U277,S283,T283),0)))))</f>
        <v>35.938706586803228</v>
      </c>
    </row>
    <row r="284" spans="2:32" ht="15" customHeight="1" x14ac:dyDescent="0.3">
      <c r="B284" s="31" t="s">
        <v>1443</v>
      </c>
      <c r="C284" s="188">
        <f>'Cost input'!O22</f>
        <v>40.22</v>
      </c>
      <c r="D284" s="188">
        <f>'Cost input'!P22</f>
        <v>14.29</v>
      </c>
      <c r="E284" s="188">
        <f>'Cost input'!Q22</f>
        <v>56.64965311236994</v>
      </c>
      <c r="F284" s="156">
        <f t="shared" si="175"/>
        <v>10.806033957237229</v>
      </c>
      <c r="G284" s="160" t="s">
        <v>575</v>
      </c>
      <c r="H284" s="162">
        <f t="shared" si="176"/>
        <v>13.853243777455019</v>
      </c>
      <c r="I284" s="162">
        <f t="shared" si="177"/>
        <v>2.9032911458220809</v>
      </c>
      <c r="J284" s="70">
        <f ca="1">IF(F284=0,C284,IF(G284="Beta",_xlfn.BETA.INV(J277,H284,I284),IF(G284="Lognormal",EXP(NORMINV(J277,H284,I284)),IF(G284="Gamma",_xlfn.GAMMA.INV(J277,H284,I284),IF(G284="Normal",_xlfn.NORM.INV(J277,H284,I284),0)))))</f>
        <v>35.938706586803228</v>
      </c>
      <c r="M284" s="31" t="s">
        <v>11</v>
      </c>
      <c r="N284" s="188">
        <f>'Cost input'!O50</f>
        <v>40.22</v>
      </c>
      <c r="O284" s="188">
        <f>'Cost input'!P50</f>
        <v>14.29</v>
      </c>
      <c r="P284" s="188">
        <f>'Cost input'!Q50</f>
        <v>56.64965311236994</v>
      </c>
      <c r="Q284" s="156">
        <f t="shared" si="178"/>
        <v>10.806033957237229</v>
      </c>
      <c r="R284" s="160" t="s">
        <v>575</v>
      </c>
      <c r="S284" s="162">
        <f t="shared" si="173"/>
        <v>13.853243777455019</v>
      </c>
      <c r="T284" s="162">
        <f t="shared" si="174"/>
        <v>2.9032911458220809</v>
      </c>
      <c r="U284" s="70">
        <f ca="1">IF(Q284=0,N284,IF(R284="Beta",_xlfn.BETA.INV(U277,S284,T284),IF(R284="Lognormal",EXP(NORMINV(U277,S284,T284)),IF(R284="Gamma",_xlfn.GAMMA.INV(U277,S284,T284),IF(R284="Normal",_xlfn.NORM.INV(U277,S284,T284),0)))))</f>
        <v>35.938706586803228</v>
      </c>
    </row>
    <row r="285" spans="2:32" x14ac:dyDescent="0.3">
      <c r="B285" s="150" t="s">
        <v>1444</v>
      </c>
      <c r="C285" s="141"/>
      <c r="D285" s="141"/>
      <c r="E285" s="141"/>
      <c r="F285" s="141"/>
      <c r="G285" s="141"/>
      <c r="H285" s="141"/>
      <c r="I285" s="141"/>
      <c r="J285" s="291">
        <f ca="1">RAND()</f>
        <v>0.49201842736969548</v>
      </c>
      <c r="L285" s="79" t="s">
        <v>679</v>
      </c>
      <c r="M285" s="150" t="s">
        <v>1444</v>
      </c>
      <c r="N285" s="141"/>
      <c r="O285" s="141"/>
      <c r="P285" s="141"/>
      <c r="Q285" s="141"/>
      <c r="R285" s="141"/>
      <c r="S285" s="141"/>
      <c r="T285" s="141"/>
      <c r="U285" s="291">
        <f ca="1">RAND()</f>
        <v>0.94785405537763545</v>
      </c>
    </row>
    <row r="286" spans="2:32" x14ac:dyDescent="0.3">
      <c r="B286" s="31" t="s">
        <v>1082</v>
      </c>
      <c r="C286" s="188">
        <f>'Cost input'!O24</f>
        <v>40.22</v>
      </c>
      <c r="D286" s="188">
        <f>'Cost input'!P24</f>
        <v>14.29</v>
      </c>
      <c r="E286" s="188">
        <f>'Cost input'!Q24</f>
        <v>56.64965311236994</v>
      </c>
      <c r="F286" s="156">
        <f>(E286-D286)/(2*1.96)</f>
        <v>10.806033957237229</v>
      </c>
      <c r="G286" s="160" t="s">
        <v>575</v>
      </c>
      <c r="H286" s="162">
        <f t="shared" ref="H286:H292" si="179">IF(G286="Beta",C286*(C286*(1-C286)/(F286^2)-1),IF(G286="Lognormal",LN(C286^2/SQRT(F286^2+C286^2)),IF(G286="Gamma",C286^2/F286^2,IF(G286="Normal",C286,0))))</f>
        <v>13.853243777455019</v>
      </c>
      <c r="I286" s="162">
        <f t="shared" ref="I286:I292" si="180">IF(G286="Beta",C286*(1-C286)/(F286^2)-1-H286,IF(G286="Lognormal",SQRT(LN(1+F286^2/C286^2)),IF(G286="Gamma",F286^2/C286,IF(G286="Normal",F286,0))))</f>
        <v>2.9032911458220809</v>
      </c>
      <c r="J286" s="70">
        <f ca="1">IF(F286=0,C286,IF(G286="Beta",_xlfn.BETA.INV(J285,H286,I286),IF(G286="Lognormal",EXP(NORMINV(J285,H286,I286)),IF(G286="Gamma",_xlfn.GAMMA.INV(J285,H286,I286),IF(G286="Normal",_xlfn.NORM.INV(J285,H286,I286),0)))))</f>
        <v>39.04371035522032</v>
      </c>
      <c r="M286" s="31" t="s">
        <v>1082</v>
      </c>
      <c r="N286" s="188">
        <f>'Cost input'!O52</f>
        <v>40.22</v>
      </c>
      <c r="O286" s="188">
        <f>'Cost input'!P52</f>
        <v>14.29</v>
      </c>
      <c r="P286" s="188">
        <f>'Cost input'!Q52</f>
        <v>56.64965311236994</v>
      </c>
      <c r="Q286" s="156">
        <f>(P286-O286)/(2*1.96)</f>
        <v>10.806033957237229</v>
      </c>
      <c r="R286" s="160" t="s">
        <v>575</v>
      </c>
      <c r="S286" s="162">
        <f t="shared" ref="S286:S292" si="181">IF(R286="Beta",N286*(N286*(1-N286)/(Q286^2)-1),IF(R286="Lognormal",LN(N286^2/SQRT(Q286^2+N286^2)),IF(R286="Gamma",N286^2/Q286^2,IF(R286="Normal",N286,0))))</f>
        <v>13.853243777455019</v>
      </c>
      <c r="T286" s="162">
        <f t="shared" ref="T286:T292" si="182">IF(R286="Beta",N286*(1-N286)/(Q286^2)-1-S286,IF(R286="Lognormal",SQRT(LN(1+Q286^2/N286^2)),IF(R286="Gamma",Q286^2/N286,IF(R286="Normal",Q286,0))))</f>
        <v>2.9032911458220809</v>
      </c>
      <c r="U286" s="70">
        <f ca="1">IF(Q286=0,N286,IF(R286="Beta",_xlfn.BETA.INV(U285,S286,T286),IF(R286="Lognormal",EXP(NORMINV(U285,S286,T286)),IF(R286="Gamma",_xlfn.GAMMA.INV(U285,S286,T286),IF(R286="Normal",_xlfn.NORM.INV(U285,S286,T286),0)))))</f>
        <v>59.200106729871599</v>
      </c>
    </row>
    <row r="287" spans="2:32" x14ac:dyDescent="0.3">
      <c r="B287" s="31" t="s">
        <v>1083</v>
      </c>
      <c r="C287" s="188">
        <f>'Cost input'!O25</f>
        <v>40.22</v>
      </c>
      <c r="D287" s="188">
        <f>'Cost input'!P25</f>
        <v>14.29</v>
      </c>
      <c r="E287" s="188">
        <f>'Cost input'!Q25</f>
        <v>56.64965311236994</v>
      </c>
      <c r="F287" s="156">
        <f t="shared" ref="F287:F292" si="183">(E287-D287)/(2*1.96)</f>
        <v>10.806033957237229</v>
      </c>
      <c r="G287" s="160" t="s">
        <v>575</v>
      </c>
      <c r="H287" s="162">
        <f t="shared" si="179"/>
        <v>13.853243777455019</v>
      </c>
      <c r="I287" s="162">
        <f t="shared" si="180"/>
        <v>2.9032911458220809</v>
      </c>
      <c r="J287" s="70">
        <f ca="1">IF(F287=0,C287,IF(G287="Beta",_xlfn.BETA.INV(J285,H287,I287),IF(G287="Lognormal",EXP(NORMINV(J285,H287,I287)),IF(G287="Gamma",_xlfn.GAMMA.INV(J285,H287,I287),IF(G287="Normal",_xlfn.NORM.INV(J285,H287,I287),0)))))</f>
        <v>39.04371035522032</v>
      </c>
      <c r="M287" s="31" t="s">
        <v>1083</v>
      </c>
      <c r="N287" s="188">
        <f>'Cost input'!O53</f>
        <v>40.22</v>
      </c>
      <c r="O287" s="188">
        <f>'Cost input'!P53</f>
        <v>14.29</v>
      </c>
      <c r="P287" s="188">
        <f>'Cost input'!Q53</f>
        <v>56.64965311236994</v>
      </c>
      <c r="Q287" s="156">
        <f t="shared" ref="Q287:Q292" si="184">(P287-O287)/(2*1.96)</f>
        <v>10.806033957237229</v>
      </c>
      <c r="R287" s="160" t="s">
        <v>575</v>
      </c>
      <c r="S287" s="162">
        <f t="shared" si="181"/>
        <v>13.853243777455019</v>
      </c>
      <c r="T287" s="162">
        <f t="shared" si="182"/>
        <v>2.9032911458220809</v>
      </c>
      <c r="U287" s="70">
        <f ca="1">IF(Q287=0,N287,IF(R287="Beta",_xlfn.BETA.INV(U285,S287,T287),IF(R287="Lognormal",EXP(NORMINV(U285,S287,T287)),IF(R287="Gamma",_xlfn.GAMMA.INV(U285,S287,T287),IF(R287="Normal",_xlfn.NORM.INV(U285,S287,T287),0)))))</f>
        <v>59.200106729871599</v>
      </c>
    </row>
    <row r="288" spans="2:32" x14ac:dyDescent="0.3">
      <c r="B288" s="31" t="s">
        <v>1084</v>
      </c>
      <c r="C288" s="188">
        <f>'Cost input'!O26</f>
        <v>40.22</v>
      </c>
      <c r="D288" s="188">
        <f>'Cost input'!P26</f>
        <v>14.29</v>
      </c>
      <c r="E288" s="188">
        <f>'Cost input'!Q26</f>
        <v>56.64965311236994</v>
      </c>
      <c r="F288" s="156">
        <f t="shared" si="183"/>
        <v>10.806033957237229</v>
      </c>
      <c r="G288" s="160" t="s">
        <v>575</v>
      </c>
      <c r="H288" s="162">
        <f t="shared" si="179"/>
        <v>13.853243777455019</v>
      </c>
      <c r="I288" s="162">
        <f t="shared" si="180"/>
        <v>2.9032911458220809</v>
      </c>
      <c r="J288" s="70">
        <f ca="1">IF(F288=0,C288,IF(G288="Beta",_xlfn.BETA.INV(J285,H288,I288),IF(G288="Lognormal",EXP(NORMINV(J285,H288,I288)),IF(G288="Gamma",_xlfn.GAMMA.INV(J285,H288,I288),IF(G288="Normal",_xlfn.NORM.INV(J285,H288,I288),0)))))</f>
        <v>39.04371035522032</v>
      </c>
      <c r="M288" s="31" t="s">
        <v>1084</v>
      </c>
      <c r="N288" s="188">
        <f>'Cost input'!O54</f>
        <v>40.22</v>
      </c>
      <c r="O288" s="188">
        <f>'Cost input'!P54</f>
        <v>14.29</v>
      </c>
      <c r="P288" s="188">
        <f>'Cost input'!Q54</f>
        <v>56.64965311236994</v>
      </c>
      <c r="Q288" s="156">
        <f t="shared" si="184"/>
        <v>10.806033957237229</v>
      </c>
      <c r="R288" s="160" t="s">
        <v>575</v>
      </c>
      <c r="S288" s="162">
        <f t="shared" si="181"/>
        <v>13.853243777455019</v>
      </c>
      <c r="T288" s="162">
        <f t="shared" si="182"/>
        <v>2.9032911458220809</v>
      </c>
      <c r="U288" s="70">
        <f ca="1">IF(Q288=0,N288,IF(R288="Beta",_xlfn.BETA.INV(U285,S288,T288),IF(R288="Lognormal",EXP(NORMINV(U285,S288,T288)),IF(R288="Gamma",_xlfn.GAMMA.INV(U285,S288,T288),IF(R288="Normal",_xlfn.NORM.INV(U285,S288,T288),0)))))</f>
        <v>59.200106729871599</v>
      </c>
    </row>
    <row r="289" spans="2:38" x14ac:dyDescent="0.3">
      <c r="B289" s="31" t="s">
        <v>1085</v>
      </c>
      <c r="C289" s="188">
        <f>'Cost input'!O27</f>
        <v>40.22</v>
      </c>
      <c r="D289" s="188">
        <f>'Cost input'!P27</f>
        <v>14.29</v>
      </c>
      <c r="E289" s="188">
        <f>'Cost input'!Q27</f>
        <v>56.64965311236994</v>
      </c>
      <c r="F289" s="156">
        <f t="shared" si="183"/>
        <v>10.806033957237229</v>
      </c>
      <c r="G289" s="160" t="s">
        <v>575</v>
      </c>
      <c r="H289" s="162">
        <f t="shared" si="179"/>
        <v>13.853243777455019</v>
      </c>
      <c r="I289" s="162">
        <f t="shared" si="180"/>
        <v>2.9032911458220809</v>
      </c>
      <c r="J289" s="70">
        <f ca="1">IF(F289=0,C289,IF(G289="Beta",_xlfn.BETA.INV(J285,H289,I289),IF(G289="Lognormal",EXP(NORMINV(J285,H289,I289)),IF(G289="Gamma",_xlfn.GAMMA.INV(J285,H289,I289),IF(G289="Normal",_xlfn.NORM.INV(J285,H289,I289),0)))))</f>
        <v>39.04371035522032</v>
      </c>
      <c r="M289" s="31" t="s">
        <v>1085</v>
      </c>
      <c r="N289" s="188">
        <f>'Cost input'!O55</f>
        <v>40.22</v>
      </c>
      <c r="O289" s="188">
        <f>'Cost input'!P55</f>
        <v>14.29</v>
      </c>
      <c r="P289" s="188">
        <f>'Cost input'!Q55</f>
        <v>56.64965311236994</v>
      </c>
      <c r="Q289" s="156">
        <f t="shared" si="184"/>
        <v>10.806033957237229</v>
      </c>
      <c r="R289" s="160" t="s">
        <v>575</v>
      </c>
      <c r="S289" s="162">
        <f t="shared" si="181"/>
        <v>13.853243777455019</v>
      </c>
      <c r="T289" s="162">
        <f t="shared" si="182"/>
        <v>2.9032911458220809</v>
      </c>
      <c r="U289" s="70">
        <f ca="1">IF(Q289=0,N289,IF(R289="Beta",_xlfn.BETA.INV(U285,S289,T289),IF(R289="Lognormal",EXP(NORMINV(U285,S289,T289)),IF(R289="Gamma",_xlfn.GAMMA.INV(U285,S289,T289),IF(R289="Normal",_xlfn.NORM.INV(U285,S289,T289),0)))))</f>
        <v>59.200106729871599</v>
      </c>
      <c r="AB289" s="67"/>
    </row>
    <row r="290" spans="2:38" x14ac:dyDescent="0.3">
      <c r="B290" s="31" t="s">
        <v>1086</v>
      </c>
      <c r="C290" s="188">
        <f>'Cost input'!O28</f>
        <v>40.22</v>
      </c>
      <c r="D290" s="188">
        <f>'Cost input'!P28</f>
        <v>14.29</v>
      </c>
      <c r="E290" s="188">
        <f>'Cost input'!Q28</f>
        <v>56.64965311236994</v>
      </c>
      <c r="F290" s="156">
        <f t="shared" si="183"/>
        <v>10.806033957237229</v>
      </c>
      <c r="G290" s="160" t="s">
        <v>575</v>
      </c>
      <c r="H290" s="162">
        <f t="shared" si="179"/>
        <v>13.853243777455019</v>
      </c>
      <c r="I290" s="162">
        <f t="shared" si="180"/>
        <v>2.9032911458220809</v>
      </c>
      <c r="J290" s="70">
        <f ca="1">IF(F290=0,C290,IF(G290="Beta",_xlfn.BETA.INV(J285,H290,I290),IF(G290="Lognormal",EXP(NORMINV(J285,H290,I290)),IF(G290="Gamma",_xlfn.GAMMA.INV(J285,H290,I290),IF(G290="Normal",_xlfn.NORM.INV(J285,H290,I290),0)))))</f>
        <v>39.04371035522032</v>
      </c>
      <c r="M290" s="31" t="s">
        <v>1086</v>
      </c>
      <c r="N290" s="188">
        <f>'Cost input'!O56</f>
        <v>40.22</v>
      </c>
      <c r="O290" s="188">
        <f>'Cost input'!P56</f>
        <v>14.29</v>
      </c>
      <c r="P290" s="188">
        <f>'Cost input'!Q56</f>
        <v>56.64965311236994</v>
      </c>
      <c r="Q290" s="156">
        <f t="shared" si="184"/>
        <v>10.806033957237229</v>
      </c>
      <c r="R290" s="160" t="s">
        <v>575</v>
      </c>
      <c r="S290" s="162">
        <f t="shared" si="181"/>
        <v>13.853243777455019</v>
      </c>
      <c r="T290" s="162">
        <f t="shared" si="182"/>
        <v>2.9032911458220809</v>
      </c>
      <c r="U290" s="70">
        <f ca="1">IF(Q290=0,N290,IF(R290="Beta",_xlfn.BETA.INV(U285,S290,T290),IF(R290="Lognormal",EXP(NORMINV(U285,S290,T290)),IF(R290="Gamma",_xlfn.GAMMA.INV(U285,S290,T290),IF(R290="Normal",_xlfn.NORM.INV(U285,S290,T290),0)))))</f>
        <v>59.200106729871599</v>
      </c>
    </row>
    <row r="291" spans="2:38" x14ac:dyDescent="0.3">
      <c r="B291" s="31" t="s">
        <v>1087</v>
      </c>
      <c r="C291" s="188">
        <f>'Cost input'!O29</f>
        <v>40.22</v>
      </c>
      <c r="D291" s="188">
        <f>'Cost input'!P29</f>
        <v>14.29</v>
      </c>
      <c r="E291" s="188">
        <f>'Cost input'!Q29</f>
        <v>56.64965311236994</v>
      </c>
      <c r="F291" s="156">
        <f t="shared" si="183"/>
        <v>10.806033957237229</v>
      </c>
      <c r="G291" s="160" t="s">
        <v>575</v>
      </c>
      <c r="H291" s="162">
        <f t="shared" si="179"/>
        <v>13.853243777455019</v>
      </c>
      <c r="I291" s="162">
        <f t="shared" si="180"/>
        <v>2.9032911458220809</v>
      </c>
      <c r="J291" s="70">
        <f ca="1">IF(F291=0,C291,IF(G291="Beta",_xlfn.BETA.INV(J285,H291,I291),IF(G291="Lognormal",EXP(NORMINV(J285,H291,I291)),IF(G291="Gamma",_xlfn.GAMMA.INV(J285,H291,I291),IF(G291="Normal",_xlfn.NORM.INV(J285,H291,I291),0)))))</f>
        <v>39.04371035522032</v>
      </c>
      <c r="M291" s="31" t="s">
        <v>1087</v>
      </c>
      <c r="N291" s="188">
        <f>'Cost input'!O57</f>
        <v>40.22</v>
      </c>
      <c r="O291" s="188">
        <f>'Cost input'!P57</f>
        <v>14.29</v>
      </c>
      <c r="P291" s="188">
        <f>'Cost input'!Q57</f>
        <v>56.64965311236994</v>
      </c>
      <c r="Q291" s="156">
        <f t="shared" si="184"/>
        <v>10.806033957237229</v>
      </c>
      <c r="R291" s="160" t="s">
        <v>575</v>
      </c>
      <c r="S291" s="162">
        <f t="shared" si="181"/>
        <v>13.853243777455019</v>
      </c>
      <c r="T291" s="162">
        <f t="shared" si="182"/>
        <v>2.9032911458220809</v>
      </c>
      <c r="U291" s="70">
        <f ca="1">IF(Q291=0,N291,IF(R291="Beta",_xlfn.BETA.INV(U285,S291,T291),IF(R291="Lognormal",EXP(NORMINV(U285,S291,T291)),IF(R291="Gamma",_xlfn.GAMMA.INV(U285,S291,T291),IF(R291="Normal",_xlfn.NORM.INV(U285,S291,T291),0)))))</f>
        <v>59.200106729871599</v>
      </c>
    </row>
    <row r="292" spans="2:38" x14ac:dyDescent="0.3">
      <c r="B292" s="31" t="s">
        <v>1443</v>
      </c>
      <c r="C292" s="188">
        <f>'Cost input'!O30</f>
        <v>40.22</v>
      </c>
      <c r="D292" s="188">
        <f>'Cost input'!P30</f>
        <v>14.29</v>
      </c>
      <c r="E292" s="188">
        <f>'Cost input'!Q30</f>
        <v>56.64965311236994</v>
      </c>
      <c r="F292" s="156">
        <f t="shared" si="183"/>
        <v>10.806033957237229</v>
      </c>
      <c r="G292" s="160" t="s">
        <v>575</v>
      </c>
      <c r="H292" s="162">
        <f t="shared" si="179"/>
        <v>13.853243777455019</v>
      </c>
      <c r="I292" s="162">
        <f t="shared" si="180"/>
        <v>2.9032911458220809</v>
      </c>
      <c r="J292" s="70">
        <f ca="1">IF(F292=0,C292,IF(G292="Beta",_xlfn.BETA.INV(J285,H292,I292),IF(G292="Lognormal",EXP(NORMINV(J285,H292,I292)),IF(G292="Gamma",_xlfn.GAMMA.INV(J285,H292,I292),IF(G292="Normal",_xlfn.NORM.INV(J285,H292,I292),0)))))</f>
        <v>39.04371035522032</v>
      </c>
      <c r="M292" s="31" t="s">
        <v>1443</v>
      </c>
      <c r="N292" s="188">
        <f>'Cost input'!O58</f>
        <v>40.22</v>
      </c>
      <c r="O292" s="188">
        <f>'Cost input'!P58</f>
        <v>14.29</v>
      </c>
      <c r="P292" s="188">
        <f>'Cost input'!Q58</f>
        <v>56.64965311236994</v>
      </c>
      <c r="Q292" s="156">
        <f t="shared" si="184"/>
        <v>10.806033957237229</v>
      </c>
      <c r="R292" s="160" t="s">
        <v>575</v>
      </c>
      <c r="S292" s="162">
        <f t="shared" si="181"/>
        <v>13.853243777455019</v>
      </c>
      <c r="T292" s="162">
        <f t="shared" si="182"/>
        <v>2.9032911458220809</v>
      </c>
      <c r="U292" s="70">
        <f ca="1">IF(Q292=0,N292,IF(R292="Beta",_xlfn.BETA.INV(U285,S292,T292),IF(R292="Lognormal",EXP(NORMINV(U285,S292,T292)),IF(R292="Gamma",_xlfn.GAMMA.INV(U285,S292,T292),IF(R292="Normal",_xlfn.NORM.INV(U285,S292,T292),0)))))</f>
        <v>59.200106729871599</v>
      </c>
    </row>
    <row r="293" spans="2:38" ht="15" customHeight="1" x14ac:dyDescent="0.3">
      <c r="B293" s="151" t="s">
        <v>227</v>
      </c>
      <c r="C293" s="162"/>
      <c r="D293" s="162"/>
      <c r="E293" s="162"/>
      <c r="F293" s="162"/>
      <c r="G293" s="162"/>
      <c r="H293" s="162"/>
      <c r="I293" s="162"/>
      <c r="J293" s="291">
        <f ca="1">RAND()</f>
        <v>0.95876621901227976</v>
      </c>
      <c r="M293" s="151" t="s">
        <v>227</v>
      </c>
      <c r="N293" s="141"/>
      <c r="O293" s="141"/>
      <c r="P293" s="141"/>
      <c r="Q293" s="141"/>
      <c r="R293" s="141"/>
      <c r="S293" s="141"/>
      <c r="T293" s="141"/>
      <c r="U293" s="291">
        <f ca="1">RAND()</f>
        <v>0.84104528383501886</v>
      </c>
    </row>
    <row r="294" spans="2:38" ht="15" customHeight="1" x14ac:dyDescent="0.3">
      <c r="B294" s="31" t="s">
        <v>1437</v>
      </c>
      <c r="C294" s="188">
        <f>'Cost input'!O32</f>
        <v>40.22</v>
      </c>
      <c r="D294" s="188">
        <f>'Cost input'!P32</f>
        <v>14.29</v>
      </c>
      <c r="E294" s="188">
        <f>'Cost input'!Q32</f>
        <v>56.64965311236994</v>
      </c>
      <c r="F294" s="156">
        <f t="shared" ref="F294:F295" si="185">(E294-D294)/(2*1.96)</f>
        <v>10.806033957237229</v>
      </c>
      <c r="G294" s="160" t="s">
        <v>575</v>
      </c>
      <c r="H294" s="162">
        <f t="shared" ref="H294:H295" si="186">IF(G294="Beta",C294*(C294*(1-C294)/(F294^2)-1),IF(G294="Lognormal",LN(C294^2/SQRT(F294^2+C294^2)),IF(G294="Gamma",C294^2/F294^2,IF(G294="Normal",C294,0))))</f>
        <v>13.853243777455019</v>
      </c>
      <c r="I294" s="162">
        <f t="shared" ref="I294:I295" si="187">IF(G294="Beta",C294*(1-C294)/(F294^2)-1-H294,IF(G294="Lognormal",SQRT(LN(1+F294^2/C294^2)),IF(G294="Gamma",F294^2/C294,IF(G294="Normal",F294,0))))</f>
        <v>2.9032911458220809</v>
      </c>
      <c r="J294" s="70">
        <f ca="1">IF(F294=0,C294,IF(G294="Beta",_xlfn.BETA.INV(J$293,H294,I294),IF(G294="Lognormal",EXP(NORMINV(J$293,H294,I294)),IF(G294="Gamma",_xlfn.GAMMA.INV(J$293,H294,I294),IF(G294="Normal",_xlfn.NORM.INV(J$293,H294,I294),0)))))</f>
        <v>60.778339278378027</v>
      </c>
      <c r="M294" s="31" t="s">
        <v>227</v>
      </c>
      <c r="N294" s="188">
        <f>'Cost input'!O60</f>
        <v>40.22</v>
      </c>
      <c r="O294" s="188">
        <f>'Cost input'!P60</f>
        <v>14.29</v>
      </c>
      <c r="P294" s="188">
        <f>'Cost input'!Q60</f>
        <v>56.64965311236994</v>
      </c>
      <c r="Q294" s="156">
        <f>(P294-O294)/(2*1.96)</f>
        <v>10.806033957237229</v>
      </c>
      <c r="R294" s="160" t="s">
        <v>575</v>
      </c>
      <c r="S294" s="162">
        <f t="shared" ref="S294:S295" si="188">IF(R294="Beta",N294*(N294*(1-N294)/(Q294^2)-1),IF(R294="Lognormal",LN(N294^2/SQRT(Q294^2+N294^2)),IF(R294="Gamma",N294^2/Q294^2,IF(R294="Normal",N294,0))))</f>
        <v>13.853243777455019</v>
      </c>
      <c r="T294" s="162">
        <f t="shared" ref="T294:T295" si="189">IF(R294="Beta",N294*(1-N294)/(Q294^2)-1-S294,IF(R294="Lognormal",SQRT(LN(1+Q294^2/N294^2)),IF(R294="Gamma",Q294^2/N294,IF(R294="Normal",Q294,0))))</f>
        <v>2.9032911458220809</v>
      </c>
      <c r="U294" s="70">
        <f ca="1">IF(Q294=0,N294,IF(R294="Beta",_xlfn.BETA.INV(U293,S294,T294),IF(R294="Lognormal",EXP(NORMINV(U293,S294,T294)),IF(R294="Gamma",_xlfn.GAMMA.INV(U293,S294,T294),IF(R294="Normal",_xlfn.NORM.INV(U293,S294,T294),0)))))</f>
        <v>50.881732819477499</v>
      </c>
    </row>
    <row r="295" spans="2:38" ht="15" customHeight="1" x14ac:dyDescent="0.3">
      <c r="B295" s="31" t="s">
        <v>1438</v>
      </c>
      <c r="C295" s="188">
        <f>'Cost input'!O33</f>
        <v>40.22</v>
      </c>
      <c r="D295" s="188">
        <f>'Cost input'!P33</f>
        <v>14.29</v>
      </c>
      <c r="E295" s="188">
        <f>'Cost input'!Q33</f>
        <v>56.64965311236994</v>
      </c>
      <c r="F295" s="156">
        <f t="shared" si="185"/>
        <v>10.806033957237229</v>
      </c>
      <c r="G295" s="160" t="s">
        <v>575</v>
      </c>
      <c r="H295" s="162">
        <f t="shared" si="186"/>
        <v>13.853243777455019</v>
      </c>
      <c r="I295" s="162">
        <f t="shared" si="187"/>
        <v>2.9032911458220809</v>
      </c>
      <c r="J295" s="70">
        <f ca="1">IF(F295=0,C295,IF(G295="Beta",_xlfn.BETA.INV(J$293,H295,I295),IF(G295="Lognormal",EXP(NORMINV(J$293,H295,I295)),IF(G295="Gamma",_xlfn.GAMMA.INV(J$293,H295,I295),IF(G295="Normal",_xlfn.NORM.INV(J$293,H295,I295),0)))))</f>
        <v>60.778339278378027</v>
      </c>
      <c r="M295" s="31" t="s">
        <v>8</v>
      </c>
      <c r="N295" s="188">
        <f>'Cost input'!O61</f>
        <v>40.22</v>
      </c>
      <c r="O295" s="188">
        <f>'Cost input'!P61</f>
        <v>14.29</v>
      </c>
      <c r="P295" s="188">
        <f>'Cost input'!Q61</f>
        <v>56.64965311236994</v>
      </c>
      <c r="Q295" s="156">
        <f t="shared" ref="Q295:Q297" si="190">(P295-O295)/(2*1.96)</f>
        <v>10.806033957237229</v>
      </c>
      <c r="R295" s="160" t="s">
        <v>575</v>
      </c>
      <c r="S295" s="162">
        <f t="shared" si="188"/>
        <v>13.853243777455019</v>
      </c>
      <c r="T295" s="162">
        <f t="shared" si="189"/>
        <v>2.9032911458220809</v>
      </c>
      <c r="U295" s="70">
        <f ca="1">IF(Q295=0,N295,IF(R295="Beta",_xlfn.BETA.INV(U293,S295,T295),IF(R295="Lognormal",EXP(NORMINV(U293,S295,T295)),IF(R295="Gamma",_xlfn.GAMMA.INV(U293,S295,T295),IF(R295="Normal",_xlfn.NORM.INV(U293,S295,T295),0)))))</f>
        <v>50.881732819477499</v>
      </c>
    </row>
    <row r="296" spans="2:38" ht="15" customHeight="1" x14ac:dyDescent="0.3">
      <c r="B296" s="31" t="s">
        <v>1441</v>
      </c>
      <c r="C296" s="188">
        <f>'Cost input'!O34</f>
        <v>40.22</v>
      </c>
      <c r="D296" s="188">
        <f>'Cost input'!P34</f>
        <v>14.29</v>
      </c>
      <c r="E296" s="188">
        <f>'Cost input'!Q34</f>
        <v>56.64965311236994</v>
      </c>
      <c r="F296" s="156">
        <f t="shared" si="175"/>
        <v>10.806033957237229</v>
      </c>
      <c r="G296" s="160" t="s">
        <v>575</v>
      </c>
      <c r="H296" s="162">
        <f t="shared" si="176"/>
        <v>13.853243777455019</v>
      </c>
      <c r="I296" s="162">
        <f t="shared" si="177"/>
        <v>2.9032911458220809</v>
      </c>
      <c r="J296" s="70">
        <f t="shared" ref="J296:J300" ca="1" si="191">IF(F296=0,C296,IF(G296="Beta",_xlfn.BETA.INV(J$293,H296,I296),IF(G296="Lognormal",EXP(NORMINV(J$293,H296,I296)),IF(G296="Gamma",_xlfn.GAMMA.INV(J$293,H296,I296),IF(G296="Normal",_xlfn.NORM.INV(J$293,H296,I296),0)))))</f>
        <v>60.778339278378027</v>
      </c>
      <c r="M296" s="31" t="s">
        <v>227</v>
      </c>
      <c r="N296" s="188">
        <f>'Cost input'!O62</f>
        <v>40.22</v>
      </c>
      <c r="O296" s="188">
        <f>'Cost input'!P62</f>
        <v>14.29</v>
      </c>
      <c r="P296" s="188">
        <f>'Cost input'!Q62</f>
        <v>56.64965311236994</v>
      </c>
      <c r="Q296" s="156">
        <f t="shared" si="190"/>
        <v>10.806033957237229</v>
      </c>
      <c r="R296" s="160" t="s">
        <v>575</v>
      </c>
      <c r="S296" s="162">
        <f t="shared" si="173"/>
        <v>13.853243777455019</v>
      </c>
      <c r="T296" s="162">
        <f t="shared" si="174"/>
        <v>2.9032911458220809</v>
      </c>
      <c r="U296" s="70">
        <f ca="1">IF(Q296=0,N296,IF(R296="Beta",_xlfn.BETA.INV(U293,S296,T296),IF(R296="Lognormal",EXP(NORMINV(U293,S296,T296)),IF(R296="Gamma",_xlfn.GAMMA.INV(U293,S296,T296),IF(R296="Normal",_xlfn.NORM.INV(U293,S296,T296),0)))))</f>
        <v>50.881732819477499</v>
      </c>
    </row>
    <row r="297" spans="2:38" ht="15" customHeight="1" x14ac:dyDescent="0.3">
      <c r="B297" s="31" t="s">
        <v>1442</v>
      </c>
      <c r="C297" s="188">
        <f>'Cost input'!O35</f>
        <v>40.22</v>
      </c>
      <c r="D297" s="188">
        <f>'Cost input'!P35</f>
        <v>14.29</v>
      </c>
      <c r="E297" s="188">
        <f>'Cost input'!Q35</f>
        <v>56.64965311236994</v>
      </c>
      <c r="F297" s="156">
        <f t="shared" si="175"/>
        <v>10.806033957237229</v>
      </c>
      <c r="G297" s="160" t="s">
        <v>575</v>
      </c>
      <c r="H297" s="162">
        <f t="shared" si="176"/>
        <v>13.853243777455019</v>
      </c>
      <c r="I297" s="162">
        <f t="shared" si="177"/>
        <v>2.9032911458220809</v>
      </c>
      <c r="J297" s="70">
        <f t="shared" ca="1" si="191"/>
        <v>60.778339278378027</v>
      </c>
      <c r="M297" s="31" t="s">
        <v>8</v>
      </c>
      <c r="N297" s="188">
        <f>'Cost input'!O63</f>
        <v>40.22</v>
      </c>
      <c r="O297" s="188">
        <f>'Cost input'!P63</f>
        <v>14.29</v>
      </c>
      <c r="P297" s="188">
        <f>'Cost input'!Q63</f>
        <v>56.64965311236994</v>
      </c>
      <c r="Q297" s="156">
        <f t="shared" si="190"/>
        <v>10.806033957237229</v>
      </c>
      <c r="R297" s="160" t="s">
        <v>575</v>
      </c>
      <c r="S297" s="162">
        <f t="shared" si="173"/>
        <v>13.853243777455019</v>
      </c>
      <c r="T297" s="162">
        <f t="shared" si="174"/>
        <v>2.9032911458220809</v>
      </c>
      <c r="U297" s="70">
        <f ca="1">IF(Q297=0,N297,IF(R297="Beta",_xlfn.BETA.INV(U293,S297,T297),IF(R297="Lognormal",EXP(NORMINV(U293,S297,T297)),IF(R297="Gamma",_xlfn.GAMMA.INV(U293,S297,T297),IF(R297="Normal",_xlfn.NORM.INV(U293,S297,T297),0)))))</f>
        <v>50.881732819477499</v>
      </c>
    </row>
    <row r="298" spans="2:38" ht="15" customHeight="1" x14ac:dyDescent="0.3">
      <c r="B298" s="151" t="s">
        <v>920</v>
      </c>
      <c r="C298" s="162"/>
      <c r="D298" s="162"/>
      <c r="E298" s="162"/>
      <c r="F298" s="162"/>
      <c r="G298" s="162"/>
      <c r="H298" s="162"/>
      <c r="I298" s="162"/>
      <c r="J298" s="291">
        <f ca="1">RAND()</f>
        <v>0.93141328958666747</v>
      </c>
      <c r="M298" s="151" t="s">
        <v>920</v>
      </c>
      <c r="N298" s="141"/>
      <c r="O298" s="141"/>
      <c r="P298" s="141"/>
      <c r="Q298" s="141"/>
      <c r="R298" s="141"/>
      <c r="S298" s="141"/>
      <c r="T298" s="141"/>
      <c r="U298" s="291">
        <f ca="1">RAND()</f>
        <v>0.23717213569910467</v>
      </c>
    </row>
    <row r="299" spans="2:38" ht="15" customHeight="1" x14ac:dyDescent="0.3">
      <c r="B299" s="31" t="s">
        <v>920</v>
      </c>
      <c r="C299" s="188">
        <f>'Cost input'!O37</f>
        <v>40.22</v>
      </c>
      <c r="D299" s="188">
        <f>'Cost input'!P37</f>
        <v>14.29</v>
      </c>
      <c r="E299" s="188">
        <f>'Cost input'!Q37</f>
        <v>56.64965311236994</v>
      </c>
      <c r="F299" s="156">
        <f t="shared" si="175"/>
        <v>10.806033957237229</v>
      </c>
      <c r="G299" s="160" t="s">
        <v>575</v>
      </c>
      <c r="H299" s="162">
        <f t="shared" si="176"/>
        <v>13.853243777455019</v>
      </c>
      <c r="I299" s="162">
        <f t="shared" si="177"/>
        <v>2.9032911458220809</v>
      </c>
      <c r="J299" s="70">
        <f t="shared" ca="1" si="191"/>
        <v>60.778339278378027</v>
      </c>
      <c r="M299" s="31" t="s">
        <v>920</v>
      </c>
      <c r="N299" s="188">
        <f>'Cost input'!O65</f>
        <v>40.22</v>
      </c>
      <c r="O299" s="188">
        <f>'Cost input'!P65</f>
        <v>14.29</v>
      </c>
      <c r="P299" s="188">
        <f>'Cost input'!Q65</f>
        <v>56.64965311236994</v>
      </c>
      <c r="Q299" s="156">
        <f>(P299-O299)/(2*1.96)</f>
        <v>10.806033957237229</v>
      </c>
      <c r="R299" s="160" t="s">
        <v>575</v>
      </c>
      <c r="S299" s="162">
        <f t="shared" si="173"/>
        <v>13.853243777455019</v>
      </c>
      <c r="T299" s="162">
        <f t="shared" si="174"/>
        <v>2.9032911458220809</v>
      </c>
      <c r="U299" s="70">
        <f ca="1">IF(Q299=0,N299,IF(R299="Beta",_xlfn.BETA.INV(U298,S299,T299),IF(R299="Lognormal",EXP(NORMINV(U298,S299,T299)),IF(R299="Gamma",_xlfn.GAMMA.INV(U298,S299,T299),IF(R299="Normal",_xlfn.NORM.INV(U298,S299,T299),0)))))</f>
        <v>32.120586411646961</v>
      </c>
    </row>
    <row r="300" spans="2:38" ht="15" customHeight="1" x14ac:dyDescent="0.3">
      <c r="B300" s="31" t="s">
        <v>980</v>
      </c>
      <c r="C300" s="188">
        <f>'Cost input'!O38</f>
        <v>40.22</v>
      </c>
      <c r="D300" s="188">
        <f>'Cost input'!P38</f>
        <v>14.29</v>
      </c>
      <c r="E300" s="188">
        <f>'Cost input'!Q38</f>
        <v>56.64965311236994</v>
      </c>
      <c r="F300" s="156">
        <f t="shared" si="175"/>
        <v>10.806033957237229</v>
      </c>
      <c r="G300" s="160" t="s">
        <v>575</v>
      </c>
      <c r="H300" s="162">
        <f t="shared" si="176"/>
        <v>13.853243777455019</v>
      </c>
      <c r="I300" s="162">
        <f t="shared" si="177"/>
        <v>2.9032911458220809</v>
      </c>
      <c r="J300" s="70">
        <f t="shared" ca="1" si="191"/>
        <v>60.778339278378027</v>
      </c>
      <c r="M300" s="31" t="s">
        <v>980</v>
      </c>
      <c r="N300" s="188">
        <f>'Cost input'!O66</f>
        <v>40.22</v>
      </c>
      <c r="O300" s="188">
        <f>'Cost input'!P66</f>
        <v>14.29</v>
      </c>
      <c r="P300" s="188">
        <f>'Cost input'!Q66</f>
        <v>56.64965311236994</v>
      </c>
      <c r="Q300" s="156">
        <f t="shared" ref="Q300" si="192">(P300-O300)/(2*1.96)</f>
        <v>10.806033957237229</v>
      </c>
      <c r="R300" s="160" t="s">
        <v>575</v>
      </c>
      <c r="S300" s="162">
        <f t="shared" si="173"/>
        <v>13.853243777455019</v>
      </c>
      <c r="T300" s="162">
        <f t="shared" si="174"/>
        <v>2.9032911458220809</v>
      </c>
      <c r="U300" s="70">
        <f ca="1">IF(Q300=0,N300,IF(R300="Beta",_xlfn.BETA.INV(U298,S300,T300),IF(R300="Lognormal",EXP(NORMINV(U298,S300,T300)),IF(R300="Gamma",_xlfn.GAMMA.INV(U298,S300,T300),IF(R300="Normal",_xlfn.NORM.INV(U298,S300,T300),0)))))</f>
        <v>32.120586411646961</v>
      </c>
    </row>
    <row r="301" spans="2:38" ht="15" customHeight="1" x14ac:dyDescent="0.4">
      <c r="B301" s="168" t="s">
        <v>536</v>
      </c>
      <c r="C301" s="168"/>
      <c r="D301" s="168"/>
      <c r="E301" s="168"/>
      <c r="F301" s="168"/>
      <c r="G301" s="168"/>
      <c r="AI301" s="168"/>
      <c r="AJ301" s="168"/>
      <c r="AK301" s="168"/>
      <c r="AL301" s="168"/>
    </row>
    <row r="302" spans="2:38" ht="15" customHeight="1" x14ac:dyDescent="0.3">
      <c r="B302" s="176" t="s">
        <v>552</v>
      </c>
      <c r="C302" s="165"/>
      <c r="D302" s="165"/>
      <c r="E302" s="165"/>
      <c r="F302" s="165"/>
      <c r="G302" s="165"/>
      <c r="H302" s="73"/>
      <c r="I302" s="73"/>
      <c r="J302" s="73"/>
      <c r="M302" s="176" t="s">
        <v>651</v>
      </c>
      <c r="N302" s="165"/>
      <c r="O302" s="165"/>
      <c r="P302" s="165"/>
      <c r="Q302" s="165"/>
      <c r="R302" s="165"/>
      <c r="S302" s="73"/>
      <c r="T302" s="73"/>
      <c r="U302" s="73"/>
    </row>
    <row r="303" spans="2:38" ht="15" customHeight="1" x14ac:dyDescent="0.3">
      <c r="B303" s="159" t="s">
        <v>911</v>
      </c>
      <c r="C303" s="165"/>
      <c r="D303" s="165"/>
      <c r="E303" s="165"/>
      <c r="F303" s="165"/>
      <c r="G303" s="165"/>
      <c r="H303" s="73"/>
      <c r="I303" s="73"/>
      <c r="J303" s="73"/>
      <c r="M303" s="159" t="s">
        <v>911</v>
      </c>
      <c r="N303" s="165"/>
      <c r="O303" s="165"/>
      <c r="P303" s="165"/>
      <c r="Q303" s="165"/>
      <c r="R303" s="165"/>
      <c r="S303" s="73"/>
      <c r="T303" s="73"/>
      <c r="U303" s="73"/>
    </row>
    <row r="304" spans="2:38" ht="15" customHeight="1" x14ac:dyDescent="0.3">
      <c r="B304" s="159" t="s">
        <v>1</v>
      </c>
      <c r="C304" s="159" t="s">
        <v>567</v>
      </c>
      <c r="D304" s="159" t="s">
        <v>985</v>
      </c>
      <c r="E304" s="159" t="s">
        <v>986</v>
      </c>
      <c r="F304" s="73" t="s">
        <v>584</v>
      </c>
      <c r="G304" s="73" t="s">
        <v>569</v>
      </c>
      <c r="H304" s="73" t="s">
        <v>581</v>
      </c>
      <c r="I304" s="73" t="s">
        <v>582</v>
      </c>
      <c r="J304" s="73" t="s">
        <v>583</v>
      </c>
      <c r="M304" s="159" t="s">
        <v>1</v>
      </c>
      <c r="N304" s="166" t="s">
        <v>630</v>
      </c>
      <c r="O304" s="166"/>
      <c r="P304" s="166"/>
      <c r="Q304" s="73" t="s">
        <v>584</v>
      </c>
      <c r="R304" s="73" t="s">
        <v>569</v>
      </c>
      <c r="S304" s="73" t="s">
        <v>581</v>
      </c>
      <c r="T304" s="73" t="s">
        <v>582</v>
      </c>
      <c r="U304" s="73" t="s">
        <v>583</v>
      </c>
    </row>
    <row r="305" spans="2:28" ht="15" customHeight="1" x14ac:dyDescent="0.3">
      <c r="B305" s="150" t="s">
        <v>988</v>
      </c>
      <c r="C305" s="197"/>
      <c r="D305" s="197"/>
      <c r="E305" s="197"/>
      <c r="J305" s="291">
        <f ca="1">RAND()</f>
        <v>8.8374012412507752E-2</v>
      </c>
      <c r="M305" s="150" t="s">
        <v>988</v>
      </c>
      <c r="U305" s="291">
        <f ca="1">J305</f>
        <v>8.8374012412507752E-2</v>
      </c>
    </row>
    <row r="306" spans="2:28" ht="15" customHeight="1" x14ac:dyDescent="0.3">
      <c r="B306" s="31" t="s">
        <v>1082</v>
      </c>
      <c r="C306" s="188">
        <f>'Cost input'!O75</f>
        <v>67.52</v>
      </c>
      <c r="D306" s="188">
        <f>'Cost input'!P75</f>
        <v>33.76</v>
      </c>
      <c r="E306" s="188">
        <f>'Cost input'!Q75</f>
        <v>101.28</v>
      </c>
      <c r="F306" s="156">
        <f>(E306-D306)/(2*1.96)</f>
        <v>17.22448979591837</v>
      </c>
      <c r="G306" s="160" t="s">
        <v>575</v>
      </c>
      <c r="H306" s="162">
        <f t="shared" ref="H306" si="193">IF(G306="Beta",C306*(C306*(1-C306)/(F306^2)-1),IF(G306="Lognormal",LN(C306^2/SQRT(F306^2+C306^2)),IF(G306="Gamma",C306^2/F306^2,IF(G306="Normal",C306,0))))</f>
        <v>15.366399999999993</v>
      </c>
      <c r="I306" s="162">
        <f t="shared" ref="I306" si="194">IF(G306="Beta",C306*(1-C306)/(F306^2)-1-H306,IF(G306="Lognormal",SQRT(LN(1+F306^2/C306^2)),IF(G306="Gamma",F306^2/C306,IF(G306="Normal",F306,0))))</f>
        <v>4.3940024989587689</v>
      </c>
      <c r="J306" s="70">
        <f ca="1">IF(F306=0,C306,IF(G306="Beta",_xlfn.BETA.INV(J305,H306,I306),IF(G306="Lognormal",EXP(NORMINV(J305,H306,I306)),IF(G306="Gamma",_xlfn.GAMMA.INV(J305,H306,I306),IF(G306="Normal",_xlfn.NORM.INV(J305,H306,I306),0)))))</f>
        <v>45.675535995813576</v>
      </c>
      <c r="K306">
        <f>(E306+D306)/2</f>
        <v>67.52</v>
      </c>
      <c r="M306" s="31" t="s">
        <v>2</v>
      </c>
      <c r="N306" s="188">
        <f>'Cost input'!O103</f>
        <v>67.52</v>
      </c>
      <c r="O306" s="188">
        <f>'Cost input'!P103</f>
        <v>33.76</v>
      </c>
      <c r="P306" s="188">
        <f>'Cost input'!Q103</f>
        <v>101.28</v>
      </c>
      <c r="Q306" s="156">
        <f>(P306-O306)/(2*1.96)</f>
        <v>17.22448979591837</v>
      </c>
      <c r="R306" s="160" t="s">
        <v>575</v>
      </c>
      <c r="S306" s="162">
        <f t="shared" ref="S306" si="195">IF(R306="Beta",N306*(N306*(1-N306)/(Q306^2)-1),IF(R306="Lognormal",LN(N306^2/SQRT(Q306^2+N306^2)),IF(R306="Gamma",N306^2/Q306^2,IF(R306="Normal",N306,0))))</f>
        <v>15.366399999999993</v>
      </c>
      <c r="T306" s="162">
        <f t="shared" ref="T306" si="196">IF(R306="Beta",N306*(1-N306)/(Q306^2)-1-S306,IF(R306="Lognormal",SQRT(LN(1+Q306^2/N306^2)),IF(R306="Gamma",Q306^2/N306,IF(R306="Normal",Q306,0))))</f>
        <v>4.3940024989587689</v>
      </c>
      <c r="U306" s="70">
        <f ca="1">IF(Q306=0,N306,IF(R306="Beta",_xlfn.BETA.INV(U305,S306,T306),IF(R306="Lognormal",EXP(NORMINV(U305,S306,T306)),IF(R306="Gamma",_xlfn.GAMMA.INV(U305,S306,T306),IF(R306="Normal",_xlfn.NORM.INV(U305,S306,T306),0)))))</f>
        <v>45.675535995813576</v>
      </c>
      <c r="V306">
        <f>(P306+O306)/2</f>
        <v>67.52</v>
      </c>
    </row>
    <row r="307" spans="2:28" ht="15" customHeight="1" x14ac:dyDescent="0.3">
      <c r="B307" s="31" t="s">
        <v>1083</v>
      </c>
      <c r="C307" s="188">
        <f>'Cost input'!O76</f>
        <v>67.52</v>
      </c>
      <c r="D307" s="188">
        <f>'Cost input'!P76</f>
        <v>33.76</v>
      </c>
      <c r="E307" s="188">
        <f>'Cost input'!Q76</f>
        <v>101.28</v>
      </c>
      <c r="F307" s="156">
        <f t="shared" ref="F307:F328" si="197">(E307-D307)/(2*1.96)</f>
        <v>17.22448979591837</v>
      </c>
      <c r="G307" s="160" t="s">
        <v>575</v>
      </c>
      <c r="H307" s="162">
        <f t="shared" ref="H307:H328" si="198">IF(G307="Beta",C307*(C307*(1-C307)/(F307^2)-1),IF(G307="Lognormal",LN(C307^2/SQRT(F307^2+C307^2)),IF(G307="Gamma",C307^2/F307^2,IF(G307="Normal",C307,0))))</f>
        <v>15.366399999999993</v>
      </c>
      <c r="I307" s="162">
        <f t="shared" ref="I307:I328" si="199">IF(G307="Beta",C307*(1-C307)/(F307^2)-1-H307,IF(G307="Lognormal",SQRT(LN(1+F307^2/C307^2)),IF(G307="Gamma",F307^2/C307,IF(G307="Normal",F307,0))))</f>
        <v>4.3940024989587689</v>
      </c>
      <c r="J307" s="70">
        <f ca="1">IF(F307=0,C307,IF(G307="Beta",_xlfn.BETA.INV(J305,H307,I307),IF(G307="Lognormal",EXP(NORMINV(J305,H307,I307)),IF(G307="Gamma",_xlfn.GAMMA.INV(J305,H307,I307),IF(G307="Normal",_xlfn.NORM.INV(J305,H307,I307),0)))))</f>
        <v>45.675535995813576</v>
      </c>
      <c r="K307">
        <f>_xlfn.GAMMA.INV(0.5,H307,I307)</f>
        <v>66.061115756481115</v>
      </c>
      <c r="M307" s="31" t="s">
        <v>3</v>
      </c>
      <c r="N307" s="188">
        <f>'Cost input'!O104</f>
        <v>67.52</v>
      </c>
      <c r="O307" s="188">
        <f>'Cost input'!P104</f>
        <v>33.76</v>
      </c>
      <c r="P307" s="188">
        <f>'Cost input'!Q104</f>
        <v>101.28</v>
      </c>
      <c r="Q307" s="156">
        <f t="shared" ref="Q307:Q312" si="200">(P307-O307)/(2*1.96)</f>
        <v>17.22448979591837</v>
      </c>
      <c r="R307" s="160" t="s">
        <v>575</v>
      </c>
      <c r="S307" s="162">
        <f t="shared" ref="S307:S328" si="201">IF(R307="Beta",N307*(N307*(1-N307)/(Q307^2)-1),IF(R307="Lognormal",LN(N307^2/SQRT(Q307^2+N307^2)),IF(R307="Gamma",N307^2/Q307^2,IF(R307="Normal",N307,0))))</f>
        <v>15.366399999999993</v>
      </c>
      <c r="T307" s="162">
        <f t="shared" ref="T307:T328" si="202">IF(R307="Beta",N307*(1-N307)/(Q307^2)-1-S307,IF(R307="Lognormal",SQRT(LN(1+Q307^2/N307^2)),IF(R307="Gamma",Q307^2/N307,IF(R307="Normal",Q307,0))))</f>
        <v>4.3940024989587689</v>
      </c>
      <c r="U307" s="70">
        <f ca="1">IF(Q307=0,N307,IF(R307="Beta",_xlfn.BETA.INV(U305,S307,T307),IF(R307="Lognormal",EXP(NORMINV(U305,S307,T307)),IF(R307="Gamma",_xlfn.GAMMA.INV(U305,S307,T307),IF(R307="Normal",_xlfn.NORM.INV(U305,S307,T307),0)))))</f>
        <v>45.675535995813576</v>
      </c>
    </row>
    <row r="308" spans="2:28" ht="15" customHeight="1" x14ac:dyDescent="0.3">
      <c r="B308" s="31" t="s">
        <v>1084</v>
      </c>
      <c r="C308" s="188">
        <f>'Cost input'!O77</f>
        <v>67.52</v>
      </c>
      <c r="D308" s="188">
        <f>'Cost input'!P77</f>
        <v>33.76</v>
      </c>
      <c r="E308" s="188">
        <f>'Cost input'!Q77</f>
        <v>101.28</v>
      </c>
      <c r="F308" s="156">
        <f t="shared" si="197"/>
        <v>17.22448979591837</v>
      </c>
      <c r="G308" s="160" t="s">
        <v>575</v>
      </c>
      <c r="H308" s="162">
        <f t="shared" si="198"/>
        <v>15.366399999999993</v>
      </c>
      <c r="I308" s="162">
        <f t="shared" si="199"/>
        <v>4.3940024989587689</v>
      </c>
      <c r="J308" s="70">
        <f ca="1">IF(F308=0,C308,IF(G308="Beta",_xlfn.BETA.INV(J305,H308,I308),IF(G308="Lognormal",EXP(NORMINV(J305,H308,I308)),IF(G308="Gamma",_xlfn.GAMMA.INV(J305,H308,I308),IF(G308="Normal",_xlfn.NORM.INV(J305,H308,I308),0)))))</f>
        <v>45.675535995813576</v>
      </c>
      <c r="M308" s="31" t="s">
        <v>4</v>
      </c>
      <c r="N308" s="188">
        <f>'Cost input'!O105</f>
        <v>67.52</v>
      </c>
      <c r="O308" s="188">
        <f>'Cost input'!P105</f>
        <v>33.76</v>
      </c>
      <c r="P308" s="188">
        <f>'Cost input'!Q105</f>
        <v>101.28</v>
      </c>
      <c r="Q308" s="156">
        <f t="shared" si="200"/>
        <v>17.22448979591837</v>
      </c>
      <c r="R308" s="160" t="s">
        <v>575</v>
      </c>
      <c r="S308" s="162">
        <f t="shared" si="201"/>
        <v>15.366399999999993</v>
      </c>
      <c r="T308" s="162">
        <f t="shared" si="202"/>
        <v>4.3940024989587689</v>
      </c>
      <c r="U308" s="70">
        <f ca="1">IF(Q308=0,N308,IF(R308="Beta",_xlfn.BETA.INV(U305,S308,T308),IF(R308="Lognormal",EXP(NORMINV(U305,S308,T308)),IF(R308="Gamma",_xlfn.GAMMA.INV(U305,S308,T308),IF(R308="Normal",_xlfn.NORM.INV(U305,S308,T308),0)))))</f>
        <v>45.675535995813576</v>
      </c>
    </row>
    <row r="309" spans="2:28" ht="15" customHeight="1" x14ac:dyDescent="0.3">
      <c r="B309" s="31" t="s">
        <v>1085</v>
      </c>
      <c r="C309" s="188">
        <f>'Cost input'!O78</f>
        <v>67.52</v>
      </c>
      <c r="D309" s="188">
        <f>'Cost input'!P78</f>
        <v>33.76</v>
      </c>
      <c r="E309" s="188">
        <f>'Cost input'!Q78</f>
        <v>101.28</v>
      </c>
      <c r="F309" s="156">
        <f t="shared" si="197"/>
        <v>17.22448979591837</v>
      </c>
      <c r="G309" s="160" t="s">
        <v>575</v>
      </c>
      <c r="H309" s="162">
        <f t="shared" si="198"/>
        <v>15.366399999999993</v>
      </c>
      <c r="I309" s="162">
        <f t="shared" si="199"/>
        <v>4.3940024989587689</v>
      </c>
      <c r="J309" s="70">
        <f ca="1">IF(F309=0,C309,IF(G309="Beta",_xlfn.BETA.INV(J305,H309,I309),IF(G309="Lognormal",EXP(NORMINV(J305,H309,I309)),IF(G309="Gamma",_xlfn.GAMMA.INV(J305,H309,I309),IF(G309="Normal",_xlfn.NORM.INV(J305,H309,I309),0)))))</f>
        <v>45.675535995813576</v>
      </c>
      <c r="M309" s="31" t="s">
        <v>5</v>
      </c>
      <c r="N309" s="188">
        <f>'Cost input'!O106</f>
        <v>67.52</v>
      </c>
      <c r="O309" s="188">
        <f>'Cost input'!P106</f>
        <v>33.76</v>
      </c>
      <c r="P309" s="188">
        <f>'Cost input'!Q106</f>
        <v>101.28</v>
      </c>
      <c r="Q309" s="156">
        <f t="shared" si="200"/>
        <v>17.22448979591837</v>
      </c>
      <c r="R309" s="160" t="s">
        <v>575</v>
      </c>
      <c r="S309" s="162">
        <f t="shared" si="201"/>
        <v>15.366399999999993</v>
      </c>
      <c r="T309" s="162">
        <f t="shared" si="202"/>
        <v>4.3940024989587689</v>
      </c>
      <c r="U309" s="70">
        <f ca="1">IF(Q309=0,N309,IF(R309="Beta",_xlfn.BETA.INV(U305,S309,T309),IF(R309="Lognormal",EXP(NORMINV(U305,S309,T309)),IF(R309="Gamma",_xlfn.GAMMA.INV(U305,S309,T309),IF(R309="Normal",_xlfn.NORM.INV(U305,S309,T309),0)))))</f>
        <v>45.675535995813576</v>
      </c>
    </row>
    <row r="310" spans="2:28" ht="15" customHeight="1" x14ac:dyDescent="0.3">
      <c r="B310" s="31" t="s">
        <v>1086</v>
      </c>
      <c r="C310" s="188">
        <f>'Cost input'!O79</f>
        <v>67.52</v>
      </c>
      <c r="D310" s="188">
        <f>'Cost input'!P79</f>
        <v>33.76</v>
      </c>
      <c r="E310" s="188">
        <f>'Cost input'!Q79</f>
        <v>101.28</v>
      </c>
      <c r="F310" s="156">
        <f t="shared" si="197"/>
        <v>17.22448979591837</v>
      </c>
      <c r="G310" s="160" t="s">
        <v>575</v>
      </c>
      <c r="H310" s="162">
        <f t="shared" si="198"/>
        <v>15.366399999999993</v>
      </c>
      <c r="I310" s="162">
        <f t="shared" si="199"/>
        <v>4.3940024989587689</v>
      </c>
      <c r="J310" s="70">
        <f ca="1">IF(F310=0,C310,IF(G310="Beta",_xlfn.BETA.INV(J305,H310,I310),IF(G310="Lognormal",EXP(NORMINV(J305,H310,I310)),IF(G310="Gamma",_xlfn.GAMMA.INV(J305,H310,I310),IF(G310="Normal",_xlfn.NORM.INV(J305,H310,I310),0)))))</f>
        <v>45.675535995813576</v>
      </c>
      <c r="M310" s="31" t="s">
        <v>6</v>
      </c>
      <c r="N310" s="188">
        <f>'Cost input'!O107</f>
        <v>67.52</v>
      </c>
      <c r="O310" s="188">
        <f>'Cost input'!P107</f>
        <v>33.76</v>
      </c>
      <c r="P310" s="188">
        <f>'Cost input'!Q107</f>
        <v>101.28</v>
      </c>
      <c r="Q310" s="156">
        <f t="shared" si="200"/>
        <v>17.22448979591837</v>
      </c>
      <c r="R310" s="160" t="s">
        <v>575</v>
      </c>
      <c r="S310" s="162">
        <f t="shared" si="201"/>
        <v>15.366399999999993</v>
      </c>
      <c r="T310" s="162">
        <f t="shared" si="202"/>
        <v>4.3940024989587689</v>
      </c>
      <c r="U310" s="70">
        <f ca="1">IF(Q310=0,N310,IF(R310="Beta",_xlfn.BETA.INV(U305,S310,T310),IF(R310="Lognormal",EXP(NORMINV(U305,S310,T310)),IF(R310="Gamma",_xlfn.GAMMA.INV(U305,S310,T310),IF(R310="Normal",_xlfn.NORM.INV(U305,S310,T310),0)))))</f>
        <v>45.675535995813576</v>
      </c>
    </row>
    <row r="311" spans="2:28" ht="15" customHeight="1" x14ac:dyDescent="0.3">
      <c r="B311" s="31" t="s">
        <v>1087</v>
      </c>
      <c r="C311" s="188">
        <f>'Cost input'!O80</f>
        <v>67.52</v>
      </c>
      <c r="D311" s="188">
        <f>'Cost input'!P80</f>
        <v>33.76</v>
      </c>
      <c r="E311" s="188">
        <f>'Cost input'!Q80</f>
        <v>101.28</v>
      </c>
      <c r="F311" s="156">
        <f t="shared" si="197"/>
        <v>17.22448979591837</v>
      </c>
      <c r="G311" s="160" t="s">
        <v>575</v>
      </c>
      <c r="H311" s="162">
        <f t="shared" si="198"/>
        <v>15.366399999999993</v>
      </c>
      <c r="I311" s="162">
        <f t="shared" si="199"/>
        <v>4.3940024989587689</v>
      </c>
      <c r="J311" s="70">
        <f ca="1">IF(F311=0,C311,IF(G311="Beta",_xlfn.BETA.INV(J305,H311,I311),IF(G311="Lognormal",EXP(NORMINV(J305,H311,I311)),IF(G311="Gamma",_xlfn.GAMMA.INV(J305,H311,I311),IF(G311="Normal",_xlfn.NORM.INV(J305,H311,I311),0)))))</f>
        <v>45.675535995813576</v>
      </c>
      <c r="M311" s="31" t="s">
        <v>7</v>
      </c>
      <c r="N311" s="188">
        <f>'Cost input'!O108</f>
        <v>67.52</v>
      </c>
      <c r="O311" s="188">
        <f>'Cost input'!P108</f>
        <v>33.76</v>
      </c>
      <c r="P311" s="188">
        <f>'Cost input'!Q108</f>
        <v>101.28</v>
      </c>
      <c r="Q311" s="156">
        <f t="shared" si="200"/>
        <v>17.22448979591837</v>
      </c>
      <c r="R311" s="160" t="s">
        <v>575</v>
      </c>
      <c r="S311" s="162">
        <f t="shared" si="201"/>
        <v>15.366399999999993</v>
      </c>
      <c r="T311" s="162">
        <f t="shared" si="202"/>
        <v>4.3940024989587689</v>
      </c>
      <c r="U311" s="70">
        <f ca="1">IF(Q311=0,N311,IF(R311="Beta",_xlfn.BETA.INV(U305,S311,T311),IF(R311="Lognormal",EXP(NORMINV(U305,S311,T311)),IF(R311="Gamma",_xlfn.GAMMA.INV(U305,S311,T311),IF(R311="Normal",_xlfn.NORM.INV(U305,S311,T311),0)))))</f>
        <v>45.675535995813576</v>
      </c>
    </row>
    <row r="312" spans="2:28" ht="15" customHeight="1" x14ac:dyDescent="0.3">
      <c r="B312" s="31" t="s">
        <v>1443</v>
      </c>
      <c r="C312" s="188">
        <f>'Cost input'!O81</f>
        <v>67.52</v>
      </c>
      <c r="D312" s="188">
        <f>'Cost input'!P81</f>
        <v>33.76</v>
      </c>
      <c r="E312" s="188">
        <f>'Cost input'!Q81</f>
        <v>101.28</v>
      </c>
      <c r="F312" s="156">
        <f t="shared" si="197"/>
        <v>17.22448979591837</v>
      </c>
      <c r="G312" s="160" t="s">
        <v>575</v>
      </c>
      <c r="H312" s="162">
        <f t="shared" si="198"/>
        <v>15.366399999999993</v>
      </c>
      <c r="I312" s="162">
        <f t="shared" si="199"/>
        <v>4.3940024989587689</v>
      </c>
      <c r="J312" s="70">
        <f ca="1">IF(F312=0,C312,IF(G312="Beta",_xlfn.BETA.INV(J305,H312,I312),IF(G312="Lognormal",EXP(NORMINV(J305,H312,I312)),IF(G312="Gamma",_xlfn.GAMMA.INV(J305,H312,I312),IF(G312="Normal",_xlfn.NORM.INV(J305,H312,I312),0)))))</f>
        <v>45.675535995813576</v>
      </c>
      <c r="M312" s="31" t="s">
        <v>11</v>
      </c>
      <c r="N312" s="188">
        <f>'Cost input'!O109</f>
        <v>67.52</v>
      </c>
      <c r="O312" s="188">
        <f>'Cost input'!P109</f>
        <v>33.76</v>
      </c>
      <c r="P312" s="188">
        <f>'Cost input'!Q109</f>
        <v>101.28</v>
      </c>
      <c r="Q312" s="156">
        <f t="shared" si="200"/>
        <v>17.22448979591837</v>
      </c>
      <c r="R312" s="160" t="s">
        <v>575</v>
      </c>
      <c r="S312" s="162">
        <f t="shared" si="201"/>
        <v>15.366399999999993</v>
      </c>
      <c r="T312" s="162">
        <f t="shared" si="202"/>
        <v>4.3940024989587689</v>
      </c>
      <c r="U312" s="70">
        <f ca="1">IF(Q312=0,N312,IF(R312="Beta",_xlfn.BETA.INV(U305,S312,T312),IF(R312="Lognormal",EXP(NORMINV(U305,S312,T312)),IF(R312="Gamma",_xlfn.GAMMA.INV(U305,S312,T312),IF(R312="Normal",_xlfn.NORM.INV(U305,S312,T312),0)))))</f>
        <v>45.675535995813576</v>
      </c>
    </row>
    <row r="313" spans="2:28" x14ac:dyDescent="0.3">
      <c r="B313" s="150" t="s">
        <v>1444</v>
      </c>
      <c r="C313" s="197"/>
      <c r="G313" s="141"/>
      <c r="H313" s="141"/>
      <c r="I313" s="141"/>
      <c r="J313" s="291">
        <f ca="1">RAND()</f>
        <v>0.86037846219505354</v>
      </c>
      <c r="L313" s="79" t="s">
        <v>679</v>
      </c>
      <c r="M313" s="150" t="s">
        <v>1444</v>
      </c>
      <c r="R313" s="141"/>
      <c r="S313" s="141"/>
      <c r="T313" s="141"/>
      <c r="U313" s="291">
        <f ca="1">RAND()</f>
        <v>0.7824015772240368</v>
      </c>
    </row>
    <row r="314" spans="2:28" x14ac:dyDescent="0.3">
      <c r="B314" s="31" t="s">
        <v>1082</v>
      </c>
      <c r="C314" s="188">
        <f>'Cost input'!O83</f>
        <v>67.52</v>
      </c>
      <c r="D314" s="188">
        <f>'Cost input'!P83</f>
        <v>33.76</v>
      </c>
      <c r="E314" s="188">
        <f>'Cost input'!Q83</f>
        <v>101.28</v>
      </c>
      <c r="F314" s="156">
        <f>(E314-D314)/(2*1.96)</f>
        <v>17.22448979591837</v>
      </c>
      <c r="G314" s="160" t="s">
        <v>575</v>
      </c>
      <c r="H314" s="162">
        <f t="shared" ref="H314:H320" si="203">IF(G314="Beta",C314*(C314*(1-C314)/(F314^2)-1),IF(G314="Lognormal",LN(C314^2/SQRT(F314^2+C314^2)),IF(G314="Gamma",C314^2/F314^2,IF(G314="Normal",C314,0))))</f>
        <v>15.366399999999993</v>
      </c>
      <c r="I314" s="162">
        <f t="shared" ref="I314:I320" si="204">IF(G314="Beta",C314*(1-C314)/(F314^2)-1-H314,IF(G314="Lognormal",SQRT(LN(1+F314^2/C314^2)),IF(G314="Gamma",F314^2/C314,IF(G314="Normal",F314,0))))</f>
        <v>4.3940024989587689</v>
      </c>
      <c r="J314" s="70">
        <f ca="1">IF(F314=0,C314,IF(G314="Beta",_xlfn.BETA.INV(J313,H314,I314),IF(G314="Lognormal",EXP(NORMINV(J313,H314,I314)),IF(G314="Gamma",_xlfn.GAMMA.INV(J313,H314,I314),IF(G314="Normal",_xlfn.NORM.INV(J313,H314,I314),0)))))</f>
        <v>86.212081133790505</v>
      </c>
      <c r="M314" s="31" t="s">
        <v>1082</v>
      </c>
      <c r="N314" s="188">
        <f>'Cost input'!O111</f>
        <v>67.52</v>
      </c>
      <c r="O314" s="188">
        <f>'Cost input'!P111</f>
        <v>33.76</v>
      </c>
      <c r="P314" s="188">
        <f>'Cost input'!Q111</f>
        <v>101.28</v>
      </c>
      <c r="Q314" s="156">
        <f>(P314-O314)/(2*1.96)</f>
        <v>17.22448979591837</v>
      </c>
      <c r="R314" s="160" t="s">
        <v>575</v>
      </c>
      <c r="S314" s="162">
        <f t="shared" ref="S314:S320" si="205">IF(R314="Beta",N314*(N314*(1-N314)/(Q314^2)-1),IF(R314="Lognormal",LN(N314^2/SQRT(Q314^2+N314^2)),IF(R314="Gamma",N314^2/Q314^2,IF(R314="Normal",N314,0))))</f>
        <v>15.366399999999993</v>
      </c>
      <c r="T314" s="162">
        <f t="shared" ref="T314:T320" si="206">IF(R314="Beta",N314*(1-N314)/(Q314^2)-1-S314,IF(R314="Lognormal",SQRT(LN(1+Q314^2/N314^2)),IF(R314="Gamma",Q314^2/N314,IF(R314="Normal",Q314,0))))</f>
        <v>4.3940024989587689</v>
      </c>
      <c r="U314" s="70">
        <f ca="1">IF(Q314=0,N314,IF(R314="Beta",_xlfn.BETA.INV(U313,S314,T314),IF(R314="Lognormal",EXP(NORMINV(U313,S314,T314)),IF(R314="Gamma",_xlfn.GAMMA.INV(U313,S314,T314),IF(R314="Normal",_xlfn.NORM.INV(U313,S314,T314),0)))))</f>
        <v>80.236123601023706</v>
      </c>
    </row>
    <row r="315" spans="2:28" x14ac:dyDescent="0.3">
      <c r="B315" s="31" t="s">
        <v>1083</v>
      </c>
      <c r="C315" s="188">
        <f>'Cost input'!O84</f>
        <v>67.52</v>
      </c>
      <c r="D315" s="188">
        <f>'Cost input'!P84</f>
        <v>33.76</v>
      </c>
      <c r="E315" s="188">
        <f>'Cost input'!Q84</f>
        <v>101.28</v>
      </c>
      <c r="F315" s="156">
        <f t="shared" ref="F315:F320" si="207">(E315-D315)/(2*1.96)</f>
        <v>17.22448979591837</v>
      </c>
      <c r="G315" s="160" t="s">
        <v>575</v>
      </c>
      <c r="H315" s="162">
        <f t="shared" si="203"/>
        <v>15.366399999999993</v>
      </c>
      <c r="I315" s="162">
        <f t="shared" si="204"/>
        <v>4.3940024989587689</v>
      </c>
      <c r="J315" s="70">
        <f ca="1">IF(F315=0,C315,IF(G315="Beta",_xlfn.BETA.INV(J313,H315,I315),IF(G315="Lognormal",EXP(NORMINV(J313,H315,I315)),IF(G315="Gamma",_xlfn.GAMMA.INV(J313,H315,I315),IF(G315="Normal",_xlfn.NORM.INV(J313,H315,I315),0)))))</f>
        <v>86.212081133790505</v>
      </c>
      <c r="M315" s="31" t="s">
        <v>1083</v>
      </c>
      <c r="N315" s="188">
        <f>'Cost input'!O112</f>
        <v>67.52</v>
      </c>
      <c r="O315" s="188">
        <f>'Cost input'!P112</f>
        <v>33.76</v>
      </c>
      <c r="P315" s="188">
        <f>'Cost input'!Q112</f>
        <v>101.28</v>
      </c>
      <c r="Q315" s="156">
        <f t="shared" ref="Q315:Q320" si="208">(P315-O315)/(2*1.96)</f>
        <v>17.22448979591837</v>
      </c>
      <c r="R315" s="160" t="s">
        <v>575</v>
      </c>
      <c r="S315" s="162">
        <f t="shared" si="205"/>
        <v>15.366399999999993</v>
      </c>
      <c r="T315" s="162">
        <f t="shared" si="206"/>
        <v>4.3940024989587689</v>
      </c>
      <c r="U315" s="70">
        <f ca="1">IF(Q315=0,N315,IF(R315="Beta",_xlfn.BETA.INV(U313,S315,T315),IF(R315="Lognormal",EXP(NORMINV(U313,S315,T315)),IF(R315="Gamma",_xlfn.GAMMA.INV(U313,S315,T315),IF(R315="Normal",_xlfn.NORM.INV(U313,S315,T315),0)))))</f>
        <v>80.236123601023706</v>
      </c>
    </row>
    <row r="316" spans="2:28" x14ac:dyDescent="0.3">
      <c r="B316" s="31" t="s">
        <v>1084</v>
      </c>
      <c r="C316" s="188">
        <f>'Cost input'!O85</f>
        <v>67.52</v>
      </c>
      <c r="D316" s="188">
        <f>'Cost input'!P85</f>
        <v>33.76</v>
      </c>
      <c r="E316" s="188">
        <f>'Cost input'!Q85</f>
        <v>101.28</v>
      </c>
      <c r="F316" s="156">
        <f t="shared" si="207"/>
        <v>17.22448979591837</v>
      </c>
      <c r="G316" s="160" t="s">
        <v>575</v>
      </c>
      <c r="H316" s="162">
        <f t="shared" si="203"/>
        <v>15.366399999999993</v>
      </c>
      <c r="I316" s="162">
        <f t="shared" si="204"/>
        <v>4.3940024989587689</v>
      </c>
      <c r="J316" s="70">
        <f ca="1">IF(F316=0,C316,IF(G316="Beta",_xlfn.BETA.INV(J313,H316,I316),IF(G316="Lognormal",EXP(NORMINV(J313,H316,I316)),IF(G316="Gamma",_xlfn.GAMMA.INV(J313,H316,I316),IF(G316="Normal",_xlfn.NORM.INV(J313,H316,I316),0)))))</f>
        <v>86.212081133790505</v>
      </c>
      <c r="M316" s="31" t="s">
        <v>1084</v>
      </c>
      <c r="N316" s="188">
        <f>'Cost input'!O113</f>
        <v>67.52</v>
      </c>
      <c r="O316" s="188">
        <f>'Cost input'!P113</f>
        <v>33.76</v>
      </c>
      <c r="P316" s="188">
        <f>'Cost input'!Q113</f>
        <v>101.28</v>
      </c>
      <c r="Q316" s="156">
        <f t="shared" si="208"/>
        <v>17.22448979591837</v>
      </c>
      <c r="R316" s="160" t="s">
        <v>575</v>
      </c>
      <c r="S316" s="162">
        <f t="shared" si="205"/>
        <v>15.366399999999993</v>
      </c>
      <c r="T316" s="162">
        <f t="shared" si="206"/>
        <v>4.3940024989587689</v>
      </c>
      <c r="U316" s="70">
        <f ca="1">IF(Q316=0,N316,IF(R316="Beta",_xlfn.BETA.INV(U313,S316,T316),IF(R316="Lognormal",EXP(NORMINV(U313,S316,T316)),IF(R316="Gamma",_xlfn.GAMMA.INV(U313,S316,T316),IF(R316="Normal",_xlfn.NORM.INV(U313,S316,T316),0)))))</f>
        <v>80.236123601023706</v>
      </c>
    </row>
    <row r="317" spans="2:28" x14ac:dyDescent="0.3">
      <c r="B317" s="31" t="s">
        <v>1085</v>
      </c>
      <c r="C317" s="188">
        <f>'Cost input'!O86</f>
        <v>67.52</v>
      </c>
      <c r="D317" s="188">
        <f>'Cost input'!P86</f>
        <v>33.76</v>
      </c>
      <c r="E317" s="188">
        <f>'Cost input'!Q86</f>
        <v>101.28</v>
      </c>
      <c r="F317" s="156">
        <f t="shared" si="207"/>
        <v>17.22448979591837</v>
      </c>
      <c r="G317" s="160" t="s">
        <v>575</v>
      </c>
      <c r="H317" s="162">
        <f t="shared" si="203"/>
        <v>15.366399999999993</v>
      </c>
      <c r="I317" s="162">
        <f t="shared" si="204"/>
        <v>4.3940024989587689</v>
      </c>
      <c r="J317" s="70">
        <f ca="1">IF(F317=0,C317,IF(G317="Beta",_xlfn.BETA.INV(J313,H317,I317),IF(G317="Lognormal",EXP(NORMINV(J313,H317,I317)),IF(G317="Gamma",_xlfn.GAMMA.INV(J313,H317,I317),IF(G317="Normal",_xlfn.NORM.INV(J313,H317,I317),0)))))</f>
        <v>86.212081133790505</v>
      </c>
      <c r="M317" s="31" t="s">
        <v>1085</v>
      </c>
      <c r="N317" s="188">
        <f>'Cost input'!O114</f>
        <v>67.52</v>
      </c>
      <c r="O317" s="188">
        <f>'Cost input'!P114</f>
        <v>33.76</v>
      </c>
      <c r="P317" s="188">
        <f>'Cost input'!Q114</f>
        <v>101.28</v>
      </c>
      <c r="Q317" s="156">
        <f t="shared" si="208"/>
        <v>17.22448979591837</v>
      </c>
      <c r="R317" s="160" t="s">
        <v>575</v>
      </c>
      <c r="S317" s="162">
        <f t="shared" si="205"/>
        <v>15.366399999999993</v>
      </c>
      <c r="T317" s="162">
        <f t="shared" si="206"/>
        <v>4.3940024989587689</v>
      </c>
      <c r="U317" s="70">
        <f ca="1">IF(Q317=0,N317,IF(R317="Beta",_xlfn.BETA.INV(U313,S317,T317),IF(R317="Lognormal",EXP(NORMINV(U313,S317,T317)),IF(R317="Gamma",_xlfn.GAMMA.INV(U313,S317,T317),IF(R317="Normal",_xlfn.NORM.INV(U313,S317,T317),0)))))</f>
        <v>80.236123601023706</v>
      </c>
      <c r="AB317" s="67"/>
    </row>
    <row r="318" spans="2:28" x14ac:dyDescent="0.3">
      <c r="B318" s="31" t="s">
        <v>1086</v>
      </c>
      <c r="C318" s="188">
        <f>'Cost input'!O87</f>
        <v>67.52</v>
      </c>
      <c r="D318" s="188">
        <f>'Cost input'!P87</f>
        <v>33.76</v>
      </c>
      <c r="E318" s="188">
        <f>'Cost input'!Q87</f>
        <v>101.28</v>
      </c>
      <c r="F318" s="156">
        <f t="shared" si="207"/>
        <v>17.22448979591837</v>
      </c>
      <c r="G318" s="160" t="s">
        <v>575</v>
      </c>
      <c r="H318" s="162">
        <f t="shared" si="203"/>
        <v>15.366399999999993</v>
      </c>
      <c r="I318" s="162">
        <f t="shared" si="204"/>
        <v>4.3940024989587689</v>
      </c>
      <c r="J318" s="70">
        <f ca="1">IF(F318=0,C318,IF(G318="Beta",_xlfn.BETA.INV(J313,H318,I318),IF(G318="Lognormal",EXP(NORMINV(J313,H318,I318)),IF(G318="Gamma",_xlfn.GAMMA.INV(J313,H318,I318),IF(G318="Normal",_xlfn.NORM.INV(J313,H318,I318),0)))))</f>
        <v>86.212081133790505</v>
      </c>
      <c r="M318" s="31" t="s">
        <v>1086</v>
      </c>
      <c r="N318" s="188">
        <f>'Cost input'!O115</f>
        <v>67.52</v>
      </c>
      <c r="O318" s="188">
        <f>'Cost input'!P115</f>
        <v>33.76</v>
      </c>
      <c r="P318" s="188">
        <f>'Cost input'!Q115</f>
        <v>101.28</v>
      </c>
      <c r="Q318" s="156">
        <f t="shared" si="208"/>
        <v>17.22448979591837</v>
      </c>
      <c r="R318" s="160" t="s">
        <v>575</v>
      </c>
      <c r="S318" s="162">
        <f t="shared" si="205"/>
        <v>15.366399999999993</v>
      </c>
      <c r="T318" s="162">
        <f t="shared" si="206"/>
        <v>4.3940024989587689</v>
      </c>
      <c r="U318" s="70">
        <f ca="1">IF(Q318=0,N318,IF(R318="Beta",_xlfn.BETA.INV(U313,S318,T318),IF(R318="Lognormal",EXP(NORMINV(U313,S318,T318)),IF(R318="Gamma",_xlfn.GAMMA.INV(U313,S318,T318),IF(R318="Normal",_xlfn.NORM.INV(U313,S318,T318),0)))))</f>
        <v>80.236123601023706</v>
      </c>
    </row>
    <row r="319" spans="2:28" x14ac:dyDescent="0.3">
      <c r="B319" s="31" t="s">
        <v>1087</v>
      </c>
      <c r="C319" s="188">
        <f>'Cost input'!O88</f>
        <v>67.52</v>
      </c>
      <c r="D319" s="188">
        <f>'Cost input'!P88</f>
        <v>33.76</v>
      </c>
      <c r="E319" s="188">
        <f>'Cost input'!Q88</f>
        <v>101.28</v>
      </c>
      <c r="F319" s="156">
        <f t="shared" si="207"/>
        <v>17.22448979591837</v>
      </c>
      <c r="G319" s="160" t="s">
        <v>575</v>
      </c>
      <c r="H319" s="162">
        <f t="shared" si="203"/>
        <v>15.366399999999993</v>
      </c>
      <c r="I319" s="162">
        <f t="shared" si="204"/>
        <v>4.3940024989587689</v>
      </c>
      <c r="J319" s="70">
        <f ca="1">IF(F319=0,C319,IF(G319="Beta",_xlfn.BETA.INV(J313,H319,I319),IF(G319="Lognormal",EXP(NORMINV(J313,H319,I319)),IF(G319="Gamma",_xlfn.GAMMA.INV(J313,H319,I319),IF(G319="Normal",_xlfn.NORM.INV(J313,H319,I319),0)))))</f>
        <v>86.212081133790505</v>
      </c>
      <c r="M319" s="31" t="s">
        <v>1087</v>
      </c>
      <c r="N319" s="188">
        <f>'Cost input'!O116</f>
        <v>67.52</v>
      </c>
      <c r="O319" s="188">
        <f>'Cost input'!P116</f>
        <v>33.76</v>
      </c>
      <c r="P319" s="188">
        <f>'Cost input'!Q116</f>
        <v>101.28</v>
      </c>
      <c r="Q319" s="156">
        <f t="shared" si="208"/>
        <v>17.22448979591837</v>
      </c>
      <c r="R319" s="160" t="s">
        <v>575</v>
      </c>
      <c r="S319" s="162">
        <f t="shared" si="205"/>
        <v>15.366399999999993</v>
      </c>
      <c r="T319" s="162">
        <f t="shared" si="206"/>
        <v>4.3940024989587689</v>
      </c>
      <c r="U319" s="70">
        <f ca="1">IF(Q319=0,N319,IF(R319="Beta",_xlfn.BETA.INV(U313,S319,T319),IF(R319="Lognormal",EXP(NORMINV(U313,S319,T319)),IF(R319="Gamma",_xlfn.GAMMA.INV(U313,S319,T319),IF(R319="Normal",_xlfn.NORM.INV(U313,S319,T319),0)))))</f>
        <v>80.236123601023706</v>
      </c>
    </row>
    <row r="320" spans="2:28" x14ac:dyDescent="0.3">
      <c r="B320" s="31" t="s">
        <v>1443</v>
      </c>
      <c r="C320" s="188">
        <f>'Cost input'!O89</f>
        <v>67.52</v>
      </c>
      <c r="D320" s="188">
        <f>'Cost input'!P89</f>
        <v>33.76</v>
      </c>
      <c r="E320" s="188">
        <f>'Cost input'!Q89</f>
        <v>101.28</v>
      </c>
      <c r="F320" s="156">
        <f t="shared" si="207"/>
        <v>17.22448979591837</v>
      </c>
      <c r="G320" s="160" t="s">
        <v>575</v>
      </c>
      <c r="H320" s="162">
        <f t="shared" si="203"/>
        <v>15.366399999999993</v>
      </c>
      <c r="I320" s="162">
        <f t="shared" si="204"/>
        <v>4.3940024989587689</v>
      </c>
      <c r="J320" s="70">
        <f ca="1">IF(F320=0,C320,IF(G320="Beta",_xlfn.BETA.INV(J313,H320,I320),IF(G320="Lognormal",EXP(NORMINV(J313,H320,I320)),IF(G320="Gamma",_xlfn.GAMMA.INV(J313,H320,I320),IF(G320="Normal",_xlfn.NORM.INV(J313,H320,I320),0)))))</f>
        <v>86.212081133790505</v>
      </c>
      <c r="M320" s="31" t="s">
        <v>1443</v>
      </c>
      <c r="N320" s="188">
        <f>'Cost input'!O117</f>
        <v>67.52</v>
      </c>
      <c r="O320" s="188">
        <f>'Cost input'!P117</f>
        <v>33.76</v>
      </c>
      <c r="P320" s="188">
        <f>'Cost input'!Q117</f>
        <v>101.28</v>
      </c>
      <c r="Q320" s="156">
        <f t="shared" si="208"/>
        <v>17.22448979591837</v>
      </c>
      <c r="R320" s="160" t="s">
        <v>575</v>
      </c>
      <c r="S320" s="162">
        <f t="shared" si="205"/>
        <v>15.366399999999993</v>
      </c>
      <c r="T320" s="162">
        <f t="shared" si="206"/>
        <v>4.3940024989587689</v>
      </c>
      <c r="U320" s="70">
        <f ca="1">IF(Q320=0,N320,IF(R320="Beta",_xlfn.BETA.INV(U313,S320,T320),IF(R320="Lognormal",EXP(NORMINV(U313,S320,T320)),IF(R320="Gamma",_xlfn.GAMMA.INV(U313,S320,T320),IF(R320="Normal",_xlfn.NORM.INV(U313,S320,T320),0)))))</f>
        <v>80.236123601023706</v>
      </c>
    </row>
    <row r="321" spans="2:38" ht="15" customHeight="1" x14ac:dyDescent="0.3">
      <c r="B321" s="151" t="s">
        <v>227</v>
      </c>
      <c r="C321" s="162"/>
      <c r="D321" s="162"/>
      <c r="E321" s="162"/>
      <c r="F321" s="162"/>
      <c r="G321" s="162"/>
      <c r="H321" s="162"/>
      <c r="I321" s="162"/>
      <c r="J321" s="291">
        <f ca="1">RAND()</f>
        <v>8.3668082037892444E-2</v>
      </c>
      <c r="M321" s="151" t="s">
        <v>227</v>
      </c>
      <c r="R321" s="141"/>
      <c r="S321" s="141"/>
      <c r="T321" s="141"/>
      <c r="U321" s="291">
        <f ca="1">RAND()</f>
        <v>0.86007561498250573</v>
      </c>
    </row>
    <row r="322" spans="2:38" ht="15" customHeight="1" x14ac:dyDescent="0.4">
      <c r="B322" s="31" t="s">
        <v>1437</v>
      </c>
      <c r="C322" s="188">
        <f>'Cost input'!O91</f>
        <v>67.52</v>
      </c>
      <c r="D322" s="188">
        <f>'Cost input'!P91</f>
        <v>33.76</v>
      </c>
      <c r="E322" s="188">
        <f>'Cost input'!Q91</f>
        <v>101.28</v>
      </c>
      <c r="F322" s="156">
        <f t="shared" ref="F322:F323" si="209">(E322-D322)/(2*1.96)</f>
        <v>17.22448979591837</v>
      </c>
      <c r="G322" s="160" t="s">
        <v>575</v>
      </c>
      <c r="H322" s="162">
        <f t="shared" ref="H322:H323" si="210">IF(G322="Beta",C322*(C322*(1-C322)/(F322^2)-1),IF(G322="Lognormal",LN(C322^2/SQRT(F322^2+C322^2)),IF(G322="Gamma",C322^2/F322^2,IF(G322="Normal",C322,0))))</f>
        <v>15.366399999999993</v>
      </c>
      <c r="I322" s="162">
        <f t="shared" ref="I322:I323" si="211">IF(G322="Beta",C322*(1-C322)/(F322^2)-1-H322,IF(G322="Lognormal",SQRT(LN(1+F322^2/C322^2)),IF(G322="Gamma",F322^2/C322,IF(G322="Normal",F322,0))))</f>
        <v>4.3940024989587689</v>
      </c>
      <c r="J322" s="70">
        <f ca="1">IF(F322=0,C322,IF(G322="Beta",_xlfn.BETA.INV(J$293,H322,I322),IF(G322="Lognormal",EXP(NORMINV(J$293,H322,I322)),IF(G322="Gamma",_xlfn.GAMMA.INV(J$293,H322,I322),IF(G322="Normal",_xlfn.NORM.INV(J$293,H322,I322),0)))))</f>
        <v>100.1575233277802</v>
      </c>
      <c r="M322" s="31" t="s">
        <v>227</v>
      </c>
      <c r="N322" s="188">
        <f>'Cost input'!O119</f>
        <v>67.52</v>
      </c>
      <c r="O322" s="188">
        <f>'Cost input'!P119</f>
        <v>33.76</v>
      </c>
      <c r="P322" s="188">
        <f>'Cost input'!Q119</f>
        <v>101.28</v>
      </c>
      <c r="Q322" s="156">
        <f>(P322-O322)/(2*1.96)</f>
        <v>17.22448979591837</v>
      </c>
      <c r="R322" s="160" t="s">
        <v>575</v>
      </c>
      <c r="S322" s="162">
        <f t="shared" ref="S322:S323" si="212">IF(R322="Beta",N322*(N322*(1-N322)/(Q322^2)-1),IF(R322="Lognormal",LN(N322^2/SQRT(Q322^2+N322^2)),IF(R322="Gamma",N322^2/Q322^2,IF(R322="Normal",N322,0))))</f>
        <v>15.366399999999993</v>
      </c>
      <c r="T322" s="162">
        <f t="shared" ref="T322:T323" si="213">IF(R322="Beta",N322*(1-N322)/(Q322^2)-1-S322,IF(R322="Lognormal",SQRT(LN(1+Q322^2/N322^2)),IF(R322="Gamma",Q322^2/N322,IF(R322="Normal",Q322,0))))</f>
        <v>4.3940024989587689</v>
      </c>
      <c r="U322" s="70">
        <f ca="1">IF(Q322=0,N322,IF(R322="Beta",_xlfn.BETA.INV(U321,S322,T322),IF(R322="Lognormal",EXP(NORMINV(U321,S322,T322)),IF(R322="Gamma",_xlfn.GAMMA.INV(U321,S322,T322),IF(R322="Normal",_xlfn.NORM.INV(U321,S322,T322),0)))))</f>
        <v>86.184465837775662</v>
      </c>
      <c r="AI322" s="168"/>
      <c r="AJ322" s="168"/>
      <c r="AK322" s="168"/>
      <c r="AL322" s="168"/>
    </row>
    <row r="323" spans="2:38" ht="15" customHeight="1" x14ac:dyDescent="0.4">
      <c r="B323" s="31" t="s">
        <v>1438</v>
      </c>
      <c r="C323" s="188">
        <f>'Cost input'!O92</f>
        <v>67.52</v>
      </c>
      <c r="D323" s="188">
        <f>'Cost input'!P92</f>
        <v>33.76</v>
      </c>
      <c r="E323" s="188">
        <f>'Cost input'!Q92</f>
        <v>101.28</v>
      </c>
      <c r="F323" s="156">
        <f t="shared" si="209"/>
        <v>17.22448979591837</v>
      </c>
      <c r="G323" s="160" t="s">
        <v>575</v>
      </c>
      <c r="H323" s="162">
        <f t="shared" si="210"/>
        <v>15.366399999999993</v>
      </c>
      <c r="I323" s="162">
        <f t="shared" si="211"/>
        <v>4.3940024989587689</v>
      </c>
      <c r="J323" s="70">
        <f ca="1">IF(F323=0,C323,IF(G323="Beta",_xlfn.BETA.INV(J$293,H323,I323),IF(G323="Lognormal",EXP(NORMINV(J$293,H323,I323)),IF(G323="Gamma",_xlfn.GAMMA.INV(J$293,H323,I323),IF(G323="Normal",_xlfn.NORM.INV(J$293,H323,I323),0)))))</f>
        <v>100.1575233277802</v>
      </c>
      <c r="M323" s="31" t="s">
        <v>8</v>
      </c>
      <c r="N323" s="188">
        <f>'Cost input'!O120</f>
        <v>67.52</v>
      </c>
      <c r="O323" s="188">
        <f>'Cost input'!P120</f>
        <v>33.76</v>
      </c>
      <c r="P323" s="188">
        <f>'Cost input'!Q120</f>
        <v>101.28</v>
      </c>
      <c r="Q323" s="156">
        <f t="shared" ref="Q323:Q325" si="214">(P323-O323)/(2*1.96)</f>
        <v>17.22448979591837</v>
      </c>
      <c r="R323" s="160" t="s">
        <v>575</v>
      </c>
      <c r="S323" s="162">
        <f t="shared" si="212"/>
        <v>15.366399999999993</v>
      </c>
      <c r="T323" s="162">
        <f t="shared" si="213"/>
        <v>4.3940024989587689</v>
      </c>
      <c r="U323" s="70">
        <f ca="1">IF(Q323=0,N323,IF(R323="Beta",_xlfn.BETA.INV(U321,S323,T323),IF(R323="Lognormal",EXP(NORMINV(U321,S323,T323)),IF(R323="Gamma",_xlfn.GAMMA.INV(U321,S323,T323),IF(R323="Normal",_xlfn.NORM.INV(U321,S323,T323),0)))))</f>
        <v>86.184465837775662</v>
      </c>
      <c r="AI323" s="168"/>
      <c r="AJ323" s="168"/>
      <c r="AK323" s="168"/>
      <c r="AL323" s="168"/>
    </row>
    <row r="324" spans="2:38" ht="15" customHeight="1" x14ac:dyDescent="0.4">
      <c r="B324" s="31" t="s">
        <v>1441</v>
      </c>
      <c r="C324" s="188">
        <f>'Cost input'!O93</f>
        <v>67.52</v>
      </c>
      <c r="D324" s="188">
        <f>'Cost input'!P91</f>
        <v>33.76</v>
      </c>
      <c r="E324" s="188">
        <f>'Cost input'!Q91</f>
        <v>101.28</v>
      </c>
      <c r="F324" s="156">
        <f t="shared" si="197"/>
        <v>17.22448979591837</v>
      </c>
      <c r="G324" s="160" t="s">
        <v>575</v>
      </c>
      <c r="H324" s="162">
        <f t="shared" si="198"/>
        <v>15.366399999999993</v>
      </c>
      <c r="I324" s="162">
        <f t="shared" si="199"/>
        <v>4.3940024989587689</v>
      </c>
      <c r="J324" s="70">
        <f t="shared" ref="J324:J328" ca="1" si="215">IF(F324=0,C324,IF(G324="Beta",_xlfn.BETA.INV(J$293,H324,I324),IF(G324="Lognormal",EXP(NORMINV(J$293,H324,I324)),IF(G324="Gamma",_xlfn.GAMMA.INV(J$293,H324,I324),IF(G324="Normal",_xlfn.NORM.INV(J$293,H324,I324),0)))))</f>
        <v>100.1575233277802</v>
      </c>
      <c r="M324" s="31" t="s">
        <v>227</v>
      </c>
      <c r="N324" s="188">
        <f>'Cost input'!O121</f>
        <v>67.52</v>
      </c>
      <c r="O324" s="188">
        <f>'Cost input'!P121</f>
        <v>33.76</v>
      </c>
      <c r="P324" s="188">
        <f>'Cost input'!Q121</f>
        <v>101.28</v>
      </c>
      <c r="Q324" s="156">
        <f t="shared" si="214"/>
        <v>17.22448979591837</v>
      </c>
      <c r="R324" s="160" t="s">
        <v>575</v>
      </c>
      <c r="S324" s="162">
        <f t="shared" si="201"/>
        <v>15.366399999999993</v>
      </c>
      <c r="T324" s="162">
        <f t="shared" si="202"/>
        <v>4.3940024989587689</v>
      </c>
      <c r="U324" s="70">
        <f ca="1">IF(Q324=0,N324,IF(R324="Beta",_xlfn.BETA.INV(U321,S324,T324),IF(R324="Lognormal",EXP(NORMINV(U321,S324,T324)),IF(R324="Gamma",_xlfn.GAMMA.INV(U321,S324,T324),IF(R324="Normal",_xlfn.NORM.INV(U321,S324,T324),0)))))</f>
        <v>86.184465837775662</v>
      </c>
      <c r="AI324" s="168"/>
      <c r="AJ324" s="168"/>
      <c r="AK324" s="168"/>
      <c r="AL324" s="168"/>
    </row>
    <row r="325" spans="2:38" ht="15" customHeight="1" x14ac:dyDescent="0.4">
      <c r="B325" s="31" t="s">
        <v>1442</v>
      </c>
      <c r="C325" s="188">
        <f>'Cost input'!O94</f>
        <v>67.52</v>
      </c>
      <c r="D325" s="188">
        <f>'Cost input'!P92</f>
        <v>33.76</v>
      </c>
      <c r="E325" s="188">
        <f>'Cost input'!Q92</f>
        <v>101.28</v>
      </c>
      <c r="F325" s="156">
        <f t="shared" si="197"/>
        <v>17.22448979591837</v>
      </c>
      <c r="G325" s="160" t="s">
        <v>575</v>
      </c>
      <c r="H325" s="162">
        <f t="shared" si="198"/>
        <v>15.366399999999993</v>
      </c>
      <c r="I325" s="162">
        <f t="shared" si="199"/>
        <v>4.3940024989587689</v>
      </c>
      <c r="J325" s="70">
        <f t="shared" ca="1" si="215"/>
        <v>100.1575233277802</v>
      </c>
      <c r="M325" s="31" t="s">
        <v>8</v>
      </c>
      <c r="N325" s="188">
        <f>'Cost input'!O122</f>
        <v>67.52</v>
      </c>
      <c r="O325" s="188">
        <f>'Cost input'!P122</f>
        <v>33.76</v>
      </c>
      <c r="P325" s="188">
        <f>'Cost input'!Q122</f>
        <v>101.28</v>
      </c>
      <c r="Q325" s="156">
        <f t="shared" si="214"/>
        <v>17.22448979591837</v>
      </c>
      <c r="R325" s="160" t="s">
        <v>575</v>
      </c>
      <c r="S325" s="162">
        <f t="shared" si="201"/>
        <v>15.366399999999993</v>
      </c>
      <c r="T325" s="162">
        <f t="shared" si="202"/>
        <v>4.3940024989587689</v>
      </c>
      <c r="U325" s="70">
        <f ca="1">IF(Q325=0,N325,IF(R325="Beta",_xlfn.BETA.INV(U321,S325,T325),IF(R325="Lognormal",EXP(NORMINV(U321,S325,T325)),IF(R325="Gamma",_xlfn.GAMMA.INV(U321,S325,T325),IF(R325="Normal",_xlfn.NORM.INV(U321,S325,T325),0)))))</f>
        <v>86.184465837775662</v>
      </c>
      <c r="AI325" s="168"/>
      <c r="AJ325" s="168"/>
      <c r="AK325" s="168"/>
      <c r="AL325" s="168"/>
    </row>
    <row r="326" spans="2:38" ht="15" customHeight="1" x14ac:dyDescent="0.4">
      <c r="B326" s="151" t="s">
        <v>920</v>
      </c>
      <c r="C326" s="162"/>
      <c r="D326" s="162"/>
      <c r="E326" s="162"/>
      <c r="F326" s="162"/>
      <c r="G326" s="162"/>
      <c r="H326" s="162"/>
      <c r="I326" s="162"/>
      <c r="J326" s="291">
        <f ca="1">RAND()</f>
        <v>0.95123418354258527</v>
      </c>
      <c r="M326" s="151" t="s">
        <v>920</v>
      </c>
      <c r="R326" s="141"/>
      <c r="S326" s="141"/>
      <c r="T326" s="141"/>
      <c r="U326" s="291">
        <f ca="1">RAND()</f>
        <v>6.9259267338232955E-2</v>
      </c>
      <c r="AI326" s="168"/>
      <c r="AJ326" s="168"/>
      <c r="AK326" s="168"/>
      <c r="AL326" s="168"/>
    </row>
    <row r="327" spans="2:38" ht="15" customHeight="1" x14ac:dyDescent="0.4">
      <c r="B327" s="31" t="s">
        <v>920</v>
      </c>
      <c r="C327" s="188">
        <f>'Cost input'!O96</f>
        <v>67.52</v>
      </c>
      <c r="D327" s="188">
        <f>'Cost input'!P96</f>
        <v>33.76</v>
      </c>
      <c r="E327" s="188">
        <f>'Cost input'!Q96</f>
        <v>101.28</v>
      </c>
      <c r="F327" s="156">
        <f t="shared" si="197"/>
        <v>17.22448979591837</v>
      </c>
      <c r="G327" s="160" t="s">
        <v>575</v>
      </c>
      <c r="H327" s="162">
        <f t="shared" ref="H327" si="216">IF(G327="Beta",C327*(C327*(1-C327)/(F327^2)-1),IF(G327="Lognormal",LN(C327^2/SQRT(F327^2+C327^2)),IF(G327="Gamma",C327^2/F327^2,IF(G327="Normal",C327,0))))</f>
        <v>15.366399999999993</v>
      </c>
      <c r="I327" s="162">
        <f t="shared" ref="I327" si="217">IF(G327="Beta",C327*(1-C327)/(F327^2)-1-H327,IF(G327="Lognormal",SQRT(LN(1+F327^2/C327^2)),IF(G327="Gamma",F327^2/C327,IF(G327="Normal",F327,0))))</f>
        <v>4.3940024989587689</v>
      </c>
      <c r="J327" s="70">
        <f t="shared" ref="J327" ca="1" si="218">IF(F327=0,C327,IF(G327="Beta",_xlfn.BETA.INV(J$293,H327,I327),IF(G327="Lognormal",EXP(NORMINV(J$293,H327,I327)),IF(G327="Gamma",_xlfn.GAMMA.INV(J$293,H327,I327),IF(G327="Normal",_xlfn.NORM.INV(J$293,H327,I327),0)))))</f>
        <v>100.1575233277802</v>
      </c>
      <c r="M327" s="31" t="s">
        <v>920</v>
      </c>
      <c r="N327" s="188">
        <f>'Cost input'!O124</f>
        <v>67.52</v>
      </c>
      <c r="O327" s="188">
        <f>'Cost input'!P124</f>
        <v>33.76</v>
      </c>
      <c r="P327" s="188">
        <f>'Cost input'!Q124</f>
        <v>101.28</v>
      </c>
      <c r="Q327" s="156">
        <f>(P327-O327)/(2*1.96)</f>
        <v>17.22448979591837</v>
      </c>
      <c r="R327" s="160" t="s">
        <v>575</v>
      </c>
      <c r="S327" s="162">
        <f t="shared" si="201"/>
        <v>15.366399999999993</v>
      </c>
      <c r="T327" s="162">
        <f t="shared" si="202"/>
        <v>4.3940024989587689</v>
      </c>
      <c r="U327" s="70">
        <f ca="1">IF(Q327=0,N327,IF(R327="Beta",_xlfn.BETA.INV(U326,S327,T327),IF(R327="Lognormal",EXP(NORMINV(U326,S327,T327)),IF(R327="Gamma",_xlfn.GAMMA.INV(U326,S327,T327),IF(R327="Normal",_xlfn.NORM.INV(U326,S327,T327),0)))))</f>
        <v>43.970260292623294</v>
      </c>
      <c r="AI327" s="168"/>
      <c r="AJ327" s="168"/>
      <c r="AK327" s="168"/>
      <c r="AL327" s="168"/>
    </row>
    <row r="328" spans="2:38" ht="15" customHeight="1" x14ac:dyDescent="0.4">
      <c r="B328" s="31" t="s">
        <v>980</v>
      </c>
      <c r="C328" s="188">
        <f>'Cost input'!O97</f>
        <v>67.52</v>
      </c>
      <c r="D328" s="188">
        <f>'Cost input'!P97</f>
        <v>33.76</v>
      </c>
      <c r="E328" s="188">
        <f>'Cost input'!Q97</f>
        <v>101.28</v>
      </c>
      <c r="F328" s="156">
        <f t="shared" si="197"/>
        <v>17.22448979591837</v>
      </c>
      <c r="G328" s="160" t="s">
        <v>575</v>
      </c>
      <c r="H328" s="162">
        <f t="shared" si="198"/>
        <v>15.366399999999993</v>
      </c>
      <c r="I328" s="162">
        <f t="shared" si="199"/>
        <v>4.3940024989587689</v>
      </c>
      <c r="J328" s="70">
        <f t="shared" ca="1" si="215"/>
        <v>100.1575233277802</v>
      </c>
      <c r="M328" s="31" t="s">
        <v>980</v>
      </c>
      <c r="N328" s="188">
        <f>'Cost input'!O125</f>
        <v>67.52</v>
      </c>
      <c r="O328" s="188">
        <f>'Cost input'!P125</f>
        <v>33.76</v>
      </c>
      <c r="P328" s="188">
        <f>'Cost input'!Q125</f>
        <v>101.28</v>
      </c>
      <c r="Q328" s="156">
        <f t="shared" ref="Q328" si="219">(P328-O328)/(2*1.96)</f>
        <v>17.22448979591837</v>
      </c>
      <c r="R328" s="160" t="s">
        <v>575</v>
      </c>
      <c r="S328" s="162">
        <f t="shared" si="201"/>
        <v>15.366399999999993</v>
      </c>
      <c r="T328" s="162">
        <f t="shared" si="202"/>
        <v>4.3940024989587689</v>
      </c>
      <c r="U328" s="70">
        <f ca="1">IF(Q328=0,N328,IF(R328="Beta",_xlfn.BETA.INV(U326,S328,T328),IF(R328="Lognormal",EXP(NORMINV(U326,S328,T328)),IF(R328="Gamma",_xlfn.GAMMA.INV(U326,S328,T328),IF(R328="Normal",_xlfn.NORM.INV(U326,S328,T328),0)))))</f>
        <v>43.970260292623294</v>
      </c>
      <c r="AI328" s="168"/>
      <c r="AJ328" s="168"/>
      <c r="AK328" s="168"/>
      <c r="AL328" s="168"/>
    </row>
    <row r="329" spans="2:38" ht="15" customHeight="1" x14ac:dyDescent="0.3"/>
    <row r="330" spans="2:38" ht="15" customHeight="1" x14ac:dyDescent="0.3">
      <c r="B330" s="175" t="s">
        <v>1376</v>
      </c>
      <c r="C330" s="175"/>
      <c r="D330" s="175"/>
      <c r="E330" s="175"/>
      <c r="F330" s="84"/>
      <c r="G330" s="84"/>
      <c r="H330" s="84"/>
      <c r="I330" s="84"/>
      <c r="J330" s="84"/>
      <c r="K330" s="84"/>
      <c r="L330" s="84"/>
    </row>
    <row r="331" spans="2:38" x14ac:dyDescent="0.3">
      <c r="B331" s="73" t="s">
        <v>991</v>
      </c>
      <c r="C331" s="24"/>
      <c r="D331" s="24"/>
      <c r="E331" s="24"/>
      <c r="F331" s="24"/>
      <c r="G331" s="165"/>
      <c r="H331" s="73"/>
      <c r="I331" s="73"/>
      <c r="J331" s="73"/>
    </row>
    <row r="332" spans="2:38" x14ac:dyDescent="0.3">
      <c r="B332" s="159" t="s">
        <v>1</v>
      </c>
      <c r="C332" s="159" t="s">
        <v>567</v>
      </c>
      <c r="D332" s="159"/>
      <c r="E332" s="159"/>
      <c r="F332" s="73" t="s">
        <v>584</v>
      </c>
      <c r="G332" s="73" t="s">
        <v>569</v>
      </c>
      <c r="H332" s="73" t="s">
        <v>581</v>
      </c>
      <c r="I332" s="73" t="s">
        <v>582</v>
      </c>
      <c r="J332" s="73" t="s">
        <v>583</v>
      </c>
    </row>
    <row r="333" spans="2:38" x14ac:dyDescent="0.3">
      <c r="B333" s="150" t="s">
        <v>988</v>
      </c>
      <c r="J333" s="291">
        <f ca="1">RAND()</f>
        <v>0.21433448010545919</v>
      </c>
    </row>
    <row r="334" spans="2:38" x14ac:dyDescent="0.3">
      <c r="B334" s="31" t="s">
        <v>1082</v>
      </c>
      <c r="C334" s="177">
        <f>'Cost input'!O134</f>
        <v>326.21217391304344</v>
      </c>
      <c r="D334" s="177">
        <f>'Cost input'!P134</f>
        <v>212.08478260869566</v>
      </c>
      <c r="E334" s="177">
        <f>'Cost input'!Q134</f>
        <v>440.45673913043476</v>
      </c>
      <c r="F334" s="156">
        <f>(E334-D334)/(2*1.96)</f>
        <v>58.258152173913032</v>
      </c>
      <c r="G334" s="160" t="s">
        <v>575</v>
      </c>
      <c r="H334" s="162">
        <f t="shared" ref="H334" si="220">IF(G334="Beta",C334*(C334*(1-C334)/(F334^2)-1),IF(G334="Lognormal",LN(C334^2/SQRT(F334^2+C334^2)),IF(G334="Gamma",C334^2/F334^2,IF(G334="Normal",C334,0))))</f>
        <v>31.353564209139105</v>
      </c>
      <c r="I334" s="162">
        <f t="shared" ref="I334" si="221">IF(G334="Beta",C334*(1-C334)/(F334^2)-1-H334,IF(G334="Lognormal",SQRT(LN(1+F334^2/C334^2)),IF(G334="Gamma",F334^2/C334,IF(G334="Normal",F334,0))))</f>
        <v>10.404309115770555</v>
      </c>
      <c r="J334" s="70">
        <f ca="1">IF(F334=0,C334,IF(G334="Beta",_xlfn.BETA.INV(J333,H334,I334),IF(G334="Lognormal",EXP(NORMINV(J333,H334,I334)),IF(G334="Gamma",_xlfn.GAMMA.INV(J333,H334,I334),IF(G334="Normal",_xlfn.NORM.INV(J333,H334,I334),0)))))</f>
        <v>279.07192697537022</v>
      </c>
      <c r="K334">
        <f>(E334+D334)/2</f>
        <v>326.27076086956521</v>
      </c>
    </row>
    <row r="335" spans="2:38" x14ac:dyDescent="0.3">
      <c r="B335" s="31" t="s">
        <v>1083</v>
      </c>
      <c r="C335" s="177">
        <f>'Cost input'!O135</f>
        <v>326.21217391304344</v>
      </c>
      <c r="D335" s="177">
        <f>'Cost input'!P135</f>
        <v>212.08478260869566</v>
      </c>
      <c r="E335" s="177">
        <f>'Cost input'!Q135</f>
        <v>440.45673913043476</v>
      </c>
      <c r="F335" s="156">
        <f t="shared" ref="F335:F356" si="222">(E335-D335)/(2*1.96)</f>
        <v>58.258152173913032</v>
      </c>
      <c r="G335" s="160" t="s">
        <v>575</v>
      </c>
      <c r="H335" s="162">
        <f t="shared" ref="H335:H356" si="223">IF(G335="Beta",C335*(C335*(1-C335)/(F335^2)-1),IF(G335="Lognormal",LN(C335^2/SQRT(F335^2+C335^2)),IF(G335="Gamma",C335^2/F335^2,IF(G335="Normal",C335,0))))</f>
        <v>31.353564209139105</v>
      </c>
      <c r="I335" s="162">
        <f t="shared" ref="I335:I356" si="224">IF(G335="Beta",C335*(1-C335)/(F335^2)-1-H335,IF(G335="Lognormal",SQRT(LN(1+F335^2/C335^2)),IF(G335="Gamma",F335^2/C335,IF(G335="Normal",F335,0))))</f>
        <v>10.404309115770555</v>
      </c>
      <c r="J335" s="70">
        <f ca="1">IF(F335=0,C335,IF(G335="Beta",_xlfn.BETA.INV(J333,H335,I335),IF(G335="Lognormal",EXP(NORMINV(J333,H335,I335)),IF(G335="Gamma",_xlfn.GAMMA.INV(J333,H335,I335),IF(G335="Normal",_xlfn.NORM.INV(J333,H335,I335),0)))))</f>
        <v>279.07192697537022</v>
      </c>
    </row>
    <row r="336" spans="2:38" x14ac:dyDescent="0.3">
      <c r="B336" s="31" t="s">
        <v>1084</v>
      </c>
      <c r="C336" s="177">
        <f>'Cost input'!O136</f>
        <v>326.21217391304344</v>
      </c>
      <c r="D336" s="177">
        <f>'Cost input'!P136</f>
        <v>212.08478260869566</v>
      </c>
      <c r="E336" s="177">
        <f>'Cost input'!Q136</f>
        <v>440.45673913043476</v>
      </c>
      <c r="F336" s="156">
        <f t="shared" si="222"/>
        <v>58.258152173913032</v>
      </c>
      <c r="G336" s="160" t="s">
        <v>575</v>
      </c>
      <c r="H336" s="162">
        <f t="shared" si="223"/>
        <v>31.353564209139105</v>
      </c>
      <c r="I336" s="162">
        <f t="shared" si="224"/>
        <v>10.404309115770555</v>
      </c>
      <c r="J336" s="70">
        <f ca="1">IF(F336=0,C336,IF(G336="Beta",_xlfn.BETA.INV(J333,H336,I336),IF(G336="Lognormal",EXP(NORMINV(J333,H336,I336)),IF(G336="Gamma",_xlfn.GAMMA.INV(J333,H336,I336),IF(G336="Normal",_xlfn.NORM.INV(J333,H336,I336),0)))))</f>
        <v>279.07192697537022</v>
      </c>
    </row>
    <row r="337" spans="2:28" x14ac:dyDescent="0.3">
      <c r="B337" s="31" t="s">
        <v>1085</v>
      </c>
      <c r="C337" s="177">
        <f>'Cost input'!O137</f>
        <v>328.32130434782607</v>
      </c>
      <c r="D337" s="177">
        <f>'Cost input'!P137</f>
        <v>194.04</v>
      </c>
      <c r="E337" s="177">
        <f>'Cost input'!Q137</f>
        <v>463.65717391304349</v>
      </c>
      <c r="F337" s="156">
        <f t="shared" si="222"/>
        <v>68.779891304347842</v>
      </c>
      <c r="G337" s="160" t="s">
        <v>575</v>
      </c>
      <c r="H337" s="162">
        <f t="shared" si="223"/>
        <v>22.786370709634198</v>
      </c>
      <c r="I337" s="162">
        <f t="shared" si="224"/>
        <v>14.408670364035203</v>
      </c>
      <c r="J337" s="70">
        <f ca="1">IF(F337=0,C337,IF(G337="Beta",_xlfn.BETA.INV(J333,H337,I337),IF(G337="Lognormal",EXP(NORMINV(J333,H337,I337)),IF(G337="Gamma",_xlfn.GAMMA.INV(J333,H337,I337),IF(G337="Normal",_xlfn.NORM.INV(J333,H337,I337),0)))))</f>
        <v>272.52168723251503</v>
      </c>
    </row>
    <row r="338" spans="2:28" x14ac:dyDescent="0.3">
      <c r="B338" s="31" t="s">
        <v>1086</v>
      </c>
      <c r="C338" s="177">
        <f>'Cost input'!O138</f>
        <v>328.32130434782607</v>
      </c>
      <c r="D338" s="177">
        <f>'Cost input'!P138</f>
        <v>194.04</v>
      </c>
      <c r="E338" s="177">
        <f>'Cost input'!Q138</f>
        <v>463.65717391304349</v>
      </c>
      <c r="F338" s="156">
        <f t="shared" si="222"/>
        <v>68.779891304347842</v>
      </c>
      <c r="G338" s="160" t="s">
        <v>575</v>
      </c>
      <c r="H338" s="162">
        <f t="shared" si="223"/>
        <v>22.786370709634198</v>
      </c>
      <c r="I338" s="162">
        <f t="shared" si="224"/>
        <v>14.408670364035203</v>
      </c>
      <c r="J338" s="70">
        <f ca="1">IF(F338=0,C338,IF(G338="Beta",_xlfn.BETA.INV(J333,H338,I338),IF(G338="Lognormal",EXP(NORMINV(J333,H338,I338)),IF(G338="Gamma",_xlfn.GAMMA.INV(J333,H338,I338),IF(G338="Normal",_xlfn.NORM.INV(J333,H338,I338),0)))))</f>
        <v>272.52168723251503</v>
      </c>
    </row>
    <row r="339" spans="2:28" x14ac:dyDescent="0.3">
      <c r="B339" s="31" t="s">
        <v>1087</v>
      </c>
      <c r="C339" s="177">
        <f>'Cost input'!O139</f>
        <v>328.32130434782607</v>
      </c>
      <c r="D339" s="177">
        <f>'Cost input'!P139</f>
        <v>194.04</v>
      </c>
      <c r="E339" s="177">
        <f>'Cost input'!Q139</f>
        <v>463.65717391304349</v>
      </c>
      <c r="F339" s="156">
        <f t="shared" si="222"/>
        <v>68.779891304347842</v>
      </c>
      <c r="G339" s="160" t="s">
        <v>575</v>
      </c>
      <c r="H339" s="162">
        <f t="shared" si="223"/>
        <v>22.786370709634198</v>
      </c>
      <c r="I339" s="162">
        <f t="shared" si="224"/>
        <v>14.408670364035203</v>
      </c>
      <c r="J339" s="70">
        <f ca="1">IF(F339=0,C339,IF(G339="Beta",_xlfn.BETA.INV(J333,H339,I339),IF(G339="Lognormal",EXP(NORMINV(J333,H339,I339)),IF(G339="Gamma",_xlfn.GAMMA.INV(J333,H339,I339),IF(G339="Normal",_xlfn.NORM.INV(J333,H339,I339),0)))))</f>
        <v>272.52168723251503</v>
      </c>
    </row>
    <row r="340" spans="2:28" x14ac:dyDescent="0.3">
      <c r="B340" s="31" t="s">
        <v>1443</v>
      </c>
      <c r="C340" s="177">
        <f>'Cost input'!O140</f>
        <v>328.4384782608696</v>
      </c>
      <c r="D340" s="177">
        <f>'Cost input'!P140</f>
        <v>203.64826086956523</v>
      </c>
      <c r="E340" s="177">
        <f>'Cost input'!Q140</f>
        <v>453.22869565217394</v>
      </c>
      <c r="F340" s="156">
        <f t="shared" si="222"/>
        <v>63.66847826086957</v>
      </c>
      <c r="G340" s="160" t="s">
        <v>575</v>
      </c>
      <c r="H340" s="162">
        <f>IF(G340="Beta",C340*(C340*(1-C340)/(F340^2)-1),IF(G340="Lognormal",LN(C340^2/SQRT(F340^2+C340^2)),IF(G340="Gamma",C340^2/F340^2,IF(G340="Normal",C340,0))))</f>
        <v>26.610873022901099</v>
      </c>
      <c r="I340" s="162">
        <f t="shared" si="224"/>
        <v>12.342266184886835</v>
      </c>
      <c r="J340" s="70">
        <f ca="1">IF(F340=0,C340,IF(G340="Beta",_xlfn.BETA.INV(J333,H340,I340),IF(G340="Lognormal",EXP(NORMINV(J333,H340,I340)),IF(G340="Gamma",_xlfn.GAMMA.INV(J333,H340,I340),IF(G340="Normal",_xlfn.NORM.INV(J333,H340,I340),0)))))</f>
        <v>276.85157412313112</v>
      </c>
    </row>
    <row r="341" spans="2:28" x14ac:dyDescent="0.3">
      <c r="B341" s="150" t="s">
        <v>1444</v>
      </c>
      <c r="H341" s="162">
        <f t="shared" ref="H341:H348" si="225">IF(G341="Beta",C341*(C341*(1-C341)/(F341^2)-1),IF(G341="Lognormal",LN(C341^2/SQRT(F341^2+C341^2)),IF(G341="Gamma",C341^2/F341^2,IF(G341="Normal",C341,0))))</f>
        <v>0</v>
      </c>
      <c r="I341" s="141"/>
      <c r="J341" s="291">
        <f ca="1">RAND()</f>
        <v>0.69417015882687072</v>
      </c>
      <c r="L341" s="79" t="s">
        <v>679</v>
      </c>
    </row>
    <row r="342" spans="2:28" x14ac:dyDescent="0.3">
      <c r="B342" s="31" t="s">
        <v>1082</v>
      </c>
      <c r="C342" s="177">
        <f>'Cost input'!O142</f>
        <v>330.89913043478259</v>
      </c>
      <c r="D342" s="177">
        <f>'Cost input'!P142</f>
        <v>201.87913280652174</v>
      </c>
      <c r="E342" s="177">
        <f>'Cost input'!Q142</f>
        <v>460.01966328043483</v>
      </c>
      <c r="F342" s="156">
        <f>(E342-D342)/(2*1.96)</f>
        <v>65.852176141304355</v>
      </c>
      <c r="G342" s="160" t="s">
        <v>575</v>
      </c>
      <c r="H342" s="162">
        <f>IF(G342="Beta",C342*(C342*(1-C342)/(F342^2)-1),IF(G342="Lognormal",LN(C342^2/SQRT(F342^2+C342^2)),IF(G342="Gamma",C342^2/F342^2,IF(G342="Normal",C342,0))))</f>
        <v>25.249395754346757</v>
      </c>
      <c r="I342" s="162">
        <f t="shared" ref="I342:I348" si="226">IF(G342="Beta",C342*(1-C342)/(F342^2)-1-H342,IF(G342="Lognormal",SQRT(LN(1+F342^2/C342^2)),IF(G342="Gamma",F342^2/C342,IF(G342="Normal",F342,0))))</f>
        <v>13.1052296717959</v>
      </c>
      <c r="J342" s="70">
        <f ca="1">IF(F342=0,C342,IF(G342="Beta",_xlfn.BETA.INV(J341,H342,I342),IF(G342="Lognormal",EXP(NORMINV(J341,H342,I342)),IF(G342="Gamma",_xlfn.GAMMA.INV(J341,H342,I342),IF(G342="Normal",_xlfn.NORM.INV(J341,H342,I342),0)))))</f>
        <v>360.85088931886048</v>
      </c>
    </row>
    <row r="343" spans="2:28" x14ac:dyDescent="0.3">
      <c r="B343" s="31" t="s">
        <v>1083</v>
      </c>
      <c r="C343" s="177">
        <f>'Cost input'!O143</f>
        <v>330.89913043478259</v>
      </c>
      <c r="D343" s="177">
        <f>'Cost input'!P143</f>
        <v>201.87913280652174</v>
      </c>
      <c r="E343" s="177">
        <f>'Cost input'!Q143</f>
        <v>460.01966328043483</v>
      </c>
      <c r="F343" s="156">
        <f t="shared" ref="F343:F348" si="227">(E343-D343)/(2*1.96)</f>
        <v>65.852176141304355</v>
      </c>
      <c r="G343" s="160" t="s">
        <v>575</v>
      </c>
      <c r="H343" s="162">
        <f t="shared" si="225"/>
        <v>25.249395754346757</v>
      </c>
      <c r="I343" s="162">
        <f t="shared" si="226"/>
        <v>13.1052296717959</v>
      </c>
      <c r="J343" s="70">
        <f ca="1">IF(F343=0,C343,IF(G343="Beta",_xlfn.BETA.INV(J341,H343,I343),IF(G343="Lognormal",EXP(NORMINV(J341,H343,I343)),IF(G343="Gamma",_xlfn.GAMMA.INV(J341,H343,I343),IF(G343="Normal",_xlfn.NORM.INV(J341,H343,I343),0)))))</f>
        <v>360.85088931886048</v>
      </c>
    </row>
    <row r="344" spans="2:28" x14ac:dyDescent="0.3">
      <c r="B344" s="31" t="s">
        <v>1084</v>
      </c>
      <c r="C344" s="177">
        <f>'Cost input'!O144</f>
        <v>330.89913043478259</v>
      </c>
      <c r="D344" s="177">
        <f>'Cost input'!P144</f>
        <v>201.87913280652174</v>
      </c>
      <c r="E344" s="177">
        <f>'Cost input'!Q144</f>
        <v>460.01966328043483</v>
      </c>
      <c r="F344" s="156">
        <f t="shared" si="227"/>
        <v>65.852176141304355</v>
      </c>
      <c r="G344" s="160" t="s">
        <v>575</v>
      </c>
      <c r="H344" s="162">
        <f t="shared" si="225"/>
        <v>25.249395754346757</v>
      </c>
      <c r="I344" s="162">
        <f t="shared" si="226"/>
        <v>13.1052296717959</v>
      </c>
      <c r="J344" s="70">
        <f ca="1">IF(F344=0,C344,IF(G344="Beta",_xlfn.BETA.INV(J341,H344,I344),IF(G344="Lognormal",EXP(NORMINV(J341,H344,I344)),IF(G344="Gamma",_xlfn.GAMMA.INV(J341,H344,I344),IF(G344="Normal",_xlfn.NORM.INV(J341,H344,I344),0)))))</f>
        <v>360.85088931886048</v>
      </c>
    </row>
    <row r="345" spans="2:28" x14ac:dyDescent="0.3">
      <c r="B345" s="31" t="s">
        <v>1085</v>
      </c>
      <c r="C345" s="177">
        <f>'Cost input'!O145</f>
        <v>330.89913043478259</v>
      </c>
      <c r="D345" s="177">
        <f>'Cost input'!P145</f>
        <v>201.87913280652174</v>
      </c>
      <c r="E345" s="177">
        <f>'Cost input'!Q145</f>
        <v>460.01966328043483</v>
      </c>
      <c r="F345" s="156">
        <f t="shared" si="227"/>
        <v>65.852176141304355</v>
      </c>
      <c r="G345" s="160" t="s">
        <v>575</v>
      </c>
      <c r="H345" s="162">
        <f t="shared" si="225"/>
        <v>25.249395754346757</v>
      </c>
      <c r="I345" s="162">
        <f t="shared" si="226"/>
        <v>13.1052296717959</v>
      </c>
      <c r="J345" s="70">
        <f ca="1">IF(F345=0,C345,IF(G345="Beta",_xlfn.BETA.INV(J341,H345,I345),IF(G345="Lognormal",EXP(NORMINV(J341,H345,I345)),IF(G345="Gamma",_xlfn.GAMMA.INV(J341,H345,I345),IF(G345="Normal",_xlfn.NORM.INV(J341,H345,I345),0)))))</f>
        <v>360.85088931886048</v>
      </c>
      <c r="AB345" s="67"/>
    </row>
    <row r="346" spans="2:28" x14ac:dyDescent="0.3">
      <c r="B346" s="31" t="s">
        <v>1086</v>
      </c>
      <c r="C346" s="177">
        <f>'Cost input'!O146</f>
        <v>330.89913043478259</v>
      </c>
      <c r="D346" s="177">
        <f>'Cost input'!P146</f>
        <v>201.87913280652174</v>
      </c>
      <c r="E346" s="177">
        <f>'Cost input'!Q146</f>
        <v>460.01966328043483</v>
      </c>
      <c r="F346" s="156">
        <f t="shared" si="227"/>
        <v>65.852176141304355</v>
      </c>
      <c r="G346" s="160" t="s">
        <v>575</v>
      </c>
      <c r="H346" s="162">
        <f t="shared" si="225"/>
        <v>25.249395754346757</v>
      </c>
      <c r="I346" s="162">
        <f t="shared" si="226"/>
        <v>13.1052296717959</v>
      </c>
      <c r="J346" s="70">
        <f ca="1">IF(F346=0,C346,IF(G346="Beta",_xlfn.BETA.INV(J341,H346,I346),IF(G346="Lognormal",EXP(NORMINV(J341,H346,I346)),IF(G346="Gamma",_xlfn.GAMMA.INV(J341,H346,I346),IF(G346="Normal",_xlfn.NORM.INV(J341,H346,I346),0)))))</f>
        <v>360.85088931886048</v>
      </c>
    </row>
    <row r="347" spans="2:28" x14ac:dyDescent="0.3">
      <c r="B347" s="31" t="s">
        <v>1087</v>
      </c>
      <c r="C347" s="177">
        <f>'Cost input'!O147</f>
        <v>330.89913043478259</v>
      </c>
      <c r="D347" s="177">
        <f>'Cost input'!P147</f>
        <v>201.87913280652174</v>
      </c>
      <c r="E347" s="177">
        <f>'Cost input'!Q147</f>
        <v>460.01966328043483</v>
      </c>
      <c r="F347" s="156">
        <f t="shared" si="227"/>
        <v>65.852176141304355</v>
      </c>
      <c r="G347" s="160" t="s">
        <v>575</v>
      </c>
      <c r="H347" s="162">
        <f t="shared" si="225"/>
        <v>25.249395754346757</v>
      </c>
      <c r="I347" s="162">
        <f t="shared" si="226"/>
        <v>13.1052296717959</v>
      </c>
      <c r="J347" s="70">
        <f ca="1">IF(F347=0,C347,IF(G347="Beta",_xlfn.BETA.INV(J341,H347,I347),IF(G347="Lognormal",EXP(NORMINV(J341,H347,I347)),IF(G347="Gamma",_xlfn.GAMMA.INV(J341,H347,I347),IF(G347="Normal",_xlfn.NORM.INV(J341,H347,I347),0)))))</f>
        <v>360.85088931886048</v>
      </c>
    </row>
    <row r="348" spans="2:28" x14ac:dyDescent="0.3">
      <c r="B348" s="31" t="s">
        <v>1443</v>
      </c>
      <c r="C348" s="177">
        <f>'Cost input'!O148</f>
        <v>330.89913043478259</v>
      </c>
      <c r="D348" s="177">
        <f>'Cost input'!P148</f>
        <v>201.87913280652174</v>
      </c>
      <c r="E348" s="177">
        <f>'Cost input'!Q148</f>
        <v>460.01966328043483</v>
      </c>
      <c r="F348" s="156">
        <f t="shared" si="227"/>
        <v>65.852176141304355</v>
      </c>
      <c r="G348" s="160" t="s">
        <v>575</v>
      </c>
      <c r="H348" s="162">
        <f t="shared" si="225"/>
        <v>25.249395754346757</v>
      </c>
      <c r="I348" s="162">
        <f t="shared" si="226"/>
        <v>13.1052296717959</v>
      </c>
      <c r="J348" s="70">
        <f ca="1">IF(F348=0,C348,IF(G348="Beta",_xlfn.BETA.INV(J341,H348,I348),IF(G348="Lognormal",EXP(NORMINV(J341,H348,I348)),IF(G348="Gamma",_xlfn.GAMMA.INV(J341,H348,I348),IF(G348="Normal",_xlfn.NORM.INV(J341,H348,I348),0)))))</f>
        <v>360.85088931886048</v>
      </c>
    </row>
    <row r="349" spans="2:28" x14ac:dyDescent="0.3">
      <c r="B349" s="151" t="s">
        <v>227</v>
      </c>
      <c r="C349" s="162"/>
      <c r="D349" s="162"/>
      <c r="E349" s="162"/>
      <c r="F349" s="162"/>
      <c r="G349" s="162"/>
      <c r="H349" s="162"/>
      <c r="I349" s="162"/>
      <c r="J349" s="291">
        <f ca="1">RAND()</f>
        <v>0.70751695986915131</v>
      </c>
    </row>
    <row r="350" spans="2:28" ht="15.75" customHeight="1" x14ac:dyDescent="0.3">
      <c r="B350" s="31" t="s">
        <v>1437</v>
      </c>
      <c r="C350" s="177">
        <f>'Cost input'!O150</f>
        <v>320.00195652173915</v>
      </c>
      <c r="D350" s="177">
        <f>'Cost input'!P150</f>
        <v>137.61111980000001</v>
      </c>
      <c r="E350" s="177">
        <f>'Cost input'!Q150</f>
        <v>502.44060020000001</v>
      </c>
      <c r="F350" s="156">
        <f t="shared" ref="F350:F351" si="228">(E350-D350)/(2*1.96)</f>
        <v>93.068744999999993</v>
      </c>
      <c r="G350" s="160" t="s">
        <v>575</v>
      </c>
      <c r="H350" s="162">
        <f t="shared" ref="H350:H351" si="229">IF(G350="Beta",C350*(C350*(1-C350)/(F350^2)-1),IF(G350="Lognormal",LN(C350^2/SQRT(F350^2+C350^2)),IF(G350="Gamma",C350^2/F350^2,IF(G350="Normal",C350,0))))</f>
        <v>11.822179579240986</v>
      </c>
      <c r="I350" s="162">
        <f t="shared" ref="I350:I351" si="230">IF(G350="Beta",C350*(1-C350)/(F350^2)-1-H350,IF(G350="Lognormal",SQRT(LN(1+F350^2/C350^2)),IF(G350="Gamma",F350^2/C350,IF(G350="Normal",F350,0))))</f>
        <v>27.067932302740751</v>
      </c>
      <c r="J350" s="70">
        <f ca="1">IF(F350=0,C350,IF(G350="Beta",_xlfn.BETA.INV(J$293,H350,I350),IF(G350="Lognormal",EXP(NORMINV(J$293,H350,I350)),IF(G350="Gamma",_xlfn.GAMMA.INV(J$293,H350,I350),IF(G350="Normal",_xlfn.NORM.INV(J$293,H350,I350),0)))))</f>
        <v>498.21142553472356</v>
      </c>
    </row>
    <row r="351" spans="2:28" ht="15.75" customHeight="1" x14ac:dyDescent="0.3">
      <c r="B351" s="31" t="s">
        <v>1438</v>
      </c>
      <c r="C351" s="177">
        <f>'Cost input'!O151</f>
        <v>320.00195652173915</v>
      </c>
      <c r="D351" s="177">
        <f>'Cost input'!P151</f>
        <v>137.61111980000001</v>
      </c>
      <c r="E351" s="177">
        <f>'Cost input'!Q151</f>
        <v>502.44060020000001</v>
      </c>
      <c r="F351" s="156">
        <f t="shared" si="228"/>
        <v>93.068744999999993</v>
      </c>
      <c r="G351" s="160" t="s">
        <v>575</v>
      </c>
      <c r="H351" s="162">
        <f t="shared" si="229"/>
        <v>11.822179579240986</v>
      </c>
      <c r="I351" s="162">
        <f t="shared" si="230"/>
        <v>27.067932302740751</v>
      </c>
      <c r="J351" s="70">
        <f ca="1">IF(F351=0,C351,IF(G351="Beta",_xlfn.BETA.INV(J$293,H351,I351),IF(G351="Lognormal",EXP(NORMINV(J$293,H351,I351)),IF(G351="Gamma",_xlfn.GAMMA.INV(J$293,H351,I351),IF(G351="Normal",_xlfn.NORM.INV(J$293,H351,I351),0)))))</f>
        <v>498.21142553472356</v>
      </c>
    </row>
    <row r="352" spans="2:28" ht="15.75" customHeight="1" x14ac:dyDescent="0.3">
      <c r="B352" s="31" t="s">
        <v>1441</v>
      </c>
      <c r="C352" s="177">
        <f>'Cost input'!O152</f>
        <v>328.67282608695655</v>
      </c>
      <c r="D352" s="177">
        <f>'Cost input'!P152</f>
        <v>174.19877140217392</v>
      </c>
      <c r="E352" s="177">
        <f>'Cost input'!Q152</f>
        <v>483.15508294565217</v>
      </c>
      <c r="F352" s="156">
        <f t="shared" si="222"/>
        <v>78.815385597826079</v>
      </c>
      <c r="G352" s="160" t="s">
        <v>575</v>
      </c>
      <c r="H352" s="162">
        <f t="shared" si="223"/>
        <v>17.390240529599836</v>
      </c>
      <c r="I352" s="162">
        <f t="shared" si="224"/>
        <v>18.89984359489015</v>
      </c>
      <c r="J352" s="70">
        <f t="shared" ref="J352:J356" ca="1" si="231">IF(F352=0,C352,IF(G352="Beta",_xlfn.BETA.INV(J$293,H352,I352),IF(G352="Lognormal",EXP(NORMINV(J$293,H352,I352)),IF(G352="Gamma",_xlfn.GAMMA.INV(J$293,H352,I352),IF(G352="Normal",_xlfn.NORM.INV(J$293,H352,I352),0)))))</f>
        <v>477.32692510813979</v>
      </c>
    </row>
    <row r="353" spans="2:22" ht="15.75" customHeight="1" x14ac:dyDescent="0.3">
      <c r="B353" s="31" t="s">
        <v>1442</v>
      </c>
      <c r="C353" s="177">
        <f>'Cost input'!O153</f>
        <v>328.67282608695655</v>
      </c>
      <c r="D353" s="177">
        <f>'Cost input'!P153</f>
        <v>174.19877140217392</v>
      </c>
      <c r="E353" s="177">
        <f>'Cost input'!Q153</f>
        <v>483.15508294565217</v>
      </c>
      <c r="F353" s="156">
        <f t="shared" si="222"/>
        <v>78.815385597826079</v>
      </c>
      <c r="G353" s="160" t="s">
        <v>575</v>
      </c>
      <c r="H353" s="162">
        <f t="shared" si="223"/>
        <v>17.390240529599836</v>
      </c>
      <c r="I353" s="162">
        <f t="shared" si="224"/>
        <v>18.89984359489015</v>
      </c>
      <c r="J353" s="70">
        <f t="shared" ca="1" si="231"/>
        <v>477.32692510813979</v>
      </c>
    </row>
    <row r="354" spans="2:22" ht="15.75" customHeight="1" x14ac:dyDescent="0.3">
      <c r="B354" s="151" t="s">
        <v>920</v>
      </c>
      <c r="J354" s="291">
        <f ca="1">RAND()</f>
        <v>0.71356194688553864</v>
      </c>
    </row>
    <row r="355" spans="2:22" ht="15.75" customHeight="1" x14ac:dyDescent="0.3">
      <c r="B355" s="31" t="s">
        <v>920</v>
      </c>
      <c r="C355" s="177">
        <f>'Cost input'!O155</f>
        <v>328.32130434782607</v>
      </c>
      <c r="D355" s="177">
        <f>'Cost input'!P155</f>
        <v>194.04</v>
      </c>
      <c r="E355" s="177">
        <f>'Cost input'!Q155</f>
        <v>463.65717391304349</v>
      </c>
      <c r="F355" s="156">
        <f t="shared" si="222"/>
        <v>68.779891304347842</v>
      </c>
      <c r="G355" s="160" t="s">
        <v>575</v>
      </c>
      <c r="H355" s="162">
        <f t="shared" si="223"/>
        <v>22.786370709634198</v>
      </c>
      <c r="I355" s="162">
        <f t="shared" si="224"/>
        <v>14.408670364035203</v>
      </c>
      <c r="J355" s="70">
        <f t="shared" ca="1" si="231"/>
        <v>456.83800204225014</v>
      </c>
    </row>
    <row r="356" spans="2:22" ht="15.75" customHeight="1" x14ac:dyDescent="0.3">
      <c r="B356" s="31" t="s">
        <v>980</v>
      </c>
      <c r="C356" s="177">
        <f>'Cost input'!O156</f>
        <v>328.32130434782607</v>
      </c>
      <c r="D356" s="177">
        <f>'Cost input'!P156</f>
        <v>194.04</v>
      </c>
      <c r="E356" s="177">
        <f>'Cost input'!Q156</f>
        <v>463.65717391304349</v>
      </c>
      <c r="F356" s="156">
        <f t="shared" si="222"/>
        <v>68.779891304347842</v>
      </c>
      <c r="G356" s="160" t="s">
        <v>575</v>
      </c>
      <c r="H356" s="162">
        <f t="shared" si="223"/>
        <v>22.786370709634198</v>
      </c>
      <c r="I356" s="162">
        <f t="shared" si="224"/>
        <v>14.408670364035203</v>
      </c>
      <c r="J356" s="70">
        <f t="shared" ca="1" si="231"/>
        <v>456.83800204225014</v>
      </c>
    </row>
    <row r="358" spans="2:22" x14ac:dyDescent="0.3">
      <c r="B358" s="175" t="s">
        <v>1005</v>
      </c>
      <c r="C358" s="175"/>
      <c r="D358" s="175"/>
      <c r="E358" s="175"/>
      <c r="F358" s="84"/>
      <c r="G358" s="84"/>
      <c r="H358" s="84"/>
      <c r="I358" s="84"/>
      <c r="J358" s="84"/>
      <c r="K358" s="84"/>
      <c r="L358" s="84"/>
      <c r="M358" s="175"/>
      <c r="N358" s="175"/>
      <c r="O358" s="175"/>
      <c r="P358" s="175"/>
      <c r="Q358" s="84"/>
      <c r="R358" s="84"/>
      <c r="S358" s="84"/>
      <c r="T358" s="84"/>
      <c r="U358" s="84"/>
    </row>
    <row r="359" spans="2:22" x14ac:dyDescent="0.3">
      <c r="B359" s="159" t="s">
        <v>1404</v>
      </c>
      <c r="C359" s="24"/>
      <c r="D359" s="24"/>
      <c r="E359" s="24"/>
      <c r="F359" s="24"/>
      <c r="G359" s="165"/>
      <c r="H359" s="73"/>
      <c r="I359" s="73"/>
      <c r="J359" s="73"/>
      <c r="M359" s="159" t="s">
        <v>1405</v>
      </c>
      <c r="N359" s="24"/>
      <c r="O359" s="24"/>
      <c r="P359" s="24"/>
      <c r="Q359" s="24"/>
      <c r="R359" s="165"/>
      <c r="S359" s="73"/>
      <c r="T359" s="73"/>
      <c r="U359" s="73"/>
    </row>
    <row r="360" spans="2:22" x14ac:dyDescent="0.3">
      <c r="B360" s="159" t="s">
        <v>1</v>
      </c>
      <c r="C360" s="159" t="s">
        <v>567</v>
      </c>
      <c r="D360" s="159" t="s">
        <v>985</v>
      </c>
      <c r="E360" s="159" t="s">
        <v>986</v>
      </c>
      <c r="F360" s="73" t="s">
        <v>584</v>
      </c>
      <c r="G360" s="73" t="s">
        <v>569</v>
      </c>
      <c r="H360" s="73" t="s">
        <v>581</v>
      </c>
      <c r="I360" s="73" t="s">
        <v>582</v>
      </c>
      <c r="J360" s="73" t="s">
        <v>583</v>
      </c>
      <c r="M360" s="159" t="s">
        <v>1</v>
      </c>
      <c r="N360" s="159" t="s">
        <v>567</v>
      </c>
      <c r="O360" s="159"/>
      <c r="P360" s="159"/>
      <c r="Q360" s="73" t="s">
        <v>584</v>
      </c>
      <c r="R360" s="73" t="s">
        <v>569</v>
      </c>
      <c r="S360" s="73" t="s">
        <v>581</v>
      </c>
      <c r="T360" s="73" t="s">
        <v>582</v>
      </c>
      <c r="U360" s="73" t="s">
        <v>583</v>
      </c>
    </row>
    <row r="361" spans="2:22" x14ac:dyDescent="0.3">
      <c r="B361" s="150" t="s">
        <v>988</v>
      </c>
      <c r="C361" s="197"/>
      <c r="D361" s="197"/>
      <c r="E361" s="197"/>
      <c r="J361" s="291">
        <f ca="1">RAND()</f>
        <v>9.9804332314669231E-2</v>
      </c>
      <c r="M361" s="150" t="s">
        <v>988</v>
      </c>
      <c r="U361" s="291">
        <f ca="1">J361</f>
        <v>9.9804332314669231E-2</v>
      </c>
    </row>
    <row r="362" spans="2:22" x14ac:dyDescent="0.3">
      <c r="B362" s="31" t="s">
        <v>1082</v>
      </c>
      <c r="C362" s="177">
        <f>'Cost input'!O165</f>
        <v>4.5999999999999996</v>
      </c>
      <c r="D362" s="177">
        <f>'Cost input'!P165</f>
        <v>3.4499999999999997</v>
      </c>
      <c r="E362" s="177">
        <f>'Cost input'!Q165</f>
        <v>5.75</v>
      </c>
      <c r="F362" s="156">
        <f>(E362-D362)/(2*1.96)</f>
        <v>0.58673469387755106</v>
      </c>
      <c r="G362" s="160" t="s">
        <v>575</v>
      </c>
      <c r="H362" s="162">
        <f t="shared" ref="H362:H368" si="232">IF(G362="Beta",C362*(C362*(1-C362)/(F362^2)-1),IF(G362="Lognormal",LN(C362^2/SQRT(F362^2+C362^2)),IF(G362="Gamma",C362^2/F362^2,IF(G362="Normal",C362,0))))</f>
        <v>61.465599999999974</v>
      </c>
      <c r="I362" s="162">
        <f t="shared" ref="I362:I368" si="233">IF(G362="Beta",C362*(1-C362)/(F362^2)-1-H362,IF(G362="Lognormal",SQRT(LN(1+F362^2/C362^2)),IF(G362="Gamma",F362^2/C362,IF(G362="Normal",F362,0))))</f>
        <v>7.4838608912952964E-2</v>
      </c>
      <c r="J362" s="70">
        <f ca="1">IF(F362=0,C362,IF(G362="Beta",_xlfn.BETA.INV(J361,H362,I362),IF(G362="Lognormal",EXP(NORMINV(J361,H362,I362)),IF(G362="Gamma",_xlfn.GAMMA.INV(J361,H362,I362),IF(G362="Normal",_xlfn.NORM.INV(J361,H362,I362),0)))))</f>
        <v>3.8653263779983247</v>
      </c>
      <c r="K362">
        <f>(E362+D362)/2</f>
        <v>4.5999999999999996</v>
      </c>
      <c r="M362" s="31" t="s">
        <v>2</v>
      </c>
      <c r="N362" s="177">
        <f>'Cost input'!O192</f>
        <v>1738.3921739130433</v>
      </c>
      <c r="O362" s="177">
        <f>'Cost input'!P192</f>
        <v>1129.9279513260869</v>
      </c>
      <c r="P362" s="177">
        <f>'Cost input'!Q192</f>
        <v>2346.7734373695653</v>
      </c>
      <c r="Q362" s="156">
        <f>(P362-O362)/(2*1.96)</f>
        <v>310.41976684782611</v>
      </c>
      <c r="R362" s="160" t="s">
        <v>575</v>
      </c>
      <c r="S362" s="162">
        <f t="shared" ref="S362:S376" si="234">IF(R362="Beta",N362*(N362*(1-N362)/(Q362^2)-1),IF(R362="Lognormal",LN(N362^2/SQRT(Q362^2+N362^2)),IF(R362="Gamma",N362^2/Q362^2,IF(R362="Normal",N362,0))))</f>
        <v>31.361496607892654</v>
      </c>
      <c r="T362" s="162">
        <f t="shared" ref="T362:T376" si="235">IF(R362="Beta",N362*(1-N362)/(Q362^2)-1-S362,IF(R362="Lognormal",SQRT(LN(1+Q362^2/N362^2)),IF(R362="Gamma",Q362^2/N362,IF(R362="Normal",Q362,0))))</f>
        <v>55.430778564169266</v>
      </c>
      <c r="U362" s="70">
        <f ca="1">IF(Q362=0,N362,IF(R362="Beta",_xlfn.BETA.INV(U361,S362,T362),IF(R362="Lognormal",EXP(NORMINV(U361,S362,T362)),IF(R362="Gamma",_xlfn.GAMMA.INV(U361,S362,T362),IF(R362="Normal",_xlfn.NORM.INV(U361,S362,T362),0)))))</f>
        <v>1354.0289883537971</v>
      </c>
      <c r="V362">
        <f>(P362+O362)/2</f>
        <v>1738.350694347826</v>
      </c>
    </row>
    <row r="363" spans="2:22" x14ac:dyDescent="0.3">
      <c r="B363" s="31" t="s">
        <v>1083</v>
      </c>
      <c r="C363" s="177">
        <f>'Cost input'!O166</f>
        <v>4.5999999999999996</v>
      </c>
      <c r="D363" s="177">
        <f>'Cost input'!P166</f>
        <v>3.4499999999999997</v>
      </c>
      <c r="E363" s="177">
        <f>'Cost input'!Q166</f>
        <v>5.75</v>
      </c>
      <c r="F363" s="156">
        <f t="shared" ref="F363:F384" si="236">(E363-D363)/(2*1.96)</f>
        <v>0.58673469387755106</v>
      </c>
      <c r="G363" s="160" t="s">
        <v>575</v>
      </c>
      <c r="H363" s="162">
        <f t="shared" si="232"/>
        <v>61.465599999999974</v>
      </c>
      <c r="I363" s="162">
        <f t="shared" si="233"/>
        <v>7.4838608912952964E-2</v>
      </c>
      <c r="J363" s="70">
        <f ca="1">IF(F363=0,C363,IF(G363="Beta",_xlfn.BETA.INV(J361,H363,I363),IF(G363="Lognormal",EXP(NORMINV(J361,H363,I363)),IF(G363="Gamma",_xlfn.GAMMA.INV(J361,H363,I363),IF(G363="Normal",_xlfn.NORM.INV(J361,H363,I363),0)))))</f>
        <v>3.8653263779983247</v>
      </c>
      <c r="M363" s="31" t="s">
        <v>3</v>
      </c>
      <c r="N363" s="177">
        <f>'Cost input'!O193</f>
        <v>1738.3921739130433</v>
      </c>
      <c r="O363" s="177">
        <f>'Cost input'!P193</f>
        <v>1129.9279513260869</v>
      </c>
      <c r="P363" s="177">
        <f>'Cost input'!Q193</f>
        <v>2346.7734373695653</v>
      </c>
      <c r="Q363" s="156">
        <f t="shared" ref="Q363:Q384" si="237">(P363-O363)/(2*1.96)</f>
        <v>310.41976684782611</v>
      </c>
      <c r="R363" s="160" t="s">
        <v>575</v>
      </c>
      <c r="S363" s="162">
        <f t="shared" si="234"/>
        <v>31.361496607892654</v>
      </c>
      <c r="T363" s="162">
        <f t="shared" si="235"/>
        <v>55.430778564169266</v>
      </c>
      <c r="U363" s="70">
        <f ca="1">IF(Q363=0,N363,IF(R363="Beta",_xlfn.BETA.INV(U361,S363,T363),IF(R363="Lognormal",EXP(NORMINV(U361,S363,T363)),IF(R363="Gamma",_xlfn.GAMMA.INV(U361,S363,T363),IF(R363="Normal",_xlfn.NORM.INV(U361,S363,T363),0)))))</f>
        <v>1354.0289883537971</v>
      </c>
    </row>
    <row r="364" spans="2:22" x14ac:dyDescent="0.3">
      <c r="B364" s="31" t="s">
        <v>1084</v>
      </c>
      <c r="C364" s="177">
        <f>'Cost input'!O167</f>
        <v>4.5999999999999996</v>
      </c>
      <c r="D364" s="177">
        <f>'Cost input'!P167</f>
        <v>3.4499999999999997</v>
      </c>
      <c r="E364" s="177">
        <f>'Cost input'!Q167</f>
        <v>5.75</v>
      </c>
      <c r="F364" s="156">
        <f t="shared" si="236"/>
        <v>0.58673469387755106</v>
      </c>
      <c r="G364" s="160" t="s">
        <v>575</v>
      </c>
      <c r="H364" s="162">
        <f t="shared" si="232"/>
        <v>61.465599999999974</v>
      </c>
      <c r="I364" s="162">
        <f t="shared" si="233"/>
        <v>7.4838608912952964E-2</v>
      </c>
      <c r="J364" s="70">
        <f ca="1">IF(F364=0,C364,IF(G364="Beta",_xlfn.BETA.INV(J361,H364,I364),IF(G364="Lognormal",EXP(NORMINV(J361,H364,I364)),IF(G364="Gamma",_xlfn.GAMMA.INV(J361,H364,I364),IF(G364="Normal",_xlfn.NORM.INV(J361,H364,I364),0)))))</f>
        <v>3.8653263779983247</v>
      </c>
      <c r="M364" s="31" t="s">
        <v>4</v>
      </c>
      <c r="N364" s="177">
        <f>'Cost input'!O194</f>
        <v>1738.3921739130433</v>
      </c>
      <c r="O364" s="177">
        <f>'Cost input'!P194</f>
        <v>1129.9279513260869</v>
      </c>
      <c r="P364" s="177">
        <f>'Cost input'!Q194</f>
        <v>2346.7734373695653</v>
      </c>
      <c r="Q364" s="156">
        <f t="shared" si="237"/>
        <v>310.41976684782611</v>
      </c>
      <c r="R364" s="160" t="s">
        <v>575</v>
      </c>
      <c r="S364" s="162">
        <f t="shared" si="234"/>
        <v>31.361496607892654</v>
      </c>
      <c r="T364" s="162">
        <f t="shared" si="235"/>
        <v>55.430778564169266</v>
      </c>
      <c r="U364" s="70">
        <f ca="1">IF(Q364=0,N364,IF(R364="Beta",_xlfn.BETA.INV(U361,S364,T364),IF(R364="Lognormal",EXP(NORMINV(U361,S364,T364)),IF(R364="Gamma",_xlfn.GAMMA.INV(U361,S364,T364),IF(R364="Normal",_xlfn.NORM.INV(U361,S364,T364),0)))))</f>
        <v>1354.0289883537971</v>
      </c>
    </row>
    <row r="365" spans="2:22" x14ac:dyDescent="0.3">
      <c r="B365" s="31" t="s">
        <v>1085</v>
      </c>
      <c r="C365" s="177">
        <f>'Cost input'!O168</f>
        <v>6.8</v>
      </c>
      <c r="D365" s="177">
        <f>'Cost input'!P168</f>
        <v>5.0999999999999996</v>
      </c>
      <c r="E365" s="177">
        <f>'Cost input'!Q168</f>
        <v>8.5</v>
      </c>
      <c r="F365" s="156">
        <f t="shared" si="236"/>
        <v>0.86734693877551028</v>
      </c>
      <c r="G365" s="160" t="s">
        <v>575</v>
      </c>
      <c r="H365" s="162">
        <f t="shared" si="232"/>
        <v>61.465599999999988</v>
      </c>
      <c r="I365" s="162">
        <f t="shared" si="233"/>
        <v>0.11063098708871305</v>
      </c>
      <c r="J365" s="70">
        <f ca="1">IF(F365=0,C365,IF(G365="Beta",_xlfn.BETA.INV(J361,H365,I365),IF(G365="Lognormal",EXP(NORMINV(J361,H365,I365)),IF(G365="Gamma",_xlfn.GAMMA.INV(J361,H365,I365),IF(G365="Normal",_xlfn.NORM.INV(J361,H365,I365),0)))))</f>
        <v>5.7139607326931756</v>
      </c>
      <c r="M365" s="31" t="s">
        <v>5</v>
      </c>
      <c r="N365" s="177">
        <f>'Cost input'!O195</f>
        <v>1626.8426086956522</v>
      </c>
      <c r="O365" s="177">
        <f>'Cost input'!P195</f>
        <v>1041.1502699867015</v>
      </c>
      <c r="P365" s="177">
        <f>'Cost input'!Q195</f>
        <v>2212.4443237217392</v>
      </c>
      <c r="Q365" s="156">
        <f t="shared" si="237"/>
        <v>298.79950350383615</v>
      </c>
      <c r="R365" s="160" t="s">
        <v>575</v>
      </c>
      <c r="S365" s="162">
        <f t="shared" si="234"/>
        <v>29.643626591432959</v>
      </c>
      <c r="T365" s="162">
        <f t="shared" si="235"/>
        <v>54.880012864748863</v>
      </c>
      <c r="U365" s="70">
        <f ca="1">IF(Q365=0,N365,IF(R365="Beta",_xlfn.BETA.INV(U361,S365,T365),IF(R365="Lognormal",EXP(NORMINV(U361,S365,T365)),IF(R365="Gamma",_xlfn.GAMMA.INV(U361,S365,T365),IF(R365="Normal",_xlfn.NORM.INV(U361,S365,T365),0)))))</f>
        <v>1257.3001289692518</v>
      </c>
    </row>
    <row r="366" spans="2:22" x14ac:dyDescent="0.3">
      <c r="B366" s="31" t="s">
        <v>1086</v>
      </c>
      <c r="C366" s="177">
        <f>'Cost input'!O169</f>
        <v>6.8</v>
      </c>
      <c r="D366" s="177">
        <f>'Cost input'!P169</f>
        <v>5.0999999999999996</v>
      </c>
      <c r="E366" s="177">
        <f>'Cost input'!Q169</f>
        <v>8.5</v>
      </c>
      <c r="F366" s="156">
        <f t="shared" si="236"/>
        <v>0.86734693877551028</v>
      </c>
      <c r="G366" s="160" t="s">
        <v>575</v>
      </c>
      <c r="H366" s="162">
        <f t="shared" si="232"/>
        <v>61.465599999999988</v>
      </c>
      <c r="I366" s="162">
        <f t="shared" si="233"/>
        <v>0.11063098708871305</v>
      </c>
      <c r="J366" s="70">
        <f ca="1">IF(F366=0,C366,IF(G366="Beta",_xlfn.BETA.INV(J361,H366,I366),IF(G366="Lognormal",EXP(NORMINV(J361,H366,I366)),IF(G366="Gamma",_xlfn.GAMMA.INV(J361,H366,I366),IF(G366="Normal",_xlfn.NORM.INV(J361,H366,I366),0)))))</f>
        <v>5.7139607326931756</v>
      </c>
      <c r="M366" s="31" t="s">
        <v>6</v>
      </c>
      <c r="N366" s="177">
        <f>'Cost input'!O196</f>
        <v>1626.8426086956522</v>
      </c>
      <c r="O366" s="177">
        <f>'Cost input'!P196</f>
        <v>1041.1502699867015</v>
      </c>
      <c r="P366" s="177">
        <f>'Cost input'!Q196</f>
        <v>2212.4443237217392</v>
      </c>
      <c r="Q366" s="156">
        <f t="shared" si="237"/>
        <v>298.79950350383615</v>
      </c>
      <c r="R366" s="160" t="s">
        <v>575</v>
      </c>
      <c r="S366" s="162">
        <f t="shared" si="234"/>
        <v>29.643626591432959</v>
      </c>
      <c r="T366" s="162">
        <f t="shared" si="235"/>
        <v>54.880012864748863</v>
      </c>
      <c r="U366" s="70">
        <f ca="1">IF(Q366=0,N366,IF(R366="Beta",_xlfn.BETA.INV(U361,S366,T366),IF(R366="Lognormal",EXP(NORMINV(U361,S366,T366)),IF(R366="Gamma",_xlfn.GAMMA.INV(U361,S366,T366),IF(R366="Normal",_xlfn.NORM.INV(U361,S366,T366),0)))))</f>
        <v>1257.3001289692518</v>
      </c>
    </row>
    <row r="367" spans="2:22" x14ac:dyDescent="0.3">
      <c r="B367" s="31" t="s">
        <v>1087</v>
      </c>
      <c r="C367" s="177">
        <f>'Cost input'!O170</f>
        <v>6.8</v>
      </c>
      <c r="D367" s="177">
        <f>'Cost input'!P170</f>
        <v>5.0999999999999996</v>
      </c>
      <c r="E367" s="177">
        <f>'Cost input'!Q170</f>
        <v>8.5</v>
      </c>
      <c r="F367" s="156">
        <f t="shared" si="236"/>
        <v>0.86734693877551028</v>
      </c>
      <c r="G367" s="160" t="s">
        <v>575</v>
      </c>
      <c r="H367" s="162">
        <f t="shared" si="232"/>
        <v>61.465599999999988</v>
      </c>
      <c r="I367" s="162">
        <f t="shared" si="233"/>
        <v>0.11063098708871305</v>
      </c>
      <c r="J367" s="70">
        <f ca="1">IF(F367=0,C367,IF(G367="Beta",_xlfn.BETA.INV(J361,H367,I367),IF(G367="Lognormal",EXP(NORMINV(J361,H367,I367)),IF(G367="Gamma",_xlfn.GAMMA.INV(J361,H367,I367),IF(G367="Normal",_xlfn.NORM.INV(J361,H367,I367),0)))))</f>
        <v>5.7139607326931756</v>
      </c>
      <c r="M367" s="31" t="s">
        <v>7</v>
      </c>
      <c r="N367" s="177">
        <f>'Cost input'!O197</f>
        <v>1626.8426086956522</v>
      </c>
      <c r="O367" s="177">
        <f>'Cost input'!P197</f>
        <v>1041.1502699867015</v>
      </c>
      <c r="P367" s="177">
        <f>'Cost input'!Q197</f>
        <v>2212.4443237217392</v>
      </c>
      <c r="Q367" s="156">
        <f t="shared" si="237"/>
        <v>298.79950350383615</v>
      </c>
      <c r="R367" s="160" t="s">
        <v>575</v>
      </c>
      <c r="S367" s="162">
        <f t="shared" si="234"/>
        <v>29.643626591432959</v>
      </c>
      <c r="T367" s="162">
        <f t="shared" si="235"/>
        <v>54.880012864748863</v>
      </c>
      <c r="U367" s="70">
        <f ca="1">IF(Q367=0,N367,IF(R367="Beta",_xlfn.BETA.INV(U361,S367,T367),IF(R367="Lognormal",EXP(NORMINV(U361,S367,T367)),IF(R367="Gamma",_xlfn.GAMMA.INV(U361,S367,T367),IF(R367="Normal",_xlfn.NORM.INV(U361,S367,T367),0)))))</f>
        <v>1257.3001289692518</v>
      </c>
    </row>
    <row r="368" spans="2:22" x14ac:dyDescent="0.3">
      <c r="B368" s="31" t="s">
        <v>1443</v>
      </c>
      <c r="C368" s="177">
        <f>'Cost input'!O171</f>
        <v>7</v>
      </c>
      <c r="D368" s="177">
        <f>'Cost input'!P171</f>
        <v>5.25</v>
      </c>
      <c r="E368" s="177">
        <f>'Cost input'!Q171</f>
        <v>8.75</v>
      </c>
      <c r="F368" s="156">
        <f t="shared" si="236"/>
        <v>0.8928571428571429</v>
      </c>
      <c r="G368" s="160" t="s">
        <v>575</v>
      </c>
      <c r="H368" s="162">
        <f t="shared" si="232"/>
        <v>61.465599999999995</v>
      </c>
      <c r="I368" s="162">
        <f t="shared" si="233"/>
        <v>0.11388483965014577</v>
      </c>
      <c r="J368" s="70">
        <f ca="1">IF(F368=0,C368,IF(G368="Beta",_xlfn.BETA.INV(J361,H368,I368),IF(G368="Lognormal",EXP(NORMINV(J361,H368,I368)),IF(G368="Gamma",_xlfn.GAMMA.INV(J361,H368,I368),IF(G368="Normal",_xlfn.NORM.INV(J361,H368,I368),0)))))</f>
        <v>5.8820184013017984</v>
      </c>
      <c r="M368" s="31" t="s">
        <v>11</v>
      </c>
      <c r="N368" s="177">
        <f>'Cost input'!O198</f>
        <v>1637.1539130434783</v>
      </c>
      <c r="O368" s="177">
        <f>'Cost input'!P198</f>
        <v>1015.0252450130432</v>
      </c>
      <c r="P368" s="177">
        <f>'Cost input'!Q198</f>
        <v>1928.1166602857134</v>
      </c>
      <c r="Q368" s="156">
        <f t="shared" si="237"/>
        <v>232.93148348792604</v>
      </c>
      <c r="R368" s="160" t="s">
        <v>575</v>
      </c>
      <c r="S368" s="162">
        <f t="shared" si="234"/>
        <v>49.399509383793671</v>
      </c>
      <c r="T368" s="162">
        <f t="shared" si="235"/>
        <v>33.141096611388086</v>
      </c>
      <c r="U368" s="70">
        <f ca="1">IF(Q368=0,N368,IF(R368="Beta",_xlfn.BETA.INV(U361,S368,T368),IF(R368="Lognormal",EXP(NORMINV(U361,S368,T368)),IF(R368="Gamma",_xlfn.GAMMA.INV(U361,S368,T368),IF(R368="Normal",_xlfn.NORM.INV(U361,S368,T368),0)))))</f>
        <v>1346.4047627069488</v>
      </c>
    </row>
    <row r="369" spans="2:28" x14ac:dyDescent="0.3">
      <c r="B369" s="150" t="s">
        <v>1444</v>
      </c>
      <c r="C369" s="141"/>
      <c r="D369" s="141"/>
      <c r="E369" s="141"/>
      <c r="F369" s="141"/>
      <c r="G369" s="141"/>
      <c r="H369" s="141"/>
      <c r="I369" s="141"/>
      <c r="J369" s="291">
        <f ca="1">RAND()</f>
        <v>0.66303350484023027</v>
      </c>
      <c r="L369" s="79" t="s">
        <v>679</v>
      </c>
      <c r="M369" s="150" t="s">
        <v>1444</v>
      </c>
      <c r="U369" s="291">
        <f ca="1">RAND()</f>
        <v>4.9767895409328911E-2</v>
      </c>
    </row>
    <row r="370" spans="2:28" x14ac:dyDescent="0.3">
      <c r="B370" s="31" t="s">
        <v>1082</v>
      </c>
      <c r="C370" s="177">
        <f>'Cost input'!O173</f>
        <v>7.1</v>
      </c>
      <c r="D370" s="177">
        <f>'Cost input'!P173</f>
        <v>5.3249999999999993</v>
      </c>
      <c r="E370" s="177">
        <f>'Cost input'!Q173</f>
        <v>8.875</v>
      </c>
      <c r="F370" s="156">
        <f t="shared" si="236"/>
        <v>0.90561224489795933</v>
      </c>
      <c r="G370" s="160" t="s">
        <v>575</v>
      </c>
      <c r="H370" s="162">
        <f t="shared" ref="H370:H376" si="238">IF(G370="Beta",C370*(C370*(1-C370)/(F370^2)-1),IF(G370="Lognormal",LN(C370^2/SQRT(F370^2+C370^2)),IF(G370="Gamma",C370^2/F370^2,IF(G370="Normal",C370,0))))</f>
        <v>61.465599999999974</v>
      </c>
      <c r="I370" s="162">
        <f t="shared" ref="I370:I376" si="239">IF(G370="Beta",C370*(1-C370)/(F370^2)-1-H370,IF(G370="Lognormal",SQRT(LN(1+F370^2/C370^2)),IF(G370="Gamma",F370^2/C370,IF(G370="Normal",F370,0))))</f>
        <v>0.11551176593086218</v>
      </c>
      <c r="J370" s="70">
        <f ca="1">IF(F370=0,C370,IF(G370="Beta",_xlfn.BETA.INV(J369,H370,I370),IF(G370="Lognormal",EXP(NORMINV(J369,H370,I370)),IF(G370="Gamma",_xlfn.GAMMA.INV(J369,H370,I370),IF(G370="Normal",_xlfn.NORM.INV(J369,H370,I370),0)))))</f>
        <v>7.4482130748320543</v>
      </c>
      <c r="M370" s="31" t="s">
        <v>1082</v>
      </c>
      <c r="N370" s="177">
        <f>'Cost input'!O200</f>
        <v>1656.4876086956522</v>
      </c>
      <c r="O370" s="177">
        <f>'Cost input'!P200</f>
        <v>1010.4607110836495</v>
      </c>
      <c r="P370" s="177">
        <f>'Cost input'!Q200</f>
        <v>2302.5252268955255</v>
      </c>
      <c r="Q370" s="156">
        <f t="shared" si="237"/>
        <v>329.60829484996833</v>
      </c>
      <c r="R370" s="160" t="s">
        <v>575</v>
      </c>
      <c r="S370" s="162">
        <f t="shared" si="234"/>
        <v>25.25690425870587</v>
      </c>
      <c r="T370" s="162">
        <f t="shared" si="235"/>
        <v>65.585536205399094</v>
      </c>
      <c r="U370" s="70">
        <f ca="1">IF(Q370=0,N370,IF(R370="Beta",_xlfn.BETA.INV(U369,S370,T370),IF(R370="Lognormal",EXP(NORMINV(U369,S370,T370)),IF(R370="Gamma",_xlfn.GAMMA.INV(U369,S370,T370),IF(R370="Normal",_xlfn.NORM.INV(U369,S370,T370),0)))))</f>
        <v>1153.5062915625867</v>
      </c>
    </row>
    <row r="371" spans="2:28" x14ac:dyDescent="0.3">
      <c r="B371" s="31" t="s">
        <v>1083</v>
      </c>
      <c r="C371" s="177">
        <f>'Cost input'!O174</f>
        <v>7.1</v>
      </c>
      <c r="D371" s="177">
        <f>'Cost input'!P174</f>
        <v>5.3249999999999993</v>
      </c>
      <c r="E371" s="177">
        <f>'Cost input'!Q174</f>
        <v>8.875</v>
      </c>
      <c r="F371" s="156">
        <f t="shared" si="236"/>
        <v>0.90561224489795933</v>
      </c>
      <c r="G371" s="160" t="s">
        <v>575</v>
      </c>
      <c r="H371" s="162">
        <f t="shared" si="238"/>
        <v>61.465599999999974</v>
      </c>
      <c r="I371" s="162">
        <f>IF(G371="Beta",C371*(1-C371)/(F371^2)-1-H371,IF(G371="Lognormal",SQRT(LN(1+F371^2/C371^2)),IF(G371="Gamma",F371^2/C371,IF(G371="Normal",F371,0))))</f>
        <v>0.11551176593086218</v>
      </c>
      <c r="J371" s="70">
        <f ca="1">IF(F371=0,C371,IF(G371="Beta",_xlfn.BETA.INV(J369,H371,I371),IF(G371="Lognormal",EXP(NORMINV(J369,H371,I371)),IF(G371="Gamma",_xlfn.GAMMA.INV(J369,H371,I371),IF(G371="Normal",_xlfn.NORM.INV(J369,H371,I371),0)))))</f>
        <v>7.4482130748320543</v>
      </c>
      <c r="M371" s="31" t="s">
        <v>1083</v>
      </c>
      <c r="N371" s="177">
        <f>'Cost input'!O201</f>
        <v>1656.4876086956522</v>
      </c>
      <c r="O371" s="177">
        <f>'Cost input'!P201</f>
        <v>1010.4607110836495</v>
      </c>
      <c r="P371" s="177">
        <f>'Cost input'!Q201</f>
        <v>2302.5252268955255</v>
      </c>
      <c r="Q371" s="156">
        <f t="shared" si="237"/>
        <v>329.60829484996833</v>
      </c>
      <c r="R371" s="160" t="s">
        <v>575</v>
      </c>
      <c r="S371" s="162">
        <f t="shared" si="234"/>
        <v>25.25690425870587</v>
      </c>
      <c r="T371" s="162">
        <f t="shared" si="235"/>
        <v>65.585536205399094</v>
      </c>
      <c r="U371" s="70">
        <f ca="1">IF(Q371=0,N371,IF(R371="Beta",_xlfn.BETA.INV(U369,S371,T371),IF(R371="Lognormal",EXP(NORMINV(U369,S371,T371)),IF(R371="Gamma",_xlfn.GAMMA.INV(U369,S371,T371),IF(R371="Normal",_xlfn.NORM.INV(U369,S371,T371),0)))))</f>
        <v>1153.5062915625867</v>
      </c>
    </row>
    <row r="372" spans="2:28" x14ac:dyDescent="0.3">
      <c r="B372" s="31" t="s">
        <v>1084</v>
      </c>
      <c r="C372" s="177">
        <f>'Cost input'!O175</f>
        <v>7.1</v>
      </c>
      <c r="D372" s="177">
        <f>'Cost input'!P175</f>
        <v>5.3249999999999993</v>
      </c>
      <c r="E372" s="177">
        <f>'Cost input'!Q175</f>
        <v>8.875</v>
      </c>
      <c r="F372" s="156">
        <f t="shared" si="236"/>
        <v>0.90561224489795933</v>
      </c>
      <c r="G372" s="160" t="s">
        <v>575</v>
      </c>
      <c r="H372" s="162">
        <f t="shared" si="238"/>
        <v>61.465599999999974</v>
      </c>
      <c r="I372" s="162">
        <f t="shared" si="239"/>
        <v>0.11551176593086218</v>
      </c>
      <c r="J372" s="70">
        <f ca="1">IF(F372=0,C372,IF(G372="Beta",_xlfn.BETA.INV(J369,H372,I372),IF(G372="Lognormal",EXP(NORMINV(J369,H372,I372)),IF(G372="Gamma",_xlfn.GAMMA.INV(J369,H372,I372),IF(G372="Normal",_xlfn.NORM.INV(J369,H372,I372),0)))))</f>
        <v>7.4482130748320543</v>
      </c>
      <c r="M372" s="31" t="s">
        <v>1084</v>
      </c>
      <c r="N372" s="177">
        <f>'Cost input'!O202</f>
        <v>1656.4876086956522</v>
      </c>
      <c r="O372" s="177">
        <f>'Cost input'!P202</f>
        <v>1010.4607110836495</v>
      </c>
      <c r="P372" s="177">
        <f>'Cost input'!Q202</f>
        <v>2302.5252268955255</v>
      </c>
      <c r="Q372" s="156">
        <f t="shared" si="237"/>
        <v>329.60829484996833</v>
      </c>
      <c r="R372" s="160" t="s">
        <v>575</v>
      </c>
      <c r="S372" s="162">
        <f t="shared" si="234"/>
        <v>25.25690425870587</v>
      </c>
      <c r="T372" s="162">
        <f t="shared" si="235"/>
        <v>65.585536205399094</v>
      </c>
      <c r="U372" s="70">
        <f ca="1">IF(Q372=0,N372,IF(R372="Beta",_xlfn.BETA.INV(U369,S372,T372),IF(R372="Lognormal",EXP(NORMINV(U369,S372,T372)),IF(R372="Gamma",_xlfn.GAMMA.INV(U369,S372,T372),IF(R372="Normal",_xlfn.NORM.INV(U369,S372,T372),0)))))</f>
        <v>1153.5062915625867</v>
      </c>
    </row>
    <row r="373" spans="2:28" x14ac:dyDescent="0.3">
      <c r="B373" s="31" t="s">
        <v>1085</v>
      </c>
      <c r="C373" s="177">
        <f>'Cost input'!O176</f>
        <v>7.1</v>
      </c>
      <c r="D373" s="177">
        <f>'Cost input'!P176</f>
        <v>5.3249999999999993</v>
      </c>
      <c r="E373" s="177">
        <f>'Cost input'!Q176</f>
        <v>8.875</v>
      </c>
      <c r="F373" s="156">
        <f t="shared" si="236"/>
        <v>0.90561224489795933</v>
      </c>
      <c r="G373" s="160" t="s">
        <v>575</v>
      </c>
      <c r="H373" s="162">
        <f t="shared" si="238"/>
        <v>61.465599999999974</v>
      </c>
      <c r="I373" s="162">
        <f t="shared" si="239"/>
        <v>0.11551176593086218</v>
      </c>
      <c r="J373" s="70">
        <f ca="1">IF(F373=0,C373,IF(G373="Beta",_xlfn.BETA.INV(J369,H373,I373),IF(G373="Lognormal",EXP(NORMINV(J369,H373,I373)),IF(G373="Gamma",_xlfn.GAMMA.INV(J369,H373,I373),IF(G373="Normal",_xlfn.NORM.INV(J369,H373,I373),0)))))</f>
        <v>7.4482130748320543</v>
      </c>
      <c r="M373" s="31" t="s">
        <v>1085</v>
      </c>
      <c r="N373" s="177">
        <f>'Cost input'!O203</f>
        <v>1656.4876086956522</v>
      </c>
      <c r="O373" s="177">
        <f>'Cost input'!P203</f>
        <v>1010.4607110836495</v>
      </c>
      <c r="P373" s="177">
        <f>'Cost input'!Q203</f>
        <v>2302.5252268955255</v>
      </c>
      <c r="Q373" s="156">
        <f t="shared" si="237"/>
        <v>329.60829484996833</v>
      </c>
      <c r="R373" s="160" t="s">
        <v>575</v>
      </c>
      <c r="S373" s="162">
        <f t="shared" si="234"/>
        <v>25.25690425870587</v>
      </c>
      <c r="T373" s="162">
        <f t="shared" si="235"/>
        <v>65.585536205399094</v>
      </c>
      <c r="U373" s="70">
        <f ca="1">IF(Q373=0,N373,IF(R373="Beta",_xlfn.BETA.INV(U369,S373,T373),IF(R373="Lognormal",EXP(NORMINV(U369,S373,T373)),IF(R373="Gamma",_xlfn.GAMMA.INV(U369,S373,T373),IF(R373="Normal",_xlfn.NORM.INV(U369,S373,T373),0)))))</f>
        <v>1153.5062915625867</v>
      </c>
      <c r="AB373" s="67"/>
    </row>
    <row r="374" spans="2:28" x14ac:dyDescent="0.3">
      <c r="B374" s="31" t="s">
        <v>1086</v>
      </c>
      <c r="C374" s="177">
        <f>'Cost input'!O177</f>
        <v>7.1</v>
      </c>
      <c r="D374" s="177">
        <f>'Cost input'!P177</f>
        <v>5.3249999999999993</v>
      </c>
      <c r="E374" s="177">
        <f>'Cost input'!Q177</f>
        <v>8.875</v>
      </c>
      <c r="F374" s="156">
        <f t="shared" si="236"/>
        <v>0.90561224489795933</v>
      </c>
      <c r="G374" s="160" t="s">
        <v>575</v>
      </c>
      <c r="H374" s="162">
        <f t="shared" si="238"/>
        <v>61.465599999999974</v>
      </c>
      <c r="I374" s="162">
        <f t="shared" si="239"/>
        <v>0.11551176593086218</v>
      </c>
      <c r="J374" s="70">
        <f ca="1">IF(F374=0,C374,IF(G374="Beta",_xlfn.BETA.INV(J369,H374,I374),IF(G374="Lognormal",EXP(NORMINV(J369,H374,I374)),IF(G374="Gamma",_xlfn.GAMMA.INV(J369,H374,I374),IF(G374="Normal",_xlfn.NORM.INV(J369,H374,I374),0)))))</f>
        <v>7.4482130748320543</v>
      </c>
      <c r="M374" s="31" t="s">
        <v>1086</v>
      </c>
      <c r="N374" s="177">
        <f>'Cost input'!O204</f>
        <v>1656.4876086956522</v>
      </c>
      <c r="O374" s="177">
        <f>'Cost input'!P204</f>
        <v>1010.4607110836495</v>
      </c>
      <c r="P374" s="177">
        <f>'Cost input'!Q204</f>
        <v>2302.5252268955255</v>
      </c>
      <c r="Q374" s="156">
        <f t="shared" si="237"/>
        <v>329.60829484996833</v>
      </c>
      <c r="R374" s="160" t="s">
        <v>575</v>
      </c>
      <c r="S374" s="162">
        <f t="shared" si="234"/>
        <v>25.25690425870587</v>
      </c>
      <c r="T374" s="162">
        <f t="shared" si="235"/>
        <v>65.585536205399094</v>
      </c>
      <c r="U374" s="70">
        <f ca="1">IF(Q374=0,N374,IF(R374="Beta",_xlfn.BETA.INV(U369,S374,T374),IF(R374="Lognormal",EXP(NORMINV(U369,S374,T374)),IF(R374="Gamma",_xlfn.GAMMA.INV(U369,S374,T374),IF(R374="Normal",_xlfn.NORM.INV(U369,S374,T374),0)))))</f>
        <v>1153.5062915625867</v>
      </c>
    </row>
    <row r="375" spans="2:28" x14ac:dyDescent="0.3">
      <c r="B375" s="31" t="s">
        <v>1087</v>
      </c>
      <c r="C375" s="177">
        <f>'Cost input'!O178</f>
        <v>7.1</v>
      </c>
      <c r="D375" s="177">
        <f>'Cost input'!P178</f>
        <v>5.3249999999999993</v>
      </c>
      <c r="E375" s="177">
        <f>'Cost input'!Q178</f>
        <v>8.875</v>
      </c>
      <c r="F375" s="156">
        <f t="shared" si="236"/>
        <v>0.90561224489795933</v>
      </c>
      <c r="G375" s="160" t="s">
        <v>575</v>
      </c>
      <c r="H375" s="162">
        <f t="shared" si="238"/>
        <v>61.465599999999974</v>
      </c>
      <c r="I375" s="162">
        <f t="shared" si="239"/>
        <v>0.11551176593086218</v>
      </c>
      <c r="J375" s="70">
        <f ca="1">IF(F375=0,C375,IF(G375="Beta",_xlfn.BETA.INV(J369,H375,I375),IF(G375="Lognormal",EXP(NORMINV(J369,H375,I375)),IF(G375="Gamma",_xlfn.GAMMA.INV(J369,H375,I375),IF(G375="Normal",_xlfn.NORM.INV(J369,H375,I375),0)))))</f>
        <v>7.4482130748320543</v>
      </c>
      <c r="M375" s="31" t="s">
        <v>1087</v>
      </c>
      <c r="N375" s="177">
        <f>'Cost input'!O205</f>
        <v>1656.4876086956522</v>
      </c>
      <c r="O375" s="177">
        <f>'Cost input'!P205</f>
        <v>1010.4607110836495</v>
      </c>
      <c r="P375" s="177">
        <f>'Cost input'!Q205</f>
        <v>2302.5252268955255</v>
      </c>
      <c r="Q375" s="156">
        <f t="shared" si="237"/>
        <v>329.60829484996833</v>
      </c>
      <c r="R375" s="160" t="s">
        <v>575</v>
      </c>
      <c r="S375" s="162">
        <f t="shared" si="234"/>
        <v>25.25690425870587</v>
      </c>
      <c r="T375" s="162">
        <f t="shared" si="235"/>
        <v>65.585536205399094</v>
      </c>
      <c r="U375" s="70">
        <f ca="1">IF(Q375=0,N375,IF(R375="Beta",_xlfn.BETA.INV(U369,S375,T375),IF(R375="Lognormal",EXP(NORMINV(U369,S375,T375)),IF(R375="Gamma",_xlfn.GAMMA.INV(U369,S375,T375),IF(R375="Normal",_xlfn.NORM.INV(U369,S375,T375),0)))))</f>
        <v>1153.5062915625867</v>
      </c>
    </row>
    <row r="376" spans="2:28" x14ac:dyDescent="0.3">
      <c r="B376" s="31" t="s">
        <v>1443</v>
      </c>
      <c r="C376" s="177">
        <f>'Cost input'!O179</f>
        <v>7.1</v>
      </c>
      <c r="D376" s="177">
        <f>'Cost input'!P179</f>
        <v>5.3249999999999993</v>
      </c>
      <c r="E376" s="177">
        <f>'Cost input'!Q179</f>
        <v>8.875</v>
      </c>
      <c r="F376" s="156">
        <f t="shared" si="236"/>
        <v>0.90561224489795933</v>
      </c>
      <c r="G376" s="160" t="s">
        <v>575</v>
      </c>
      <c r="H376" s="162">
        <f t="shared" si="238"/>
        <v>61.465599999999974</v>
      </c>
      <c r="I376" s="162">
        <f t="shared" si="239"/>
        <v>0.11551176593086218</v>
      </c>
      <c r="J376" s="70">
        <f ca="1">IF(F376=0,C376,IF(G376="Beta",_xlfn.BETA.INV(J369,H376,I376),IF(G376="Lognormal",EXP(NORMINV(J369,H376,I376)),IF(G376="Gamma",_xlfn.GAMMA.INV(J369,H376,I376),IF(G376="Normal",_xlfn.NORM.INV(J369,H376,I376),0)))))</f>
        <v>7.4482130748320543</v>
      </c>
      <c r="M376" s="31" t="s">
        <v>1443</v>
      </c>
      <c r="N376" s="177">
        <f>'Cost input'!O206</f>
        <v>1656.4876086956522</v>
      </c>
      <c r="O376" s="177">
        <f>'Cost input'!P206</f>
        <v>1010.4607110836495</v>
      </c>
      <c r="P376" s="177">
        <f>'Cost input'!Q206</f>
        <v>2302.5252268955255</v>
      </c>
      <c r="Q376" s="156">
        <f t="shared" si="237"/>
        <v>329.60829484996833</v>
      </c>
      <c r="R376" s="160" t="s">
        <v>575</v>
      </c>
      <c r="S376" s="162">
        <f t="shared" si="234"/>
        <v>25.25690425870587</v>
      </c>
      <c r="T376" s="162">
        <f t="shared" si="235"/>
        <v>65.585536205399094</v>
      </c>
      <c r="U376" s="70">
        <f ca="1">IF(Q376=0,N376,IF(R376="Beta",_xlfn.BETA.INV(U369,S376,T376),IF(R376="Lognormal",EXP(NORMINV(U369,S376,T376)),IF(R376="Gamma",_xlfn.GAMMA.INV(U369,S376,T376),IF(R376="Normal",_xlfn.NORM.INV(U369,S376,T376),0)))))</f>
        <v>1153.5062915625867</v>
      </c>
    </row>
    <row r="377" spans="2:28" x14ac:dyDescent="0.3">
      <c r="B377" s="151" t="s">
        <v>227</v>
      </c>
      <c r="C377" s="162"/>
      <c r="D377" s="162"/>
      <c r="E377" s="162"/>
      <c r="F377" s="162"/>
      <c r="G377" s="162"/>
      <c r="H377" s="162"/>
      <c r="I377" s="162"/>
      <c r="J377" s="291">
        <f ca="1">RAND()</f>
        <v>0.32259271987382165</v>
      </c>
      <c r="M377" s="151" t="s">
        <v>227</v>
      </c>
      <c r="U377" s="291">
        <f ca="1">RAND()</f>
        <v>2.6971059398012254E-2</v>
      </c>
    </row>
    <row r="378" spans="2:28" x14ac:dyDescent="0.3">
      <c r="B378" s="31" t="s">
        <v>1437</v>
      </c>
      <c r="C378" s="177">
        <f>'Cost input'!O181</f>
        <v>7.9</v>
      </c>
      <c r="D378" s="177">
        <f>'Cost input'!P181</f>
        <v>5.9250000000000007</v>
      </c>
      <c r="E378" s="177">
        <f>'Cost input'!Q181</f>
        <v>9.875</v>
      </c>
      <c r="F378" s="156">
        <f t="shared" si="236"/>
        <v>1.0076530612244896</v>
      </c>
      <c r="G378" s="160" t="s">
        <v>575</v>
      </c>
      <c r="H378" s="162">
        <f t="shared" ref="H378:H379" si="240">IF(G378="Beta",C378*(C378*(1-C378)/(F378^2)-1),IF(G378="Lognormal",LN(C378^2/SQRT(F378^2+C378^2)),IF(G378="Gamma",C378^2/F378^2,IF(G378="Normal",C378,0))))</f>
        <v>61.46560000000003</v>
      </c>
      <c r="I378" s="162">
        <f t="shared" ref="I378:I379" si="241">IF(G378="Beta",C378*(1-C378)/(F378^2)-1-H378,IF(G378="Lognormal",SQRT(LN(1+F378^2/C378^2)),IF(G378="Gamma",F378^2/C378,IF(G378="Normal",F378,0))))</f>
        <v>0.12852717617659301</v>
      </c>
      <c r="J378" s="70">
        <f ca="1">IF(F378=0,C378,IF(G378="Beta",_xlfn.BETA.INV(J$293,H378,I378),IF(G378="Lognormal",EXP(NORMINV(J$293,H378,I378)),IF(G378="Gamma",_xlfn.GAMMA.INV(J$293,H378,I378),IF(G378="Normal",_xlfn.NORM.INV(J$293,H378,I378),0)))))</f>
        <v>9.7329572830384787</v>
      </c>
      <c r="M378" s="31" t="s">
        <v>227</v>
      </c>
      <c r="N378" s="177">
        <f>'Cost input'!O208</f>
        <v>1585.2458695652176</v>
      </c>
      <c r="O378" s="177">
        <f>'Cost input'!P208</f>
        <v>681.64383565547587</v>
      </c>
      <c r="P378" s="177">
        <f>'Cost input'!Q208</f>
        <v>2488.7926092537182</v>
      </c>
      <c r="Q378" s="156">
        <f t="shared" si="237"/>
        <v>461.00734020363325</v>
      </c>
      <c r="R378" s="160" t="s">
        <v>575</v>
      </c>
      <c r="S378" s="162">
        <f t="shared" ref="S378:S379" si="242">IF(R378="Beta",N378*(N378*(1-N378)/(Q378^2)-1),IF(R378="Lognormal",LN(N378^2/SQRT(Q378^2+N378^2)),IF(R378="Gamma",N378^2/Q378^2,IF(R378="Normal",N378,0))))</f>
        <v>11.824358265810931</v>
      </c>
      <c r="T378" s="162">
        <f t="shared" ref="T378:T379" si="243">IF(R378="Beta",N378*(1-N378)/(Q378^2)-1-S378,IF(R378="Lognormal",SQRT(LN(1+Q378^2/N378^2)),IF(R378="Gamma",Q378^2/N378,IF(R378="Normal",Q378,0))))</f>
        <v>134.0661229919609</v>
      </c>
      <c r="U378" s="70">
        <f ca="1">IF(Q378=0,N378,IF(R378="Beta",_xlfn.BETA.INV(U377,S378,T378),IF(R378="Lognormal",EXP(NORMINV(U377,S378,T378)),IF(R378="Gamma",_xlfn.GAMMA.INV(U377,S378,T378),IF(R378="Normal",_xlfn.NORM.INV(U377,S378,T378),0)))))</f>
        <v>824.05996772962521</v>
      </c>
    </row>
    <row r="379" spans="2:28" x14ac:dyDescent="0.3">
      <c r="B379" s="31" t="s">
        <v>1438</v>
      </c>
      <c r="C379" s="177">
        <f>'Cost input'!O182</f>
        <v>7.9</v>
      </c>
      <c r="D379" s="177">
        <f>'Cost input'!P182</f>
        <v>5.9250000000000007</v>
      </c>
      <c r="E379" s="177">
        <f>'Cost input'!Q182</f>
        <v>9.875</v>
      </c>
      <c r="F379" s="156">
        <f t="shared" si="236"/>
        <v>1.0076530612244896</v>
      </c>
      <c r="G379" s="160" t="s">
        <v>575</v>
      </c>
      <c r="H379" s="162">
        <f t="shared" si="240"/>
        <v>61.46560000000003</v>
      </c>
      <c r="I379" s="162">
        <f t="shared" si="241"/>
        <v>0.12852717617659301</v>
      </c>
      <c r="J379" s="70">
        <f ca="1">IF(F379=0,C379,IF(G379="Beta",_xlfn.BETA.INV(J$293,H379,I379),IF(G379="Lognormal",EXP(NORMINV(J$293,H379,I379)),IF(G379="Gamma",_xlfn.GAMMA.INV(J$293,H379,I379),IF(G379="Normal",_xlfn.NORM.INV(J$293,H379,I379),0)))))</f>
        <v>9.7329572830384787</v>
      </c>
      <c r="M379" s="31" t="s">
        <v>8</v>
      </c>
      <c r="N379" s="177">
        <f>'Cost input'!O209</f>
        <v>1585.2458695652176</v>
      </c>
      <c r="O379" s="177">
        <f>'Cost input'!P209</f>
        <v>681.64383565547587</v>
      </c>
      <c r="P379" s="177">
        <f>'Cost input'!Q209</f>
        <v>2488.7926092537182</v>
      </c>
      <c r="Q379" s="156">
        <f t="shared" si="237"/>
        <v>461.00734020363325</v>
      </c>
      <c r="R379" s="160" t="s">
        <v>575</v>
      </c>
      <c r="S379" s="162">
        <f t="shared" si="242"/>
        <v>11.824358265810931</v>
      </c>
      <c r="T379" s="162">
        <f t="shared" si="243"/>
        <v>134.0661229919609</v>
      </c>
      <c r="U379" s="70">
        <f ca="1">IF(Q379=0,N379,IF(R379="Beta",_xlfn.BETA.INV(U377,S379,T379),IF(R379="Lognormal",EXP(NORMINV(U377,S379,T379)),IF(R379="Gamma",_xlfn.GAMMA.INV(U377,S379,T379),IF(R379="Normal",_xlfn.NORM.INV(U377,S379,T379),0)))))</f>
        <v>824.05996772962521</v>
      </c>
    </row>
    <row r="380" spans="2:28" x14ac:dyDescent="0.3">
      <c r="B380" s="31" t="s">
        <v>1441</v>
      </c>
      <c r="C380" s="177">
        <f>'Cost input'!O183</f>
        <v>4.9000000000000004</v>
      </c>
      <c r="D380" s="177">
        <f>'Cost input'!P183</f>
        <v>3.6750000000000003</v>
      </c>
      <c r="E380" s="177">
        <f>'Cost input'!Q183</f>
        <v>6.125</v>
      </c>
      <c r="F380" s="156">
        <f t="shared" si="236"/>
        <v>0.62499999999999989</v>
      </c>
      <c r="G380" s="160" t="s">
        <v>575</v>
      </c>
      <c r="H380" s="162">
        <f t="shared" ref="H380:H381" si="244">IF(G380="Beta",C380*(C380*(1-C380)/(F380^2)-1),IF(G380="Lognormal",LN(C380^2/SQRT(F380^2+C380^2)),IF(G380="Gamma",C380^2/F380^2,IF(G380="Normal",C380,0))))</f>
        <v>61.46560000000003</v>
      </c>
      <c r="I380" s="162">
        <f t="shared" ref="I380:I381" si="245">IF(G380="Beta",C380*(1-C380)/(F380^2)-1-H380,IF(G380="Lognormal",SQRT(LN(1+F380^2/C380^2)),IF(G380="Gamma",F380^2/C380,IF(G380="Normal",F380,0))))</f>
        <v>7.9719387755102011E-2</v>
      </c>
      <c r="J380" s="70">
        <f t="shared" ref="J380:J384" ca="1" si="246">IF(F380=0,C380,IF(G380="Beta",_xlfn.BETA.INV(J$293,H380,I380),IF(G380="Lognormal",EXP(NORMINV(J$293,H380,I380)),IF(G380="Gamma",_xlfn.GAMMA.INV(J$293,H380,I380),IF(G380="Normal",_xlfn.NORM.INV(J$293,H380,I380),0)))))</f>
        <v>6.0368975553023487</v>
      </c>
      <c r="M380" s="31" t="s">
        <v>227</v>
      </c>
      <c r="N380" s="177">
        <f>'Cost input'!O210</f>
        <v>1754.2106521739129</v>
      </c>
      <c r="O380" s="177">
        <f>'Cost input'!P210</f>
        <v>929.70064019130496</v>
      </c>
      <c r="P380" s="177">
        <f>'Cost input'!Q210</f>
        <v>2578.6036624173912</v>
      </c>
      <c r="Q380" s="156">
        <f t="shared" si="237"/>
        <v>420.63852607808326</v>
      </c>
      <c r="R380" s="160" t="s">
        <v>575</v>
      </c>
      <c r="S380" s="162">
        <f t="shared" ref="S380:S381" si="247">IF(R380="Beta",N380*(N380*(1-N380)/(Q380^2)-1),IF(R380="Lognormal",LN(N380^2/SQRT(Q380^2+N380^2)),IF(R380="Gamma",N380^2/Q380^2,IF(R380="Normal",N380,0))))</f>
        <v>17.391834488611128</v>
      </c>
      <c r="T380" s="162">
        <f t="shared" ref="T380:T381" si="248">IF(R380="Beta",N380*(1-N380)/(Q380^2)-1-S380,IF(R380="Lognormal",SQRT(LN(1+Q380^2/N380^2)),IF(R380="Gamma",Q380^2/N380,IF(R380="Normal",Q380,0))))</f>
        <v>100.86403785193797</v>
      </c>
      <c r="U380" s="70">
        <f ca="1">IF(Q380=0,N380,IF(R380="Beta",_xlfn.BETA.INV(U377,S380,T380),IF(R380="Lognormal",EXP(NORMINV(U377,S380,T380)),IF(R380="Gamma",_xlfn.GAMMA.INV(U377,S380,T380),IF(R380="Normal",_xlfn.NORM.INV(U377,S380,T380),0)))))</f>
        <v>1038.6113795408251</v>
      </c>
    </row>
    <row r="381" spans="2:28" x14ac:dyDescent="0.3">
      <c r="B381" s="31" t="s">
        <v>1442</v>
      </c>
      <c r="C381" s="177">
        <f>'Cost input'!O184</f>
        <v>4.9000000000000004</v>
      </c>
      <c r="D381" s="177">
        <f>'Cost input'!P184</f>
        <v>3.6750000000000003</v>
      </c>
      <c r="E381" s="177">
        <f>'Cost input'!Q184</f>
        <v>6.125</v>
      </c>
      <c r="F381" s="156">
        <f t="shared" si="236"/>
        <v>0.62499999999999989</v>
      </c>
      <c r="G381" s="160" t="s">
        <v>575</v>
      </c>
      <c r="H381" s="162">
        <f t="shared" si="244"/>
        <v>61.46560000000003</v>
      </c>
      <c r="I381" s="162">
        <f t="shared" si="245"/>
        <v>7.9719387755102011E-2</v>
      </c>
      <c r="J381" s="70">
        <f t="shared" ca="1" si="246"/>
        <v>6.0368975553023487</v>
      </c>
      <c r="M381" s="31" t="s">
        <v>8</v>
      </c>
      <c r="N381" s="177">
        <f>'Cost input'!O211</f>
        <v>1754.2106521739129</v>
      </c>
      <c r="O381" s="177">
        <f>'Cost input'!P211</f>
        <v>929.70064019130496</v>
      </c>
      <c r="P381" s="177">
        <f>'Cost input'!Q211</f>
        <v>2578.6036624173912</v>
      </c>
      <c r="Q381" s="156">
        <f t="shared" si="237"/>
        <v>420.63852607808326</v>
      </c>
      <c r="R381" s="160" t="s">
        <v>575</v>
      </c>
      <c r="S381" s="162">
        <f t="shared" si="247"/>
        <v>17.391834488611128</v>
      </c>
      <c r="T381" s="162">
        <f t="shared" si="248"/>
        <v>100.86403785193797</v>
      </c>
      <c r="U381" s="70">
        <f ca="1">IF(Q381=0,N381,IF(R381="Beta",_xlfn.BETA.INV(U377,S381,T381),IF(R381="Lognormal",EXP(NORMINV(U377,S381,T381)),IF(R381="Gamma",_xlfn.GAMMA.INV(U377,S381,T381),IF(R381="Normal",_xlfn.NORM.INV(U377,S381,T381),0)))))</f>
        <v>1038.6113795408251</v>
      </c>
    </row>
    <row r="382" spans="2:28" x14ac:dyDescent="0.3">
      <c r="B382" s="151" t="s">
        <v>920</v>
      </c>
      <c r="C382" s="162"/>
      <c r="D382" s="162"/>
      <c r="E382" s="162"/>
      <c r="F382" s="162"/>
      <c r="G382" s="162"/>
      <c r="H382" s="162"/>
      <c r="I382" s="162"/>
      <c r="J382" s="291">
        <f ca="1">RAND()</f>
        <v>0.70915367640433657</v>
      </c>
      <c r="M382" s="151" t="s">
        <v>920</v>
      </c>
      <c r="U382" s="291">
        <f ca="1">RAND()</f>
        <v>0.74504588991229159</v>
      </c>
    </row>
    <row r="383" spans="2:28" x14ac:dyDescent="0.3">
      <c r="B383" s="31" t="s">
        <v>920</v>
      </c>
      <c r="C383" s="177">
        <f>'Cost input'!O186</f>
        <v>7</v>
      </c>
      <c r="D383" s="177">
        <f>'Cost input'!P186</f>
        <v>5.25</v>
      </c>
      <c r="E383" s="177">
        <f>'Cost input'!Q186</f>
        <v>8.75</v>
      </c>
      <c r="F383" s="156">
        <f t="shared" si="236"/>
        <v>0.8928571428571429</v>
      </c>
      <c r="G383" s="160" t="s">
        <v>575</v>
      </c>
      <c r="H383" s="162">
        <f t="shared" ref="H383:H384" si="249">IF(G383="Beta",C383*(C383*(1-C383)/(F383^2)-1),IF(G383="Lognormal",LN(C383^2/SQRT(F383^2+C383^2)),IF(G383="Gamma",C383^2/F383^2,IF(G383="Normal",C383,0))))</f>
        <v>61.465599999999995</v>
      </c>
      <c r="I383" s="162">
        <f t="shared" ref="I383:I384" si="250">IF(G383="Beta",C383*(1-C383)/(F383^2)-1-H383,IF(G383="Lognormal",SQRT(LN(1+F383^2/C383^2)),IF(G383="Gamma",F383^2/C383,IF(G383="Normal",F383,0))))</f>
        <v>0.11388483965014577</v>
      </c>
      <c r="J383" s="70">
        <f t="shared" ca="1" si="246"/>
        <v>8.6241393647176388</v>
      </c>
      <c r="M383" s="31" t="s">
        <v>920</v>
      </c>
      <c r="N383" s="177">
        <f>'Cost input'!O213</f>
        <v>1626.8426086956522</v>
      </c>
      <c r="O383" s="177">
        <f>'Cost input'!P213</f>
        <v>1041.1502699867015</v>
      </c>
      <c r="P383" s="177">
        <f>'Cost input'!Q213</f>
        <v>2212.4443237217392</v>
      </c>
      <c r="Q383" s="156">
        <f t="shared" si="237"/>
        <v>298.79950350383615</v>
      </c>
      <c r="R383" s="160" t="s">
        <v>575</v>
      </c>
      <c r="S383" s="162">
        <f t="shared" ref="S383:S384" si="251">IF(R383="Beta",N383*(N383*(1-N383)/(Q383^2)-1),IF(R383="Lognormal",LN(N383^2/SQRT(Q383^2+N383^2)),IF(R383="Gamma",N383^2/Q383^2,IF(R383="Normal",N383,0))))</f>
        <v>29.643626591432959</v>
      </c>
      <c r="T383" s="162">
        <f t="shared" ref="T383:T384" si="252">IF(R383="Beta",N383*(1-N383)/(Q383^2)-1-S383,IF(R383="Lognormal",SQRT(LN(1+Q383^2/N383^2)),IF(R383="Gamma",Q383^2/N383,IF(R383="Normal",Q383,0))))</f>
        <v>54.880012864748863</v>
      </c>
      <c r="U383" s="70">
        <f ca="1">IF(Q383=0,N383,IF(R383="Beta",_xlfn.BETA.INV(U382,S383,T383),IF(R383="Lognormal",EXP(NORMINV(U382,S383,T383)),IF(R383="Gamma",_xlfn.GAMMA.INV(U382,S383,T383),IF(R383="Normal",_xlfn.NORM.INV(U382,S383,T383),0)))))</f>
        <v>1812.2117084400215</v>
      </c>
    </row>
    <row r="384" spans="2:28" x14ac:dyDescent="0.3">
      <c r="B384" s="31" t="s">
        <v>980</v>
      </c>
      <c r="C384" s="177">
        <f>'Cost input'!O187</f>
        <v>7</v>
      </c>
      <c r="D384" s="177">
        <f>'Cost input'!P187</f>
        <v>5.25</v>
      </c>
      <c r="E384" s="177">
        <f>'Cost input'!Q187</f>
        <v>8.75</v>
      </c>
      <c r="F384" s="156">
        <f t="shared" si="236"/>
        <v>0.8928571428571429</v>
      </c>
      <c r="G384" s="160" t="s">
        <v>575</v>
      </c>
      <c r="H384" s="162">
        <f t="shared" si="249"/>
        <v>61.465599999999995</v>
      </c>
      <c r="I384" s="162">
        <f t="shared" si="250"/>
        <v>0.11388483965014577</v>
      </c>
      <c r="J384" s="70">
        <f t="shared" ca="1" si="246"/>
        <v>8.6241393647176388</v>
      </c>
      <c r="M384" s="31" t="s">
        <v>980</v>
      </c>
      <c r="N384" s="177">
        <f>'Cost input'!O214</f>
        <v>1626.8426086956522</v>
      </c>
      <c r="O384" s="177">
        <f>'Cost input'!P214</f>
        <v>1041.1502699867015</v>
      </c>
      <c r="P384" s="177">
        <f>'Cost input'!Q214</f>
        <v>2212.4443237217392</v>
      </c>
      <c r="Q384" s="156">
        <f t="shared" si="237"/>
        <v>298.79950350383615</v>
      </c>
      <c r="R384" s="160" t="s">
        <v>575</v>
      </c>
      <c r="S384" s="162">
        <f t="shared" si="251"/>
        <v>29.643626591432959</v>
      </c>
      <c r="T384" s="162">
        <f t="shared" si="252"/>
        <v>54.880012864748863</v>
      </c>
      <c r="U384" s="70">
        <f ca="1">IF(Q384=0,N384,IF(R384="Beta",_xlfn.BETA.INV(U382,S384,T384),IF(R384="Lognormal",EXP(NORMINV(U382,S384,T384)),IF(R384="Gamma",_xlfn.GAMMA.INV(U382,S384,T384),IF(R384="Normal",_xlfn.NORM.INV(U382,S384,T384),0)))))</f>
        <v>1812.2117084400215</v>
      </c>
    </row>
    <row r="385" spans="2:22" x14ac:dyDescent="0.3">
      <c r="B385" s="31"/>
      <c r="C385" s="178"/>
      <c r="D385" s="178"/>
      <c r="E385" s="178"/>
      <c r="F385" s="459"/>
      <c r="H385" s="141"/>
      <c r="I385" s="141"/>
      <c r="J385" s="194"/>
      <c r="M385" s="31"/>
      <c r="N385" s="178"/>
      <c r="O385" s="178"/>
      <c r="P385" s="178"/>
      <c r="Q385" s="459"/>
      <c r="S385" s="141"/>
      <c r="T385" s="141"/>
      <c r="U385" s="194"/>
    </row>
    <row r="386" spans="2:22" s="296" customFormat="1" ht="15" customHeight="1" x14ac:dyDescent="0.3">
      <c r="B386" s="294" t="s">
        <v>1536</v>
      </c>
      <c r="C386" s="305"/>
      <c r="D386" s="305"/>
      <c r="E386" s="305"/>
      <c r="F386" s="305"/>
      <c r="G386" s="305"/>
      <c r="M386" s="294" t="s">
        <v>1537</v>
      </c>
      <c r="N386" s="305"/>
      <c r="O386" s="305"/>
      <c r="P386" s="305"/>
      <c r="Q386" s="305"/>
      <c r="R386" s="305"/>
    </row>
    <row r="387" spans="2:22" s="296" customFormat="1" ht="15" customHeight="1" x14ac:dyDescent="0.3">
      <c r="B387" s="17" t="s">
        <v>950</v>
      </c>
      <c r="C387" s="152" t="s">
        <v>1477</v>
      </c>
      <c r="D387" s="152" t="s">
        <v>985</v>
      </c>
      <c r="E387" s="152" t="s">
        <v>986</v>
      </c>
      <c r="F387" s="73" t="s">
        <v>584</v>
      </c>
      <c r="G387" s="73" t="s">
        <v>569</v>
      </c>
      <c r="H387" s="73" t="s">
        <v>581</v>
      </c>
      <c r="I387" s="73" t="s">
        <v>582</v>
      </c>
      <c r="J387" s="73" t="s">
        <v>583</v>
      </c>
      <c r="M387" s="17" t="s">
        <v>950</v>
      </c>
      <c r="N387" s="152" t="s">
        <v>1477</v>
      </c>
      <c r="O387" s="152" t="s">
        <v>985</v>
      </c>
      <c r="P387" s="152" t="s">
        <v>986</v>
      </c>
      <c r="Q387" s="73" t="s">
        <v>584</v>
      </c>
      <c r="R387" s="73" t="s">
        <v>569</v>
      </c>
      <c r="S387" s="73" t="s">
        <v>581</v>
      </c>
      <c r="T387" s="73" t="s">
        <v>582</v>
      </c>
      <c r="U387" s="73" t="s">
        <v>583</v>
      </c>
    </row>
    <row r="388" spans="2:22" s="296" customFormat="1" ht="15" customHeight="1" x14ac:dyDescent="0.3">
      <c r="B388" s="315" t="s">
        <v>1445</v>
      </c>
      <c r="C388" s="306"/>
      <c r="D388" s="306"/>
      <c r="F388"/>
      <c r="G388"/>
      <c r="H388"/>
      <c r="I388"/>
      <c r="J388" s="291">
        <f ca="1">RAND()</f>
        <v>0.60564061704967642</v>
      </c>
      <c r="M388" s="315" t="s">
        <v>1445</v>
      </c>
      <c r="N388" s="306"/>
      <c r="O388" s="306"/>
      <c r="Q388"/>
      <c r="R388"/>
      <c r="S388"/>
      <c r="T388"/>
      <c r="U388" s="291">
        <f ca="1">RAND()</f>
        <v>0.24060729843736051</v>
      </c>
    </row>
    <row r="389" spans="2:22" s="296" customFormat="1" ht="15" customHeight="1" x14ac:dyDescent="0.3">
      <c r="B389" s="313" t="s">
        <v>2</v>
      </c>
      <c r="C389" s="177">
        <f>'Cost input'!O222</f>
        <v>32.621217391304349</v>
      </c>
      <c r="D389" s="177">
        <f>'Cost input'!P222</f>
        <v>21.208478260869569</v>
      </c>
      <c r="E389" s="177">
        <f>'Cost input'!Q222</f>
        <v>44.04567391304348</v>
      </c>
      <c r="F389" s="156">
        <f>(E389-D389)/(2*1.96)</f>
        <v>5.8258152173913036</v>
      </c>
      <c r="G389" s="161" t="s">
        <v>575</v>
      </c>
      <c r="H389" s="162">
        <f t="shared" ref="H389:H395" si="253">IF(G389="Beta",C389*(C389*(1-C389)/(F389^2)-1),IF(G389="Lognormal",LN(C389^2/SQRT(F389^2+C389^2)),IF(G389="Gamma",C389^2/F389^2,IF(G389="Normal",C389,0))))</f>
        <v>31.353564209139115</v>
      </c>
      <c r="I389" s="162">
        <f t="shared" ref="I389:I395" si="254">IF(G389="Beta",C389*(1-C389)/(F389^2)-1-H389,IF(G389="Lognormal",SQRT(LN(1+F389^2/C389^2)),IF(G389="Gamma",F389^2/C389,IF(G389="Normal",F389,0))))</f>
        <v>1.0404309115770556</v>
      </c>
      <c r="J389" s="70">
        <f ca="1">IF(F389=0,C389,IF(G389="Beta",_xlfn.BETA.INV(J388,H389,I389),IF(G389="Lognormal",EXP(NORMINV(J388,H389,I389)),IF(G389="Gamma",_xlfn.GAMMA.INV(J388,H389,I389),IF(G389="Normal",_xlfn.NORM.INV(J388,H389,I389),0)))))</f>
        <v>33.85152517087468</v>
      </c>
      <c r="K389">
        <f>(E389+D389)/2</f>
        <v>32.627076086956521</v>
      </c>
      <c r="M389" s="313" t="s">
        <v>2</v>
      </c>
      <c r="N389" s="177">
        <f>'Cost input'!O277</f>
        <v>32.621217391304349</v>
      </c>
      <c r="O389" s="177">
        <f>'Cost input'!P277</f>
        <v>21.208478260869569</v>
      </c>
      <c r="P389" s="177">
        <f>'Cost input'!Q277</f>
        <v>44.04567391304348</v>
      </c>
      <c r="Q389" s="156">
        <f>(P389-O389)/(2*1.96)</f>
        <v>5.8258152173913036</v>
      </c>
      <c r="R389" s="161" t="s">
        <v>575</v>
      </c>
      <c r="S389" s="162">
        <f t="shared" ref="S389:S395" si="255">IF(R389="Beta",N389*(N389*(1-N389)/(Q389^2)-1),IF(R389="Lognormal",LN(N389^2/SQRT(Q389^2+N389^2)),IF(R389="Gamma",N389^2/Q389^2,IF(R389="Normal",N389,0))))</f>
        <v>31.353564209139115</v>
      </c>
      <c r="T389" s="162">
        <f t="shared" ref="T389:T395" si="256">IF(R389="Beta",N389*(1-N389)/(Q389^2)-1-S389,IF(R389="Lognormal",SQRT(LN(1+Q389^2/N389^2)),IF(R389="Gamma",Q389^2/N389,IF(R389="Normal",Q389,0))))</f>
        <v>1.0404309115770556</v>
      </c>
      <c r="U389" s="70">
        <f ca="1">IF(Q389=0,N389,IF(R389="Beta",_xlfn.BETA.INV(U388,S389,T389),IF(R389="Lognormal",EXP(NORMINV(U388,S389,T389)),IF(R389="Gamma",_xlfn.GAMMA.INV(U388,S389,T389),IF(R389="Normal",_xlfn.NORM.INV(U388,S389,T389),0)))))</f>
        <v>28.367212351562717</v>
      </c>
      <c r="V389">
        <f>(P389+O389)/2</f>
        <v>32.627076086956521</v>
      </c>
    </row>
    <row r="390" spans="2:22" s="296" customFormat="1" ht="15" customHeight="1" x14ac:dyDescent="0.3">
      <c r="B390" s="313" t="s">
        <v>3</v>
      </c>
      <c r="C390" s="177">
        <f>'Cost input'!O223</f>
        <v>32.621217391304349</v>
      </c>
      <c r="D390" s="177">
        <f>'Cost input'!P223</f>
        <v>21.208478260869569</v>
      </c>
      <c r="E390" s="177">
        <f>'Cost input'!Q223</f>
        <v>44.04567391304348</v>
      </c>
      <c r="F390" s="156">
        <f t="shared" ref="F390:F411" si="257">(E390-D390)/(2*1.96)</f>
        <v>5.8258152173913036</v>
      </c>
      <c r="G390" s="161" t="s">
        <v>575</v>
      </c>
      <c r="H390" s="162">
        <f t="shared" si="253"/>
        <v>31.353564209139115</v>
      </c>
      <c r="I390" s="162">
        <f t="shared" si="254"/>
        <v>1.0404309115770556</v>
      </c>
      <c r="J390" s="70">
        <f ca="1">IF(F390=0,C390,IF(G390="Beta",_xlfn.BETA.INV(J388,H390,I390),IF(G390="Lognormal",EXP(NORMINV(J388,H390,I390)),IF(G390="Gamma",_xlfn.GAMMA.INV(J388,H390,I390),IF(G390="Normal",_xlfn.NORM.INV(J388,H390,I390),0)))))</f>
        <v>33.85152517087468</v>
      </c>
      <c r="M390" s="313" t="s">
        <v>3</v>
      </c>
      <c r="N390" s="177">
        <f>'Cost input'!O278</f>
        <v>32.621217391304349</v>
      </c>
      <c r="O390" s="177">
        <f>'Cost input'!P278</f>
        <v>21.208478260869569</v>
      </c>
      <c r="P390" s="177">
        <f>'Cost input'!Q278</f>
        <v>44.04567391304348</v>
      </c>
      <c r="Q390" s="156">
        <f t="shared" ref="Q390:Q395" si="258">(P390-O390)/(2*1.96)</f>
        <v>5.8258152173913036</v>
      </c>
      <c r="R390" s="161" t="s">
        <v>575</v>
      </c>
      <c r="S390" s="162">
        <f t="shared" si="255"/>
        <v>31.353564209139115</v>
      </c>
      <c r="T390" s="162">
        <f t="shared" si="256"/>
        <v>1.0404309115770556</v>
      </c>
      <c r="U390" s="70">
        <f ca="1">IF(Q390=0,N390,IF(R390="Beta",_xlfn.BETA.INV(U388,S390,T390),IF(R390="Lognormal",EXP(NORMINV(U388,S390,T390)),IF(R390="Gamma",_xlfn.GAMMA.INV(U388,S390,T390),IF(R390="Normal",_xlfn.NORM.INV(U388,S390,T390),0)))))</f>
        <v>28.367212351562717</v>
      </c>
    </row>
    <row r="391" spans="2:22" s="296" customFormat="1" ht="15" customHeight="1" x14ac:dyDescent="0.3">
      <c r="B391" s="313" t="s">
        <v>4</v>
      </c>
      <c r="C391" s="177">
        <f>'Cost input'!O224</f>
        <v>32.621217391304349</v>
      </c>
      <c r="D391" s="177">
        <f>'Cost input'!P224</f>
        <v>21.208478260869569</v>
      </c>
      <c r="E391" s="177">
        <f>'Cost input'!Q224</f>
        <v>44.04567391304348</v>
      </c>
      <c r="F391" s="156">
        <f t="shared" si="257"/>
        <v>5.8258152173913036</v>
      </c>
      <c r="G391" s="161" t="s">
        <v>575</v>
      </c>
      <c r="H391" s="162">
        <f t="shared" si="253"/>
        <v>31.353564209139115</v>
      </c>
      <c r="I391" s="162">
        <f t="shared" si="254"/>
        <v>1.0404309115770556</v>
      </c>
      <c r="J391" s="70">
        <f ca="1">IF(F391=0,C391,IF(G391="Beta",_xlfn.BETA.INV(J388,H391,I391),IF(G391="Lognormal",EXP(NORMINV(J388,H391,I391)),IF(G391="Gamma",_xlfn.GAMMA.INV(J388,H391,I391),IF(G391="Normal",_xlfn.NORM.INV(J388,H391,I391),0)))))</f>
        <v>33.85152517087468</v>
      </c>
      <c r="M391" s="313" t="s">
        <v>4</v>
      </c>
      <c r="N391" s="177">
        <f>'Cost input'!O279</f>
        <v>32.621217391304349</v>
      </c>
      <c r="O391" s="177">
        <f>'Cost input'!P279</f>
        <v>21.208478260869569</v>
      </c>
      <c r="P391" s="177">
        <f>'Cost input'!Q279</f>
        <v>44.04567391304348</v>
      </c>
      <c r="Q391" s="156">
        <f t="shared" si="258"/>
        <v>5.8258152173913036</v>
      </c>
      <c r="R391" s="161" t="s">
        <v>575</v>
      </c>
      <c r="S391" s="162">
        <f t="shared" si="255"/>
        <v>31.353564209139115</v>
      </c>
      <c r="T391" s="162">
        <f t="shared" si="256"/>
        <v>1.0404309115770556</v>
      </c>
      <c r="U391" s="70">
        <f ca="1">IF(Q391=0,N391,IF(R391="Beta",_xlfn.BETA.INV(U388,S391,T391),IF(R391="Lognormal",EXP(NORMINV(U388,S391,T391)),IF(R391="Gamma",_xlfn.GAMMA.INV(U388,S391,T391),IF(R391="Normal",_xlfn.NORM.INV(U388,S391,T391),0)))))</f>
        <v>28.367212351562717</v>
      </c>
    </row>
    <row r="392" spans="2:22" s="296" customFormat="1" ht="15" customHeight="1" x14ac:dyDescent="0.3">
      <c r="B392" s="313" t="s">
        <v>5</v>
      </c>
      <c r="C392" s="177">
        <f>'Cost input'!O225</f>
        <v>32.832130434782606</v>
      </c>
      <c r="D392" s="177">
        <f>'Cost input'!P225</f>
        <v>19.404</v>
      </c>
      <c r="E392" s="177">
        <f>'Cost input'!Q225</f>
        <v>46.365717391304351</v>
      </c>
      <c r="F392" s="156">
        <f t="shared" si="257"/>
        <v>6.8779891304347833</v>
      </c>
      <c r="G392" s="161" t="s">
        <v>575</v>
      </c>
      <c r="H392" s="162">
        <f t="shared" si="253"/>
        <v>22.786370709634202</v>
      </c>
      <c r="I392" s="162">
        <f t="shared" si="254"/>
        <v>1.4408670364035201</v>
      </c>
      <c r="J392" s="70">
        <f ca="1">IF(F392=0,C392,IF(G392="Beta",_xlfn.BETA.INV(J388,H392,I392),IF(G392="Lognormal",EXP(NORMINV(J388,H392,I392)),IF(G392="Gamma",_xlfn.GAMMA.INV(J388,H392,I392),IF(G392="Normal",_xlfn.NORM.INV(J388,H392,I392),0)))))</f>
        <v>34.215082035350122</v>
      </c>
      <c r="M392" s="313" t="s">
        <v>5</v>
      </c>
      <c r="N392" s="177">
        <f>'Cost input'!O280</f>
        <v>32.832130434782606</v>
      </c>
      <c r="O392" s="177">
        <f>'Cost input'!P280</f>
        <v>19.404</v>
      </c>
      <c r="P392" s="177">
        <f>'Cost input'!Q280</f>
        <v>46.365717391304351</v>
      </c>
      <c r="Q392" s="156">
        <f t="shared" si="258"/>
        <v>6.8779891304347833</v>
      </c>
      <c r="R392" s="161" t="s">
        <v>575</v>
      </c>
      <c r="S392" s="162">
        <f t="shared" si="255"/>
        <v>22.786370709634202</v>
      </c>
      <c r="T392" s="162">
        <f t="shared" si="256"/>
        <v>1.4408670364035201</v>
      </c>
      <c r="U392" s="70">
        <f ca="1">IF(Q392=0,N392,IF(R392="Beta",_xlfn.BETA.INV(U388,S392,T392),IF(R392="Lognormal",EXP(NORMINV(U388,S392,T392)),IF(R392="Gamma",_xlfn.GAMMA.INV(U388,S392,T392),IF(R392="Normal",_xlfn.NORM.INV(U388,S392,T392),0)))))</f>
        <v>27.785018120945519</v>
      </c>
    </row>
    <row r="393" spans="2:22" s="296" customFormat="1" ht="15" customHeight="1" x14ac:dyDescent="0.3">
      <c r="B393" s="313" t="s">
        <v>6</v>
      </c>
      <c r="C393" s="177">
        <f>'Cost input'!O226</f>
        <v>32.832130434782606</v>
      </c>
      <c r="D393" s="177">
        <f>'Cost input'!P226</f>
        <v>19.404</v>
      </c>
      <c r="E393" s="177">
        <f>'Cost input'!Q226</f>
        <v>46.365717391304351</v>
      </c>
      <c r="F393" s="156">
        <f t="shared" si="257"/>
        <v>6.8779891304347833</v>
      </c>
      <c r="G393" s="161" t="s">
        <v>575</v>
      </c>
      <c r="H393" s="162">
        <f t="shared" si="253"/>
        <v>22.786370709634202</v>
      </c>
      <c r="I393" s="162">
        <f t="shared" si="254"/>
        <v>1.4408670364035201</v>
      </c>
      <c r="J393" s="70">
        <f ca="1">IF(F393=0,C393,IF(G393="Beta",_xlfn.BETA.INV(J388,H393,I393),IF(G393="Lognormal",EXP(NORMINV(J388,H393,I393)),IF(G393="Gamma",_xlfn.GAMMA.INV(J388,H393,I393),IF(G393="Normal",_xlfn.NORM.INV(J388,H393,I393),0)))))</f>
        <v>34.215082035350122</v>
      </c>
      <c r="M393" s="313" t="s">
        <v>6</v>
      </c>
      <c r="N393" s="177">
        <f>'Cost input'!O281</f>
        <v>32.832130434782606</v>
      </c>
      <c r="O393" s="177">
        <f>'Cost input'!P281</f>
        <v>19.404</v>
      </c>
      <c r="P393" s="177">
        <f>'Cost input'!Q281</f>
        <v>46.365717391304351</v>
      </c>
      <c r="Q393" s="156">
        <f t="shared" si="258"/>
        <v>6.8779891304347833</v>
      </c>
      <c r="R393" s="161" t="s">
        <v>575</v>
      </c>
      <c r="S393" s="162">
        <f t="shared" si="255"/>
        <v>22.786370709634202</v>
      </c>
      <c r="T393" s="162">
        <f t="shared" si="256"/>
        <v>1.4408670364035201</v>
      </c>
      <c r="U393" s="70">
        <f ca="1">IF(Q393=0,N393,IF(R393="Beta",_xlfn.BETA.INV(U388,S393,T393),IF(R393="Lognormal",EXP(NORMINV(U388,S393,T393)),IF(R393="Gamma",_xlfn.GAMMA.INV(U388,S393,T393),IF(R393="Normal",_xlfn.NORM.INV(U388,S393,T393),0)))))</f>
        <v>27.785018120945519</v>
      </c>
    </row>
    <row r="394" spans="2:22" s="296" customFormat="1" ht="15" customHeight="1" x14ac:dyDescent="0.3">
      <c r="B394" s="313" t="s">
        <v>7</v>
      </c>
      <c r="C394" s="177">
        <f>'Cost input'!O227</f>
        <v>32.832130434782606</v>
      </c>
      <c r="D394" s="177">
        <f>'Cost input'!P227</f>
        <v>19.404</v>
      </c>
      <c r="E394" s="177">
        <f>'Cost input'!Q227</f>
        <v>46.365717391304351</v>
      </c>
      <c r="F394" s="156">
        <f t="shared" si="257"/>
        <v>6.8779891304347833</v>
      </c>
      <c r="G394" s="161" t="s">
        <v>575</v>
      </c>
      <c r="H394" s="162">
        <f t="shared" si="253"/>
        <v>22.786370709634202</v>
      </c>
      <c r="I394" s="162">
        <f t="shared" si="254"/>
        <v>1.4408670364035201</v>
      </c>
      <c r="J394" s="70">
        <f ca="1">IF(F394=0,C394,IF(G394="Beta",_xlfn.BETA.INV(J388,H394,I394),IF(G394="Lognormal",EXP(NORMINV(J388,H394,I394)),IF(G394="Gamma",_xlfn.GAMMA.INV(J388,H394,I394),IF(G394="Normal",_xlfn.NORM.INV(J388,H394,I394),0)))))</f>
        <v>34.215082035350122</v>
      </c>
      <c r="M394" s="313" t="s">
        <v>7</v>
      </c>
      <c r="N394" s="177">
        <f>'Cost input'!O282</f>
        <v>32.832130434782606</v>
      </c>
      <c r="O394" s="177">
        <f>'Cost input'!P282</f>
        <v>19.404</v>
      </c>
      <c r="P394" s="177">
        <f>'Cost input'!Q282</f>
        <v>46.365717391304351</v>
      </c>
      <c r="Q394" s="156">
        <f t="shared" si="258"/>
        <v>6.8779891304347833</v>
      </c>
      <c r="R394" s="161" t="s">
        <v>575</v>
      </c>
      <c r="S394" s="162">
        <f t="shared" si="255"/>
        <v>22.786370709634202</v>
      </c>
      <c r="T394" s="162">
        <f t="shared" si="256"/>
        <v>1.4408670364035201</v>
      </c>
      <c r="U394" s="70">
        <f ca="1">IF(Q394=0,N394,IF(R394="Beta",_xlfn.BETA.INV(U388,S394,T394),IF(R394="Lognormal",EXP(NORMINV(U388,S394,T394)),IF(R394="Gamma",_xlfn.GAMMA.INV(U388,S394,T394),IF(R394="Normal",_xlfn.NORM.INV(U388,S394,T394),0)))))</f>
        <v>27.785018120945519</v>
      </c>
    </row>
    <row r="395" spans="2:22" s="296" customFormat="1" ht="15" customHeight="1" x14ac:dyDescent="0.3">
      <c r="B395" s="313" t="s">
        <v>11</v>
      </c>
      <c r="C395" s="177">
        <f>'Cost input'!O228</f>
        <v>32.843847826086964</v>
      </c>
      <c r="D395" s="177">
        <f>'Cost input'!P228</f>
        <v>20.364826086956526</v>
      </c>
      <c r="E395" s="177">
        <f>'Cost input'!Q228</f>
        <v>45.322869565217395</v>
      </c>
      <c r="F395" s="156">
        <f t="shared" si="257"/>
        <v>6.3668478260869561</v>
      </c>
      <c r="G395" s="161" t="s">
        <v>575</v>
      </c>
      <c r="H395" s="162">
        <f t="shared" si="253"/>
        <v>26.610873022901117</v>
      </c>
      <c r="I395" s="162">
        <f t="shared" si="254"/>
        <v>1.234226618488683</v>
      </c>
      <c r="J395" s="70">
        <f ca="1">IF(F395=0,C395,IF(G395="Beta",_xlfn.BETA.INV(J388,H395,I395),IF(G395="Lognormal",EXP(NORMINV(J388,H395,I395)),IF(G395="Gamma",_xlfn.GAMMA.INV(J388,H395,I395),IF(G395="Normal",_xlfn.NORM.INV(J388,H395,I395),0)))))</f>
        <v>34.156670894585453</v>
      </c>
      <c r="M395" s="313" t="s">
        <v>11</v>
      </c>
      <c r="N395" s="177">
        <f>'Cost input'!O283</f>
        <v>32.843847826086964</v>
      </c>
      <c r="O395" s="177">
        <f>'Cost input'!P283</f>
        <v>20.364826086956526</v>
      </c>
      <c r="P395" s="177">
        <f>'Cost input'!Q283</f>
        <v>45.322869565217395</v>
      </c>
      <c r="Q395" s="156">
        <f t="shared" si="258"/>
        <v>6.3668478260869561</v>
      </c>
      <c r="R395" s="161" t="s">
        <v>575</v>
      </c>
      <c r="S395" s="162">
        <f t="shared" si="255"/>
        <v>26.610873022901117</v>
      </c>
      <c r="T395" s="162">
        <f t="shared" si="256"/>
        <v>1.234226618488683</v>
      </c>
      <c r="U395" s="70">
        <f ca="1">IF(Q395=0,N395,IF(R395="Beta",_xlfn.BETA.INV(U388,S395,T395),IF(R395="Lognormal",EXP(NORMINV(U388,S395,T395)),IF(R395="Gamma",_xlfn.GAMMA.INV(U388,S395,T395),IF(R395="Normal",_xlfn.NORM.INV(U388,S395,T395),0)))))</f>
        <v>28.183228629693343</v>
      </c>
    </row>
    <row r="396" spans="2:22" s="296" customFormat="1" x14ac:dyDescent="0.3">
      <c r="B396" s="315" t="s">
        <v>1444</v>
      </c>
      <c r="C396" s="141"/>
      <c r="D396" s="141"/>
      <c r="E396" s="141"/>
      <c r="F396" s="141"/>
      <c r="G396"/>
      <c r="H396" s="141"/>
      <c r="I396" s="141"/>
      <c r="J396" s="291">
        <f ca="1">RAND()</f>
        <v>0.3469415456272984</v>
      </c>
      <c r="M396" s="315" t="s">
        <v>1444</v>
      </c>
      <c r="N396" s="141"/>
      <c r="O396" s="141"/>
      <c r="P396" s="141"/>
      <c r="Q396" s="141"/>
      <c r="R396"/>
      <c r="S396" s="141"/>
      <c r="T396" s="141"/>
      <c r="U396" s="291">
        <f ca="1">RAND()</f>
        <v>0.28100743177013943</v>
      </c>
    </row>
    <row r="397" spans="2:22" s="296" customFormat="1" x14ac:dyDescent="0.3">
      <c r="B397" s="313" t="s">
        <v>2</v>
      </c>
      <c r="C397" s="177">
        <f>'Cost input'!O230</f>
        <v>33.089913043478262</v>
      </c>
      <c r="D397" s="177">
        <f>'Cost input'!P230</f>
        <v>20.187913280652175</v>
      </c>
      <c r="E397" s="177">
        <f>'Cost input'!Q230</f>
        <v>46.001966328043487</v>
      </c>
      <c r="F397" s="156">
        <f t="shared" si="257"/>
        <v>6.5852176141304364</v>
      </c>
      <c r="G397" s="161" t="s">
        <v>575</v>
      </c>
      <c r="H397" s="162">
        <f t="shared" ref="H397:H403" si="259">IF(G397="Beta",C397*(C397*(1-C397)/(F397^2)-1),IF(G397="Lognormal",LN(C397^2/SQRT(F397^2+C397^2)),IF(G397="Gamma",C397^2/F397^2,IF(G397="Normal",C397,0))))</f>
        <v>25.249395754346757</v>
      </c>
      <c r="I397" s="162">
        <f t="shared" ref="I397:I403" si="260">IF(G397="Beta",C397*(1-C397)/(F397^2)-1-H397,IF(G397="Lognormal",SQRT(LN(1+F397^2/C397^2)),IF(G397="Gamma",F397^2/C397,IF(G397="Normal",F397,0))))</f>
        <v>1.3105229671795902</v>
      </c>
      <c r="J397" s="70">
        <f ca="1">IF(F397=0,C397,IF(G397="Beta",_xlfn.BETA.INV(J396,H397,I397),IF(G397="Lognormal",EXP(NORMINV(J396,H397,I397)),IF(G397="Gamma",_xlfn.GAMMA.INV(J396,H397,I397),IF(G397="Normal",_xlfn.NORM.INV(J396,H397,I397),0)))))</f>
        <v>30.149386408778881</v>
      </c>
      <c r="M397" s="313" t="s">
        <v>2</v>
      </c>
      <c r="N397" s="177">
        <f>'Cost input'!O285</f>
        <v>33.089913043478262</v>
      </c>
      <c r="O397" s="177">
        <f>'Cost input'!P285</f>
        <v>20.187913280652175</v>
      </c>
      <c r="P397" s="177">
        <f>'Cost input'!Q285</f>
        <v>46.001966328043487</v>
      </c>
      <c r="Q397" s="156">
        <f t="shared" ref="Q397:Q403" si="261">(P397-O397)/(2*1.96)</f>
        <v>6.5852176141304364</v>
      </c>
      <c r="R397" s="161" t="s">
        <v>575</v>
      </c>
      <c r="S397" s="162">
        <f t="shared" ref="S397:S403" si="262">IF(R397="Beta",N397*(N397*(1-N397)/(Q397^2)-1),IF(R397="Lognormal",LN(N397^2/SQRT(Q397^2+N397^2)),IF(R397="Gamma",N397^2/Q397^2,IF(R397="Normal",N397,0))))</f>
        <v>25.249395754346757</v>
      </c>
      <c r="T397" s="162">
        <f t="shared" ref="T397:T403" si="263">IF(R397="Beta",N397*(1-N397)/(Q397^2)-1-S397,IF(R397="Lognormal",SQRT(LN(1+Q397^2/N397^2)),IF(R397="Gamma",Q397^2/N397,IF(R397="Normal",Q397,0))))</f>
        <v>1.3105229671795902</v>
      </c>
      <c r="U397" s="70">
        <f ca="1">IF(Q397=0,N397,IF(R397="Beta",_xlfn.BETA.INV(U396,S397,T397),IF(R397="Lognormal",EXP(NORMINV(U396,S397,T397)),IF(R397="Gamma",_xlfn.GAMMA.INV(U396,S397,T397),IF(R397="Normal",_xlfn.NORM.INV(U396,S397,T397),0)))))</f>
        <v>29.010412732388012</v>
      </c>
    </row>
    <row r="398" spans="2:22" s="296" customFormat="1" x14ac:dyDescent="0.3">
      <c r="B398" s="313" t="s">
        <v>3</v>
      </c>
      <c r="C398" s="177">
        <f>'Cost input'!O231</f>
        <v>33.089913043478262</v>
      </c>
      <c r="D398" s="177">
        <f>'Cost input'!P231</f>
        <v>20.187913280652175</v>
      </c>
      <c r="E398" s="177">
        <f>'Cost input'!Q231</f>
        <v>46.001966328043487</v>
      </c>
      <c r="F398" s="156">
        <f t="shared" si="257"/>
        <v>6.5852176141304364</v>
      </c>
      <c r="G398" s="161" t="s">
        <v>575</v>
      </c>
      <c r="H398" s="162">
        <f t="shared" si="259"/>
        <v>25.249395754346757</v>
      </c>
      <c r="I398" s="162">
        <f t="shared" si="260"/>
        <v>1.3105229671795902</v>
      </c>
      <c r="J398" s="70">
        <f ca="1">IF(F398=0,C398,IF(G398="Beta",_xlfn.BETA.INV(J396,H398,I398),IF(G398="Lognormal",EXP(NORMINV(J396,H398,I398)),IF(G398="Gamma",_xlfn.GAMMA.INV(J396,H398,I398),IF(G398="Normal",_xlfn.NORM.INV(J396,H398,I398),0)))))</f>
        <v>30.149386408778881</v>
      </c>
      <c r="M398" s="313" t="s">
        <v>3</v>
      </c>
      <c r="N398" s="177">
        <f>'Cost input'!O286</f>
        <v>33.089913043478262</v>
      </c>
      <c r="O398" s="177">
        <f>'Cost input'!P286</f>
        <v>20.187913280652175</v>
      </c>
      <c r="P398" s="177">
        <f>'Cost input'!Q286</f>
        <v>46.001966328043487</v>
      </c>
      <c r="Q398" s="156">
        <f t="shared" si="261"/>
        <v>6.5852176141304364</v>
      </c>
      <c r="R398" s="161" t="s">
        <v>575</v>
      </c>
      <c r="S398" s="162">
        <f t="shared" si="262"/>
        <v>25.249395754346757</v>
      </c>
      <c r="T398" s="162">
        <f t="shared" si="263"/>
        <v>1.3105229671795902</v>
      </c>
      <c r="U398" s="70">
        <f ca="1">IF(Q398=0,N398,IF(R398="Beta",_xlfn.BETA.INV(U396,S398,T398),IF(R398="Lognormal",EXP(NORMINV(U396,S398,T398)),IF(R398="Gamma",_xlfn.GAMMA.INV(U396,S398,T398),IF(R398="Normal",_xlfn.NORM.INV(U396,S398,T398),0)))))</f>
        <v>29.010412732388012</v>
      </c>
    </row>
    <row r="399" spans="2:22" s="296" customFormat="1" x14ac:dyDescent="0.3">
      <c r="B399" s="313" t="s">
        <v>4</v>
      </c>
      <c r="C399" s="177">
        <f>'Cost input'!O232</f>
        <v>33.089913043478262</v>
      </c>
      <c r="D399" s="177">
        <f>'Cost input'!P232</f>
        <v>20.187913280652175</v>
      </c>
      <c r="E399" s="177">
        <f>'Cost input'!Q232</f>
        <v>46.001966328043487</v>
      </c>
      <c r="F399" s="156">
        <f t="shared" si="257"/>
        <v>6.5852176141304364</v>
      </c>
      <c r="G399" s="161" t="s">
        <v>575</v>
      </c>
      <c r="H399" s="162">
        <f t="shared" si="259"/>
        <v>25.249395754346757</v>
      </c>
      <c r="I399" s="162">
        <f t="shared" si="260"/>
        <v>1.3105229671795902</v>
      </c>
      <c r="J399" s="70">
        <f ca="1">IF(F399=0,C399,IF(G399="Beta",_xlfn.BETA.INV(J396,H399,I399),IF(G399="Lognormal",EXP(NORMINV(J396,H399,I399)),IF(G399="Gamma",_xlfn.GAMMA.INV(J396,H399,I399),IF(G399="Normal",_xlfn.NORM.INV(J396,H399,I399),0)))))</f>
        <v>30.149386408778881</v>
      </c>
      <c r="M399" s="313" t="s">
        <v>4</v>
      </c>
      <c r="N399" s="177">
        <f>'Cost input'!O287</f>
        <v>33.089913043478262</v>
      </c>
      <c r="O399" s="177">
        <f>'Cost input'!P287</f>
        <v>20.187913280652175</v>
      </c>
      <c r="P399" s="177">
        <f>'Cost input'!Q287</f>
        <v>46.001966328043487</v>
      </c>
      <c r="Q399" s="156">
        <f t="shared" si="261"/>
        <v>6.5852176141304364</v>
      </c>
      <c r="R399" s="161" t="s">
        <v>575</v>
      </c>
      <c r="S399" s="162">
        <f t="shared" si="262"/>
        <v>25.249395754346757</v>
      </c>
      <c r="T399" s="162">
        <f t="shared" si="263"/>
        <v>1.3105229671795902</v>
      </c>
      <c r="U399" s="70">
        <f ca="1">IF(Q399=0,N399,IF(R399="Beta",_xlfn.BETA.INV(U396,S399,T399),IF(R399="Lognormal",EXP(NORMINV(U396,S399,T399)),IF(R399="Gamma",_xlfn.GAMMA.INV(U396,S399,T399),IF(R399="Normal",_xlfn.NORM.INV(U396,S399,T399),0)))))</f>
        <v>29.010412732388012</v>
      </c>
    </row>
    <row r="400" spans="2:22" s="296" customFormat="1" x14ac:dyDescent="0.3">
      <c r="B400" s="313" t="s">
        <v>5</v>
      </c>
      <c r="C400" s="177">
        <f>'Cost input'!O233</f>
        <v>33.089913043478262</v>
      </c>
      <c r="D400" s="177">
        <f>'Cost input'!P233</f>
        <v>20.187913280652175</v>
      </c>
      <c r="E400" s="177">
        <f>'Cost input'!Q233</f>
        <v>46.001966328043487</v>
      </c>
      <c r="F400" s="156">
        <f t="shared" si="257"/>
        <v>6.5852176141304364</v>
      </c>
      <c r="G400" s="161" t="s">
        <v>575</v>
      </c>
      <c r="H400" s="162">
        <f t="shared" si="259"/>
        <v>25.249395754346757</v>
      </c>
      <c r="I400" s="162">
        <f t="shared" si="260"/>
        <v>1.3105229671795902</v>
      </c>
      <c r="J400" s="70">
        <f ca="1">IF(F400=0,C400,IF(G400="Beta",_xlfn.BETA.INV(J396,H400,I400),IF(G400="Lognormal",EXP(NORMINV(J396,H400,I400)),IF(G400="Gamma",_xlfn.GAMMA.INV(J396,H400,I400),IF(G400="Normal",_xlfn.NORM.INV(J396,H400,I400),0)))))</f>
        <v>30.149386408778881</v>
      </c>
      <c r="M400" s="313" t="s">
        <v>5</v>
      </c>
      <c r="N400" s="177">
        <f>'Cost input'!O288</f>
        <v>33.089913043478262</v>
      </c>
      <c r="O400" s="177">
        <f>'Cost input'!P288</f>
        <v>20.187913280652175</v>
      </c>
      <c r="P400" s="177">
        <f>'Cost input'!Q288</f>
        <v>46.001966328043487</v>
      </c>
      <c r="Q400" s="156">
        <f t="shared" si="261"/>
        <v>6.5852176141304364</v>
      </c>
      <c r="R400" s="161" t="s">
        <v>575</v>
      </c>
      <c r="S400" s="162">
        <f t="shared" si="262"/>
        <v>25.249395754346757</v>
      </c>
      <c r="T400" s="162">
        <f t="shared" si="263"/>
        <v>1.3105229671795902</v>
      </c>
      <c r="U400" s="70">
        <f ca="1">IF(Q400=0,N400,IF(R400="Beta",_xlfn.BETA.INV(U396,S400,T400),IF(R400="Lognormal",EXP(NORMINV(U396,S400,T400)),IF(R400="Gamma",_xlfn.GAMMA.INV(U396,S400,T400),IF(R400="Normal",_xlfn.NORM.INV(U396,S400,T400),0)))))</f>
        <v>29.010412732388012</v>
      </c>
    </row>
    <row r="401" spans="2:22" s="296" customFormat="1" x14ac:dyDescent="0.3">
      <c r="B401" s="313" t="s">
        <v>6</v>
      </c>
      <c r="C401" s="177">
        <f>'Cost input'!O234</f>
        <v>33.089913043478262</v>
      </c>
      <c r="D401" s="177">
        <f>'Cost input'!P234</f>
        <v>20.187913280652175</v>
      </c>
      <c r="E401" s="177">
        <f>'Cost input'!Q234</f>
        <v>46.001966328043487</v>
      </c>
      <c r="F401" s="156">
        <f t="shared" si="257"/>
        <v>6.5852176141304364</v>
      </c>
      <c r="G401" s="161" t="s">
        <v>575</v>
      </c>
      <c r="H401" s="162">
        <f t="shared" si="259"/>
        <v>25.249395754346757</v>
      </c>
      <c r="I401" s="162">
        <f t="shared" si="260"/>
        <v>1.3105229671795902</v>
      </c>
      <c r="J401" s="70">
        <f ca="1">IF(F401=0,C401,IF(G401="Beta",_xlfn.BETA.INV(J396,H401,I401),IF(G401="Lognormal",EXP(NORMINV(J396,H401,I401)),IF(G401="Gamma",_xlfn.GAMMA.INV(J396,H401,I401),IF(G401="Normal",_xlfn.NORM.INV(J396,H401,I401),0)))))</f>
        <v>30.149386408778881</v>
      </c>
      <c r="M401" s="313" t="s">
        <v>6</v>
      </c>
      <c r="N401" s="177">
        <f>'Cost input'!O289</f>
        <v>33.089913043478262</v>
      </c>
      <c r="O401" s="177">
        <f>'Cost input'!P289</f>
        <v>20.187913280652175</v>
      </c>
      <c r="P401" s="177">
        <f>'Cost input'!Q289</f>
        <v>46.001966328043487</v>
      </c>
      <c r="Q401" s="156">
        <f t="shared" si="261"/>
        <v>6.5852176141304364</v>
      </c>
      <c r="R401" s="161" t="s">
        <v>575</v>
      </c>
      <c r="S401" s="162">
        <f t="shared" si="262"/>
        <v>25.249395754346757</v>
      </c>
      <c r="T401" s="162">
        <f t="shared" si="263"/>
        <v>1.3105229671795902</v>
      </c>
      <c r="U401" s="70">
        <f ca="1">IF(Q401=0,N401,IF(R401="Beta",_xlfn.BETA.INV(U396,S401,T401),IF(R401="Lognormal",EXP(NORMINV(U396,S401,T401)),IF(R401="Gamma",_xlfn.GAMMA.INV(U396,S401,T401),IF(R401="Normal",_xlfn.NORM.INV(U396,S401,T401),0)))))</f>
        <v>29.010412732388012</v>
      </c>
    </row>
    <row r="402" spans="2:22" s="296" customFormat="1" x14ac:dyDescent="0.3">
      <c r="B402" s="313" t="s">
        <v>7</v>
      </c>
      <c r="C402" s="177">
        <f>'Cost input'!O235</f>
        <v>33.089913043478262</v>
      </c>
      <c r="D402" s="177">
        <f>'Cost input'!P235</f>
        <v>20.187913280652175</v>
      </c>
      <c r="E402" s="177">
        <f>'Cost input'!Q235</f>
        <v>46.001966328043487</v>
      </c>
      <c r="F402" s="156">
        <f t="shared" si="257"/>
        <v>6.5852176141304364</v>
      </c>
      <c r="G402" s="161" t="s">
        <v>575</v>
      </c>
      <c r="H402" s="162">
        <f t="shared" si="259"/>
        <v>25.249395754346757</v>
      </c>
      <c r="I402" s="162">
        <f t="shared" si="260"/>
        <v>1.3105229671795902</v>
      </c>
      <c r="J402" s="70">
        <f ca="1">IF(F402=0,C402,IF(G402="Beta",_xlfn.BETA.INV(J396,H402,I402),IF(G402="Lognormal",EXP(NORMINV(J396,H402,I402)),IF(G402="Gamma",_xlfn.GAMMA.INV(J396,H402,I402),IF(G402="Normal",_xlfn.NORM.INV(J396,H402,I402),0)))))</f>
        <v>30.149386408778881</v>
      </c>
      <c r="M402" s="313" t="s">
        <v>7</v>
      </c>
      <c r="N402" s="177">
        <f>'Cost input'!O290</f>
        <v>33.089913043478262</v>
      </c>
      <c r="O402" s="177">
        <f>'Cost input'!P290</f>
        <v>20.187913280652175</v>
      </c>
      <c r="P402" s="177">
        <f>'Cost input'!Q290</f>
        <v>46.001966328043487</v>
      </c>
      <c r="Q402" s="156">
        <f t="shared" si="261"/>
        <v>6.5852176141304364</v>
      </c>
      <c r="R402" s="161" t="s">
        <v>575</v>
      </c>
      <c r="S402" s="162">
        <f t="shared" si="262"/>
        <v>25.249395754346757</v>
      </c>
      <c r="T402" s="162">
        <f t="shared" si="263"/>
        <v>1.3105229671795902</v>
      </c>
      <c r="U402" s="70">
        <f ca="1">IF(Q402=0,N402,IF(R402="Beta",_xlfn.BETA.INV(U396,S402,T402),IF(R402="Lognormal",EXP(NORMINV(U396,S402,T402)),IF(R402="Gamma",_xlfn.GAMMA.INV(U396,S402,T402),IF(R402="Normal",_xlfn.NORM.INV(U396,S402,T402),0)))))</f>
        <v>29.010412732388012</v>
      </c>
    </row>
    <row r="403" spans="2:22" s="296" customFormat="1" x14ac:dyDescent="0.3">
      <c r="B403" s="313" t="s">
        <v>11</v>
      </c>
      <c r="C403" s="177">
        <f>'Cost input'!O236</f>
        <v>33.089913043478262</v>
      </c>
      <c r="D403" s="177">
        <f>'Cost input'!P236</f>
        <v>20.187913280652175</v>
      </c>
      <c r="E403" s="177">
        <f>'Cost input'!Q236</f>
        <v>46.001966328043487</v>
      </c>
      <c r="F403" s="156">
        <f t="shared" si="257"/>
        <v>6.5852176141304364</v>
      </c>
      <c r="G403" s="161" t="s">
        <v>575</v>
      </c>
      <c r="H403" s="162">
        <f t="shared" si="259"/>
        <v>25.249395754346757</v>
      </c>
      <c r="I403" s="162">
        <f t="shared" si="260"/>
        <v>1.3105229671795902</v>
      </c>
      <c r="J403" s="70">
        <f ca="1">IF(F403=0,C403,IF(G403="Beta",_xlfn.BETA.INV(J396,H403,I403),IF(G403="Lognormal",EXP(NORMINV(J396,H403,I403)),IF(G403="Gamma",_xlfn.GAMMA.INV(J396,H403,I403),IF(G403="Normal",_xlfn.NORM.INV(J396,H403,I403),0)))))</f>
        <v>30.149386408778881</v>
      </c>
      <c r="M403" s="313" t="s">
        <v>11</v>
      </c>
      <c r="N403" s="177">
        <f>'Cost input'!O291</f>
        <v>33.089913043478262</v>
      </c>
      <c r="O403" s="177">
        <f>'Cost input'!P291</f>
        <v>20.187913280652175</v>
      </c>
      <c r="P403" s="177">
        <f>'Cost input'!Q291</f>
        <v>46.001966328043487</v>
      </c>
      <c r="Q403" s="156">
        <f t="shared" si="261"/>
        <v>6.5852176141304364</v>
      </c>
      <c r="R403" s="161" t="s">
        <v>575</v>
      </c>
      <c r="S403" s="162">
        <f t="shared" si="262"/>
        <v>25.249395754346757</v>
      </c>
      <c r="T403" s="162">
        <f t="shared" si="263"/>
        <v>1.3105229671795902</v>
      </c>
      <c r="U403" s="70">
        <f ca="1">IF(Q403=0,N403,IF(R403="Beta",_xlfn.BETA.INV(U396,S403,T403),IF(R403="Lognormal",EXP(NORMINV(U396,S403,T403)),IF(R403="Gamma",_xlfn.GAMMA.INV(U396,S403,T403),IF(R403="Normal",_xlfn.NORM.INV(U396,S403,T403),0)))))</f>
        <v>29.010412732388012</v>
      </c>
    </row>
    <row r="404" spans="2:22" s="296" customFormat="1" ht="15" customHeight="1" x14ac:dyDescent="0.3">
      <c r="B404" s="207" t="s">
        <v>227</v>
      </c>
      <c r="C404" s="141"/>
      <c r="D404" s="141"/>
      <c r="E404" s="141"/>
      <c r="F404" s="141"/>
      <c r="G404"/>
      <c r="H404" s="162"/>
      <c r="I404" s="162"/>
      <c r="J404" s="291">
        <f ca="1">RAND()</f>
        <v>0.36968728523124583</v>
      </c>
      <c r="M404" s="207" t="s">
        <v>227</v>
      </c>
      <c r="N404" s="141"/>
      <c r="O404" s="141"/>
      <c r="P404" s="141"/>
      <c r="Q404" s="141"/>
      <c r="R404"/>
      <c r="S404" s="162"/>
      <c r="T404" s="162"/>
      <c r="U404" s="291">
        <f ca="1">RAND()</f>
        <v>0.59519158545341055</v>
      </c>
    </row>
    <row r="405" spans="2:22" s="296" customFormat="1" ht="15" customHeight="1" x14ac:dyDescent="0.3">
      <c r="B405" s="206" t="s">
        <v>1437</v>
      </c>
      <c r="C405" s="177">
        <f>'Cost input'!O238</f>
        <v>32.000195652173915</v>
      </c>
      <c r="D405" s="177">
        <f>'Cost input'!P238</f>
        <v>13.761111980000003</v>
      </c>
      <c r="E405" s="177">
        <f>'Cost input'!Q238</f>
        <v>50.244060020000006</v>
      </c>
      <c r="F405" s="156">
        <f t="shared" si="257"/>
        <v>9.306874500000001</v>
      </c>
      <c r="G405" s="161" t="s">
        <v>575</v>
      </c>
      <c r="H405" s="162">
        <f t="shared" ref="H405:H408" si="264">IF(G405="Beta",C405*(C405*(1-C405)/(F405^2)-1),IF(G405="Lognormal",LN(C405^2/SQRT(F405^2+C405^2)),IF(G405="Gamma",C405^2/F405^2,IF(G405="Normal",C405,0))))</f>
        <v>11.822179579240983</v>
      </c>
      <c r="I405" s="162">
        <f t="shared" ref="I405:I408" si="265">IF(G405="Beta",C405*(1-C405)/(F405^2)-1-H405,IF(G405="Lognormal",SQRT(LN(1+F405^2/C405^2)),IF(G405="Gamma",F405^2/C405,IF(G405="Normal",F405,0))))</f>
        <v>2.706793230274076</v>
      </c>
      <c r="J405" s="70">
        <f ca="1">IF(F405=0,C405,IF(G405="Beta",_xlfn.BETA.INV(J404,H405,I405),IF(G405="Lognormal",EXP(NORMINV(J404,H405,I405)),IF(G405="Gamma",_xlfn.GAMMA.INV(J404,H405,I405),IF(G405="Normal",_xlfn.NORM.INV(J404,H405,I405),0)))))</f>
        <v>28.156333904694968</v>
      </c>
      <c r="M405" s="206" t="s">
        <v>1437</v>
      </c>
      <c r="N405" s="177">
        <f>'Cost input'!O293</f>
        <v>32.000195652173915</v>
      </c>
      <c r="O405" s="177">
        <f>'Cost input'!P293</f>
        <v>13.761111980000003</v>
      </c>
      <c r="P405" s="177">
        <f>'Cost input'!Q293</f>
        <v>50.244060020000006</v>
      </c>
      <c r="Q405" s="156">
        <f t="shared" ref="Q405:Q408" si="266">(P405-O405)/(2*1.96)</f>
        <v>9.306874500000001</v>
      </c>
      <c r="R405" s="161" t="s">
        <v>575</v>
      </c>
      <c r="S405" s="162">
        <f t="shared" ref="S405:S408" si="267">IF(R405="Beta",N405*(N405*(1-N405)/(Q405^2)-1),IF(R405="Lognormal",LN(N405^2/SQRT(Q405^2+N405^2)),IF(R405="Gamma",N405^2/Q405^2,IF(R405="Normal",N405,0))))</f>
        <v>11.822179579240983</v>
      </c>
      <c r="T405" s="162">
        <f t="shared" ref="T405:T408" si="268">IF(R405="Beta",N405*(1-N405)/(Q405^2)-1-S405,IF(R405="Lognormal",SQRT(LN(1+Q405^2/N405^2)),IF(R405="Gamma",Q405^2/N405,IF(R405="Normal",Q405,0))))</f>
        <v>2.706793230274076</v>
      </c>
      <c r="U405" s="70">
        <f ca="1">IF(Q405=0,N405,IF(R405="Beta",_xlfn.BETA.INV(U404,S405,T405),IF(R405="Lognormal",EXP(NORMINV(U404,S405,T405)),IF(R405="Gamma",_xlfn.GAMMA.INV(U404,S405,T405),IF(R405="Normal",_xlfn.NORM.INV(U404,S405,T405),0)))))</f>
        <v>33.360314523996344</v>
      </c>
    </row>
    <row r="406" spans="2:22" s="296" customFormat="1" ht="15" customHeight="1" x14ac:dyDescent="0.3">
      <c r="B406" s="206" t="s">
        <v>1438</v>
      </c>
      <c r="C406" s="177">
        <f>'Cost input'!O239</f>
        <v>32.000195652173915</v>
      </c>
      <c r="D406" s="177">
        <f>'Cost input'!P239</f>
        <v>13.761111980000003</v>
      </c>
      <c r="E406" s="177">
        <f>'Cost input'!Q239</f>
        <v>50.244060020000006</v>
      </c>
      <c r="F406" s="156">
        <f t="shared" si="257"/>
        <v>9.306874500000001</v>
      </c>
      <c r="G406" s="161" t="s">
        <v>575</v>
      </c>
      <c r="H406" s="162">
        <f t="shared" si="264"/>
        <v>11.822179579240983</v>
      </c>
      <c r="I406" s="162">
        <f t="shared" si="265"/>
        <v>2.706793230274076</v>
      </c>
      <c r="J406" s="70">
        <f ca="1">IF(F406=0,C406,IF(G406="Beta",_xlfn.BETA.INV(J404,H406,I406),IF(G406="Lognormal",EXP(NORMINV(J404,H406,I406)),IF(G406="Gamma",_xlfn.GAMMA.INV(J404,H406,I406),IF(G406="Normal",_xlfn.NORM.INV(J404,H406,I406),0)))))</f>
        <v>28.156333904694968</v>
      </c>
      <c r="M406" s="206" t="s">
        <v>1438</v>
      </c>
      <c r="N406" s="177">
        <f>'Cost input'!O294</f>
        <v>32.000195652173915</v>
      </c>
      <c r="O406" s="177">
        <f>'Cost input'!P294</f>
        <v>13.761111980000003</v>
      </c>
      <c r="P406" s="177">
        <f>'Cost input'!Q294</f>
        <v>50.244060020000006</v>
      </c>
      <c r="Q406" s="156">
        <f t="shared" si="266"/>
        <v>9.306874500000001</v>
      </c>
      <c r="R406" s="161" t="s">
        <v>575</v>
      </c>
      <c r="S406" s="162">
        <f t="shared" si="267"/>
        <v>11.822179579240983</v>
      </c>
      <c r="T406" s="162">
        <f t="shared" si="268"/>
        <v>2.706793230274076</v>
      </c>
      <c r="U406" s="70">
        <f ca="1">IF(Q406=0,N406,IF(R406="Beta",_xlfn.BETA.INV(U404,S406,T406),IF(R406="Lognormal",EXP(NORMINV(U404,S406,T406)),IF(R406="Gamma",_xlfn.GAMMA.INV(U404,S406,T406),IF(R406="Normal",_xlfn.NORM.INV(U404,S406,T406),0)))))</f>
        <v>33.360314523996344</v>
      </c>
    </row>
    <row r="407" spans="2:22" s="296" customFormat="1" ht="15" customHeight="1" x14ac:dyDescent="0.3">
      <c r="B407" s="206" t="s">
        <v>1441</v>
      </c>
      <c r="C407" s="177">
        <f>'Cost input'!O240</f>
        <v>32.867282608695653</v>
      </c>
      <c r="D407" s="177">
        <f>'Cost input'!P240</f>
        <v>17.419877140217391</v>
      </c>
      <c r="E407" s="177">
        <f>'Cost input'!Q240</f>
        <v>48.31550829456522</v>
      </c>
      <c r="F407" s="156">
        <f t="shared" si="257"/>
        <v>7.8815385597826095</v>
      </c>
      <c r="G407" s="161" t="s">
        <v>575</v>
      </c>
      <c r="H407" s="162">
        <f t="shared" si="264"/>
        <v>17.390240529599826</v>
      </c>
      <c r="I407" s="162">
        <f t="shared" si="265"/>
        <v>1.8899843594890162</v>
      </c>
      <c r="J407" s="70">
        <f ca="1">IF(F407=0,C407,IF(G407="Beta",_xlfn.BETA.INV(J404,H407,I407),IF(G407="Lognormal",EXP(NORMINV(J404,H407,I407)),IF(G407="Gamma",_xlfn.GAMMA.INV(J404,H407,I407),IF(G407="Normal",_xlfn.NORM.INV(J404,H407,I407),0)))))</f>
        <v>29.715993344578692</v>
      </c>
      <c r="M407" s="206" t="s">
        <v>1441</v>
      </c>
      <c r="N407" s="177">
        <f>'Cost input'!O295</f>
        <v>32.867282608695653</v>
      </c>
      <c r="O407" s="177">
        <f>'Cost input'!P295</f>
        <v>17.419877140217391</v>
      </c>
      <c r="P407" s="177">
        <f>'Cost input'!Q295</f>
        <v>48.31550829456522</v>
      </c>
      <c r="Q407" s="156">
        <f t="shared" si="266"/>
        <v>7.8815385597826095</v>
      </c>
      <c r="R407" s="161" t="s">
        <v>575</v>
      </c>
      <c r="S407" s="162">
        <f t="shared" si="267"/>
        <v>17.390240529599826</v>
      </c>
      <c r="T407" s="162">
        <f t="shared" si="268"/>
        <v>1.8899843594890162</v>
      </c>
      <c r="U407" s="70">
        <f ca="1">IF(Q407=0,N407,IF(R407="Beta",_xlfn.BETA.INV(U404,S407,T407),IF(R407="Lognormal",EXP(NORMINV(U404,S407,T407)),IF(R407="Gamma",_xlfn.GAMMA.INV(U404,S407,T407),IF(R407="Normal",_xlfn.NORM.INV(U404,S407,T407),0)))))</f>
        <v>34.15369020943146</v>
      </c>
    </row>
    <row r="408" spans="2:22" s="296" customFormat="1" ht="15" customHeight="1" x14ac:dyDescent="0.3">
      <c r="B408" s="206" t="s">
        <v>1442</v>
      </c>
      <c r="C408" s="177">
        <f>'Cost input'!O241</f>
        <v>32.867282608695653</v>
      </c>
      <c r="D408" s="177">
        <f>'Cost input'!P241</f>
        <v>17.419877140217391</v>
      </c>
      <c r="E408" s="177">
        <f>'Cost input'!Q241</f>
        <v>48.31550829456522</v>
      </c>
      <c r="F408" s="156">
        <f t="shared" si="257"/>
        <v>7.8815385597826095</v>
      </c>
      <c r="G408" s="161" t="s">
        <v>575</v>
      </c>
      <c r="H408" s="162">
        <f t="shared" si="264"/>
        <v>17.390240529599826</v>
      </c>
      <c r="I408" s="162">
        <f t="shared" si="265"/>
        <v>1.8899843594890162</v>
      </c>
      <c r="J408" s="70">
        <f ca="1">IF(F408=0,C408,IF(G408="Beta",_xlfn.BETA.INV(J404,H408,I408),IF(G408="Lognormal",EXP(NORMINV(J404,H408,I408)),IF(G408="Gamma",_xlfn.GAMMA.INV(J404,H408,I408),IF(G408="Normal",_xlfn.NORM.INV(J404,H408,I408),0)))))</f>
        <v>29.715993344578692</v>
      </c>
      <c r="M408" s="206" t="s">
        <v>1442</v>
      </c>
      <c r="N408" s="177">
        <f>'Cost input'!O296</f>
        <v>32.867282608695653</v>
      </c>
      <c r="O408" s="177">
        <f>'Cost input'!P296</f>
        <v>17.419877140217391</v>
      </c>
      <c r="P408" s="177">
        <f>'Cost input'!Q296</f>
        <v>48.31550829456522</v>
      </c>
      <c r="Q408" s="156">
        <f t="shared" si="266"/>
        <v>7.8815385597826095</v>
      </c>
      <c r="R408" s="161" t="s">
        <v>575</v>
      </c>
      <c r="S408" s="162">
        <f t="shared" si="267"/>
        <v>17.390240529599826</v>
      </c>
      <c r="T408" s="162">
        <f t="shared" si="268"/>
        <v>1.8899843594890162</v>
      </c>
      <c r="U408" s="70">
        <f ca="1">IF(Q408=0,N408,IF(R408="Beta",_xlfn.BETA.INV(U404,S408,T408),IF(R408="Lognormal",EXP(NORMINV(U404,S408,T408)),IF(R408="Gamma",_xlfn.GAMMA.INV(U404,S408,T408),IF(R408="Normal",_xlfn.NORM.INV(U404,S408,T408),0)))))</f>
        <v>34.15369020943146</v>
      </c>
    </row>
    <row r="409" spans="2:22" s="296" customFormat="1" ht="15" customHeight="1" x14ac:dyDescent="0.3">
      <c r="B409" s="207" t="s">
        <v>920</v>
      </c>
      <c r="C409" s="141"/>
      <c r="D409" s="141"/>
      <c r="E409" s="141"/>
      <c r="F409" s="141"/>
      <c r="G409"/>
      <c r="H409" s="162"/>
      <c r="I409" s="162"/>
      <c r="J409" s="291">
        <f ca="1">RAND()</f>
        <v>0.36496362149770334</v>
      </c>
      <c r="M409" s="207" t="s">
        <v>920</v>
      </c>
      <c r="N409" s="141"/>
      <c r="O409" s="141"/>
      <c r="P409" s="141"/>
      <c r="Q409" s="141"/>
      <c r="R409"/>
      <c r="S409" s="162"/>
      <c r="T409" s="162"/>
      <c r="U409" s="291">
        <f ca="1">RAND()</f>
        <v>0.992623104520584</v>
      </c>
    </row>
    <row r="410" spans="2:22" s="296" customFormat="1" ht="15" customHeight="1" x14ac:dyDescent="0.3">
      <c r="B410" s="206" t="s">
        <v>920</v>
      </c>
      <c r="C410" s="177">
        <f>'Cost input'!O243</f>
        <v>32.832130434782606</v>
      </c>
      <c r="D410" s="177">
        <f>'Cost input'!P243</f>
        <v>19.404</v>
      </c>
      <c r="E410" s="177">
        <f>'Cost input'!Q243</f>
        <v>46.365717391304351</v>
      </c>
      <c r="F410" s="156">
        <f t="shared" si="257"/>
        <v>6.8779891304347833</v>
      </c>
      <c r="G410" s="161" t="s">
        <v>575</v>
      </c>
      <c r="H410" s="162">
        <f t="shared" ref="H410:H411" si="269">IF(G410="Beta",C410*(C410*(1-C410)/(F410^2)-1),IF(G410="Lognormal",LN(C410^2/SQRT(F410^2+C410^2)),IF(G410="Gamma",C410^2/F410^2,IF(G410="Normal",C410,0))))</f>
        <v>22.786370709634202</v>
      </c>
      <c r="I410" s="162">
        <f t="shared" ref="I410:I411" si="270">IF(G410="Beta",C410*(1-C410)/(F410^2)-1-H410,IF(G410="Lognormal",SQRT(LN(1+F410^2/C410^2)),IF(G410="Gamma",F410^2/C410,IF(G410="Normal",F410,0))))</f>
        <v>1.4408670364035201</v>
      </c>
      <c r="J410" s="70">
        <f ca="1">IF(F410=0,C410,IF(G410="Beta",_xlfn.BETA.INV(J409,H410,I410),IF(G410="Lognormal",EXP(NORMINV(J409,H410,I410)),IF(G410="Gamma",_xlfn.GAMMA.INV(J409,H410,I410),IF(G410="Normal",_xlfn.NORM.INV(J409,H410,I410),0)))))</f>
        <v>30.055809130297636</v>
      </c>
      <c r="M410" s="206" t="s">
        <v>920</v>
      </c>
      <c r="N410" s="177">
        <f>'Cost input'!O298</f>
        <v>32.832130434782606</v>
      </c>
      <c r="O410" s="177">
        <f>'Cost input'!P298</f>
        <v>19.404</v>
      </c>
      <c r="P410" s="177">
        <f>'Cost input'!Q298</f>
        <v>46.365717391304351</v>
      </c>
      <c r="Q410" s="156">
        <f t="shared" ref="Q410:Q411" si="271">(P410-O410)/(2*1.96)</f>
        <v>6.8779891304347833</v>
      </c>
      <c r="R410" s="161" t="s">
        <v>575</v>
      </c>
      <c r="S410" s="162">
        <f t="shared" ref="S410:S411" si="272">IF(R410="Beta",N410*(N410*(1-N410)/(Q410^2)-1),IF(R410="Lognormal",LN(N410^2/SQRT(Q410^2+N410^2)),IF(R410="Gamma",N410^2/Q410^2,IF(R410="Normal",N410,0))))</f>
        <v>22.786370709634202</v>
      </c>
      <c r="T410" s="162">
        <f t="shared" ref="T410:T411" si="273">IF(R410="Beta",N410*(1-N410)/(Q410^2)-1-S410,IF(R410="Lognormal",SQRT(LN(1+Q410^2/N410^2)),IF(R410="Gamma",Q410^2/N410,IF(R410="Normal",Q410,0))))</f>
        <v>1.4408670364035201</v>
      </c>
      <c r="U410" s="70">
        <f ca="1">IF(Q410=0,N410,IF(R410="Beta",_xlfn.BETA.INV(U409,S410,T410),IF(R410="Lognormal",EXP(NORMINV(U409,S410,T410)),IF(R410="Gamma",_xlfn.GAMMA.INV(U409,S410,T410),IF(R410="Normal",_xlfn.NORM.INV(U409,S410,T410),0)))))</f>
        <v>51.947732123640563</v>
      </c>
    </row>
    <row r="411" spans="2:22" s="296" customFormat="1" ht="15" customHeight="1" x14ac:dyDescent="0.3">
      <c r="B411" s="206" t="s">
        <v>980</v>
      </c>
      <c r="C411" s="177">
        <f>'Cost input'!O244</f>
        <v>32.832130434782606</v>
      </c>
      <c r="D411" s="177">
        <f>'Cost input'!P244</f>
        <v>19.404</v>
      </c>
      <c r="E411" s="177">
        <f>'Cost input'!Q244</f>
        <v>46.365717391304351</v>
      </c>
      <c r="F411" s="156">
        <f t="shared" si="257"/>
        <v>6.8779891304347833</v>
      </c>
      <c r="G411" s="161" t="s">
        <v>575</v>
      </c>
      <c r="H411" s="162">
        <f t="shared" si="269"/>
        <v>22.786370709634202</v>
      </c>
      <c r="I411" s="162">
        <f t="shared" si="270"/>
        <v>1.4408670364035201</v>
      </c>
      <c r="J411" s="70">
        <f ca="1">IF(F411=0,C411,IF(G411="Beta",_xlfn.BETA.INV(J409,H411,I411),IF(G411="Lognormal",EXP(NORMINV(J409,H411,I411)),IF(G411="Gamma",_xlfn.GAMMA.INV(J409,H411,I411),IF(G411="Normal",_xlfn.NORM.INV(J409,H411,I411),0)))))</f>
        <v>30.055809130297636</v>
      </c>
      <c r="M411" s="206" t="s">
        <v>980</v>
      </c>
      <c r="N411" s="177">
        <f>'Cost input'!O299</f>
        <v>32.832130434782606</v>
      </c>
      <c r="O411" s="177">
        <f>'Cost input'!P299</f>
        <v>19.404</v>
      </c>
      <c r="P411" s="177">
        <f>'Cost input'!Q299</f>
        <v>46.365717391304351</v>
      </c>
      <c r="Q411" s="156">
        <f t="shared" si="271"/>
        <v>6.8779891304347833</v>
      </c>
      <c r="R411" s="161" t="s">
        <v>575</v>
      </c>
      <c r="S411" s="162">
        <f t="shared" si="272"/>
        <v>22.786370709634202</v>
      </c>
      <c r="T411" s="162">
        <f t="shared" si="273"/>
        <v>1.4408670364035201</v>
      </c>
      <c r="U411" s="70">
        <f ca="1">IF(Q411=0,N411,IF(R411="Beta",_xlfn.BETA.INV(U409,S411,T411),IF(R411="Lognormal",EXP(NORMINV(U409,S411,T411)),IF(R411="Gamma",_xlfn.GAMMA.INV(U409,S411,T411),IF(R411="Normal",_xlfn.NORM.INV(U409,S411,T411),0)))))</f>
        <v>51.947732123640563</v>
      </c>
    </row>
    <row r="412" spans="2:22" s="296" customFormat="1" ht="15" customHeight="1" x14ac:dyDescent="0.3">
      <c r="B412" s="306"/>
      <c r="C412" s="306"/>
      <c r="D412" s="306"/>
      <c r="E412" s="306"/>
      <c r="I412" s="304"/>
    </row>
    <row r="413" spans="2:22" s="296" customFormat="1" ht="15" customHeight="1" x14ac:dyDescent="0.3">
      <c r="B413" s="294" t="s">
        <v>1538</v>
      </c>
      <c r="C413" s="305"/>
      <c r="D413" s="305"/>
      <c r="E413" s="305"/>
      <c r="F413" s="305"/>
      <c r="G413" s="305"/>
      <c r="M413" s="294" t="s">
        <v>1539</v>
      </c>
      <c r="N413" s="305"/>
      <c r="O413" s="305"/>
      <c r="P413" s="305"/>
      <c r="Q413" s="305"/>
      <c r="R413" s="305"/>
    </row>
    <row r="414" spans="2:22" s="296" customFormat="1" ht="15" customHeight="1" x14ac:dyDescent="0.3">
      <c r="B414" s="17" t="s">
        <v>950</v>
      </c>
      <c r="C414" s="152" t="s">
        <v>1477</v>
      </c>
      <c r="D414" s="152" t="s">
        <v>985</v>
      </c>
      <c r="E414" s="152" t="s">
        <v>986</v>
      </c>
      <c r="F414" s="73" t="s">
        <v>584</v>
      </c>
      <c r="G414" s="73" t="s">
        <v>569</v>
      </c>
      <c r="H414" s="73" t="s">
        <v>581</v>
      </c>
      <c r="I414" s="73" t="s">
        <v>582</v>
      </c>
      <c r="J414" s="73" t="s">
        <v>583</v>
      </c>
      <c r="M414" s="17" t="s">
        <v>950</v>
      </c>
      <c r="N414" s="152" t="s">
        <v>1477</v>
      </c>
      <c r="O414" s="152" t="s">
        <v>985</v>
      </c>
      <c r="P414" s="152" t="s">
        <v>986</v>
      </c>
      <c r="Q414" s="73" t="s">
        <v>584</v>
      </c>
      <c r="R414" s="73" t="s">
        <v>569</v>
      </c>
      <c r="S414" s="73" t="s">
        <v>581</v>
      </c>
      <c r="T414" s="73" t="s">
        <v>582</v>
      </c>
      <c r="U414" s="73" t="s">
        <v>583</v>
      </c>
    </row>
    <row r="415" spans="2:22" s="296" customFormat="1" ht="15" customHeight="1" x14ac:dyDescent="0.3">
      <c r="B415" s="315" t="s">
        <v>1445</v>
      </c>
      <c r="C415" s="306"/>
      <c r="D415" s="306"/>
      <c r="F415"/>
      <c r="G415"/>
      <c r="H415"/>
      <c r="I415"/>
      <c r="J415" s="291">
        <f ca="1">RAND()</f>
        <v>0.68059572065479312</v>
      </c>
      <c r="M415" s="315" t="s">
        <v>1445</v>
      </c>
      <c r="N415" s="306"/>
      <c r="O415" s="306"/>
      <c r="Q415"/>
      <c r="R415"/>
      <c r="S415"/>
      <c r="T415"/>
      <c r="U415" s="291">
        <f ca="1">RAND()</f>
        <v>0.11750771342019117</v>
      </c>
    </row>
    <row r="416" spans="2:22" s="296" customFormat="1" ht="15" customHeight="1" x14ac:dyDescent="0.3">
      <c r="B416" s="313" t="s">
        <v>2</v>
      </c>
      <c r="C416" s="177">
        <f>'Cost input'!O249</f>
        <v>7996.6039999999985</v>
      </c>
      <c r="D416" s="177">
        <f>'Cost input'!P249</f>
        <v>3898.2514320749997</v>
      </c>
      <c r="E416" s="177">
        <f>'Cost input'!Q249</f>
        <v>13493.947264875</v>
      </c>
      <c r="F416" s="156">
        <f>(E416-D416)/(2*1.96)</f>
        <v>2447.88159</v>
      </c>
      <c r="G416" s="161" t="s">
        <v>575</v>
      </c>
      <c r="H416" s="162">
        <f t="shared" ref="H416:H422" si="274">IF(G416="Beta",C416*(C416*(1-C416)/(F416^2)-1),IF(G416="Lognormal",LN(C416^2/SQRT(F416^2+C416^2)),IF(G416="Gamma",C416^2/F416^2,IF(G416="Normal",C416,0))))</f>
        <v>10.67162037351903</v>
      </c>
      <c r="I416" s="162">
        <f t="shared" ref="I416:I422" si="275">IF(G416="Beta",C416*(1-C416)/(F416^2)-1-H416,IF(G416="Lognormal",SQRT(LN(1+F416^2/C416^2)),IF(G416="Gamma",F416^2/C416,IF(G416="Normal",F416,0))))</f>
        <v>749.33362695725953</v>
      </c>
      <c r="J416" s="70">
        <f ca="1">IF(F416=0,C416,IF(G416="Beta",_xlfn.BETA.INV(J415,H416,I416),IF(G416="Lognormal",EXP(NORMINV(J415,H416,I416)),IF(G416="Gamma",_xlfn.GAMMA.INV(J415,H416,I416),IF(G416="Normal",_xlfn.NORM.INV(J415,H416,I416),0)))))</f>
        <v>8931.7140462614079</v>
      </c>
      <c r="K416">
        <f>(E416+D416)/2</f>
        <v>8696.0993484749997</v>
      </c>
      <c r="M416" s="313" t="s">
        <v>2</v>
      </c>
      <c r="N416" s="177">
        <f>'Cost input'!O304</f>
        <v>7996.6039999999985</v>
      </c>
      <c r="O416" s="177">
        <f>'Cost input'!P304</f>
        <v>3898.2514320749997</v>
      </c>
      <c r="P416" s="177">
        <f>'Cost input'!Q304</f>
        <v>13493.947264875</v>
      </c>
      <c r="Q416" s="156">
        <f>(P416-O416)/(2*1.96)</f>
        <v>2447.88159</v>
      </c>
      <c r="R416" s="161" t="s">
        <v>575</v>
      </c>
      <c r="S416" s="162">
        <f t="shared" ref="S416:S422" si="276">IF(R416="Beta",N416*(N416*(1-N416)/(Q416^2)-1),IF(R416="Lognormal",LN(N416^2/SQRT(Q416^2+N416^2)),IF(R416="Gamma",N416^2/Q416^2,IF(R416="Normal",N416,0))))</f>
        <v>10.67162037351903</v>
      </c>
      <c r="T416" s="162">
        <f t="shared" ref="T416:T422" si="277">IF(R416="Beta",N416*(1-N416)/(Q416^2)-1-S416,IF(R416="Lognormal",SQRT(LN(1+Q416^2/N416^2)),IF(R416="Gamma",Q416^2/N416,IF(R416="Normal",Q416,0))))</f>
        <v>749.33362695725953</v>
      </c>
      <c r="U416" s="70">
        <f ca="1">IF(Q416=0,N416,IF(R416="Beta",_xlfn.BETA.INV(U415,S416,T416),IF(R416="Lognormal",EXP(NORMINV(U415,S416,T416)),IF(R416="Gamma",_xlfn.GAMMA.INV(U415,S416,T416),IF(R416="Normal",_xlfn.NORM.INV(U415,S416,T416),0)))))</f>
        <v>5234.445394940326</v>
      </c>
      <c r="V416">
        <f>(P416+O416)/2</f>
        <v>8696.0993484749997</v>
      </c>
    </row>
    <row r="417" spans="2:21" s="296" customFormat="1" ht="15" customHeight="1" x14ac:dyDescent="0.3">
      <c r="B417" s="313" t="s">
        <v>3</v>
      </c>
      <c r="C417" s="177">
        <f>'Cost input'!O250</f>
        <v>7996.6039999999985</v>
      </c>
      <c r="D417" s="177">
        <f>'Cost input'!P250</f>
        <v>3898.2514320749997</v>
      </c>
      <c r="E417" s="177">
        <f>'Cost input'!Q250</f>
        <v>13493.947264875</v>
      </c>
      <c r="F417" s="156">
        <f t="shared" ref="F417:F422" si="278">(E417-D417)/(2*1.96)</f>
        <v>2447.88159</v>
      </c>
      <c r="G417" s="161" t="s">
        <v>575</v>
      </c>
      <c r="H417" s="162">
        <f t="shared" si="274"/>
        <v>10.67162037351903</v>
      </c>
      <c r="I417" s="162">
        <f t="shared" si="275"/>
        <v>749.33362695725953</v>
      </c>
      <c r="J417" s="70">
        <f ca="1">IF(F417=0,C417,IF(G417="Beta",_xlfn.BETA.INV(J415,H417,I417),IF(G417="Lognormal",EXP(NORMINV(J415,H417,I417)),IF(G417="Gamma",_xlfn.GAMMA.INV(J415,H417,I417),IF(G417="Normal",_xlfn.NORM.INV(J415,H417,I417),0)))))</f>
        <v>8931.7140462614079</v>
      </c>
      <c r="K417" s="296">
        <f>_xlfn.GAMMA.INV(0.5,H417,I417)</f>
        <v>7748.2609138730086</v>
      </c>
      <c r="M417" s="313" t="s">
        <v>3</v>
      </c>
      <c r="N417" s="177">
        <f>'Cost input'!O305</f>
        <v>7996.6039999999985</v>
      </c>
      <c r="O417" s="177">
        <f>'Cost input'!P305</f>
        <v>3898.2514320749997</v>
      </c>
      <c r="P417" s="177">
        <f>'Cost input'!Q305</f>
        <v>13493.947264875</v>
      </c>
      <c r="Q417" s="156">
        <f t="shared" ref="Q417:Q422" si="279">(P417-O417)/(2*1.96)</f>
        <v>2447.88159</v>
      </c>
      <c r="R417" s="161" t="s">
        <v>575</v>
      </c>
      <c r="S417" s="162">
        <f t="shared" si="276"/>
        <v>10.67162037351903</v>
      </c>
      <c r="T417" s="162">
        <f t="shared" si="277"/>
        <v>749.33362695725953</v>
      </c>
      <c r="U417" s="70">
        <f ca="1">IF(Q417=0,N417,IF(R417="Beta",_xlfn.BETA.INV(U415,S417,T417),IF(R417="Lognormal",EXP(NORMINV(U415,S417,T417)),IF(R417="Gamma",_xlfn.GAMMA.INV(U415,S417,T417),IF(R417="Normal",_xlfn.NORM.INV(U415,S417,T417),0)))))</f>
        <v>5234.445394940326</v>
      </c>
    </row>
    <row r="418" spans="2:21" s="296" customFormat="1" ht="15" customHeight="1" x14ac:dyDescent="0.3">
      <c r="B418" s="313" t="s">
        <v>4</v>
      </c>
      <c r="C418" s="177">
        <f>'Cost input'!O251</f>
        <v>7996.6039999999985</v>
      </c>
      <c r="D418" s="177">
        <f>'Cost input'!P251</f>
        <v>3898.2514320749997</v>
      </c>
      <c r="E418" s="177">
        <f>'Cost input'!Q251</f>
        <v>13493.947264875</v>
      </c>
      <c r="F418" s="156">
        <f t="shared" si="278"/>
        <v>2447.88159</v>
      </c>
      <c r="G418" s="161" t="s">
        <v>575</v>
      </c>
      <c r="H418" s="162">
        <f t="shared" si="274"/>
        <v>10.67162037351903</v>
      </c>
      <c r="I418" s="162">
        <f t="shared" si="275"/>
        <v>749.33362695725953</v>
      </c>
      <c r="J418" s="70">
        <f ca="1">IF(F418=0,C418,IF(G418="Beta",_xlfn.BETA.INV(J415,H418,I418),IF(G418="Lognormal",EXP(NORMINV(J415,H418,I418)),IF(G418="Gamma",_xlfn.GAMMA.INV(J415,H418,I418),IF(G418="Normal",_xlfn.NORM.INV(J415,H418,I418),0)))))</f>
        <v>8931.7140462614079</v>
      </c>
      <c r="M418" s="313" t="s">
        <v>4</v>
      </c>
      <c r="N418" s="177">
        <f>'Cost input'!O306</f>
        <v>7996.6039999999985</v>
      </c>
      <c r="O418" s="177">
        <f>'Cost input'!P306</f>
        <v>3898.2514320749997</v>
      </c>
      <c r="P418" s="177">
        <f>'Cost input'!Q306</f>
        <v>13493.947264875</v>
      </c>
      <c r="Q418" s="156">
        <f t="shared" si="279"/>
        <v>2447.88159</v>
      </c>
      <c r="R418" s="161" t="s">
        <v>575</v>
      </c>
      <c r="S418" s="162">
        <f t="shared" si="276"/>
        <v>10.67162037351903</v>
      </c>
      <c r="T418" s="162">
        <f t="shared" si="277"/>
        <v>749.33362695725953</v>
      </c>
      <c r="U418" s="70">
        <f ca="1">IF(Q418=0,N418,IF(R418="Beta",_xlfn.BETA.INV(U415,S418,T418),IF(R418="Lognormal",EXP(NORMINV(U415,S418,T418)),IF(R418="Gamma",_xlfn.GAMMA.INV(U415,S418,T418),IF(R418="Normal",_xlfn.NORM.INV(U415,S418,T418),0)))))</f>
        <v>5234.445394940326</v>
      </c>
    </row>
    <row r="419" spans="2:21" s="296" customFormat="1" ht="15" customHeight="1" x14ac:dyDescent="0.3">
      <c r="B419" s="313" t="s">
        <v>5</v>
      </c>
      <c r="C419" s="177">
        <f>'Cost input'!O252</f>
        <v>11062.529739130434</v>
      </c>
      <c r="D419" s="177">
        <f>'Cost input'!P252</f>
        <v>5309.8663769321774</v>
      </c>
      <c r="E419" s="177">
        <f>'Cost input'!Q252</f>
        <v>18805.776751634785</v>
      </c>
      <c r="F419" s="156">
        <f t="shared" si="278"/>
        <v>3442.8342792608692</v>
      </c>
      <c r="G419" s="161" t="s">
        <v>575</v>
      </c>
      <c r="H419" s="162">
        <f t="shared" si="274"/>
        <v>10.32468155401695</v>
      </c>
      <c r="I419" s="162">
        <f t="shared" si="275"/>
        <v>1071.4644980819205</v>
      </c>
      <c r="J419" s="70">
        <f ca="1">IF(F419=0,C419,IF(G419="Beta",_xlfn.BETA.INV(J415,H419,I419),IF(G419="Lognormal",EXP(NORMINV(J415,H419,I419)),IF(G419="Gamma",_xlfn.GAMMA.INV(J415,H419,I419),IF(G419="Normal",_xlfn.NORM.INV(J415,H419,I419),0)))))</f>
        <v>12372.281858389495</v>
      </c>
      <c r="M419" s="313" t="s">
        <v>5</v>
      </c>
      <c r="N419" s="177">
        <f>'Cost input'!O307</f>
        <v>11062.529739130434</v>
      </c>
      <c r="O419" s="177">
        <f>'Cost input'!P307</f>
        <v>5309.8663769321774</v>
      </c>
      <c r="P419" s="177">
        <f>'Cost input'!Q307</f>
        <v>18805.776751634785</v>
      </c>
      <c r="Q419" s="156">
        <f t="shared" si="279"/>
        <v>3442.8342792608692</v>
      </c>
      <c r="R419" s="161" t="s">
        <v>575</v>
      </c>
      <c r="S419" s="162">
        <f t="shared" si="276"/>
        <v>10.32468155401695</v>
      </c>
      <c r="T419" s="162">
        <f t="shared" si="277"/>
        <v>1071.4644980819205</v>
      </c>
      <c r="U419" s="70">
        <f ca="1">IF(Q419=0,N419,IF(R419="Beta",_xlfn.BETA.INV(U415,S419,T419),IF(R419="Lognormal",EXP(NORMINV(U415,S419,T419)),IF(R419="Gamma",_xlfn.GAMMA.INV(U415,S419,T419),IF(R419="Normal",_xlfn.NORM.INV(U415,S419,T419),0)))))</f>
        <v>7182.080851786568</v>
      </c>
    </row>
    <row r="420" spans="2:21" s="296" customFormat="1" ht="15" customHeight="1" x14ac:dyDescent="0.3">
      <c r="B420" s="313" t="s">
        <v>6</v>
      </c>
      <c r="C420" s="177">
        <f>'Cost input'!O253</f>
        <v>11062.529739130434</v>
      </c>
      <c r="D420" s="177">
        <f>'Cost input'!P253</f>
        <v>5309.8663769321774</v>
      </c>
      <c r="E420" s="177">
        <f>'Cost input'!Q253</f>
        <v>18805.776751634785</v>
      </c>
      <c r="F420" s="156">
        <f t="shared" si="278"/>
        <v>3442.8342792608692</v>
      </c>
      <c r="G420" s="161" t="s">
        <v>575</v>
      </c>
      <c r="H420" s="162">
        <f t="shared" si="274"/>
        <v>10.32468155401695</v>
      </c>
      <c r="I420" s="162">
        <f t="shared" si="275"/>
        <v>1071.4644980819205</v>
      </c>
      <c r="J420" s="70">
        <f ca="1">IF(F420=0,C420,IF(G420="Beta",_xlfn.BETA.INV(J415,H420,I420),IF(G420="Lognormal",EXP(NORMINV(J415,H420,I420)),IF(G420="Gamma",_xlfn.GAMMA.INV(J415,H420,I420),IF(G420="Normal",_xlfn.NORM.INV(J415,H420,I420),0)))))</f>
        <v>12372.281858389495</v>
      </c>
      <c r="M420" s="313" t="s">
        <v>6</v>
      </c>
      <c r="N420" s="177">
        <f>'Cost input'!O308</f>
        <v>11062.529739130434</v>
      </c>
      <c r="O420" s="177">
        <f>'Cost input'!P308</f>
        <v>5309.8663769321774</v>
      </c>
      <c r="P420" s="177">
        <f>'Cost input'!Q308</f>
        <v>18805.776751634785</v>
      </c>
      <c r="Q420" s="156">
        <f t="shared" si="279"/>
        <v>3442.8342792608692</v>
      </c>
      <c r="R420" s="161" t="s">
        <v>575</v>
      </c>
      <c r="S420" s="162">
        <f t="shared" si="276"/>
        <v>10.32468155401695</v>
      </c>
      <c r="T420" s="162">
        <f t="shared" si="277"/>
        <v>1071.4644980819205</v>
      </c>
      <c r="U420" s="70">
        <f ca="1">IF(Q420=0,N420,IF(R420="Beta",_xlfn.BETA.INV(U415,S420,T420),IF(R420="Lognormal",EXP(NORMINV(U415,S420,T420)),IF(R420="Gamma",_xlfn.GAMMA.INV(U415,S420,T420),IF(R420="Normal",_xlfn.NORM.INV(U415,S420,T420),0)))))</f>
        <v>7182.080851786568</v>
      </c>
    </row>
    <row r="421" spans="2:21" s="296" customFormat="1" ht="15" customHeight="1" x14ac:dyDescent="0.3">
      <c r="B421" s="313" t="s">
        <v>7</v>
      </c>
      <c r="C421" s="177">
        <f>'Cost input'!O254</f>
        <v>11062.529739130434</v>
      </c>
      <c r="D421" s="177">
        <f>'Cost input'!P254</f>
        <v>5309.8663769321774</v>
      </c>
      <c r="E421" s="177">
        <f>'Cost input'!Q254</f>
        <v>18805.776751634785</v>
      </c>
      <c r="F421" s="156">
        <f t="shared" si="278"/>
        <v>3442.8342792608692</v>
      </c>
      <c r="G421" s="161" t="s">
        <v>575</v>
      </c>
      <c r="H421" s="162">
        <f t="shared" si="274"/>
        <v>10.32468155401695</v>
      </c>
      <c r="I421" s="162">
        <f t="shared" si="275"/>
        <v>1071.4644980819205</v>
      </c>
      <c r="J421" s="70">
        <f ca="1">IF(F421=0,C421,IF(G421="Beta",_xlfn.BETA.INV(J415,H421,I421),IF(G421="Lognormal",EXP(NORMINV(J415,H421,I421)),IF(G421="Gamma",_xlfn.GAMMA.INV(J415,H421,I421),IF(G421="Normal",_xlfn.NORM.INV(J415,H421,I421),0)))))</f>
        <v>12372.281858389495</v>
      </c>
      <c r="M421" s="313" t="s">
        <v>7</v>
      </c>
      <c r="N421" s="177">
        <f>'Cost input'!O309</f>
        <v>11062.529739130434</v>
      </c>
      <c r="O421" s="177">
        <f>'Cost input'!P309</f>
        <v>5309.8663769321774</v>
      </c>
      <c r="P421" s="177">
        <f>'Cost input'!Q309</f>
        <v>18805.776751634785</v>
      </c>
      <c r="Q421" s="156">
        <f t="shared" si="279"/>
        <v>3442.8342792608692</v>
      </c>
      <c r="R421" s="161" t="s">
        <v>575</v>
      </c>
      <c r="S421" s="162">
        <f t="shared" si="276"/>
        <v>10.32468155401695</v>
      </c>
      <c r="T421" s="162">
        <f t="shared" si="277"/>
        <v>1071.4644980819205</v>
      </c>
      <c r="U421" s="70">
        <f ca="1">IF(Q421=0,N421,IF(R421="Beta",_xlfn.BETA.INV(U415,S421,T421),IF(R421="Lognormal",EXP(NORMINV(U415,S421,T421)),IF(R421="Gamma",_xlfn.GAMMA.INV(U415,S421,T421),IF(R421="Normal",_xlfn.NORM.INV(U415,S421,T421),0)))))</f>
        <v>7182.080851786568</v>
      </c>
    </row>
    <row r="422" spans="2:21" s="296" customFormat="1" ht="15" customHeight="1" x14ac:dyDescent="0.3">
      <c r="B422" s="313" t="s">
        <v>11</v>
      </c>
      <c r="C422" s="177">
        <f>'Cost input'!O255</f>
        <v>11460.077391304349</v>
      </c>
      <c r="D422" s="177">
        <f>'Cost input'!P255</f>
        <v>5328.8825363184769</v>
      </c>
      <c r="E422" s="177">
        <f>'Cost input'!Q255</f>
        <v>16871.020777499991</v>
      </c>
      <c r="F422" s="156">
        <f t="shared" si="278"/>
        <v>2944.4230207095698</v>
      </c>
      <c r="G422" s="161" t="s">
        <v>575</v>
      </c>
      <c r="H422" s="162">
        <f t="shared" si="274"/>
        <v>15.148676517753989</v>
      </c>
      <c r="I422" s="162">
        <f t="shared" si="275"/>
        <v>756.50683925248075</v>
      </c>
      <c r="J422" s="70">
        <f ca="1">IF(F422=0,C422,IF(G422="Beta",_xlfn.BETA.INV(J415,H422,I422),IF(G422="Lognormal",EXP(NORMINV(J415,H422,I422)),IF(G422="Gamma",_xlfn.GAMMA.INV(J415,H422,I422),IF(G422="Normal",_xlfn.NORM.INV(J415,H422,I422),0)))))</f>
        <v>12629.13678895368</v>
      </c>
      <c r="M422" s="313" t="s">
        <v>11</v>
      </c>
      <c r="N422" s="177">
        <f>'Cost input'!O310</f>
        <v>11460.077391304349</v>
      </c>
      <c r="O422" s="177">
        <f>'Cost input'!P310</f>
        <v>5328.8825363184769</v>
      </c>
      <c r="P422" s="177">
        <f>'Cost input'!Q310</f>
        <v>16871.020777499991</v>
      </c>
      <c r="Q422" s="156">
        <f t="shared" si="279"/>
        <v>2944.4230207095698</v>
      </c>
      <c r="R422" s="161" t="s">
        <v>575</v>
      </c>
      <c r="S422" s="162">
        <f t="shared" si="276"/>
        <v>15.148676517753989</v>
      </c>
      <c r="T422" s="162">
        <f t="shared" si="277"/>
        <v>756.50683925248075</v>
      </c>
      <c r="U422" s="70">
        <f ca="1">IF(Q422=0,N422,IF(R422="Beta",_xlfn.BETA.INV(U415,S422,T422),IF(R422="Lognormal",EXP(NORMINV(U415,S422,T422)),IF(R422="Gamma",_xlfn.GAMMA.INV(U415,S422,T422),IF(R422="Normal",_xlfn.NORM.INV(U415,S422,T422),0)))))</f>
        <v>8102.7753139092338</v>
      </c>
    </row>
    <row r="423" spans="2:21" s="296" customFormat="1" x14ac:dyDescent="0.3">
      <c r="B423" s="315" t="s">
        <v>1444</v>
      </c>
      <c r="C423"/>
      <c r="D423"/>
      <c r="E423"/>
      <c r="F423" s="698"/>
      <c r="G423"/>
      <c r="H423" s="141"/>
      <c r="I423" s="141"/>
      <c r="J423" s="291">
        <f ca="1">RAND()</f>
        <v>0.20110752170520452</v>
      </c>
      <c r="M423" s="315" t="s">
        <v>1444</v>
      </c>
      <c r="N423"/>
      <c r="O423"/>
      <c r="P423"/>
      <c r="Q423" s="698"/>
      <c r="R423"/>
      <c r="S423" s="141"/>
      <c r="T423" s="141"/>
      <c r="U423" s="291">
        <f ca="1">RAND()</f>
        <v>0.8740704790943794</v>
      </c>
    </row>
    <row r="424" spans="2:21" s="296" customFormat="1" x14ac:dyDescent="0.3">
      <c r="B424" s="313" t="s">
        <v>2</v>
      </c>
      <c r="C424" s="177">
        <f>'Cost input'!O257</f>
        <v>11761.06202173913</v>
      </c>
      <c r="D424" s="177">
        <f>'Cost input'!P257</f>
        <v>5380.7032865204328</v>
      </c>
      <c r="E424" s="177">
        <f>'Cost input'!Q257</f>
        <v>20434.91138869779</v>
      </c>
      <c r="F424" s="156">
        <f t="shared" ref="F424:F430" si="280">(E424-D424)/(2*1.96)</f>
        <v>3840.359209739122</v>
      </c>
      <c r="G424" s="161" t="s">
        <v>575</v>
      </c>
      <c r="H424" s="162">
        <f t="shared" ref="H424:H430" si="281">IF(G424="Beta",C424*(C424*(1-C424)/(F424^2)-1),IF(G424="Lognormal",LN(C424^2/SQRT(F424^2+C424^2)),IF(G424="Gamma",C424^2/F424^2,IF(G424="Normal",C424,0))))</f>
        <v>9.3788455511453961</v>
      </c>
      <c r="I424" s="162">
        <f t="shared" ref="I424:I430" si="282">IF(G424="Beta",C424*(1-C424)/(F424^2)-1-H424,IF(G424="Lognormal",SQRT(LN(1+F424^2/C424^2)),IF(G424="Gamma",F424^2/C424,IF(G424="Normal",F424,0))))</f>
        <v>1253.9989018480856</v>
      </c>
      <c r="J424" s="70">
        <f ca="1">IF(F424=0,C424,IF(G424="Beta",_xlfn.BETA.INV(J423,H424,I424),IF(G424="Lognormal",EXP(NORMINV(J423,H424,I424)),IF(G424="Gamma",_xlfn.GAMMA.INV(J423,H424,I424),IF(G424="Normal",_xlfn.NORM.INV(J423,H424,I424),0)))))</f>
        <v>8481.2737336374321</v>
      </c>
      <c r="M424" s="313" t="s">
        <v>2</v>
      </c>
      <c r="N424" s="177">
        <f>'Cost input'!O312</f>
        <v>11761.06202173913</v>
      </c>
      <c r="O424" s="177">
        <f>'Cost input'!P312</f>
        <v>5380.7032865204328</v>
      </c>
      <c r="P424" s="177">
        <f>'Cost input'!Q312</f>
        <v>20434.91138869779</v>
      </c>
      <c r="Q424" s="156">
        <f t="shared" ref="Q424:Q430" si="283">(P424-O424)/(2*1.96)</f>
        <v>3840.359209739122</v>
      </c>
      <c r="R424" s="161" t="s">
        <v>575</v>
      </c>
      <c r="S424" s="162">
        <f t="shared" ref="S424:S430" si="284">IF(R424="Beta",N424*(N424*(1-N424)/(Q424^2)-1),IF(R424="Lognormal",LN(N424^2/SQRT(Q424^2+N424^2)),IF(R424="Gamma",N424^2/Q424^2,IF(R424="Normal",N424,0))))</f>
        <v>9.3788455511453961</v>
      </c>
      <c r="T424" s="162">
        <f t="shared" ref="T424:T430" si="285">IF(R424="Beta",N424*(1-N424)/(Q424^2)-1-S424,IF(R424="Lognormal",SQRT(LN(1+Q424^2/N424^2)),IF(R424="Gamma",Q424^2/N424,IF(R424="Normal",Q424,0))))</f>
        <v>1253.9989018480856</v>
      </c>
      <c r="U424" s="70">
        <f ca="1">IF(Q424=0,N424,IF(R424="Beta",_xlfn.BETA.INV(U423,S424,T424),IF(R424="Lognormal",EXP(NORMINV(U423,S424,T424)),IF(R424="Gamma",_xlfn.GAMMA.INV(U423,S424,T424),IF(R424="Normal",_xlfn.NORM.INV(U423,S424,T424),0)))))</f>
        <v>16218.397444402803</v>
      </c>
    </row>
    <row r="425" spans="2:21" s="296" customFormat="1" x14ac:dyDescent="0.3">
      <c r="B425" s="313" t="s">
        <v>3</v>
      </c>
      <c r="C425" s="177">
        <f>'Cost input'!O258</f>
        <v>11761.06202173913</v>
      </c>
      <c r="D425" s="177">
        <f>'Cost input'!P258</f>
        <v>5380.7032865204328</v>
      </c>
      <c r="E425" s="177">
        <f>'Cost input'!Q258</f>
        <v>20434.91138869779</v>
      </c>
      <c r="F425" s="156">
        <f t="shared" si="280"/>
        <v>3840.359209739122</v>
      </c>
      <c r="G425" s="161" t="s">
        <v>575</v>
      </c>
      <c r="H425" s="162">
        <f t="shared" si="281"/>
        <v>9.3788455511453961</v>
      </c>
      <c r="I425" s="162">
        <f t="shared" si="282"/>
        <v>1253.9989018480856</v>
      </c>
      <c r="J425" s="70">
        <f ca="1">IF(F425=0,C425,IF(G425="Beta",_xlfn.BETA.INV(J423,H425,I425),IF(G425="Lognormal",EXP(NORMINV(J423,H425,I425)),IF(G425="Gamma",_xlfn.GAMMA.INV(J423,H425,I425),IF(G425="Normal",_xlfn.NORM.INV(J423,H425,I425),0)))))</f>
        <v>8481.2737336374321</v>
      </c>
      <c r="M425" s="313" t="s">
        <v>3</v>
      </c>
      <c r="N425" s="177">
        <f>'Cost input'!O313</f>
        <v>11761.06202173913</v>
      </c>
      <c r="O425" s="177">
        <f>'Cost input'!P313</f>
        <v>5380.7032865204328</v>
      </c>
      <c r="P425" s="177">
        <f>'Cost input'!Q313</f>
        <v>20434.91138869779</v>
      </c>
      <c r="Q425" s="156">
        <f t="shared" si="283"/>
        <v>3840.359209739122</v>
      </c>
      <c r="R425" s="161" t="s">
        <v>575</v>
      </c>
      <c r="S425" s="162">
        <f t="shared" si="284"/>
        <v>9.3788455511453961</v>
      </c>
      <c r="T425" s="162">
        <f t="shared" si="285"/>
        <v>1253.9989018480856</v>
      </c>
      <c r="U425" s="70">
        <f ca="1">IF(Q425=0,N425,IF(R425="Beta",_xlfn.BETA.INV(U423,S425,T425),IF(R425="Lognormal",EXP(NORMINV(U423,S425,T425)),IF(R425="Gamma",_xlfn.GAMMA.INV(U423,S425,T425),IF(R425="Normal",_xlfn.NORM.INV(U423,S425,T425),0)))))</f>
        <v>16218.397444402803</v>
      </c>
    </row>
    <row r="426" spans="2:21" s="296" customFormat="1" x14ac:dyDescent="0.3">
      <c r="B426" s="313" t="s">
        <v>4</v>
      </c>
      <c r="C426" s="177">
        <f>'Cost input'!O259</f>
        <v>11761.06202173913</v>
      </c>
      <c r="D426" s="177">
        <f>'Cost input'!P259</f>
        <v>5380.7032865204328</v>
      </c>
      <c r="E426" s="177">
        <f>'Cost input'!Q259</f>
        <v>20434.91138869779</v>
      </c>
      <c r="F426" s="156">
        <f t="shared" si="280"/>
        <v>3840.359209739122</v>
      </c>
      <c r="G426" s="161" t="s">
        <v>575</v>
      </c>
      <c r="H426" s="162">
        <f t="shared" si="281"/>
        <v>9.3788455511453961</v>
      </c>
      <c r="I426" s="162">
        <f t="shared" si="282"/>
        <v>1253.9989018480856</v>
      </c>
      <c r="J426" s="70">
        <f ca="1">IF(F426=0,C426,IF(G426="Beta",_xlfn.BETA.INV(J423,H426,I426),IF(G426="Lognormal",EXP(NORMINV(J423,H426,I426)),IF(G426="Gamma",_xlfn.GAMMA.INV(J423,H426,I426),IF(G426="Normal",_xlfn.NORM.INV(J423,H426,I426),0)))))</f>
        <v>8481.2737336374321</v>
      </c>
      <c r="M426" s="313" t="s">
        <v>4</v>
      </c>
      <c r="N426" s="177">
        <f>'Cost input'!O314</f>
        <v>11761.06202173913</v>
      </c>
      <c r="O426" s="177">
        <f>'Cost input'!P314</f>
        <v>5380.7032865204328</v>
      </c>
      <c r="P426" s="177">
        <f>'Cost input'!Q314</f>
        <v>20434.91138869779</v>
      </c>
      <c r="Q426" s="156">
        <f t="shared" si="283"/>
        <v>3840.359209739122</v>
      </c>
      <c r="R426" s="161" t="s">
        <v>575</v>
      </c>
      <c r="S426" s="162">
        <f t="shared" si="284"/>
        <v>9.3788455511453961</v>
      </c>
      <c r="T426" s="162">
        <f t="shared" si="285"/>
        <v>1253.9989018480856</v>
      </c>
      <c r="U426" s="70">
        <f ca="1">IF(Q426=0,N426,IF(R426="Beta",_xlfn.BETA.INV(U423,S426,T426),IF(R426="Lognormal",EXP(NORMINV(U423,S426,T426)),IF(R426="Gamma",_xlfn.GAMMA.INV(U423,S426,T426),IF(R426="Normal",_xlfn.NORM.INV(U423,S426,T426),0)))))</f>
        <v>16218.397444402803</v>
      </c>
    </row>
    <row r="427" spans="2:21" s="296" customFormat="1" x14ac:dyDescent="0.3">
      <c r="B427" s="313" t="s">
        <v>5</v>
      </c>
      <c r="C427" s="177">
        <f>'Cost input'!O260</f>
        <v>11761.06202173913</v>
      </c>
      <c r="D427" s="177">
        <f>'Cost input'!P260</f>
        <v>5380.7032865204328</v>
      </c>
      <c r="E427" s="177">
        <f>'Cost input'!Q260</f>
        <v>20434.91138869779</v>
      </c>
      <c r="F427" s="156">
        <f t="shared" si="280"/>
        <v>3840.359209739122</v>
      </c>
      <c r="G427" s="161" t="s">
        <v>575</v>
      </c>
      <c r="H427" s="162">
        <f t="shared" si="281"/>
        <v>9.3788455511453961</v>
      </c>
      <c r="I427" s="162">
        <f t="shared" si="282"/>
        <v>1253.9989018480856</v>
      </c>
      <c r="J427" s="70">
        <f ca="1">IF(F427=0,C427,IF(G427="Beta",_xlfn.BETA.INV(J423,H427,I427),IF(G427="Lognormal",EXP(NORMINV(J423,H427,I427)),IF(G427="Gamma",_xlfn.GAMMA.INV(J423,H427,I427),IF(G427="Normal",_xlfn.NORM.INV(J423,H427,I427),0)))))</f>
        <v>8481.2737336374321</v>
      </c>
      <c r="M427" s="313" t="s">
        <v>5</v>
      </c>
      <c r="N427" s="177">
        <f>'Cost input'!O315</f>
        <v>11761.06202173913</v>
      </c>
      <c r="O427" s="177">
        <f>'Cost input'!P315</f>
        <v>5380.7032865204328</v>
      </c>
      <c r="P427" s="177">
        <f>'Cost input'!Q315</f>
        <v>20434.91138869779</v>
      </c>
      <c r="Q427" s="156">
        <f t="shared" si="283"/>
        <v>3840.359209739122</v>
      </c>
      <c r="R427" s="161" t="s">
        <v>575</v>
      </c>
      <c r="S427" s="162">
        <f t="shared" si="284"/>
        <v>9.3788455511453961</v>
      </c>
      <c r="T427" s="162">
        <f t="shared" si="285"/>
        <v>1253.9989018480856</v>
      </c>
      <c r="U427" s="70">
        <f ca="1">IF(Q427=0,N427,IF(R427="Beta",_xlfn.BETA.INV(U423,S427,T427),IF(R427="Lognormal",EXP(NORMINV(U423,S427,T427)),IF(R427="Gamma",_xlfn.GAMMA.INV(U423,S427,T427),IF(R427="Normal",_xlfn.NORM.INV(U423,S427,T427),0)))))</f>
        <v>16218.397444402803</v>
      </c>
    </row>
    <row r="428" spans="2:21" s="296" customFormat="1" x14ac:dyDescent="0.3">
      <c r="B428" s="313" t="s">
        <v>6</v>
      </c>
      <c r="C428" s="177">
        <f>'Cost input'!O261</f>
        <v>11761.06202173913</v>
      </c>
      <c r="D428" s="177">
        <f>'Cost input'!P261</f>
        <v>5380.7032865204328</v>
      </c>
      <c r="E428" s="177">
        <f>'Cost input'!Q261</f>
        <v>20434.91138869779</v>
      </c>
      <c r="F428" s="156">
        <f t="shared" si="280"/>
        <v>3840.359209739122</v>
      </c>
      <c r="G428" s="161" t="s">
        <v>575</v>
      </c>
      <c r="H428" s="162">
        <f t="shared" si="281"/>
        <v>9.3788455511453961</v>
      </c>
      <c r="I428" s="162">
        <f t="shared" si="282"/>
        <v>1253.9989018480856</v>
      </c>
      <c r="J428" s="70">
        <f ca="1">IF(F428=0,C428,IF(G428="Beta",_xlfn.BETA.INV(J423,H428,I428),IF(G428="Lognormal",EXP(NORMINV(J423,H428,I428)),IF(G428="Gamma",_xlfn.GAMMA.INV(J423,H428,I428),IF(G428="Normal",_xlfn.NORM.INV(J423,H428,I428),0)))))</f>
        <v>8481.2737336374321</v>
      </c>
      <c r="M428" s="313" t="s">
        <v>6</v>
      </c>
      <c r="N428" s="177">
        <f>'Cost input'!O316</f>
        <v>11761.06202173913</v>
      </c>
      <c r="O428" s="177">
        <f>'Cost input'!P316</f>
        <v>5380.7032865204328</v>
      </c>
      <c r="P428" s="177">
        <f>'Cost input'!Q316</f>
        <v>20434.91138869779</v>
      </c>
      <c r="Q428" s="156">
        <f t="shared" si="283"/>
        <v>3840.359209739122</v>
      </c>
      <c r="R428" s="161" t="s">
        <v>575</v>
      </c>
      <c r="S428" s="162">
        <f t="shared" si="284"/>
        <v>9.3788455511453961</v>
      </c>
      <c r="T428" s="162">
        <f t="shared" si="285"/>
        <v>1253.9989018480856</v>
      </c>
      <c r="U428" s="70">
        <f ca="1">IF(Q428=0,N428,IF(R428="Beta",_xlfn.BETA.INV(U423,S428,T428),IF(R428="Lognormal",EXP(NORMINV(U423,S428,T428)),IF(R428="Gamma",_xlfn.GAMMA.INV(U423,S428,T428),IF(R428="Normal",_xlfn.NORM.INV(U423,S428,T428),0)))))</f>
        <v>16218.397444402803</v>
      </c>
    </row>
    <row r="429" spans="2:21" s="296" customFormat="1" x14ac:dyDescent="0.3">
      <c r="B429" s="313" t="s">
        <v>7</v>
      </c>
      <c r="C429" s="177">
        <f>'Cost input'!O262</f>
        <v>11761.06202173913</v>
      </c>
      <c r="D429" s="177">
        <f>'Cost input'!P262</f>
        <v>5380.7032865204328</v>
      </c>
      <c r="E429" s="177">
        <f>'Cost input'!Q262</f>
        <v>20434.91138869779</v>
      </c>
      <c r="F429" s="156">
        <f t="shared" si="280"/>
        <v>3840.359209739122</v>
      </c>
      <c r="G429" s="161" t="s">
        <v>575</v>
      </c>
      <c r="H429" s="162">
        <f t="shared" si="281"/>
        <v>9.3788455511453961</v>
      </c>
      <c r="I429" s="162">
        <f t="shared" si="282"/>
        <v>1253.9989018480856</v>
      </c>
      <c r="J429" s="70">
        <f ca="1">IF(F429=0,C429,IF(G429="Beta",_xlfn.BETA.INV(J423,H429,I429),IF(G429="Lognormal",EXP(NORMINV(J423,H429,I429)),IF(G429="Gamma",_xlfn.GAMMA.INV(J423,H429,I429),IF(G429="Normal",_xlfn.NORM.INV(J423,H429,I429),0)))))</f>
        <v>8481.2737336374321</v>
      </c>
      <c r="M429" s="313" t="s">
        <v>7</v>
      </c>
      <c r="N429" s="177">
        <f>'Cost input'!O317</f>
        <v>11761.06202173913</v>
      </c>
      <c r="O429" s="177">
        <f>'Cost input'!P317</f>
        <v>5380.7032865204328</v>
      </c>
      <c r="P429" s="177">
        <f>'Cost input'!Q317</f>
        <v>20434.91138869779</v>
      </c>
      <c r="Q429" s="156">
        <f t="shared" si="283"/>
        <v>3840.359209739122</v>
      </c>
      <c r="R429" s="161" t="s">
        <v>575</v>
      </c>
      <c r="S429" s="162">
        <f t="shared" si="284"/>
        <v>9.3788455511453961</v>
      </c>
      <c r="T429" s="162">
        <f t="shared" si="285"/>
        <v>1253.9989018480856</v>
      </c>
      <c r="U429" s="70">
        <f ca="1">IF(Q429=0,N429,IF(R429="Beta",_xlfn.BETA.INV(U423,S429,T429),IF(R429="Lognormal",EXP(NORMINV(U423,S429,T429)),IF(R429="Gamma",_xlfn.GAMMA.INV(U423,S429,T429),IF(R429="Normal",_xlfn.NORM.INV(U423,S429,T429),0)))))</f>
        <v>16218.397444402803</v>
      </c>
    </row>
    <row r="430" spans="2:21" s="296" customFormat="1" x14ac:dyDescent="0.3">
      <c r="B430" s="313" t="s">
        <v>11</v>
      </c>
      <c r="C430" s="177">
        <f>'Cost input'!O263</f>
        <v>11761.06202173913</v>
      </c>
      <c r="D430" s="177">
        <f>'Cost input'!P263</f>
        <v>5380.7032865204328</v>
      </c>
      <c r="E430" s="177">
        <f>'Cost input'!Q263</f>
        <v>20434.91138869779</v>
      </c>
      <c r="F430" s="156">
        <f t="shared" si="280"/>
        <v>3840.359209739122</v>
      </c>
      <c r="G430" s="161" t="s">
        <v>575</v>
      </c>
      <c r="H430" s="162">
        <f t="shared" si="281"/>
        <v>9.3788455511453961</v>
      </c>
      <c r="I430" s="162">
        <f t="shared" si="282"/>
        <v>1253.9989018480856</v>
      </c>
      <c r="J430" s="70">
        <f ca="1">IF(F430=0,C430,IF(G430="Beta",_xlfn.BETA.INV(J423,H430,I430),IF(G430="Lognormal",EXP(NORMINV(J423,H430,I430)),IF(G430="Gamma",_xlfn.GAMMA.INV(J423,H430,I430),IF(G430="Normal",_xlfn.NORM.INV(J423,H430,I430),0)))))</f>
        <v>8481.2737336374321</v>
      </c>
      <c r="M430" s="313" t="s">
        <v>11</v>
      </c>
      <c r="N430" s="177">
        <f>'Cost input'!O318</f>
        <v>11761.06202173913</v>
      </c>
      <c r="O430" s="177">
        <f>'Cost input'!P318</f>
        <v>5380.7032865204328</v>
      </c>
      <c r="P430" s="177">
        <f>'Cost input'!Q318</f>
        <v>20434.91138869779</v>
      </c>
      <c r="Q430" s="156">
        <f t="shared" si="283"/>
        <v>3840.359209739122</v>
      </c>
      <c r="R430" s="161" t="s">
        <v>575</v>
      </c>
      <c r="S430" s="162">
        <f t="shared" si="284"/>
        <v>9.3788455511453961</v>
      </c>
      <c r="T430" s="162">
        <f t="shared" si="285"/>
        <v>1253.9989018480856</v>
      </c>
      <c r="U430" s="70">
        <f ca="1">IF(Q430=0,N430,IF(R430="Beta",_xlfn.BETA.INV(U423,S430,T430),IF(R430="Lognormal",EXP(NORMINV(U423,S430,T430)),IF(R430="Gamma",_xlfn.GAMMA.INV(U423,S430,T430),IF(R430="Normal",_xlfn.NORM.INV(U423,S430,T430),0)))))</f>
        <v>16218.397444402803</v>
      </c>
    </row>
    <row r="431" spans="2:21" s="296" customFormat="1" ht="15" customHeight="1" x14ac:dyDescent="0.3">
      <c r="B431" s="207" t="s">
        <v>227</v>
      </c>
      <c r="C431"/>
      <c r="D431"/>
      <c r="E431"/>
      <c r="F431" s="698"/>
      <c r="G431"/>
      <c r="H431" s="162"/>
      <c r="I431" s="162"/>
      <c r="J431" s="291">
        <f ca="1">RAND()</f>
        <v>0.1106973239602288</v>
      </c>
      <c r="M431" s="207" t="s">
        <v>227</v>
      </c>
      <c r="N431"/>
      <c r="O431"/>
      <c r="P431"/>
      <c r="Q431" s="698"/>
      <c r="R431"/>
      <c r="S431" s="162"/>
      <c r="T431" s="162"/>
      <c r="U431" s="291">
        <f ca="1">RAND()</f>
        <v>1.4941183843400929E-2</v>
      </c>
    </row>
    <row r="432" spans="2:21" s="296" customFormat="1" ht="15" customHeight="1" x14ac:dyDescent="0.3">
      <c r="B432" s="206" t="s">
        <v>1437</v>
      </c>
      <c r="C432" s="177">
        <f>'Cost input'!O265</f>
        <v>12523.44236956522</v>
      </c>
      <c r="D432" s="177">
        <f>'Cost input'!P265</f>
        <v>4038.7397262586951</v>
      </c>
      <c r="E432" s="177">
        <f>'Cost input'!Q265</f>
        <v>24576.827016380466</v>
      </c>
      <c r="F432" s="156">
        <f t="shared" ref="F432:F435" si="286">(E432-D432)/(2*1.96)</f>
        <v>5239.3079821739211</v>
      </c>
      <c r="G432" s="161" t="s">
        <v>575</v>
      </c>
      <c r="H432" s="162">
        <f t="shared" ref="H432:H435" si="287">IF(G432="Beta",C432*(C432*(1-C432)/(F432^2)-1),IF(G432="Lognormal",LN(C432^2/SQRT(F432^2+C432^2)),IF(G432="Gamma",C432^2/F432^2,IF(G432="Normal",C432,0))))</f>
        <v>5.7134652001219148</v>
      </c>
      <c r="I432" s="162">
        <f t="shared" ref="I432:I435" si="288">IF(G432="Beta",C432*(1-C432)/(F432^2)-1-H432,IF(G432="Lognormal",SQRT(LN(1+F432^2/C432^2)),IF(G432="Gamma",F432^2/C432,IF(G432="Normal",F432,0))))</f>
        <v>2191.9171520110062</v>
      </c>
      <c r="J432" s="70">
        <f ca="1">IF(F432=0,C432,IF(G432="Beta",_xlfn.BETA.INV(J431,H432,I432),IF(G432="Lognormal",EXP(NORMINV(J431,H432,I432)),IF(G432="Gamma",_xlfn.GAMMA.INV(J431,H432,I432),IF(G432="Normal",_xlfn.NORM.INV(J431,H432,I432),0)))))</f>
        <v>6649.2807992703965</v>
      </c>
      <c r="M432" s="206" t="s">
        <v>1437</v>
      </c>
      <c r="N432" s="177">
        <f>'Cost input'!O320</f>
        <v>12523.44236956522</v>
      </c>
      <c r="O432" s="177">
        <f>'Cost input'!P320</f>
        <v>4038.7397262586951</v>
      </c>
      <c r="P432" s="177">
        <f>'Cost input'!Q320</f>
        <v>24576.827016380466</v>
      </c>
      <c r="Q432" s="156">
        <f t="shared" ref="Q432:Q435" si="289">(P432-O432)/(2*1.96)</f>
        <v>5239.3079821739211</v>
      </c>
      <c r="R432" s="161" t="s">
        <v>575</v>
      </c>
      <c r="S432" s="162">
        <f t="shared" ref="S432:S435" si="290">IF(R432="Beta",N432*(N432*(1-N432)/(Q432^2)-1),IF(R432="Lognormal",LN(N432^2/SQRT(Q432^2+N432^2)),IF(R432="Gamma",N432^2/Q432^2,IF(R432="Normal",N432,0))))</f>
        <v>5.7134652001219148</v>
      </c>
      <c r="T432" s="162">
        <f t="shared" ref="T432:T435" si="291">IF(R432="Beta",N432*(1-N432)/(Q432^2)-1-S432,IF(R432="Lognormal",SQRT(LN(1+Q432^2/N432^2)),IF(R432="Gamma",Q432^2/N432,IF(R432="Normal",Q432,0))))</f>
        <v>2191.9171520110062</v>
      </c>
      <c r="U432" s="70">
        <f ca="1">IF(Q432=0,N432,IF(R432="Beta",_xlfn.BETA.INV(U431,S432,T432),IF(R432="Lognormal",EXP(NORMINV(U431,S432,T432)),IF(R432="Gamma",_xlfn.GAMMA.INV(U431,S432,T432),IF(R432="Normal",_xlfn.NORM.INV(U431,S432,T432),0)))))</f>
        <v>3935.8008917277593</v>
      </c>
    </row>
    <row r="433" spans="2:23" s="296" customFormat="1" ht="15" customHeight="1" x14ac:dyDescent="0.3">
      <c r="B433" s="206" t="s">
        <v>1438</v>
      </c>
      <c r="C433" s="177">
        <f>'Cost input'!O266</f>
        <v>12523.44236956522</v>
      </c>
      <c r="D433" s="177">
        <f>'Cost input'!P266</f>
        <v>4038.7397262586951</v>
      </c>
      <c r="E433" s="177">
        <f>'Cost input'!Q266</f>
        <v>24576.827016380466</v>
      </c>
      <c r="F433" s="156">
        <f t="shared" si="286"/>
        <v>5239.3079821739211</v>
      </c>
      <c r="G433" s="161" t="s">
        <v>575</v>
      </c>
      <c r="H433" s="162">
        <f t="shared" si="287"/>
        <v>5.7134652001219148</v>
      </c>
      <c r="I433" s="162">
        <f t="shared" si="288"/>
        <v>2191.9171520110062</v>
      </c>
      <c r="J433" s="70">
        <f ca="1">IF(F433=0,C433,IF(G433="Beta",_xlfn.BETA.INV(J431,H433,I433),IF(G433="Lognormal",EXP(NORMINV(J431,H433,I433)),IF(G433="Gamma",_xlfn.GAMMA.INV(J431,H433,I433),IF(G433="Normal",_xlfn.NORM.INV(J431,H433,I433),0)))))</f>
        <v>6649.2807992703965</v>
      </c>
      <c r="M433" s="206" t="s">
        <v>1438</v>
      </c>
      <c r="N433" s="177">
        <f>'Cost input'!O321</f>
        <v>12523.44236956522</v>
      </c>
      <c r="O433" s="177">
        <f>'Cost input'!P321</f>
        <v>4038.7397262586951</v>
      </c>
      <c r="P433" s="177">
        <f>'Cost input'!Q321</f>
        <v>24576.827016380466</v>
      </c>
      <c r="Q433" s="156">
        <f t="shared" si="289"/>
        <v>5239.3079821739211</v>
      </c>
      <c r="R433" s="161" t="s">
        <v>575</v>
      </c>
      <c r="S433" s="162">
        <f t="shared" si="290"/>
        <v>5.7134652001219148</v>
      </c>
      <c r="T433" s="162">
        <f t="shared" si="291"/>
        <v>2191.9171520110062</v>
      </c>
      <c r="U433" s="70">
        <f ca="1">IF(Q433=0,N433,IF(R433="Beta",_xlfn.BETA.INV(U431,S433,T433),IF(R433="Lognormal",EXP(NORMINV(U431,S433,T433)),IF(R433="Gamma",_xlfn.GAMMA.INV(U431,S433,T433),IF(R433="Normal",_xlfn.NORM.INV(U431,S433,T433),0)))))</f>
        <v>3935.8008917277593</v>
      </c>
    </row>
    <row r="434" spans="2:23" s="296" customFormat="1" ht="15" customHeight="1" x14ac:dyDescent="0.3">
      <c r="B434" s="206" t="s">
        <v>1441</v>
      </c>
      <c r="C434" s="177">
        <f>'Cost input'!O267</f>
        <v>8595.6321956521733</v>
      </c>
      <c r="D434" s="177">
        <f>'Cost input'!P267</f>
        <v>3416.6498527030458</v>
      </c>
      <c r="E434" s="177">
        <f>'Cost input'!Q267</f>
        <v>15793.947432306521</v>
      </c>
      <c r="F434" s="156">
        <f t="shared" si="286"/>
        <v>3157.4738723478254</v>
      </c>
      <c r="G434" s="161" t="s">
        <v>575</v>
      </c>
      <c r="H434" s="162">
        <f t="shared" si="287"/>
        <v>7.4109881144564005</v>
      </c>
      <c r="I434" s="162">
        <f t="shared" si="288"/>
        <v>1159.8496803530049</v>
      </c>
      <c r="J434" s="70">
        <f ca="1">IF(F434=0,C434,IF(G434="Beta",_xlfn.BETA.INV(J431,H434,I434),IF(G434="Lognormal",EXP(NORMINV(J431,H434,I434)),IF(G434="Gamma",_xlfn.GAMMA.INV(J431,H434,I434),IF(G434="Normal",_xlfn.NORM.INV(J431,H434,I434),0)))))</f>
        <v>5005.4729012472699</v>
      </c>
      <c r="M434" s="206" t="s">
        <v>1441</v>
      </c>
      <c r="N434" s="177">
        <f>'Cost input'!O322</f>
        <v>8595.6321956521733</v>
      </c>
      <c r="O434" s="177">
        <f>'Cost input'!P322</f>
        <v>3416.6498527030458</v>
      </c>
      <c r="P434" s="177">
        <f>'Cost input'!Q322</f>
        <v>15793.947432306521</v>
      </c>
      <c r="Q434" s="156">
        <f t="shared" si="289"/>
        <v>3157.4738723478254</v>
      </c>
      <c r="R434" s="161" t="s">
        <v>575</v>
      </c>
      <c r="S434" s="162">
        <f t="shared" si="290"/>
        <v>7.4109881144564005</v>
      </c>
      <c r="T434" s="162">
        <f t="shared" si="291"/>
        <v>1159.8496803530049</v>
      </c>
      <c r="U434" s="70">
        <f ca="1">IF(Q434=0,N434,IF(R434="Beta",_xlfn.BETA.INV(U431,S434,T434),IF(R434="Lognormal",EXP(NORMINV(U431,S434,T434)),IF(R434="Gamma",_xlfn.GAMMA.INV(U431,S434,T434),IF(R434="Normal",_xlfn.NORM.INV(U431,S434,T434),0)))))</f>
        <v>3213.9403771071934</v>
      </c>
    </row>
    <row r="435" spans="2:23" s="296" customFormat="1" ht="15" customHeight="1" x14ac:dyDescent="0.3">
      <c r="B435" s="206" t="s">
        <v>1442</v>
      </c>
      <c r="C435" s="177">
        <f>'Cost input'!O268</f>
        <v>8595.6321956521733</v>
      </c>
      <c r="D435" s="177">
        <f>'Cost input'!P268</f>
        <v>3416.6498527030458</v>
      </c>
      <c r="E435" s="177">
        <f>'Cost input'!Q268</f>
        <v>15793.947432306521</v>
      </c>
      <c r="F435" s="156">
        <f t="shared" si="286"/>
        <v>3157.4738723478254</v>
      </c>
      <c r="G435" s="161" t="s">
        <v>575</v>
      </c>
      <c r="H435" s="162">
        <f t="shared" si="287"/>
        <v>7.4109881144564005</v>
      </c>
      <c r="I435" s="162">
        <f t="shared" si="288"/>
        <v>1159.8496803530049</v>
      </c>
      <c r="J435" s="70">
        <f ca="1">IF(F435=0,C435,IF(G435="Beta",_xlfn.BETA.INV(J431,H435,I435),IF(G435="Lognormal",EXP(NORMINV(J431,H435,I435)),IF(G435="Gamma",_xlfn.GAMMA.INV(J431,H435,I435),IF(G435="Normal",_xlfn.NORM.INV(J431,H435,I435),0)))))</f>
        <v>5005.4729012472699</v>
      </c>
      <c r="M435" s="206" t="s">
        <v>1442</v>
      </c>
      <c r="N435" s="177">
        <f>'Cost input'!O323</f>
        <v>8595.6321956521733</v>
      </c>
      <c r="O435" s="177">
        <f>'Cost input'!P323</f>
        <v>3416.6498527030458</v>
      </c>
      <c r="P435" s="177">
        <f>'Cost input'!Q323</f>
        <v>15793.947432306521</v>
      </c>
      <c r="Q435" s="156">
        <f t="shared" si="289"/>
        <v>3157.4738723478254</v>
      </c>
      <c r="R435" s="161" t="s">
        <v>575</v>
      </c>
      <c r="S435" s="162">
        <f t="shared" si="290"/>
        <v>7.4109881144564005</v>
      </c>
      <c r="T435" s="162">
        <f t="shared" si="291"/>
        <v>1159.8496803530049</v>
      </c>
      <c r="U435" s="70">
        <f ca="1">IF(Q435=0,N435,IF(R435="Beta",_xlfn.BETA.INV(U431,S435,T435),IF(R435="Lognormal",EXP(NORMINV(U431,S435,T435)),IF(R435="Gamma",_xlfn.GAMMA.INV(U431,S435,T435),IF(R435="Normal",_xlfn.NORM.INV(U431,S435,T435),0)))))</f>
        <v>3213.9403771071934</v>
      </c>
    </row>
    <row r="436" spans="2:23" s="296" customFormat="1" ht="15" customHeight="1" x14ac:dyDescent="0.3">
      <c r="B436" s="207" t="s">
        <v>920</v>
      </c>
      <c r="C436"/>
      <c r="D436"/>
      <c r="E436"/>
      <c r="F436" s="698"/>
      <c r="G436"/>
      <c r="H436" s="162"/>
      <c r="I436" s="162"/>
      <c r="J436" s="291">
        <f ca="1">RAND()</f>
        <v>0.58038774431909168</v>
      </c>
      <c r="M436" s="207" t="s">
        <v>920</v>
      </c>
      <c r="N436"/>
      <c r="O436"/>
      <c r="P436"/>
      <c r="Q436" s="698"/>
      <c r="R436"/>
      <c r="S436" s="162"/>
      <c r="T436" s="162"/>
      <c r="U436" s="291">
        <f ca="1">RAND()</f>
        <v>0.68033388710209231</v>
      </c>
    </row>
    <row r="437" spans="2:23" s="296" customFormat="1" ht="15" customHeight="1" x14ac:dyDescent="0.3">
      <c r="B437" s="206" t="s">
        <v>920</v>
      </c>
      <c r="C437" s="177">
        <f>'Cost input'!O270</f>
        <v>11387.898260869566</v>
      </c>
      <c r="D437" s="177">
        <f>'Cost input'!P270</f>
        <v>5466.0389174301827</v>
      </c>
      <c r="E437" s="177">
        <f>'Cost input'!Q270</f>
        <v>19358.887832565219</v>
      </c>
      <c r="F437" s="156">
        <f t="shared" ref="F437:F438" si="292">(E437-D437)/(2*1.96)</f>
        <v>3544.0941110038361</v>
      </c>
      <c r="G437" s="161" t="s">
        <v>575</v>
      </c>
      <c r="H437" s="162">
        <f t="shared" ref="H437:H438" si="293">IF(G437="Beta",C437*(C437*(1-C437)/(F437^2)-1),IF(G437="Lognormal",LN(C437^2/SQRT(F437^2+C437^2)),IF(G437="Gamma",C437^2/F437^2,IF(G437="Normal",C437,0))))</f>
        <v>10.324681554016953</v>
      </c>
      <c r="I437" s="162">
        <f t="shared" ref="I437:I438" si="294">IF(G437="Beta",C437*(1-C437)/(F437^2)-1-H437,IF(G437="Lognormal",SQRT(LN(1+F437^2/C437^2)),IF(G437="Gamma",F437^2/C437,IF(G437="Normal",F437,0))))</f>
        <v>1102.9781597902122</v>
      </c>
      <c r="J437" s="70">
        <f ca="1">IF(F437=0,C437,IF(G437="Beta",_xlfn.BETA.INV(J436,H437,I437),IF(G437="Lognormal",EXP(NORMINV(J436,H437,I437)),IF(G437="Gamma",_xlfn.GAMMA.INV(J436,H437,I437),IF(G437="Normal",_xlfn.NORM.INV(J436,H437,I437),0)))))</f>
        <v>11743.028735196802</v>
      </c>
      <c r="M437" s="206" t="s">
        <v>920</v>
      </c>
      <c r="N437" s="177">
        <f>'Cost input'!O325</f>
        <v>11387.898260869566</v>
      </c>
      <c r="O437" s="177">
        <f>'Cost input'!P325</f>
        <v>5466.0389174301827</v>
      </c>
      <c r="P437" s="177">
        <f>'Cost input'!Q325</f>
        <v>19358.887832565219</v>
      </c>
      <c r="Q437" s="156">
        <f t="shared" ref="Q437:Q438" si="295">(P437-O437)/(2*1.96)</f>
        <v>3544.0941110038361</v>
      </c>
      <c r="R437" s="161" t="s">
        <v>575</v>
      </c>
      <c r="S437" s="162">
        <f t="shared" ref="S437:S438" si="296">IF(R437="Beta",N437*(N437*(1-N437)/(Q437^2)-1),IF(R437="Lognormal",LN(N437^2/SQRT(Q437^2+N437^2)),IF(R437="Gamma",N437^2/Q437^2,IF(R437="Normal",N437,0))))</f>
        <v>10.324681554016953</v>
      </c>
      <c r="T437" s="162">
        <f t="shared" ref="T437:T438" si="297">IF(R437="Beta",N437*(1-N437)/(Q437^2)-1-S437,IF(R437="Lognormal",SQRT(LN(1+Q437^2/N437^2)),IF(R437="Gamma",Q437^2/N437,IF(R437="Normal",Q437,0))))</f>
        <v>1102.9781597902122</v>
      </c>
      <c r="U437" s="70">
        <f ca="1">IF(Q437=0,N437,IF(R437="Beta",_xlfn.BETA.INV(U436,S437,T437),IF(R437="Lognormal",EXP(NORMINV(U436,S437,T437)),IF(R437="Gamma",_xlfn.GAMMA.INV(U436,S437,T437),IF(R437="Normal",_xlfn.NORM.INV(U436,S437,T437),0)))))</f>
        <v>12733.368608595008</v>
      </c>
    </row>
    <row r="438" spans="2:23" s="296" customFormat="1" ht="15" customHeight="1" x14ac:dyDescent="0.3">
      <c r="B438" s="206" t="s">
        <v>980</v>
      </c>
      <c r="C438" s="177">
        <f>'Cost input'!O271</f>
        <v>11387.898260869566</v>
      </c>
      <c r="D438" s="177">
        <f>'Cost input'!P271</f>
        <v>5466.0389174301827</v>
      </c>
      <c r="E438" s="177">
        <f>'Cost input'!Q271</f>
        <v>19358.887832565219</v>
      </c>
      <c r="F438" s="156">
        <f t="shared" si="292"/>
        <v>3544.0941110038361</v>
      </c>
      <c r="G438" s="161" t="s">
        <v>575</v>
      </c>
      <c r="H438" s="162">
        <f t="shared" si="293"/>
        <v>10.324681554016953</v>
      </c>
      <c r="I438" s="162">
        <f t="shared" si="294"/>
        <v>1102.9781597902122</v>
      </c>
      <c r="J438" s="70">
        <f ca="1">IF(F438=0,C438,IF(G438="Beta",_xlfn.BETA.INV(J436,H438,I438),IF(G438="Lognormal",EXP(NORMINV(J436,H438,I438)),IF(G438="Gamma",_xlfn.GAMMA.INV(J436,H438,I438),IF(G438="Normal",_xlfn.NORM.INV(J436,H438,I438),0)))))</f>
        <v>11743.028735196802</v>
      </c>
      <c r="M438" s="206" t="s">
        <v>980</v>
      </c>
      <c r="N438" s="177">
        <f>'Cost input'!O326</f>
        <v>11387.898260869566</v>
      </c>
      <c r="O438" s="177">
        <f>'Cost input'!P326</f>
        <v>5466.0389174301827</v>
      </c>
      <c r="P438" s="177">
        <f>'Cost input'!Q326</f>
        <v>19358.887832565219</v>
      </c>
      <c r="Q438" s="156">
        <f t="shared" si="295"/>
        <v>3544.0941110038361</v>
      </c>
      <c r="R438" s="161" t="s">
        <v>575</v>
      </c>
      <c r="S438" s="162">
        <f t="shared" si="296"/>
        <v>10.324681554016953</v>
      </c>
      <c r="T438" s="162">
        <f t="shared" si="297"/>
        <v>1102.9781597902122</v>
      </c>
      <c r="U438" s="70">
        <f ca="1">IF(Q438=0,N438,IF(R438="Beta",_xlfn.BETA.INV(U436,S438,T438),IF(R438="Lognormal",EXP(NORMINV(U436,S438,T438)),IF(R438="Gamma",_xlfn.GAMMA.INV(U436,S438,T438),IF(R438="Normal",_xlfn.NORM.INV(U436,S438,T438),0)))))</f>
        <v>12733.368608595008</v>
      </c>
    </row>
    <row r="440" spans="2:23" x14ac:dyDescent="0.3">
      <c r="B440" s="139" t="s">
        <v>966</v>
      </c>
      <c r="C440" s="139"/>
      <c r="D440" s="139"/>
      <c r="E440" s="139"/>
      <c r="F440" s="139"/>
      <c r="G440" s="578"/>
      <c r="H440" s="173"/>
      <c r="I440" s="173"/>
      <c r="J440" s="173"/>
      <c r="K440" s="173"/>
      <c r="L440" s="173"/>
      <c r="M440" s="139"/>
      <c r="N440" s="139"/>
      <c r="O440" s="139"/>
      <c r="P440" s="139"/>
      <c r="Q440" s="139"/>
      <c r="R440" s="578"/>
      <c r="S440" s="173"/>
      <c r="T440" s="173"/>
      <c r="U440" s="173"/>
      <c r="V440" s="173"/>
      <c r="W440" s="173"/>
    </row>
    <row r="441" spans="2:23" s="296" customFormat="1" ht="15" customHeight="1" x14ac:dyDescent="0.3">
      <c r="B441" s="206"/>
      <c r="C441" s="577"/>
      <c r="D441" s="577"/>
      <c r="E441" s="577"/>
      <c r="F441" s="577"/>
      <c r="G441" s="577"/>
      <c r="H441" s="162"/>
      <c r="I441" s="162"/>
      <c r="J441" s="70"/>
    </row>
    <row r="442" spans="2:23" x14ac:dyDescent="0.3">
      <c r="B442" s="175" t="s">
        <v>981</v>
      </c>
      <c r="C442" s="191" t="s">
        <v>565</v>
      </c>
      <c r="D442" s="175"/>
      <c r="E442" s="175"/>
      <c r="F442" s="175"/>
      <c r="G442" s="164"/>
      <c r="H442" s="84"/>
      <c r="I442" s="84"/>
      <c r="J442" s="84"/>
      <c r="M442" s="175" t="s">
        <v>981</v>
      </c>
      <c r="N442" s="191" t="s">
        <v>1497</v>
      </c>
      <c r="O442" s="175"/>
      <c r="P442" s="175"/>
      <c r="Q442" s="175"/>
      <c r="R442" s="164"/>
      <c r="S442" s="84"/>
      <c r="T442" s="84"/>
      <c r="U442" s="84"/>
    </row>
    <row r="443" spans="2:23" x14ac:dyDescent="0.3">
      <c r="B443" s="159" t="s">
        <v>905</v>
      </c>
      <c r="C443" s="73"/>
      <c r="D443" s="73"/>
      <c r="E443" s="73"/>
      <c r="F443" s="73"/>
      <c r="G443" s="73"/>
      <c r="H443" s="73"/>
      <c r="I443" s="73"/>
      <c r="J443" s="73"/>
      <c r="M443" s="159" t="s">
        <v>905</v>
      </c>
      <c r="N443" s="73"/>
      <c r="O443" s="73"/>
      <c r="P443" s="73"/>
      <c r="Q443" s="73"/>
      <c r="R443" s="73"/>
      <c r="S443" s="73"/>
      <c r="T443" s="73"/>
      <c r="U443" s="73"/>
    </row>
    <row r="444" spans="2:23" x14ac:dyDescent="0.3">
      <c r="B444" s="159" t="s">
        <v>1</v>
      </c>
      <c r="C444" s="159" t="s">
        <v>567</v>
      </c>
      <c r="D444" s="159" t="s">
        <v>985</v>
      </c>
      <c r="E444" s="159" t="s">
        <v>986</v>
      </c>
      <c r="F444" s="73" t="s">
        <v>584</v>
      </c>
      <c r="G444" s="73" t="s">
        <v>569</v>
      </c>
      <c r="H444" s="73" t="s">
        <v>581</v>
      </c>
      <c r="I444" s="73" t="s">
        <v>582</v>
      </c>
      <c r="J444" s="73" t="s">
        <v>583</v>
      </c>
      <c r="M444" s="159" t="s">
        <v>1</v>
      </c>
      <c r="N444" s="159" t="s">
        <v>567</v>
      </c>
      <c r="O444" s="159" t="s">
        <v>985</v>
      </c>
      <c r="P444" s="159" t="s">
        <v>986</v>
      </c>
      <c r="Q444" s="73" t="s">
        <v>584</v>
      </c>
      <c r="R444" s="73" t="s">
        <v>569</v>
      </c>
      <c r="S444" s="73" t="s">
        <v>581</v>
      </c>
      <c r="T444" s="73" t="s">
        <v>582</v>
      </c>
      <c r="U444" s="73" t="s">
        <v>583</v>
      </c>
    </row>
    <row r="445" spans="2:23" x14ac:dyDescent="0.3">
      <c r="B445" s="150" t="s">
        <v>988</v>
      </c>
      <c r="C445" s="197"/>
      <c r="D445" s="197"/>
      <c r="E445" s="197"/>
      <c r="J445" s="291">
        <f ca="1">RAND()</f>
        <v>0.74048121558388291</v>
      </c>
      <c r="M445" s="150" t="s">
        <v>988</v>
      </c>
      <c r="N445" s="197"/>
      <c r="O445" s="197"/>
      <c r="P445" s="197"/>
      <c r="U445" s="291">
        <f ca="1">RAND()</f>
        <v>0.37224784320165794</v>
      </c>
    </row>
    <row r="446" spans="2:23" x14ac:dyDescent="0.3">
      <c r="B446" s="31" t="s">
        <v>1082</v>
      </c>
      <c r="C446" s="177">
        <f>'Cost input'!O336</f>
        <v>0</v>
      </c>
      <c r="D446" s="177">
        <f>'Cost input'!P336</f>
        <v>0</v>
      </c>
      <c r="E446" s="177">
        <f>'Cost input'!Q336</f>
        <v>0</v>
      </c>
      <c r="F446" s="156">
        <f>(E446-D446)/(2*1.96)</f>
        <v>0</v>
      </c>
      <c r="G446" s="160" t="s">
        <v>575</v>
      </c>
      <c r="H446" s="162" t="e">
        <f t="shared" ref="H446:H452" si="298">IF(G446="Beta",C446*(C446*(1-C446)/(F446^2)-1),IF(G446="Lognormal",LN(C446^2/SQRT(F446^2+C446^2)),IF(G446="Gamma",C446^2/F446^2,IF(G446="Normal",C446,0))))</f>
        <v>#DIV/0!</v>
      </c>
      <c r="I446" s="162" t="e">
        <f t="shared" ref="I446:I452" si="299">IF(G446="Beta",C446*(1-C446)/(F446^2)-1-H446,IF(G446="Lognormal",SQRT(LN(1+F446^2/C446^2)),IF(G446="Gamma",F446^2/C446,IF(G446="Normal",F446,0))))</f>
        <v>#DIV/0!</v>
      </c>
      <c r="J446" s="70">
        <f>IF(F446=0,C446,IF(G446="Beta",_xlfn.BETA.INV(J445,H446,I446),IF(G446="Lognormal",EXP(NORMINV(J445,H446,I446)),IF(G446="Gamma",_xlfn.GAMMA.INV(J445,H446,I446),IF(G446="Normal",_xlfn.NORM.INV(J445,H446,I446),0)))))</f>
        <v>0</v>
      </c>
      <c r="M446" s="31" t="s">
        <v>1082</v>
      </c>
      <c r="N446" s="177">
        <f>'Cost input'!C363</f>
        <v>0</v>
      </c>
      <c r="O446" s="177">
        <f>'Cost input'!D363</f>
        <v>0</v>
      </c>
      <c r="P446" s="177">
        <f>'Cost input'!E363</f>
        <v>0</v>
      </c>
      <c r="Q446" s="156">
        <f>(P446-O446)/(2*1.96)</f>
        <v>0</v>
      </c>
      <c r="R446" s="160" t="s">
        <v>575</v>
      </c>
      <c r="S446" s="162" t="e">
        <f t="shared" ref="S446:S452" si="300">IF(R446="Beta",N446*(N446*(1-N446)/(Q446^2)-1),IF(R446="Lognormal",LN(N446^2/SQRT(Q446^2+N446^2)),IF(R446="Gamma",N446^2/Q446^2,IF(R446="Normal",N446,0))))</f>
        <v>#DIV/0!</v>
      </c>
      <c r="T446" s="162" t="e">
        <f t="shared" ref="T446:T452" si="301">IF(R446="Beta",N446*(1-N446)/(Q446^2)-1-S446,IF(R446="Lognormal",SQRT(LN(1+Q446^2/N446^2)),IF(R446="Gamma",Q446^2/N446,IF(R446="Normal",Q446,0))))</f>
        <v>#DIV/0!</v>
      </c>
      <c r="U446" s="70">
        <f>IF(Q446=0,N446,IF(R446="Beta",_xlfn.BETA.INV(U445,S446,T446),IF(R446="Lognormal",EXP(NORMINV(U445,S446,T446)),IF(R446="Gamma",_xlfn.GAMMA.INV(U445,S446,T446),IF(R446="Normal",_xlfn.NORM.INV(U445,S446,T446),0)))))</f>
        <v>0</v>
      </c>
    </row>
    <row r="447" spans="2:23" x14ac:dyDescent="0.3">
      <c r="B447" s="31" t="s">
        <v>1083</v>
      </c>
      <c r="C447" s="177">
        <f>'Cost input'!O337</f>
        <v>0</v>
      </c>
      <c r="D447" s="177">
        <f>'Cost input'!P337</f>
        <v>0</v>
      </c>
      <c r="E447" s="177">
        <f>'Cost input'!Q337</f>
        <v>0</v>
      </c>
      <c r="F447" s="156">
        <f t="shared" ref="F447:F452" si="302">(E447-D447)/(2*1.96)</f>
        <v>0</v>
      </c>
      <c r="G447" s="160" t="s">
        <v>575</v>
      </c>
      <c r="H447" s="162" t="e">
        <f t="shared" si="298"/>
        <v>#DIV/0!</v>
      </c>
      <c r="I447" s="162" t="e">
        <f t="shared" si="299"/>
        <v>#DIV/0!</v>
      </c>
      <c r="J447" s="70">
        <f>IF(F447=0,C447,IF(G447="Beta",_xlfn.BETA.INV(J445,H447,I447),IF(G447="Lognormal",EXP(NORMINV(J445,H447,I447)),IF(G447="Gamma",_xlfn.GAMMA.INV(J445,H447,I447),IF(G447="Normal",_xlfn.NORM.INV(J445,H447,I447),0)))))</f>
        <v>0</v>
      </c>
      <c r="M447" s="31" t="s">
        <v>1083</v>
      </c>
      <c r="N447" s="177">
        <f>'Cost input'!C364</f>
        <v>0</v>
      </c>
      <c r="O447" s="177">
        <f>'Cost input'!D364</f>
        <v>0</v>
      </c>
      <c r="P447" s="177">
        <f>'Cost input'!E364</f>
        <v>0</v>
      </c>
      <c r="Q447" s="156">
        <f t="shared" ref="Q447:Q452" si="303">(P447-O447)/(2*1.96)</f>
        <v>0</v>
      </c>
      <c r="R447" s="160" t="s">
        <v>575</v>
      </c>
      <c r="S447" s="162" t="e">
        <f t="shared" si="300"/>
        <v>#DIV/0!</v>
      </c>
      <c r="T447" s="162" t="e">
        <f t="shared" si="301"/>
        <v>#DIV/0!</v>
      </c>
      <c r="U447" s="70">
        <f>IF(Q447=0,N447,IF(R447="Beta",_xlfn.BETA.INV(U445,S447,T447),IF(R447="Lognormal",EXP(NORMINV(U445,S447,T447)),IF(R447="Gamma",_xlfn.GAMMA.INV(U445,S447,T447),IF(R447="Normal",_xlfn.NORM.INV(U445,S447,T447),0)))))</f>
        <v>0</v>
      </c>
    </row>
    <row r="448" spans="2:23" x14ac:dyDescent="0.3">
      <c r="B448" s="31" t="s">
        <v>1084</v>
      </c>
      <c r="C448" s="177">
        <f>'Cost input'!O338</f>
        <v>0</v>
      </c>
      <c r="D448" s="177">
        <f>'Cost input'!P338</f>
        <v>0</v>
      </c>
      <c r="E448" s="177">
        <f>'Cost input'!Q338</f>
        <v>0</v>
      </c>
      <c r="F448" s="156">
        <f t="shared" si="302"/>
        <v>0</v>
      </c>
      <c r="G448" s="160" t="s">
        <v>575</v>
      </c>
      <c r="H448" s="162" t="e">
        <f t="shared" si="298"/>
        <v>#DIV/0!</v>
      </c>
      <c r="I448" s="162" t="e">
        <f t="shared" si="299"/>
        <v>#DIV/0!</v>
      </c>
      <c r="J448" s="70">
        <f>IF(F448=0,C448,IF(G448="Beta",_xlfn.BETA.INV(J445,H448,I448),IF(G448="Lognormal",EXP(NORMINV(J445,H448,I448)),IF(G448="Gamma",_xlfn.GAMMA.INV(J445,H448,I448),IF(G448="Normal",_xlfn.NORM.INV(J445,H448,I448),0)))))</f>
        <v>0</v>
      </c>
      <c r="M448" s="31" t="s">
        <v>1084</v>
      </c>
      <c r="N448" s="177">
        <f>'Cost input'!C365</f>
        <v>0</v>
      </c>
      <c r="O448" s="177">
        <f>'Cost input'!D365</f>
        <v>0</v>
      </c>
      <c r="P448" s="177">
        <f>'Cost input'!E365</f>
        <v>0</v>
      </c>
      <c r="Q448" s="156">
        <f t="shared" si="303"/>
        <v>0</v>
      </c>
      <c r="R448" s="160" t="s">
        <v>575</v>
      </c>
      <c r="S448" s="162" t="e">
        <f t="shared" si="300"/>
        <v>#DIV/0!</v>
      </c>
      <c r="T448" s="162" t="e">
        <f t="shared" si="301"/>
        <v>#DIV/0!</v>
      </c>
      <c r="U448" s="70">
        <f>IF(Q448=0,N448,IF(R448="Beta",_xlfn.BETA.INV(U445,S448,T448),IF(R448="Lognormal",EXP(NORMINV(U445,S448,T448)),IF(R448="Gamma",_xlfn.GAMMA.INV(U445,S448,T448),IF(R448="Normal",_xlfn.NORM.INV(U445,S448,T448),0)))))</f>
        <v>0</v>
      </c>
    </row>
    <row r="449" spans="2:28" x14ac:dyDescent="0.3">
      <c r="B449" s="31" t="s">
        <v>1085</v>
      </c>
      <c r="C449" s="177">
        <f>'Cost input'!O339</f>
        <v>0</v>
      </c>
      <c r="D449" s="177">
        <f>'Cost input'!P339</f>
        <v>0</v>
      </c>
      <c r="E449" s="177">
        <f>'Cost input'!Q339</f>
        <v>0</v>
      </c>
      <c r="F449" s="156">
        <f t="shared" si="302"/>
        <v>0</v>
      </c>
      <c r="G449" s="160" t="s">
        <v>575</v>
      </c>
      <c r="H449" s="162" t="e">
        <f t="shared" si="298"/>
        <v>#DIV/0!</v>
      </c>
      <c r="I449" s="162" t="e">
        <f t="shared" si="299"/>
        <v>#DIV/0!</v>
      </c>
      <c r="J449" s="70">
        <f>IF(F449=0,C449,IF(G449="Beta",_xlfn.BETA.INV(J445,H449,I449),IF(G449="Lognormal",EXP(NORMINV(J445,H449,I449)),IF(G449="Gamma",_xlfn.GAMMA.INV(J445,H449,I449),IF(G449="Normal",_xlfn.NORM.INV(J445,H449,I449),0)))))</f>
        <v>0</v>
      </c>
      <c r="M449" s="31" t="s">
        <v>1085</v>
      </c>
      <c r="N449" s="177">
        <f>'Cost input'!C366</f>
        <v>0</v>
      </c>
      <c r="O449" s="177">
        <f>'Cost input'!D366</f>
        <v>0</v>
      </c>
      <c r="P449" s="177">
        <f>'Cost input'!E366</f>
        <v>0</v>
      </c>
      <c r="Q449" s="156">
        <f t="shared" si="303"/>
        <v>0</v>
      </c>
      <c r="R449" s="160" t="s">
        <v>575</v>
      </c>
      <c r="S449" s="162" t="e">
        <f t="shared" si="300"/>
        <v>#DIV/0!</v>
      </c>
      <c r="T449" s="162" t="e">
        <f t="shared" si="301"/>
        <v>#DIV/0!</v>
      </c>
      <c r="U449" s="70">
        <f>IF(Q449=0,N449,IF(R449="Beta",_xlfn.BETA.INV(U445,S449,T449),IF(R449="Lognormal",EXP(NORMINV(U445,S449,T449)),IF(R449="Gamma",_xlfn.GAMMA.INV(U445,S449,T449),IF(R449="Normal",_xlfn.NORM.INV(U445,S449,T449),0)))))</f>
        <v>0</v>
      </c>
    </row>
    <row r="450" spans="2:28" x14ac:dyDescent="0.3">
      <c r="B450" s="31" t="s">
        <v>1086</v>
      </c>
      <c r="C450" s="177">
        <f>'Cost input'!O340</f>
        <v>0</v>
      </c>
      <c r="D450" s="177">
        <f>'Cost input'!P340</f>
        <v>0</v>
      </c>
      <c r="E450" s="177">
        <f>'Cost input'!Q340</f>
        <v>0</v>
      </c>
      <c r="F450" s="156">
        <f t="shared" si="302"/>
        <v>0</v>
      </c>
      <c r="G450" s="160" t="s">
        <v>575</v>
      </c>
      <c r="H450" s="162" t="e">
        <f t="shared" si="298"/>
        <v>#DIV/0!</v>
      </c>
      <c r="I450" s="162" t="e">
        <f t="shared" si="299"/>
        <v>#DIV/0!</v>
      </c>
      <c r="J450" s="70">
        <f>IF(F450=0,C450,IF(G450="Beta",_xlfn.BETA.INV(J445,H450,I450),IF(G450="Lognormal",EXP(NORMINV(J445,H450,I450)),IF(G450="Gamma",_xlfn.GAMMA.INV(J445,H450,I450),IF(G450="Normal",_xlfn.NORM.INV(J445,H450,I450),0)))))</f>
        <v>0</v>
      </c>
      <c r="M450" s="31" t="s">
        <v>1086</v>
      </c>
      <c r="N450" s="177">
        <f>'Cost input'!C367</f>
        <v>0</v>
      </c>
      <c r="O450" s="177">
        <f>'Cost input'!D367</f>
        <v>0</v>
      </c>
      <c r="P450" s="177">
        <f>'Cost input'!E367</f>
        <v>0</v>
      </c>
      <c r="Q450" s="156">
        <f t="shared" si="303"/>
        <v>0</v>
      </c>
      <c r="R450" s="160" t="s">
        <v>575</v>
      </c>
      <c r="S450" s="162" t="e">
        <f t="shared" si="300"/>
        <v>#DIV/0!</v>
      </c>
      <c r="T450" s="162" t="e">
        <f t="shared" si="301"/>
        <v>#DIV/0!</v>
      </c>
      <c r="U450" s="70">
        <f>IF(Q450=0,N450,IF(R450="Beta",_xlfn.BETA.INV(U445,S450,T450),IF(R450="Lognormal",EXP(NORMINV(U445,S450,T450)),IF(R450="Gamma",_xlfn.GAMMA.INV(U445,S450,T450),IF(R450="Normal",_xlfn.NORM.INV(U445,S450,T450),0)))))</f>
        <v>0</v>
      </c>
    </row>
    <row r="451" spans="2:28" x14ac:dyDescent="0.3">
      <c r="B451" s="31" t="s">
        <v>1087</v>
      </c>
      <c r="C451" s="177">
        <f>'Cost input'!O341</f>
        <v>0</v>
      </c>
      <c r="D451" s="177">
        <f>'Cost input'!P341</f>
        <v>0</v>
      </c>
      <c r="E451" s="177">
        <f>'Cost input'!Q341</f>
        <v>0</v>
      </c>
      <c r="F451" s="156">
        <f t="shared" si="302"/>
        <v>0</v>
      </c>
      <c r="G451" s="160" t="s">
        <v>575</v>
      </c>
      <c r="H451" s="162" t="e">
        <f t="shared" si="298"/>
        <v>#DIV/0!</v>
      </c>
      <c r="I451" s="162" t="e">
        <f t="shared" si="299"/>
        <v>#DIV/0!</v>
      </c>
      <c r="J451" s="70">
        <f>IF(F451=0,C451,IF(G451="Beta",_xlfn.BETA.INV(J445,H451,I451),IF(G451="Lognormal",EXP(NORMINV(J445,H451,I451)),IF(G451="Gamma",_xlfn.GAMMA.INV(J445,H451,I451),IF(G451="Normal",_xlfn.NORM.INV(J445,H451,I451),0)))))</f>
        <v>0</v>
      </c>
      <c r="M451" s="31" t="s">
        <v>1087</v>
      </c>
      <c r="N451" s="177">
        <f>'Cost input'!C368</f>
        <v>0</v>
      </c>
      <c r="O451" s="177">
        <f>'Cost input'!D368</f>
        <v>0</v>
      </c>
      <c r="P451" s="177">
        <f>'Cost input'!E368</f>
        <v>0</v>
      </c>
      <c r="Q451" s="156">
        <f t="shared" si="303"/>
        <v>0</v>
      </c>
      <c r="R451" s="160" t="s">
        <v>575</v>
      </c>
      <c r="S451" s="162" t="e">
        <f t="shared" si="300"/>
        <v>#DIV/0!</v>
      </c>
      <c r="T451" s="162" t="e">
        <f t="shared" si="301"/>
        <v>#DIV/0!</v>
      </c>
      <c r="U451" s="70">
        <f>IF(Q451=0,N451,IF(R451="Beta",_xlfn.BETA.INV(U445,S451,T451),IF(R451="Lognormal",EXP(NORMINV(U445,S451,T451)),IF(R451="Gamma",_xlfn.GAMMA.INV(U445,S451,T451),IF(R451="Normal",_xlfn.NORM.INV(U445,S451,T451),0)))))</f>
        <v>0</v>
      </c>
    </row>
    <row r="452" spans="2:28" x14ac:dyDescent="0.3">
      <c r="B452" s="31" t="s">
        <v>1443</v>
      </c>
      <c r="C452" s="177">
        <f>'Cost input'!O342</f>
        <v>0</v>
      </c>
      <c r="D452" s="177">
        <f>'Cost input'!P342</f>
        <v>0</v>
      </c>
      <c r="E452" s="177">
        <f>'Cost input'!Q342</f>
        <v>0</v>
      </c>
      <c r="F452" s="156">
        <f t="shared" si="302"/>
        <v>0</v>
      </c>
      <c r="G452" s="160" t="s">
        <v>575</v>
      </c>
      <c r="H452" s="162" t="e">
        <f t="shared" si="298"/>
        <v>#DIV/0!</v>
      </c>
      <c r="I452" s="162" t="e">
        <f t="shared" si="299"/>
        <v>#DIV/0!</v>
      </c>
      <c r="J452" s="70">
        <f>IF(F452=0,C452,IF(G452="Beta",_xlfn.BETA.INV(J445,H452,I452),IF(G452="Lognormal",EXP(NORMINV(J445,H452,I452)),IF(G452="Gamma",_xlfn.GAMMA.INV(J445,H452,I452),IF(G452="Normal",_xlfn.NORM.INV(J445,H452,I452),0)))))</f>
        <v>0</v>
      </c>
      <c r="M452" s="31" t="s">
        <v>1443</v>
      </c>
      <c r="N452" s="177">
        <f>'Cost input'!C369</f>
        <v>0</v>
      </c>
      <c r="O452" s="177">
        <f>'Cost input'!D369</f>
        <v>0</v>
      </c>
      <c r="P452" s="177">
        <f>'Cost input'!E369</f>
        <v>0</v>
      </c>
      <c r="Q452" s="156">
        <f t="shared" si="303"/>
        <v>0</v>
      </c>
      <c r="R452" s="160" t="s">
        <v>575</v>
      </c>
      <c r="S452" s="162" t="e">
        <f t="shared" si="300"/>
        <v>#DIV/0!</v>
      </c>
      <c r="T452" s="162" t="e">
        <f t="shared" si="301"/>
        <v>#DIV/0!</v>
      </c>
      <c r="U452" s="70">
        <f>IF(Q452=0,N452,IF(R452="Beta",_xlfn.BETA.INV(U445,S452,T452),IF(R452="Lognormal",EXP(NORMINV(U445,S452,T452)),IF(R452="Gamma",_xlfn.GAMMA.INV(U445,S452,T452),IF(R452="Normal",_xlfn.NORM.INV(U445,S452,T452),0)))))</f>
        <v>0</v>
      </c>
    </row>
    <row r="453" spans="2:28" ht="15.6" x14ac:dyDescent="0.3">
      <c r="B453" s="150" t="s">
        <v>1444</v>
      </c>
      <c r="C453" s="533"/>
      <c r="D453" s="533"/>
      <c r="E453" s="533"/>
      <c r="F453" s="533"/>
      <c r="G453" s="141"/>
      <c r="H453" s="141"/>
      <c r="I453" s="141"/>
      <c r="J453" s="291">
        <f ca="1">RAND()</f>
        <v>0.14229799432304946</v>
      </c>
      <c r="L453" s="79" t="s">
        <v>679</v>
      </c>
      <c r="M453" s="150" t="s">
        <v>1444</v>
      </c>
      <c r="N453" s="533"/>
      <c r="O453" s="533"/>
      <c r="P453" s="533"/>
      <c r="Q453" s="533"/>
      <c r="R453" s="141"/>
      <c r="S453" s="141"/>
      <c r="T453" s="141"/>
      <c r="U453" s="291">
        <f ca="1">RAND()</f>
        <v>0.18424929753563601</v>
      </c>
    </row>
    <row r="454" spans="2:28" x14ac:dyDescent="0.3">
      <c r="B454" s="31" t="s">
        <v>1082</v>
      </c>
      <c r="C454" s="177">
        <f>'Cost input'!O344</f>
        <v>0</v>
      </c>
      <c r="D454" s="177">
        <f>'Cost input'!P344</f>
        <v>0</v>
      </c>
      <c r="E454" s="177">
        <f>'Cost input'!Q344</f>
        <v>0</v>
      </c>
      <c r="F454" s="156">
        <f>(E454-D454)/(2*1.96)</f>
        <v>0</v>
      </c>
      <c r="G454" s="160" t="s">
        <v>575</v>
      </c>
      <c r="H454" s="162" t="e">
        <f t="shared" ref="H454:H460" si="304">IF(G454="Beta",C454*(C454*(1-C454)/(F454^2)-1),IF(G454="Lognormal",LN(C454^2/SQRT(F454^2+C454^2)),IF(G454="Gamma",C454^2/F454^2,IF(G454="Normal",C454,0))))</f>
        <v>#DIV/0!</v>
      </c>
      <c r="I454" s="162" t="e">
        <f t="shared" ref="I454:I460" si="305">IF(G454="Beta",C454*(1-C454)/(F454^2)-1-H454,IF(G454="Lognormal",SQRT(LN(1+F454^2/C454^2)),IF(G454="Gamma",F454^2/C454,IF(G454="Normal",F454,0))))</f>
        <v>#DIV/0!</v>
      </c>
      <c r="J454" s="70">
        <f>IF(F454=0,C454,IF(G454="Beta",_xlfn.BETA.INV(J453,H454,I454),IF(G454="Lognormal",EXP(NORMINV(J453,H454,I454)),IF(G454="Gamma",_xlfn.GAMMA.INV(J453,H454,I454),IF(G454="Normal",_xlfn.NORM.INV(J453,H454,I454),0)))))</f>
        <v>0</v>
      </c>
      <c r="M454" s="31" t="s">
        <v>1082</v>
      </c>
      <c r="N454" s="177">
        <f>'Cost input'!C371</f>
        <v>0</v>
      </c>
      <c r="O454" s="177">
        <f>'Cost input'!D371</f>
        <v>0</v>
      </c>
      <c r="P454" s="177">
        <f>'Cost input'!E371</f>
        <v>0</v>
      </c>
      <c r="Q454" s="156">
        <f>(P454-O454)/(2*1.96)</f>
        <v>0</v>
      </c>
      <c r="R454" s="160" t="s">
        <v>575</v>
      </c>
      <c r="S454" s="162" t="e">
        <f t="shared" ref="S454:S460" si="306">IF(R454="Beta",N454*(N454*(1-N454)/(Q454^2)-1),IF(R454="Lognormal",LN(N454^2/SQRT(Q454^2+N454^2)),IF(R454="Gamma",N454^2/Q454^2,IF(R454="Normal",N454,0))))</f>
        <v>#DIV/0!</v>
      </c>
      <c r="T454" s="162" t="e">
        <f t="shared" ref="T454:T460" si="307">IF(R454="Beta",N454*(1-N454)/(Q454^2)-1-S454,IF(R454="Lognormal",SQRT(LN(1+Q454^2/N454^2)),IF(R454="Gamma",Q454^2/N454,IF(R454="Normal",Q454,0))))</f>
        <v>#DIV/0!</v>
      </c>
      <c r="U454" s="70">
        <f>IF(Q454=0,N454,IF(R454="Beta",_xlfn.BETA.INV(U453,S454,T454),IF(R454="Lognormal",EXP(NORMINV(U453,S454,T454)),IF(R454="Gamma",_xlfn.GAMMA.INV(U453,S454,T454),IF(R454="Normal",_xlfn.NORM.INV(U453,S454,T454),0)))))</f>
        <v>0</v>
      </c>
    </row>
    <row r="455" spans="2:28" x14ac:dyDescent="0.3">
      <c r="B455" s="31" t="s">
        <v>1083</v>
      </c>
      <c r="C455" s="177">
        <f>'Cost input'!O345</f>
        <v>0</v>
      </c>
      <c r="D455" s="177">
        <f>'Cost input'!P345</f>
        <v>0</v>
      </c>
      <c r="E455" s="177">
        <f>'Cost input'!Q345</f>
        <v>0</v>
      </c>
      <c r="F455" s="156">
        <f t="shared" ref="F455:F460" si="308">(E455-D455)/(2*1.96)</f>
        <v>0</v>
      </c>
      <c r="G455" s="160" t="s">
        <v>575</v>
      </c>
      <c r="H455" s="162" t="e">
        <f t="shared" si="304"/>
        <v>#DIV/0!</v>
      </c>
      <c r="I455" s="162" t="e">
        <f t="shared" si="305"/>
        <v>#DIV/0!</v>
      </c>
      <c r="J455" s="70">
        <f>IF(F455=0,C455,IF(G455="Beta",_xlfn.BETA.INV(J453,H455,I455),IF(G455="Lognormal",EXP(NORMINV(J453,H455,I455)),IF(G455="Gamma",_xlfn.GAMMA.INV(J453,H455,I455),IF(G455="Normal",_xlfn.NORM.INV(J453,H455,I455),0)))))</f>
        <v>0</v>
      </c>
      <c r="M455" s="31" t="s">
        <v>1083</v>
      </c>
      <c r="N455" s="177">
        <f>'Cost input'!C372</f>
        <v>0</v>
      </c>
      <c r="O455" s="177">
        <f>'Cost input'!D372</f>
        <v>0</v>
      </c>
      <c r="P455" s="177">
        <f>'Cost input'!E372</f>
        <v>0</v>
      </c>
      <c r="Q455" s="156">
        <f t="shared" ref="Q455:Q460" si="309">(P455-O455)/(2*1.96)</f>
        <v>0</v>
      </c>
      <c r="R455" s="160" t="s">
        <v>575</v>
      </c>
      <c r="S455" s="162" t="e">
        <f t="shared" si="306"/>
        <v>#DIV/0!</v>
      </c>
      <c r="T455" s="162" t="e">
        <f t="shared" si="307"/>
        <v>#DIV/0!</v>
      </c>
      <c r="U455" s="70">
        <f>IF(Q455=0,N455,IF(R455="Beta",_xlfn.BETA.INV(U453,S455,T455),IF(R455="Lognormal",EXP(NORMINV(U453,S455,T455)),IF(R455="Gamma",_xlfn.GAMMA.INV(U453,S455,T455),IF(R455="Normal",_xlfn.NORM.INV(U453,S455,T455),0)))))</f>
        <v>0</v>
      </c>
    </row>
    <row r="456" spans="2:28" x14ac:dyDescent="0.3">
      <c r="B456" s="31" t="s">
        <v>1084</v>
      </c>
      <c r="C456" s="177">
        <f>'Cost input'!O346</f>
        <v>0</v>
      </c>
      <c r="D456" s="177">
        <f>'Cost input'!P346</f>
        <v>0</v>
      </c>
      <c r="E456" s="177">
        <f>'Cost input'!Q346</f>
        <v>0</v>
      </c>
      <c r="F456" s="156">
        <f t="shared" si="308"/>
        <v>0</v>
      </c>
      <c r="G456" s="160" t="s">
        <v>575</v>
      </c>
      <c r="H456" s="162" t="e">
        <f t="shared" si="304"/>
        <v>#DIV/0!</v>
      </c>
      <c r="I456" s="162" t="e">
        <f t="shared" si="305"/>
        <v>#DIV/0!</v>
      </c>
      <c r="J456" s="70">
        <f>IF(F456=0,C456,IF(G456="Beta",_xlfn.BETA.INV(J453,H456,I456),IF(G456="Lognormal",EXP(NORMINV(J453,H456,I456)),IF(G456="Gamma",_xlfn.GAMMA.INV(J453,H456,I456),IF(G456="Normal",_xlfn.NORM.INV(J453,H456,I456),0)))))</f>
        <v>0</v>
      </c>
      <c r="M456" s="31" t="s">
        <v>1084</v>
      </c>
      <c r="N456" s="177">
        <f>'Cost input'!C373</f>
        <v>0</v>
      </c>
      <c r="O456" s="177">
        <f>'Cost input'!D373</f>
        <v>0</v>
      </c>
      <c r="P456" s="177">
        <f>'Cost input'!E373</f>
        <v>0</v>
      </c>
      <c r="Q456" s="156">
        <f t="shared" si="309"/>
        <v>0</v>
      </c>
      <c r="R456" s="160" t="s">
        <v>575</v>
      </c>
      <c r="S456" s="162" t="e">
        <f t="shared" si="306"/>
        <v>#DIV/0!</v>
      </c>
      <c r="T456" s="162" t="e">
        <f t="shared" si="307"/>
        <v>#DIV/0!</v>
      </c>
      <c r="U456" s="70">
        <f>IF(Q456=0,N456,IF(R456="Beta",_xlfn.BETA.INV(U453,S456,T456),IF(R456="Lognormal",EXP(NORMINV(U453,S456,T456)),IF(R456="Gamma",_xlfn.GAMMA.INV(U453,S456,T456),IF(R456="Normal",_xlfn.NORM.INV(U453,S456,T456),0)))))</f>
        <v>0</v>
      </c>
    </row>
    <row r="457" spans="2:28" x14ac:dyDescent="0.3">
      <c r="B457" s="31" t="s">
        <v>1085</v>
      </c>
      <c r="C457" s="177">
        <f>'Cost input'!O347</f>
        <v>0</v>
      </c>
      <c r="D457" s="177">
        <f>'Cost input'!P347</f>
        <v>0</v>
      </c>
      <c r="E457" s="177">
        <f>'Cost input'!Q347</f>
        <v>0</v>
      </c>
      <c r="F457" s="156">
        <f t="shared" si="308"/>
        <v>0</v>
      </c>
      <c r="G457" s="160" t="s">
        <v>575</v>
      </c>
      <c r="H457" s="162" t="e">
        <f t="shared" si="304"/>
        <v>#DIV/0!</v>
      </c>
      <c r="I457" s="162" t="e">
        <f t="shared" si="305"/>
        <v>#DIV/0!</v>
      </c>
      <c r="J457" s="70">
        <f>IF(F457=0,C457,IF(G457="Beta",_xlfn.BETA.INV(J453,H457,I457),IF(G457="Lognormal",EXP(NORMINV(J453,H457,I457)),IF(G457="Gamma",_xlfn.GAMMA.INV(J453,H457,I457),IF(G457="Normal",_xlfn.NORM.INV(J453,H457,I457),0)))))</f>
        <v>0</v>
      </c>
      <c r="M457" s="31" t="s">
        <v>1085</v>
      </c>
      <c r="N457" s="177">
        <f>'Cost input'!C374</f>
        <v>0</v>
      </c>
      <c r="O457" s="177">
        <f>'Cost input'!D374</f>
        <v>0</v>
      </c>
      <c r="P457" s="177">
        <f>'Cost input'!E374</f>
        <v>0</v>
      </c>
      <c r="Q457" s="156">
        <f t="shared" si="309"/>
        <v>0</v>
      </c>
      <c r="R457" s="160" t="s">
        <v>575</v>
      </c>
      <c r="S457" s="162" t="e">
        <f t="shared" si="306"/>
        <v>#DIV/0!</v>
      </c>
      <c r="T457" s="162" t="e">
        <f t="shared" si="307"/>
        <v>#DIV/0!</v>
      </c>
      <c r="U457" s="70">
        <f>IF(Q457=0,N457,IF(R457="Beta",_xlfn.BETA.INV(U453,S457,T457),IF(R457="Lognormal",EXP(NORMINV(U453,S457,T457)),IF(R457="Gamma",_xlfn.GAMMA.INV(U453,S457,T457),IF(R457="Normal",_xlfn.NORM.INV(U453,S457,T457),0)))))</f>
        <v>0</v>
      </c>
      <c r="AB457" s="67"/>
    </row>
    <row r="458" spans="2:28" x14ac:dyDescent="0.3">
      <c r="B458" s="31" t="s">
        <v>1086</v>
      </c>
      <c r="C458" s="177">
        <f>'Cost input'!O348</f>
        <v>0</v>
      </c>
      <c r="D458" s="177">
        <f>'Cost input'!P348</f>
        <v>0</v>
      </c>
      <c r="E458" s="177">
        <f>'Cost input'!Q348</f>
        <v>0</v>
      </c>
      <c r="F458" s="156">
        <f t="shared" si="308"/>
        <v>0</v>
      </c>
      <c r="G458" s="160" t="s">
        <v>575</v>
      </c>
      <c r="H458" s="162" t="e">
        <f t="shared" si="304"/>
        <v>#DIV/0!</v>
      </c>
      <c r="I458" s="162" t="e">
        <f t="shared" si="305"/>
        <v>#DIV/0!</v>
      </c>
      <c r="J458" s="70">
        <f>IF(F458=0,C458,IF(G458="Beta",_xlfn.BETA.INV(J453,H458,I458),IF(G458="Lognormal",EXP(NORMINV(J453,H458,I458)),IF(G458="Gamma",_xlfn.GAMMA.INV(J453,H458,I458),IF(G458="Normal",_xlfn.NORM.INV(J453,H458,I458),0)))))</f>
        <v>0</v>
      </c>
      <c r="M458" s="31" t="s">
        <v>1086</v>
      </c>
      <c r="N458" s="177">
        <f>'Cost input'!C375</f>
        <v>0</v>
      </c>
      <c r="O458" s="177">
        <f>'Cost input'!D375</f>
        <v>0</v>
      </c>
      <c r="P458" s="177">
        <f>'Cost input'!E375</f>
        <v>0</v>
      </c>
      <c r="Q458" s="156">
        <f t="shared" si="309"/>
        <v>0</v>
      </c>
      <c r="R458" s="160" t="s">
        <v>575</v>
      </c>
      <c r="S458" s="162" t="e">
        <f t="shared" si="306"/>
        <v>#DIV/0!</v>
      </c>
      <c r="T458" s="162" t="e">
        <f t="shared" si="307"/>
        <v>#DIV/0!</v>
      </c>
      <c r="U458" s="70">
        <f>IF(Q458=0,N458,IF(R458="Beta",_xlfn.BETA.INV(U453,S458,T458),IF(R458="Lognormal",EXP(NORMINV(U453,S458,T458)),IF(R458="Gamma",_xlfn.GAMMA.INV(U453,S458,T458),IF(R458="Normal",_xlfn.NORM.INV(U453,S458,T458),0)))))</f>
        <v>0</v>
      </c>
    </row>
    <row r="459" spans="2:28" x14ac:dyDescent="0.3">
      <c r="B459" s="31" t="s">
        <v>1087</v>
      </c>
      <c r="C459" s="177">
        <f>'Cost input'!O349</f>
        <v>0</v>
      </c>
      <c r="D459" s="177">
        <f>'Cost input'!P349</f>
        <v>0</v>
      </c>
      <c r="E459" s="177">
        <f>'Cost input'!Q349</f>
        <v>0</v>
      </c>
      <c r="F459" s="156">
        <f t="shared" si="308"/>
        <v>0</v>
      </c>
      <c r="G459" s="160" t="s">
        <v>575</v>
      </c>
      <c r="H459" s="162" t="e">
        <f t="shared" si="304"/>
        <v>#DIV/0!</v>
      </c>
      <c r="I459" s="162" t="e">
        <f t="shared" si="305"/>
        <v>#DIV/0!</v>
      </c>
      <c r="J459" s="70">
        <f>IF(F459=0,C459,IF(G459="Beta",_xlfn.BETA.INV(J453,H459,I459),IF(G459="Lognormal",EXP(NORMINV(J453,H459,I459)),IF(G459="Gamma",_xlfn.GAMMA.INV(J453,H459,I459),IF(G459="Normal",_xlfn.NORM.INV(J453,H459,I459),0)))))</f>
        <v>0</v>
      </c>
      <c r="M459" s="31" t="s">
        <v>1087</v>
      </c>
      <c r="N459" s="177">
        <f>'Cost input'!C376</f>
        <v>0</v>
      </c>
      <c r="O459" s="177">
        <f>'Cost input'!D376</f>
        <v>0</v>
      </c>
      <c r="P459" s="177">
        <f>'Cost input'!E376</f>
        <v>0</v>
      </c>
      <c r="Q459" s="156">
        <f t="shared" si="309"/>
        <v>0</v>
      </c>
      <c r="R459" s="160" t="s">
        <v>575</v>
      </c>
      <c r="S459" s="162" t="e">
        <f t="shared" si="306"/>
        <v>#DIV/0!</v>
      </c>
      <c r="T459" s="162" t="e">
        <f t="shared" si="307"/>
        <v>#DIV/0!</v>
      </c>
      <c r="U459" s="70">
        <f>IF(Q459=0,N459,IF(R459="Beta",_xlfn.BETA.INV(U453,S459,T459),IF(R459="Lognormal",EXP(NORMINV(U453,S459,T459)),IF(R459="Gamma",_xlfn.GAMMA.INV(U453,S459,T459),IF(R459="Normal",_xlfn.NORM.INV(U453,S459,T459),0)))))</f>
        <v>0</v>
      </c>
    </row>
    <row r="460" spans="2:28" x14ac:dyDescent="0.3">
      <c r="B460" s="31" t="s">
        <v>1443</v>
      </c>
      <c r="C460" s="177">
        <f>'Cost input'!O350</f>
        <v>0</v>
      </c>
      <c r="D460" s="177">
        <f>'Cost input'!P350</f>
        <v>0</v>
      </c>
      <c r="E460" s="177">
        <f>'Cost input'!Q350</f>
        <v>0</v>
      </c>
      <c r="F460" s="156">
        <f t="shared" si="308"/>
        <v>0</v>
      </c>
      <c r="G460" s="160" t="s">
        <v>575</v>
      </c>
      <c r="H460" s="162" t="e">
        <f t="shared" si="304"/>
        <v>#DIV/0!</v>
      </c>
      <c r="I460" s="162" t="e">
        <f t="shared" si="305"/>
        <v>#DIV/0!</v>
      </c>
      <c r="J460" s="70">
        <f>IF(F460=0,C460,IF(G460="Beta",_xlfn.BETA.INV(J453,H460,I460),IF(G460="Lognormal",EXP(NORMINV(J453,H460,I460)),IF(G460="Gamma",_xlfn.GAMMA.INV(J453,H460,I460),IF(G460="Normal",_xlfn.NORM.INV(J453,H460,I460),0)))))</f>
        <v>0</v>
      </c>
      <c r="M460" s="31" t="s">
        <v>1443</v>
      </c>
      <c r="N460" s="177">
        <f>'Cost input'!C377</f>
        <v>0</v>
      </c>
      <c r="O460" s="177">
        <f>'Cost input'!D377</f>
        <v>0</v>
      </c>
      <c r="P460" s="177">
        <f>'Cost input'!E377</f>
        <v>0</v>
      </c>
      <c r="Q460" s="156">
        <f t="shared" si="309"/>
        <v>0</v>
      </c>
      <c r="R460" s="160" t="s">
        <v>575</v>
      </c>
      <c r="S460" s="162" t="e">
        <f t="shared" si="306"/>
        <v>#DIV/0!</v>
      </c>
      <c r="T460" s="162" t="e">
        <f t="shared" si="307"/>
        <v>#DIV/0!</v>
      </c>
      <c r="U460" s="70">
        <f>IF(Q460=0,N460,IF(R460="Beta",_xlfn.BETA.INV(U453,S460,T460),IF(R460="Lognormal",EXP(NORMINV(U453,S460,T460)),IF(R460="Gamma",_xlfn.GAMMA.INV(U453,S460,T460),IF(R460="Normal",_xlfn.NORM.INV(U453,S460,T460),0)))))</f>
        <v>0</v>
      </c>
    </row>
    <row r="461" spans="2:28" ht="15.6" x14ac:dyDescent="0.3">
      <c r="B461" s="151" t="s">
        <v>227</v>
      </c>
      <c r="C461" s="533"/>
      <c r="D461" s="533"/>
      <c r="E461" s="533"/>
      <c r="F461" s="533"/>
      <c r="G461" s="162"/>
      <c r="H461" s="162"/>
      <c r="I461" s="162"/>
      <c r="J461" s="291">
        <f ca="1">RAND()</f>
        <v>0.92828286529790582</v>
      </c>
      <c r="M461" s="151" t="s">
        <v>227</v>
      </c>
      <c r="N461" s="533"/>
      <c r="O461" s="533"/>
      <c r="P461" s="533"/>
      <c r="Q461" s="533"/>
      <c r="R461" s="162"/>
      <c r="S461" s="162"/>
      <c r="T461" s="162"/>
      <c r="U461" s="291">
        <f ca="1">RAND()</f>
        <v>9.5712560888727038E-2</v>
      </c>
    </row>
    <row r="462" spans="2:28" x14ac:dyDescent="0.3">
      <c r="B462" s="31" t="s">
        <v>1437</v>
      </c>
      <c r="C462" s="177">
        <f>'Cost input'!O352</f>
        <v>0</v>
      </c>
      <c r="D462" s="177">
        <f>'Cost input'!P352</f>
        <v>0</v>
      </c>
      <c r="E462" s="177">
        <f>'Cost input'!Q352</f>
        <v>0</v>
      </c>
      <c r="F462" s="156">
        <f t="shared" ref="F462:F465" si="310">(E462-D462)/(2*1.96)</f>
        <v>0</v>
      </c>
      <c r="G462" s="160" t="s">
        <v>575</v>
      </c>
      <c r="H462" s="162" t="e">
        <f t="shared" ref="H462:H465" si="311">IF(G462="Beta",C462*(C462*(1-C462)/(F462^2)-1),IF(G462="Lognormal",LN(C462^2/SQRT(F462^2+C462^2)),IF(G462="Gamma",C462^2/F462^2,IF(G462="Normal",C462,0))))</f>
        <v>#DIV/0!</v>
      </c>
      <c r="I462" s="162" t="e">
        <f t="shared" ref="I462:I465" si="312">IF(G462="Beta",C462*(1-C462)/(F462^2)-1-H462,IF(G462="Lognormal",SQRT(LN(1+F462^2/C462^2)),IF(G462="Gamma",F462^2/C462,IF(G462="Normal",F462,0))))</f>
        <v>#DIV/0!</v>
      </c>
      <c r="J462" s="70">
        <f>IF(F462=0,C462,IF(G462="Beta",_xlfn.BETA.INV(J$293,H462,I462),IF(G462="Lognormal",EXP(NORMINV(J$293,H462,I462)),IF(G462="Gamma",_xlfn.GAMMA.INV(J$293,H462,I462),IF(G462="Normal",_xlfn.NORM.INV(J$293,H462,I462),0)))))</f>
        <v>0</v>
      </c>
      <c r="M462" s="31" t="s">
        <v>1437</v>
      </c>
      <c r="N462" s="177">
        <f>'Cost input'!C379</f>
        <v>0</v>
      </c>
      <c r="O462" s="177">
        <f>'Cost input'!D379</f>
        <v>0</v>
      </c>
      <c r="P462" s="177">
        <f>'Cost input'!E379</f>
        <v>0</v>
      </c>
      <c r="Q462" s="156">
        <f t="shared" ref="Q462:Q465" si="313">(P462-O462)/(2*1.96)</f>
        <v>0</v>
      </c>
      <c r="R462" s="160" t="s">
        <v>575</v>
      </c>
      <c r="S462" s="162" t="e">
        <f t="shared" ref="S462:S465" si="314">IF(R462="Beta",N462*(N462*(1-N462)/(Q462^2)-1),IF(R462="Lognormal",LN(N462^2/SQRT(Q462^2+N462^2)),IF(R462="Gamma",N462^2/Q462^2,IF(R462="Normal",N462,0))))</f>
        <v>#DIV/0!</v>
      </c>
      <c r="T462" s="162" t="e">
        <f t="shared" ref="T462:T465" si="315">IF(R462="Beta",N462*(1-N462)/(Q462^2)-1-S462,IF(R462="Lognormal",SQRT(LN(1+Q462^2/N462^2)),IF(R462="Gamma",Q462^2/N462,IF(R462="Normal",Q462,0))))</f>
        <v>#DIV/0!</v>
      </c>
      <c r="U462" s="70">
        <f>IF(Q462=0,N462,IF(R462="Beta",_xlfn.BETA.INV(U$293,S462,T462),IF(R462="Lognormal",EXP(NORMINV(U$293,S462,T462)),IF(R462="Gamma",_xlfn.GAMMA.INV(U$293,S462,T462),IF(R462="Normal",_xlfn.NORM.INV(U$293,S462,T462),0)))))</f>
        <v>0</v>
      </c>
    </row>
    <row r="463" spans="2:28" x14ac:dyDescent="0.3">
      <c r="B463" s="31" t="s">
        <v>1438</v>
      </c>
      <c r="C463" s="177">
        <f>'Cost input'!O353</f>
        <v>0</v>
      </c>
      <c r="D463" s="177">
        <f>'Cost input'!P353</f>
        <v>0</v>
      </c>
      <c r="E463" s="177">
        <f>'Cost input'!Q353</f>
        <v>0</v>
      </c>
      <c r="F463" s="156">
        <f t="shared" si="310"/>
        <v>0</v>
      </c>
      <c r="G463" s="160" t="s">
        <v>575</v>
      </c>
      <c r="H463" s="162" t="e">
        <f t="shared" si="311"/>
        <v>#DIV/0!</v>
      </c>
      <c r="I463" s="162" t="e">
        <f t="shared" si="312"/>
        <v>#DIV/0!</v>
      </c>
      <c r="J463" s="70">
        <f>IF(F463=0,C463,IF(G463="Beta",_xlfn.BETA.INV(J$293,H463,I463),IF(G463="Lognormal",EXP(NORMINV(J$293,H463,I463)),IF(G463="Gamma",_xlfn.GAMMA.INV(J$293,H463,I463),IF(G463="Normal",_xlfn.NORM.INV(J$293,H463,I463),0)))))</f>
        <v>0</v>
      </c>
      <c r="M463" s="31" t="s">
        <v>1438</v>
      </c>
      <c r="N463" s="177">
        <f>'Cost input'!C380</f>
        <v>0</v>
      </c>
      <c r="O463" s="177">
        <f>'Cost input'!D380</f>
        <v>0</v>
      </c>
      <c r="P463" s="177">
        <f>'Cost input'!E380</f>
        <v>0</v>
      </c>
      <c r="Q463" s="156">
        <f t="shared" si="313"/>
        <v>0</v>
      </c>
      <c r="R463" s="160" t="s">
        <v>575</v>
      </c>
      <c r="S463" s="162" t="e">
        <f t="shared" si="314"/>
        <v>#DIV/0!</v>
      </c>
      <c r="T463" s="162" t="e">
        <f t="shared" si="315"/>
        <v>#DIV/0!</v>
      </c>
      <c r="U463" s="70">
        <f>IF(Q463=0,N463,IF(R463="Beta",_xlfn.BETA.INV(U$293,S463,T463),IF(R463="Lognormal",EXP(NORMINV(U$293,S463,T463)),IF(R463="Gamma",_xlfn.GAMMA.INV(U$293,S463,T463),IF(R463="Normal",_xlfn.NORM.INV(U$293,S463,T463),0)))))</f>
        <v>0</v>
      </c>
    </row>
    <row r="464" spans="2:28" x14ac:dyDescent="0.3">
      <c r="B464" s="31" t="s">
        <v>1441</v>
      </c>
      <c r="C464" s="177">
        <f>'Cost input'!O354</f>
        <v>0</v>
      </c>
      <c r="D464" s="177">
        <f>'Cost input'!P354</f>
        <v>0</v>
      </c>
      <c r="E464" s="177">
        <f>'Cost input'!Q354</f>
        <v>0</v>
      </c>
      <c r="F464" s="156">
        <f t="shared" si="310"/>
        <v>0</v>
      </c>
      <c r="G464" s="160" t="s">
        <v>575</v>
      </c>
      <c r="H464" s="162" t="e">
        <f t="shared" si="311"/>
        <v>#DIV/0!</v>
      </c>
      <c r="I464" s="162" t="e">
        <f t="shared" si="312"/>
        <v>#DIV/0!</v>
      </c>
      <c r="J464" s="70">
        <f>IF(F464=0,C464,IF(G464="Beta",_xlfn.BETA.INV(J$293,H464,I464),IF(G464="Lognormal",EXP(NORMINV(J$293,H464,I464)),IF(G464="Gamma",_xlfn.GAMMA.INV(J$293,H464,I464),IF(G464="Normal",_xlfn.NORM.INV(J$293,H464,I464),0)))))</f>
        <v>0</v>
      </c>
      <c r="M464" s="31" t="s">
        <v>1441</v>
      </c>
      <c r="N464" s="177">
        <f>'Cost input'!C381</f>
        <v>0</v>
      </c>
      <c r="O464" s="177">
        <f>'Cost input'!D381</f>
        <v>0</v>
      </c>
      <c r="P464" s="177">
        <f>'Cost input'!E381</f>
        <v>0</v>
      </c>
      <c r="Q464" s="156">
        <f t="shared" si="313"/>
        <v>0</v>
      </c>
      <c r="R464" s="160" t="s">
        <v>575</v>
      </c>
      <c r="S464" s="162" t="e">
        <f t="shared" si="314"/>
        <v>#DIV/0!</v>
      </c>
      <c r="T464" s="162" t="e">
        <f t="shared" si="315"/>
        <v>#DIV/0!</v>
      </c>
      <c r="U464" s="70">
        <f>IF(Q464=0,N464,IF(R464="Beta",_xlfn.BETA.INV(U$293,S464,T464),IF(R464="Lognormal",EXP(NORMINV(U$293,S464,T464)),IF(R464="Gamma",_xlfn.GAMMA.INV(U$293,S464,T464),IF(R464="Normal",_xlfn.NORM.INV(U$293,S464,T464),0)))))</f>
        <v>0</v>
      </c>
    </row>
    <row r="465" spans="2:21" x14ac:dyDescent="0.3">
      <c r="B465" s="31" t="s">
        <v>1442</v>
      </c>
      <c r="C465" s="177">
        <f>'Cost input'!O355</f>
        <v>0</v>
      </c>
      <c r="D465" s="177">
        <f>'Cost input'!P355</f>
        <v>0</v>
      </c>
      <c r="E465" s="177">
        <f>'Cost input'!Q355</f>
        <v>0</v>
      </c>
      <c r="F465" s="156">
        <f t="shared" si="310"/>
        <v>0</v>
      </c>
      <c r="G465" s="160" t="s">
        <v>575</v>
      </c>
      <c r="H465" s="162" t="e">
        <f t="shared" si="311"/>
        <v>#DIV/0!</v>
      </c>
      <c r="I465" s="162" t="e">
        <f t="shared" si="312"/>
        <v>#DIV/0!</v>
      </c>
      <c r="J465" s="70">
        <f>IF(F465=0,C465,IF(G465="Beta",_xlfn.BETA.INV(J$293,H465,I465),IF(G465="Lognormal",EXP(NORMINV(J$293,H465,I465)),IF(G465="Gamma",_xlfn.GAMMA.INV(J$293,H465,I465),IF(G465="Normal",_xlfn.NORM.INV(J$293,H465,I465),0)))))</f>
        <v>0</v>
      </c>
      <c r="M465" s="31" t="s">
        <v>1442</v>
      </c>
      <c r="N465" s="177">
        <f>'Cost input'!C382</f>
        <v>0</v>
      </c>
      <c r="O465" s="177">
        <f>'Cost input'!D382</f>
        <v>0</v>
      </c>
      <c r="P465" s="177">
        <f>'Cost input'!E382</f>
        <v>0</v>
      </c>
      <c r="Q465" s="156">
        <f t="shared" si="313"/>
        <v>0</v>
      </c>
      <c r="R465" s="160" t="s">
        <v>575</v>
      </c>
      <c r="S465" s="162" t="e">
        <f t="shared" si="314"/>
        <v>#DIV/0!</v>
      </c>
      <c r="T465" s="162" t="e">
        <f t="shared" si="315"/>
        <v>#DIV/0!</v>
      </c>
      <c r="U465" s="70">
        <f>IF(Q465=0,N465,IF(R465="Beta",_xlfn.BETA.INV(U$293,S465,T465),IF(R465="Lognormal",EXP(NORMINV(U$293,S465,T465)),IF(R465="Gamma",_xlfn.GAMMA.INV(U$293,S465,T465),IF(R465="Normal",_xlfn.NORM.INV(U$293,S465,T465),0)))))</f>
        <v>0</v>
      </c>
    </row>
    <row r="466" spans="2:21" ht="15.6" x14ac:dyDescent="0.3">
      <c r="B466" s="151" t="s">
        <v>920</v>
      </c>
      <c r="C466" s="533"/>
      <c r="D466" s="533"/>
      <c r="E466" s="533"/>
      <c r="F466" s="533"/>
      <c r="G466" s="162"/>
      <c r="H466" s="162"/>
      <c r="I466" s="162"/>
      <c r="J466" s="291">
        <f ca="1">RAND()</f>
        <v>0.50298152892801917</v>
      </c>
      <c r="M466" s="151" t="s">
        <v>920</v>
      </c>
      <c r="N466" s="533"/>
      <c r="O466" s="533"/>
      <c r="P466" s="533"/>
      <c r="Q466" s="533"/>
      <c r="R466" s="162"/>
      <c r="S466" s="162"/>
      <c r="T466" s="162"/>
      <c r="U466" s="291">
        <f ca="1">RAND()</f>
        <v>0.80420173688035945</v>
      </c>
    </row>
    <row r="467" spans="2:21" x14ac:dyDescent="0.3">
      <c r="B467" s="31" t="s">
        <v>920</v>
      </c>
      <c r="C467" s="177">
        <f>'Cost input'!O357</f>
        <v>0</v>
      </c>
      <c r="D467" s="177">
        <f>'Cost input'!P357</f>
        <v>0</v>
      </c>
      <c r="E467" s="177">
        <f>'Cost input'!Q357</f>
        <v>0</v>
      </c>
      <c r="F467" s="156">
        <f t="shared" ref="F467:F468" si="316">(E467-D467)/(2*1.96)</f>
        <v>0</v>
      </c>
      <c r="G467" s="160" t="s">
        <v>575</v>
      </c>
      <c r="H467" s="162" t="e">
        <f t="shared" ref="H467:H468" si="317">IF(G467="Beta",C467*(C467*(1-C467)/(F467^2)-1),IF(G467="Lognormal",LN(C467^2/SQRT(F467^2+C467^2)),IF(G467="Gamma",C467^2/F467^2,IF(G467="Normal",C467,0))))</f>
        <v>#DIV/0!</v>
      </c>
      <c r="I467" s="162" t="e">
        <f t="shared" ref="I467:I468" si="318">IF(G467="Beta",C467*(1-C467)/(F467^2)-1-H467,IF(G467="Lognormal",SQRT(LN(1+F467^2/C467^2)),IF(G467="Gamma",F467^2/C467,IF(G467="Normal",F467,0))))</f>
        <v>#DIV/0!</v>
      </c>
      <c r="J467" s="70">
        <f>IF(F467=0,C467,IF(G467="Beta",_xlfn.BETA.INV(J$293,H467,I467),IF(G467="Lognormal",EXP(NORMINV(J$293,H467,I467)),IF(G467="Gamma",_xlfn.GAMMA.INV(J$293,H467,I467),IF(G467="Normal",_xlfn.NORM.INV(J$293,H467,I467),0)))))</f>
        <v>0</v>
      </c>
      <c r="M467" s="31" t="s">
        <v>920</v>
      </c>
      <c r="N467" s="177">
        <f>'Cost input'!C384</f>
        <v>0</v>
      </c>
      <c r="O467" s="177">
        <f>'Cost input'!D384</f>
        <v>0</v>
      </c>
      <c r="P467" s="177">
        <f>'Cost input'!E384</f>
        <v>0</v>
      </c>
      <c r="Q467" s="156">
        <f t="shared" ref="Q467:Q468" si="319">(P467-O467)/(2*1.96)</f>
        <v>0</v>
      </c>
      <c r="R467" s="160" t="s">
        <v>575</v>
      </c>
      <c r="S467" s="162" t="e">
        <f t="shared" ref="S467:S468" si="320">IF(R467="Beta",N467*(N467*(1-N467)/(Q467^2)-1),IF(R467="Lognormal",LN(N467^2/SQRT(Q467^2+N467^2)),IF(R467="Gamma",N467^2/Q467^2,IF(R467="Normal",N467,0))))</f>
        <v>#DIV/0!</v>
      </c>
      <c r="T467" s="162" t="e">
        <f t="shared" ref="T467:T468" si="321">IF(R467="Beta",N467*(1-N467)/(Q467^2)-1-S467,IF(R467="Lognormal",SQRT(LN(1+Q467^2/N467^2)),IF(R467="Gamma",Q467^2/N467,IF(R467="Normal",Q467,0))))</f>
        <v>#DIV/0!</v>
      </c>
      <c r="U467" s="70">
        <f>IF(Q467=0,N467,IF(R467="Beta",_xlfn.BETA.INV(U$293,S467,T467),IF(R467="Lognormal",EXP(NORMINV(U$293,S467,T467)),IF(R467="Gamma",_xlfn.GAMMA.INV(U$293,S467,T467),IF(R467="Normal",_xlfn.NORM.INV(U$293,S467,T467),0)))))</f>
        <v>0</v>
      </c>
    </row>
    <row r="468" spans="2:21" x14ac:dyDescent="0.3">
      <c r="B468" s="31" t="s">
        <v>980</v>
      </c>
      <c r="C468" s="177">
        <f>'Cost input'!O358</f>
        <v>0</v>
      </c>
      <c r="D468" s="177">
        <f>'Cost input'!P358</f>
        <v>0</v>
      </c>
      <c r="E468" s="177">
        <f>'Cost input'!Q358</f>
        <v>0</v>
      </c>
      <c r="F468" s="156">
        <f t="shared" si="316"/>
        <v>0</v>
      </c>
      <c r="G468" s="160" t="s">
        <v>575</v>
      </c>
      <c r="H468" s="162" t="e">
        <f t="shared" si="317"/>
        <v>#DIV/0!</v>
      </c>
      <c r="I468" s="162" t="e">
        <f t="shared" si="318"/>
        <v>#DIV/0!</v>
      </c>
      <c r="J468" s="70">
        <f>IF(F468=0,C468,IF(G468="Beta",_xlfn.BETA.INV(J$293,H468,I468),IF(G468="Lognormal",EXP(NORMINV(J$293,H468,I468)),IF(G468="Gamma",_xlfn.GAMMA.INV(J$293,H468,I468),IF(G468="Normal",_xlfn.NORM.INV(J$293,H468,I468),0)))))</f>
        <v>0</v>
      </c>
      <c r="M468" s="31" t="s">
        <v>980</v>
      </c>
      <c r="N468" s="177">
        <f>'Cost input'!C385</f>
        <v>0</v>
      </c>
      <c r="O468" s="177">
        <f>'Cost input'!D385</f>
        <v>0</v>
      </c>
      <c r="P468" s="177">
        <f>'Cost input'!E385</f>
        <v>0</v>
      </c>
      <c r="Q468" s="156">
        <f t="shared" si="319"/>
        <v>0</v>
      </c>
      <c r="R468" s="160" t="s">
        <v>575</v>
      </c>
      <c r="S468" s="162" t="e">
        <f t="shared" si="320"/>
        <v>#DIV/0!</v>
      </c>
      <c r="T468" s="162" t="e">
        <f t="shared" si="321"/>
        <v>#DIV/0!</v>
      </c>
      <c r="U468" s="70">
        <f>IF(Q468=0,N468,IF(R468="Beta",_xlfn.BETA.INV(U$293,S468,T468),IF(R468="Lognormal",EXP(NORMINV(U$293,S468,T468)),IF(R468="Gamma",_xlfn.GAMMA.INV(U$293,S468,T468),IF(R468="Normal",_xlfn.NORM.INV(U$293,S468,T468),0)))))</f>
        <v>0</v>
      </c>
    </row>
    <row r="470" spans="2:21" x14ac:dyDescent="0.3">
      <c r="B470" s="175" t="s">
        <v>1004</v>
      </c>
      <c r="C470" s="175"/>
      <c r="D470" s="175"/>
      <c r="E470" s="175"/>
      <c r="F470" s="175"/>
      <c r="G470" s="164"/>
      <c r="H470" s="84"/>
      <c r="I470" s="84"/>
      <c r="J470" s="84"/>
    </row>
    <row r="471" spans="2:21" x14ac:dyDescent="0.3">
      <c r="B471" s="159" t="s">
        <v>905</v>
      </c>
      <c r="C471" s="73"/>
      <c r="D471" s="73"/>
      <c r="E471" s="73"/>
      <c r="F471" s="73"/>
      <c r="G471" s="73"/>
      <c r="H471" s="73"/>
      <c r="I471" s="73"/>
      <c r="J471" s="73"/>
    </row>
    <row r="472" spans="2:21" x14ac:dyDescent="0.3">
      <c r="B472" s="159" t="s">
        <v>1</v>
      </c>
      <c r="C472" s="159" t="s">
        <v>567</v>
      </c>
      <c r="D472" s="159" t="s">
        <v>985</v>
      </c>
      <c r="E472" s="159" t="s">
        <v>986</v>
      </c>
      <c r="F472" s="73" t="s">
        <v>584</v>
      </c>
      <c r="G472" s="73" t="s">
        <v>569</v>
      </c>
      <c r="H472" s="73" t="s">
        <v>581</v>
      </c>
      <c r="I472" s="73" t="s">
        <v>582</v>
      </c>
      <c r="J472" s="73" t="s">
        <v>583</v>
      </c>
    </row>
    <row r="473" spans="2:21" x14ac:dyDescent="0.3">
      <c r="B473" s="150" t="s">
        <v>988</v>
      </c>
      <c r="C473" s="197"/>
      <c r="D473" s="197"/>
      <c r="E473" s="197"/>
      <c r="J473" s="291">
        <f ca="1">RAND()</f>
        <v>0.17495876056794302</v>
      </c>
    </row>
    <row r="474" spans="2:21" x14ac:dyDescent="0.3">
      <c r="B474" s="31" t="s">
        <v>1082</v>
      </c>
      <c r="C474" s="177">
        <f>'Cost input'!O394</f>
        <v>65.617391304347819</v>
      </c>
      <c r="D474" s="177">
        <f>'Cost input'!P394</f>
        <v>52.493913043478258</v>
      </c>
      <c r="E474" s="177">
        <f>'Cost input'!Q394</f>
        <v>78.74086956521738</v>
      </c>
      <c r="F474" s="156">
        <f>(E474-D474)/(2*1.96)</f>
        <v>6.6956521739130412</v>
      </c>
      <c r="G474" s="160" t="s">
        <v>575</v>
      </c>
      <c r="H474" s="162">
        <f t="shared" ref="H474:H480" si="322">IF(G474="Beta",C474*(C474*(1-C474)/(F474^2)-1),IF(G474="Lognormal",LN(C474^2/SQRT(F474^2+C474^2)),IF(G474="Gamma",C474^2/F474^2,IF(G474="Normal",C474,0))))</f>
        <v>96.040000000000049</v>
      </c>
      <c r="I474" s="162">
        <f t="shared" ref="I474:I480" si="323">IF(G474="Beta",C474*(1-C474)/(F474^2)-1-H474,IF(G474="Lognormal",SQRT(LN(1+F474^2/C474^2)),IF(G474="Gamma",F474^2/C474,IF(G474="Normal",F474,0))))</f>
        <v>0.6832298136645959</v>
      </c>
      <c r="J474" s="70">
        <f ca="1">IF(F474=0,C474,IF(G474="Beta",_xlfn.BETA.INV(J473,H474,I474),IF(G474="Lognormal",EXP(NORMINV(J473,H474,I474)),IF(G474="Gamma",_xlfn.GAMMA.INV(J473,H474,I474),IF(G474="Normal",_xlfn.NORM.INV(J473,H474,I474),0)))))</f>
        <v>59.341044325555174</v>
      </c>
      <c r="K474">
        <f>(E474+D474)/2</f>
        <v>65.617391304347819</v>
      </c>
      <c r="L474" s="149"/>
    </row>
    <row r="475" spans="2:21" x14ac:dyDescent="0.3">
      <c r="B475" s="31" t="s">
        <v>1083</v>
      </c>
      <c r="C475" s="177">
        <f>'Cost input'!O395</f>
        <v>65.617391304347819</v>
      </c>
      <c r="D475" s="177">
        <f>'Cost input'!P395</f>
        <v>52.493913043478258</v>
      </c>
      <c r="E475" s="177">
        <f>'Cost input'!Q395</f>
        <v>78.74086956521738</v>
      </c>
      <c r="F475" s="156">
        <f t="shared" ref="F475:F480" si="324">(E475-D475)/(2*1.96)</f>
        <v>6.6956521739130412</v>
      </c>
      <c r="G475" s="160" t="s">
        <v>575</v>
      </c>
      <c r="H475" s="162">
        <f t="shared" si="322"/>
        <v>96.040000000000049</v>
      </c>
      <c r="I475" s="162">
        <f t="shared" si="323"/>
        <v>0.6832298136645959</v>
      </c>
      <c r="J475" s="70">
        <f ca="1">IF(F475=0,C475,IF(G475="Beta",_xlfn.BETA.INV(J473,H475,I475),IF(G475="Lognormal",EXP(NORMINV(J473,H475,I475)),IF(G475="Gamma",_xlfn.GAMMA.INV(J473,H475,I475),IF(G475="Normal",_xlfn.NORM.INV(J473,H475,I475),0)))))</f>
        <v>59.341044325555174</v>
      </c>
      <c r="K475" s="296">
        <f>_xlfn.GAMMA.INV(0.5,H475,I475)</f>
        <v>65.389789091510778</v>
      </c>
    </row>
    <row r="476" spans="2:21" x14ac:dyDescent="0.3">
      <c r="B476" s="31" t="s">
        <v>1084</v>
      </c>
      <c r="C476" s="177">
        <f>'Cost input'!O396</f>
        <v>65.617391304347819</v>
      </c>
      <c r="D476" s="177">
        <f>'Cost input'!P396</f>
        <v>52.493913043478258</v>
      </c>
      <c r="E476" s="177">
        <f>'Cost input'!Q396</f>
        <v>78.74086956521738</v>
      </c>
      <c r="F476" s="156">
        <f t="shared" si="324"/>
        <v>6.6956521739130412</v>
      </c>
      <c r="G476" s="160" t="s">
        <v>575</v>
      </c>
      <c r="H476" s="162">
        <f t="shared" si="322"/>
        <v>96.040000000000049</v>
      </c>
      <c r="I476" s="162">
        <f t="shared" si="323"/>
        <v>0.6832298136645959</v>
      </c>
      <c r="J476" s="70">
        <f ca="1">IF(F476=0,C476,IF(G476="Beta",_xlfn.BETA.INV(J473,H476,I476),IF(G476="Lognormal",EXP(NORMINV(J473,H476,I476)),IF(G476="Gamma",_xlfn.GAMMA.INV(J473,H476,I476),IF(G476="Normal",_xlfn.NORM.INV(J473,H476,I476),0)))))</f>
        <v>59.341044325555174</v>
      </c>
    </row>
    <row r="477" spans="2:21" x14ac:dyDescent="0.3">
      <c r="B477" s="31" t="s">
        <v>1085</v>
      </c>
      <c r="C477" s="177">
        <f>'Cost input'!O397</f>
        <v>65.617391304347819</v>
      </c>
      <c r="D477" s="177">
        <f>'Cost input'!P397</f>
        <v>52.493913043478258</v>
      </c>
      <c r="E477" s="177">
        <f>'Cost input'!Q397</f>
        <v>78.74086956521738</v>
      </c>
      <c r="F477" s="156">
        <f t="shared" si="324"/>
        <v>6.6956521739130412</v>
      </c>
      <c r="G477" s="160" t="s">
        <v>575</v>
      </c>
      <c r="H477" s="162">
        <f t="shared" si="322"/>
        <v>96.040000000000049</v>
      </c>
      <c r="I477" s="162">
        <f t="shared" si="323"/>
        <v>0.6832298136645959</v>
      </c>
      <c r="J477" s="70">
        <f ca="1">IF(F477=0,C477,IF(G477="Beta",_xlfn.BETA.INV(J473,H477,I477),IF(G477="Lognormal",EXP(NORMINV(J473,H477,I477)),IF(G477="Gamma",_xlfn.GAMMA.INV(J473,H477,I477),IF(G477="Normal",_xlfn.NORM.INV(J473,H477,I477),0)))))</f>
        <v>59.341044325555174</v>
      </c>
    </row>
    <row r="478" spans="2:21" x14ac:dyDescent="0.3">
      <c r="B478" s="31" t="s">
        <v>1086</v>
      </c>
      <c r="C478" s="177">
        <f>'Cost input'!O398</f>
        <v>65.617391304347819</v>
      </c>
      <c r="D478" s="177">
        <f>'Cost input'!P398</f>
        <v>52.493913043478258</v>
      </c>
      <c r="E478" s="177">
        <f>'Cost input'!Q398</f>
        <v>78.74086956521738</v>
      </c>
      <c r="F478" s="156">
        <f t="shared" si="324"/>
        <v>6.6956521739130412</v>
      </c>
      <c r="G478" s="160" t="s">
        <v>575</v>
      </c>
      <c r="H478" s="162">
        <f t="shared" si="322"/>
        <v>96.040000000000049</v>
      </c>
      <c r="I478" s="162">
        <f t="shared" si="323"/>
        <v>0.6832298136645959</v>
      </c>
      <c r="J478" s="70">
        <f ca="1">IF(F478=0,C478,IF(G478="Beta",_xlfn.BETA.INV(J473,H478,I478),IF(G478="Lognormal",EXP(NORMINV(J473,H478,I478)),IF(G478="Gamma",_xlfn.GAMMA.INV(J473,H478,I478),IF(G478="Normal",_xlfn.NORM.INV(J473,H478,I478),0)))))</f>
        <v>59.341044325555174</v>
      </c>
    </row>
    <row r="479" spans="2:21" x14ac:dyDescent="0.3">
      <c r="B479" s="31" t="s">
        <v>1087</v>
      </c>
      <c r="C479" s="177">
        <f>'Cost input'!O399</f>
        <v>65.617391304347819</v>
      </c>
      <c r="D479" s="177">
        <f>'Cost input'!P399</f>
        <v>52.493913043478258</v>
      </c>
      <c r="E479" s="177">
        <f>'Cost input'!Q399</f>
        <v>78.74086956521738</v>
      </c>
      <c r="F479" s="156">
        <f t="shared" si="324"/>
        <v>6.6956521739130412</v>
      </c>
      <c r="G479" s="160" t="s">
        <v>575</v>
      </c>
      <c r="H479" s="162">
        <f t="shared" si="322"/>
        <v>96.040000000000049</v>
      </c>
      <c r="I479" s="162">
        <f t="shared" si="323"/>
        <v>0.6832298136645959</v>
      </c>
      <c r="J479" s="70">
        <f ca="1">IF(F479=0,C479,IF(G479="Beta",_xlfn.BETA.INV(J473,H479,I479),IF(G479="Lognormal",EXP(NORMINV(J473,H479,I479)),IF(G479="Gamma",_xlfn.GAMMA.INV(J473,H479,I479),IF(G479="Normal",_xlfn.NORM.INV(J473,H479,I479),0)))))</f>
        <v>59.341044325555174</v>
      </c>
    </row>
    <row r="480" spans="2:21" x14ac:dyDescent="0.3">
      <c r="B480" s="31" t="s">
        <v>1443</v>
      </c>
      <c r="C480" s="177">
        <f>'Cost input'!O400</f>
        <v>65.617391304347819</v>
      </c>
      <c r="D480" s="177">
        <f>'Cost input'!P400</f>
        <v>52.493913043478258</v>
      </c>
      <c r="E480" s="177">
        <f>'Cost input'!Q400</f>
        <v>78.74086956521738</v>
      </c>
      <c r="F480" s="156">
        <f t="shared" si="324"/>
        <v>6.6956521739130412</v>
      </c>
      <c r="G480" s="160" t="s">
        <v>575</v>
      </c>
      <c r="H480" s="162">
        <f t="shared" si="322"/>
        <v>96.040000000000049</v>
      </c>
      <c r="I480" s="162">
        <f t="shared" si="323"/>
        <v>0.6832298136645959</v>
      </c>
      <c r="J480" s="70">
        <f ca="1">IF(F480=0,C480,IF(G480="Beta",_xlfn.BETA.INV(J473,H480,I480),IF(G480="Lognormal",EXP(NORMINV(J473,H480,I480)),IF(G480="Gamma",_xlfn.GAMMA.INV(J473,H480,I480),IF(G480="Normal",_xlfn.NORM.INV(J473,H480,I480),0)))))</f>
        <v>59.341044325555174</v>
      </c>
    </row>
    <row r="481" spans="2:28" ht="15.6" x14ac:dyDescent="0.3">
      <c r="B481" s="150" t="s">
        <v>1444</v>
      </c>
      <c r="C481" s="533"/>
      <c r="D481" s="533"/>
      <c r="E481" s="533"/>
      <c r="F481" s="533"/>
      <c r="G481" s="141"/>
      <c r="H481" s="141"/>
      <c r="I481" s="141"/>
      <c r="J481" s="291">
        <f ca="1">RAND()</f>
        <v>0.62339762195779014</v>
      </c>
      <c r="L481" s="79" t="s">
        <v>679</v>
      </c>
    </row>
    <row r="482" spans="2:28" x14ac:dyDescent="0.3">
      <c r="B482" s="31" t="s">
        <v>1082</v>
      </c>
      <c r="C482" s="177">
        <f>'Cost input'!O402</f>
        <v>39.37043478260869</v>
      </c>
      <c r="D482" s="177">
        <f>'Cost input'!P402</f>
        <v>52.493913043478258</v>
      </c>
      <c r="E482" s="177">
        <f>'Cost input'!Q402</f>
        <v>65.617391304347819</v>
      </c>
      <c r="F482" s="156">
        <f>(E482-D482)/(2*1.96)</f>
        <v>3.3478260869565206</v>
      </c>
      <c r="G482" s="160" t="s">
        <v>575</v>
      </c>
      <c r="H482" s="162">
        <f t="shared" ref="H482:H488" si="325">IF(G482="Beta",C482*(C482*(1-C482)/(F482^2)-1),IF(G482="Lognormal",LN(C482^2/SQRT(F482^2+C482^2)),IF(G482="Gamma",C482^2/F482^2,IF(G482="Normal",C482,0))))</f>
        <v>138.29760000000005</v>
      </c>
      <c r="I482" s="162">
        <f t="shared" ref="I482:I488" si="326">IF(G482="Beta",C482*(1-C482)/(F482^2)-1-H482,IF(G482="Lognormal",SQRT(LN(1+F482^2/C482^2)),IF(G482="Gamma",F482^2/C482,IF(G482="Normal",F482,0))))</f>
        <v>0.28467908902691497</v>
      </c>
      <c r="J482" s="70">
        <f ca="1">IF(F482=0,C482,IF(G482="Beta",_xlfn.BETA.INV(J481,H482,I482),IF(G482="Lognormal",EXP(NORMINV(J481,H482,I482)),IF(G482="Gamma",_xlfn.GAMMA.INV(J481,H482,I482),IF(G482="Normal",_xlfn.NORM.INV(J481,H482,I482),0)))))</f>
        <v>40.336113584575138</v>
      </c>
    </row>
    <row r="483" spans="2:28" x14ac:dyDescent="0.3">
      <c r="B483" s="31" t="s">
        <v>1083</v>
      </c>
      <c r="C483" s="177">
        <f>'Cost input'!O403</f>
        <v>39.37043478260869</v>
      </c>
      <c r="D483" s="177">
        <f>'Cost input'!P403</f>
        <v>52.493913043478258</v>
      </c>
      <c r="E483" s="177">
        <f>'Cost input'!Q403</f>
        <v>65.617391304347819</v>
      </c>
      <c r="F483" s="156">
        <f t="shared" ref="F483:F488" si="327">(E483-D483)/(2*1.96)</f>
        <v>3.3478260869565206</v>
      </c>
      <c r="G483" s="160" t="s">
        <v>575</v>
      </c>
      <c r="H483" s="162">
        <f t="shared" si="325"/>
        <v>138.29760000000005</v>
      </c>
      <c r="I483" s="162">
        <f t="shared" si="326"/>
        <v>0.28467908902691497</v>
      </c>
      <c r="J483" s="70">
        <f ca="1">IF(F483=0,C483,IF(G483="Beta",_xlfn.BETA.INV(J481,H483,I483),IF(G483="Lognormal",EXP(NORMINV(J481,H483,I483)),IF(G483="Gamma",_xlfn.GAMMA.INV(J481,H483,I483),IF(G483="Normal",_xlfn.NORM.INV(J481,H483,I483),0)))))</f>
        <v>40.336113584575138</v>
      </c>
    </row>
    <row r="484" spans="2:28" x14ac:dyDescent="0.3">
      <c r="B484" s="31" t="s">
        <v>1084</v>
      </c>
      <c r="C484" s="177">
        <f>'Cost input'!O404</f>
        <v>39.37043478260869</v>
      </c>
      <c r="D484" s="177">
        <f>'Cost input'!P404</f>
        <v>52.493913043478258</v>
      </c>
      <c r="E484" s="177">
        <f>'Cost input'!Q404</f>
        <v>65.617391304347819</v>
      </c>
      <c r="F484" s="156">
        <f t="shared" si="327"/>
        <v>3.3478260869565206</v>
      </c>
      <c r="G484" s="160" t="s">
        <v>575</v>
      </c>
      <c r="H484" s="162">
        <f t="shared" si="325"/>
        <v>138.29760000000005</v>
      </c>
      <c r="I484" s="162">
        <f t="shared" si="326"/>
        <v>0.28467908902691497</v>
      </c>
      <c r="J484" s="70">
        <f ca="1">IF(F484=0,C484,IF(G484="Beta",_xlfn.BETA.INV(J481,H484,I484),IF(G484="Lognormal",EXP(NORMINV(J481,H484,I484)),IF(G484="Gamma",_xlfn.GAMMA.INV(J481,H484,I484),IF(G484="Normal",_xlfn.NORM.INV(J481,H484,I484),0)))))</f>
        <v>40.336113584575138</v>
      </c>
    </row>
    <row r="485" spans="2:28" x14ac:dyDescent="0.3">
      <c r="B485" s="31" t="s">
        <v>1085</v>
      </c>
      <c r="C485" s="177">
        <f>'Cost input'!O405</f>
        <v>65.617391304347819</v>
      </c>
      <c r="D485" s="177">
        <f>'Cost input'!P405</f>
        <v>52.493913043478258</v>
      </c>
      <c r="E485" s="177">
        <f>'Cost input'!Q405</f>
        <v>78.74086956521738</v>
      </c>
      <c r="F485" s="156">
        <f t="shared" si="327"/>
        <v>6.6956521739130412</v>
      </c>
      <c r="G485" s="160" t="s">
        <v>575</v>
      </c>
      <c r="H485" s="162">
        <f t="shared" si="325"/>
        <v>96.040000000000049</v>
      </c>
      <c r="I485" s="162">
        <f t="shared" si="326"/>
        <v>0.6832298136645959</v>
      </c>
      <c r="J485" s="70">
        <f ca="1">IF(F485=0,C485,IF(G485="Beta",_xlfn.BETA.INV(J481,H485,I485),IF(G485="Lognormal",EXP(NORMINV(J481,H485,I485)),IF(G485="Gamma",_xlfn.GAMMA.INV(J481,H485,I485),IF(G485="Normal",_xlfn.NORM.INV(J481,H485,I485),0)))))</f>
        <v>67.513315687232549</v>
      </c>
      <c r="AB485" s="67"/>
    </row>
    <row r="486" spans="2:28" x14ac:dyDescent="0.3">
      <c r="B486" s="31" t="s">
        <v>1086</v>
      </c>
      <c r="C486" s="177">
        <f>'Cost input'!O406</f>
        <v>65.617391304347819</v>
      </c>
      <c r="D486" s="177">
        <f>'Cost input'!P406</f>
        <v>52.493913043478258</v>
      </c>
      <c r="E486" s="177">
        <f>'Cost input'!Q406</f>
        <v>78.74086956521738</v>
      </c>
      <c r="F486" s="156">
        <f t="shared" si="327"/>
        <v>6.6956521739130412</v>
      </c>
      <c r="G486" s="160" t="s">
        <v>575</v>
      </c>
      <c r="H486" s="162">
        <f t="shared" si="325"/>
        <v>96.040000000000049</v>
      </c>
      <c r="I486" s="162">
        <f t="shared" si="326"/>
        <v>0.6832298136645959</v>
      </c>
      <c r="J486" s="70">
        <f ca="1">IF(F486=0,C486,IF(G486="Beta",_xlfn.BETA.INV(J481,H486,I486),IF(G486="Lognormal",EXP(NORMINV(J481,H486,I486)),IF(G486="Gamma",_xlfn.GAMMA.INV(J481,H486,I486),IF(G486="Normal",_xlfn.NORM.INV(J481,H486,I486),0)))))</f>
        <v>67.513315687232549</v>
      </c>
    </row>
    <row r="487" spans="2:28" x14ac:dyDescent="0.3">
      <c r="B487" s="31" t="s">
        <v>1087</v>
      </c>
      <c r="C487" s="177">
        <f>'Cost input'!O407</f>
        <v>65.617391304347819</v>
      </c>
      <c r="D487" s="177">
        <f>'Cost input'!P407</f>
        <v>52.493913043478258</v>
      </c>
      <c r="E487" s="177">
        <f>'Cost input'!Q407</f>
        <v>78.74086956521738</v>
      </c>
      <c r="F487" s="156">
        <f t="shared" si="327"/>
        <v>6.6956521739130412</v>
      </c>
      <c r="G487" s="160" t="s">
        <v>575</v>
      </c>
      <c r="H487" s="162">
        <f t="shared" si="325"/>
        <v>96.040000000000049</v>
      </c>
      <c r="I487" s="162">
        <f t="shared" si="326"/>
        <v>0.6832298136645959</v>
      </c>
      <c r="J487" s="70">
        <f ca="1">IF(F487=0,C487,IF(G487="Beta",_xlfn.BETA.INV(J481,H487,I487),IF(G487="Lognormal",EXP(NORMINV(J481,H487,I487)),IF(G487="Gamma",_xlfn.GAMMA.INV(J481,H487,I487),IF(G487="Normal",_xlfn.NORM.INV(J481,H487,I487),0)))))</f>
        <v>67.513315687232549</v>
      </c>
    </row>
    <row r="488" spans="2:28" x14ac:dyDescent="0.3">
      <c r="B488" s="31" t="s">
        <v>1443</v>
      </c>
      <c r="C488" s="177">
        <f>'Cost input'!O408</f>
        <v>65.617391304347819</v>
      </c>
      <c r="D488" s="177">
        <f>'Cost input'!P408</f>
        <v>52.493913043478258</v>
      </c>
      <c r="E488" s="177">
        <f>'Cost input'!Q408</f>
        <v>78.74086956521738</v>
      </c>
      <c r="F488" s="156">
        <f t="shared" si="327"/>
        <v>6.6956521739130412</v>
      </c>
      <c r="G488" s="160" t="s">
        <v>575</v>
      </c>
      <c r="H488" s="162">
        <f t="shared" si="325"/>
        <v>96.040000000000049</v>
      </c>
      <c r="I488" s="162">
        <f t="shared" si="326"/>
        <v>0.6832298136645959</v>
      </c>
      <c r="J488" s="70">
        <f ca="1">IF(F488=0,C488,IF(G488="Beta",_xlfn.BETA.INV(J481,H488,I488),IF(G488="Lognormal",EXP(NORMINV(J481,H488,I488)),IF(G488="Gamma",_xlfn.GAMMA.INV(J481,H488,I488),IF(G488="Normal",_xlfn.NORM.INV(J481,H488,I488),0)))))</f>
        <v>67.513315687232549</v>
      </c>
    </row>
    <row r="489" spans="2:28" ht="15.6" x14ac:dyDescent="0.3">
      <c r="B489" s="151" t="s">
        <v>227</v>
      </c>
      <c r="C489" s="533"/>
      <c r="D489" s="533"/>
      <c r="E489" s="533"/>
      <c r="F489" s="533"/>
      <c r="G489" s="162"/>
      <c r="H489" s="162"/>
      <c r="I489" s="162"/>
      <c r="J489" s="291">
        <f ca="1">RAND()</f>
        <v>0.70018354325159504</v>
      </c>
    </row>
    <row r="490" spans="2:28" x14ac:dyDescent="0.3">
      <c r="B490" s="31" t="s">
        <v>1437</v>
      </c>
      <c r="C490" s="177">
        <f>'Cost input'!O410</f>
        <v>65.617391304347819</v>
      </c>
      <c r="D490" s="177">
        <f>'Cost input'!P410</f>
        <v>52.493913043478258</v>
      </c>
      <c r="E490" s="177">
        <f>'Cost input'!Q410</f>
        <v>78.74086956521738</v>
      </c>
      <c r="F490" s="156">
        <f t="shared" ref="F490:F493" si="328">(E490-D490)/(2*1.96)</f>
        <v>6.6956521739130412</v>
      </c>
      <c r="G490" s="160" t="s">
        <v>575</v>
      </c>
      <c r="H490" s="162">
        <f t="shared" ref="H490:H493" si="329">IF(G490="Beta",C490*(C490*(1-C490)/(F490^2)-1),IF(G490="Lognormal",LN(C490^2/SQRT(F490^2+C490^2)),IF(G490="Gamma",C490^2/F490^2,IF(G490="Normal",C490,0))))</f>
        <v>96.040000000000049</v>
      </c>
      <c r="I490" s="162">
        <f t="shared" ref="I490:I493" si="330">IF(G490="Beta",C490*(1-C490)/(F490^2)-1-H490,IF(G490="Lognormal",SQRT(LN(1+F490^2/C490^2)),IF(G490="Gamma",F490^2/C490,IF(G490="Normal",F490,0))))</f>
        <v>0.6832298136645959</v>
      </c>
      <c r="J490" s="70">
        <f ca="1">IF(F490=0,C490,IF(G490="Beta",_xlfn.BETA.INV(J$293,H490,I490),IF(G490="Lognormal",EXP(NORMINV(J$293,H490,I490)),IF(G490="Gamma",_xlfn.GAMMA.INV(J$293,H490,I490),IF(G490="Normal",_xlfn.NORM.INV(J$293,H490,I490),0)))))</f>
        <v>77.69005593799217</v>
      </c>
    </row>
    <row r="491" spans="2:28" x14ac:dyDescent="0.3">
      <c r="B491" s="31" t="s">
        <v>1438</v>
      </c>
      <c r="C491" s="177">
        <f>'Cost input'!O411</f>
        <v>65.617391304347819</v>
      </c>
      <c r="D491" s="177">
        <f>'Cost input'!P411</f>
        <v>52.493913043478258</v>
      </c>
      <c r="E491" s="177">
        <f>'Cost input'!Q411</f>
        <v>78.74086956521738</v>
      </c>
      <c r="F491" s="156">
        <f t="shared" si="328"/>
        <v>6.6956521739130412</v>
      </c>
      <c r="G491" s="160" t="s">
        <v>575</v>
      </c>
      <c r="H491" s="162">
        <f t="shared" si="329"/>
        <v>96.040000000000049</v>
      </c>
      <c r="I491" s="162">
        <f t="shared" si="330"/>
        <v>0.6832298136645959</v>
      </c>
      <c r="J491" s="70">
        <f ca="1">IF(F491=0,C491,IF(G491="Beta",_xlfn.BETA.INV(J$293,H491,I491),IF(G491="Lognormal",EXP(NORMINV(J$293,H491,I491)),IF(G491="Gamma",_xlfn.GAMMA.INV(J$293,H491,I491),IF(G491="Normal",_xlfn.NORM.INV(J$293,H491,I491),0)))))</f>
        <v>77.69005593799217</v>
      </c>
    </row>
    <row r="492" spans="2:28" x14ac:dyDescent="0.3">
      <c r="B492" s="31" t="s">
        <v>1441</v>
      </c>
      <c r="C492" s="177">
        <f>'Cost input'!O412</f>
        <v>65.617391304347819</v>
      </c>
      <c r="D492" s="177">
        <f>'Cost input'!P412</f>
        <v>52.493913043478258</v>
      </c>
      <c r="E492" s="177">
        <f>'Cost input'!Q412</f>
        <v>78.74086956521738</v>
      </c>
      <c r="F492" s="156">
        <f t="shared" si="328"/>
        <v>6.6956521739130412</v>
      </c>
      <c r="G492" s="160" t="s">
        <v>575</v>
      </c>
      <c r="H492" s="162">
        <f t="shared" si="329"/>
        <v>96.040000000000049</v>
      </c>
      <c r="I492" s="162">
        <f t="shared" si="330"/>
        <v>0.6832298136645959</v>
      </c>
      <c r="J492" s="70">
        <f ca="1">IF(F492=0,C492,IF(G492="Beta",_xlfn.BETA.INV(J$293,H492,I492),IF(G492="Lognormal",EXP(NORMINV(J$293,H492,I492)),IF(G492="Gamma",_xlfn.GAMMA.INV(J$293,H492,I492),IF(G492="Normal",_xlfn.NORM.INV(J$293,H492,I492),0)))))</f>
        <v>77.69005593799217</v>
      </c>
    </row>
    <row r="493" spans="2:28" x14ac:dyDescent="0.3">
      <c r="B493" s="31" t="s">
        <v>1442</v>
      </c>
      <c r="C493" s="177">
        <f>'Cost input'!O413</f>
        <v>65.617391304347819</v>
      </c>
      <c r="D493" s="177">
        <f>'Cost input'!P413</f>
        <v>52.493913043478258</v>
      </c>
      <c r="E493" s="177">
        <f>'Cost input'!Q413</f>
        <v>78.74086956521738</v>
      </c>
      <c r="F493" s="156">
        <f t="shared" si="328"/>
        <v>6.6956521739130412</v>
      </c>
      <c r="G493" s="160" t="s">
        <v>575</v>
      </c>
      <c r="H493" s="162">
        <f t="shared" si="329"/>
        <v>96.040000000000049</v>
      </c>
      <c r="I493" s="162">
        <f t="shared" si="330"/>
        <v>0.6832298136645959</v>
      </c>
      <c r="J493" s="70">
        <f ca="1">IF(F493=0,C493,IF(G493="Beta",_xlfn.BETA.INV(J$293,H493,I493),IF(G493="Lognormal",EXP(NORMINV(J$293,H493,I493)),IF(G493="Gamma",_xlfn.GAMMA.INV(J$293,H493,I493),IF(G493="Normal",_xlfn.NORM.INV(J$293,H493,I493),0)))))</f>
        <v>77.69005593799217</v>
      </c>
    </row>
    <row r="494" spans="2:28" ht="15.6" x14ac:dyDescent="0.3">
      <c r="B494" s="151" t="s">
        <v>920</v>
      </c>
      <c r="C494" s="533"/>
      <c r="D494" s="533"/>
      <c r="E494" s="533"/>
      <c r="F494" s="533"/>
      <c r="G494" s="162"/>
      <c r="H494" s="162"/>
      <c r="I494" s="162"/>
      <c r="J494" s="291">
        <f ca="1">RAND()</f>
        <v>0.87216795305629635</v>
      </c>
    </row>
    <row r="495" spans="2:28" x14ac:dyDescent="0.3">
      <c r="B495" s="31" t="s">
        <v>920</v>
      </c>
      <c r="C495" s="177">
        <f>'Cost input'!O415</f>
        <v>65.617391304347819</v>
      </c>
      <c r="D495" s="177">
        <f>'Cost input'!P415</f>
        <v>52.493913043478258</v>
      </c>
      <c r="E495" s="177">
        <f>'Cost input'!Q415</f>
        <v>78.74086956521738</v>
      </c>
      <c r="F495" s="156">
        <f t="shared" ref="F495:F496" si="331">(E495-D495)/(2*1.96)</f>
        <v>6.6956521739130412</v>
      </c>
      <c r="G495" s="160" t="s">
        <v>575</v>
      </c>
      <c r="H495" s="162">
        <f t="shared" ref="H495:H496" si="332">IF(G495="Beta",C495*(C495*(1-C495)/(F495^2)-1),IF(G495="Lognormal",LN(C495^2/SQRT(F495^2+C495^2)),IF(G495="Gamma",C495^2/F495^2,IF(G495="Normal",C495,0))))</f>
        <v>96.040000000000049</v>
      </c>
      <c r="I495" s="162">
        <f t="shared" ref="I495:I496" si="333">IF(G495="Beta",C495*(1-C495)/(F495^2)-1-H495,IF(G495="Lognormal",SQRT(LN(1+F495^2/C495^2)),IF(G495="Gamma",F495^2/C495,IF(G495="Normal",F495,0))))</f>
        <v>0.6832298136645959</v>
      </c>
      <c r="J495" s="70">
        <f ca="1">IF(F495=0,C495,IF(G495="Beta",_xlfn.BETA.INV(J$293,H495,I495),IF(G495="Lognormal",EXP(NORMINV(J$293,H495,I495)),IF(G495="Gamma",_xlfn.GAMMA.INV(J$293,H495,I495),IF(G495="Normal",_xlfn.NORM.INV(J$293,H495,I495),0)))))</f>
        <v>77.69005593799217</v>
      </c>
    </row>
    <row r="496" spans="2:28" x14ac:dyDescent="0.3">
      <c r="B496" s="31" t="s">
        <v>980</v>
      </c>
      <c r="C496" s="177">
        <f>'Cost input'!O416</f>
        <v>65.617391304347819</v>
      </c>
      <c r="D496" s="177">
        <f>'Cost input'!P416</f>
        <v>52.493913043478258</v>
      </c>
      <c r="E496" s="177">
        <f>'Cost input'!Q416</f>
        <v>78.74086956521738</v>
      </c>
      <c r="F496" s="156">
        <f t="shared" si="331"/>
        <v>6.6956521739130412</v>
      </c>
      <c r="G496" s="160" t="s">
        <v>575</v>
      </c>
      <c r="H496" s="162">
        <f t="shared" si="332"/>
        <v>96.040000000000049</v>
      </c>
      <c r="I496" s="162">
        <f t="shared" si="333"/>
        <v>0.6832298136645959</v>
      </c>
      <c r="J496" s="70">
        <f ca="1">IF(F496=0,C496,IF(G496="Beta",_xlfn.BETA.INV(J$293,H496,I496),IF(G496="Lognormal",EXP(NORMINV(J$293,H496,I496)),IF(G496="Gamma",_xlfn.GAMMA.INV(J$293,H496,I496),IF(G496="Normal",_xlfn.NORM.INV(J$293,H496,I496),0)))))</f>
        <v>77.69005593799217</v>
      </c>
    </row>
    <row r="498" spans="2:12" x14ac:dyDescent="0.3">
      <c r="B498" s="175" t="s">
        <v>1376</v>
      </c>
      <c r="C498" s="175"/>
      <c r="D498" s="175"/>
      <c r="E498" s="175"/>
      <c r="F498" s="175"/>
      <c r="G498" s="164"/>
      <c r="H498" s="84"/>
      <c r="I498" s="84"/>
      <c r="J498" s="84"/>
    </row>
    <row r="499" spans="2:12" x14ac:dyDescent="0.3">
      <c r="B499" s="159" t="s">
        <v>905</v>
      </c>
      <c r="C499" s="73"/>
      <c r="D499" s="73"/>
      <c r="E499" s="73"/>
      <c r="F499" s="73"/>
      <c r="G499" s="73"/>
      <c r="H499" s="73"/>
      <c r="I499" s="73"/>
      <c r="J499" s="73"/>
    </row>
    <row r="500" spans="2:12" x14ac:dyDescent="0.3">
      <c r="B500" s="159" t="s">
        <v>1</v>
      </c>
      <c r="C500" s="159" t="s">
        <v>567</v>
      </c>
      <c r="D500" s="159" t="s">
        <v>985</v>
      </c>
      <c r="E500" s="159" t="s">
        <v>986</v>
      </c>
      <c r="F500" s="73" t="s">
        <v>584</v>
      </c>
      <c r="G500" s="73" t="s">
        <v>569</v>
      </c>
      <c r="H500" s="73" t="s">
        <v>581</v>
      </c>
      <c r="I500" s="73" t="s">
        <v>582</v>
      </c>
      <c r="J500" s="73" t="s">
        <v>583</v>
      </c>
    </row>
    <row r="501" spans="2:12" x14ac:dyDescent="0.3">
      <c r="B501" s="150" t="s">
        <v>988</v>
      </c>
      <c r="C501" s="197"/>
      <c r="D501" s="197"/>
      <c r="E501" s="197"/>
      <c r="J501" s="291">
        <f ca="1">RAND()</f>
        <v>0.88018537641589711</v>
      </c>
    </row>
    <row r="502" spans="2:12" x14ac:dyDescent="0.3">
      <c r="B502" s="31" t="s">
        <v>1082</v>
      </c>
      <c r="C502" s="177">
        <f>'Cost input'!O425</f>
        <v>39.37043478260869</v>
      </c>
      <c r="D502" s="177">
        <f>'Cost input'!P425</f>
        <v>26.246956521739129</v>
      </c>
      <c r="E502" s="177">
        <f>'Cost input'!Q425</f>
        <v>52.493913043478258</v>
      </c>
      <c r="F502" s="156">
        <f>(E502-D502)/(2*1.96)</f>
        <v>6.695652173913043</v>
      </c>
      <c r="G502" s="160" t="s">
        <v>575</v>
      </c>
      <c r="H502" s="162">
        <f t="shared" ref="H502:H508" si="334">IF(G502="Beta",C502*(C502*(1-C502)/(F502^2)-1),IF(G502="Lognormal",LN(C502^2/SQRT(F502^2+C502^2)),IF(G502="Gamma",C502^2/F502^2,IF(G502="Normal",C502,0))))</f>
        <v>34.574399999999997</v>
      </c>
      <c r="I502" s="162">
        <f t="shared" ref="I502:I508" si="335">IF(G502="Beta",C502*(1-C502)/(F502^2)-1-H502,IF(G502="Lognormal",SQRT(LN(1+F502^2/C502^2)),IF(G502="Gamma",F502^2/C502,IF(G502="Normal",F502,0))))</f>
        <v>1.1387163561076603</v>
      </c>
      <c r="J502" s="70">
        <f ca="1">IF(F502=0,C502,IF(G502="Beta",_xlfn.BETA.INV(J501,H502,I502),IF(G502="Lognormal",EXP(NORMINV(J501,H502,I502)),IF(G502="Gamma",_xlfn.GAMMA.INV(J501,H502,I502),IF(G502="Normal",_xlfn.NORM.INV(J501,H502,I502),0)))))</f>
        <v>47.353715986389595</v>
      </c>
      <c r="K502">
        <f>(E502+D502)/2</f>
        <v>39.370434782608697</v>
      </c>
    </row>
    <row r="503" spans="2:12" x14ac:dyDescent="0.3">
      <c r="B503" s="31" t="s">
        <v>1083</v>
      </c>
      <c r="C503" s="177">
        <f>'Cost input'!O426</f>
        <v>39.37043478260869</v>
      </c>
      <c r="D503" s="177">
        <f>'Cost input'!P426</f>
        <v>26.246956521739129</v>
      </c>
      <c r="E503" s="177">
        <f>'Cost input'!Q426</f>
        <v>52.493913043478258</v>
      </c>
      <c r="F503" s="156">
        <f t="shared" ref="F503:F508" si="336">(E503-D503)/(2*1.96)</f>
        <v>6.695652173913043</v>
      </c>
      <c r="G503" s="160" t="s">
        <v>575</v>
      </c>
      <c r="H503" s="162">
        <f t="shared" si="334"/>
        <v>34.574399999999997</v>
      </c>
      <c r="I503" s="162">
        <f t="shared" si="335"/>
        <v>1.1387163561076603</v>
      </c>
      <c r="J503" s="70">
        <f ca="1">IF(F503=0,C503,IF(G503="Beta",_xlfn.BETA.INV(J501,H503,I503),IF(G503="Lognormal",EXP(NORMINV(J501,H503,I503)),IF(G503="Gamma",_xlfn.GAMMA.INV(J501,H503,I503),IF(G503="Normal",_xlfn.NORM.INV(J501,H503,I503),0)))))</f>
        <v>47.353715986389595</v>
      </c>
      <c r="K503" s="296">
        <f>_xlfn.GAMMA.INV(0.5,H503,I503)</f>
        <v>38.991520123196743</v>
      </c>
    </row>
    <row r="504" spans="2:12" x14ac:dyDescent="0.3">
      <c r="B504" s="31" t="s">
        <v>1084</v>
      </c>
      <c r="C504" s="177">
        <f>'Cost input'!O427</f>
        <v>39.37043478260869</v>
      </c>
      <c r="D504" s="177">
        <f>'Cost input'!P427</f>
        <v>26.246956521739129</v>
      </c>
      <c r="E504" s="177">
        <f>'Cost input'!Q427</f>
        <v>52.493913043478258</v>
      </c>
      <c r="F504" s="156">
        <f t="shared" si="336"/>
        <v>6.695652173913043</v>
      </c>
      <c r="G504" s="160" t="s">
        <v>575</v>
      </c>
      <c r="H504" s="162">
        <f t="shared" si="334"/>
        <v>34.574399999999997</v>
      </c>
      <c r="I504" s="162">
        <f t="shared" si="335"/>
        <v>1.1387163561076603</v>
      </c>
      <c r="J504" s="70">
        <f ca="1">IF(F504=0,C504,IF(G504="Beta",_xlfn.BETA.INV(J501,H504,I504),IF(G504="Lognormal",EXP(NORMINV(J501,H504,I504)),IF(G504="Gamma",_xlfn.GAMMA.INV(J501,H504,I504),IF(G504="Normal",_xlfn.NORM.INV(J501,H504,I504),0)))))</f>
        <v>47.353715986389595</v>
      </c>
    </row>
    <row r="505" spans="2:12" x14ac:dyDescent="0.3">
      <c r="B505" s="31" t="s">
        <v>1085</v>
      </c>
      <c r="C505" s="177">
        <f>'Cost input'!O428</f>
        <v>39.37043478260869</v>
      </c>
      <c r="D505" s="177">
        <f>'Cost input'!P428</f>
        <v>26.246956521739129</v>
      </c>
      <c r="E505" s="177">
        <f>'Cost input'!Q428</f>
        <v>52.493913043478258</v>
      </c>
      <c r="F505" s="156">
        <f t="shared" si="336"/>
        <v>6.695652173913043</v>
      </c>
      <c r="G505" s="160" t="s">
        <v>575</v>
      </c>
      <c r="H505" s="162">
        <f t="shared" si="334"/>
        <v>34.574399999999997</v>
      </c>
      <c r="I505" s="162">
        <f t="shared" si="335"/>
        <v>1.1387163561076603</v>
      </c>
      <c r="J505" s="70">
        <f ca="1">IF(F505=0,C505,IF(G505="Beta",_xlfn.BETA.INV(J501,H505,I505),IF(G505="Lognormal",EXP(NORMINV(J501,H505,I505)),IF(G505="Gamma",_xlfn.GAMMA.INV(J501,H505,I505),IF(G505="Normal",_xlfn.NORM.INV(J501,H505,I505),0)))))</f>
        <v>47.353715986389595</v>
      </c>
    </row>
    <row r="506" spans="2:12" x14ac:dyDescent="0.3">
      <c r="B506" s="31" t="s">
        <v>1086</v>
      </c>
      <c r="C506" s="177">
        <f>'Cost input'!O429</f>
        <v>39.37043478260869</v>
      </c>
      <c r="D506" s="177">
        <f>'Cost input'!P429</f>
        <v>26.246956521739129</v>
      </c>
      <c r="E506" s="177">
        <f>'Cost input'!Q429</f>
        <v>52.493913043478258</v>
      </c>
      <c r="F506" s="156">
        <f t="shared" si="336"/>
        <v>6.695652173913043</v>
      </c>
      <c r="G506" s="160" t="s">
        <v>575</v>
      </c>
      <c r="H506" s="162">
        <f t="shared" si="334"/>
        <v>34.574399999999997</v>
      </c>
      <c r="I506" s="162">
        <f t="shared" si="335"/>
        <v>1.1387163561076603</v>
      </c>
      <c r="J506" s="70">
        <f ca="1">IF(F506=0,C506,IF(G506="Beta",_xlfn.BETA.INV(J501,H506,I506),IF(G506="Lognormal",EXP(NORMINV(J501,H506,I506)),IF(G506="Gamma",_xlfn.GAMMA.INV(J501,H506,I506),IF(G506="Normal",_xlfn.NORM.INV(J501,H506,I506),0)))))</f>
        <v>47.353715986389595</v>
      </c>
    </row>
    <row r="507" spans="2:12" x14ac:dyDescent="0.3">
      <c r="B507" s="31" t="s">
        <v>1087</v>
      </c>
      <c r="C507" s="177">
        <f>'Cost input'!O430</f>
        <v>39.37043478260869</v>
      </c>
      <c r="D507" s="177">
        <f>'Cost input'!P430</f>
        <v>26.246956521739129</v>
      </c>
      <c r="E507" s="177">
        <f>'Cost input'!Q430</f>
        <v>52.493913043478258</v>
      </c>
      <c r="F507" s="156">
        <f t="shared" si="336"/>
        <v>6.695652173913043</v>
      </c>
      <c r="G507" s="160" t="s">
        <v>575</v>
      </c>
      <c r="H507" s="162">
        <f t="shared" si="334"/>
        <v>34.574399999999997</v>
      </c>
      <c r="I507" s="162">
        <f t="shared" si="335"/>
        <v>1.1387163561076603</v>
      </c>
      <c r="J507" s="70">
        <f ca="1">IF(F507=0,C507,IF(G507="Beta",_xlfn.BETA.INV(J501,H507,I507),IF(G507="Lognormal",EXP(NORMINV(J501,H507,I507)),IF(G507="Gamma",_xlfn.GAMMA.INV(J501,H507,I507),IF(G507="Normal",_xlfn.NORM.INV(J501,H507,I507),0)))))</f>
        <v>47.353715986389595</v>
      </c>
    </row>
    <row r="508" spans="2:12" x14ac:dyDescent="0.3">
      <c r="B508" s="31" t="s">
        <v>1443</v>
      </c>
      <c r="C508" s="177">
        <f>'Cost input'!O431</f>
        <v>39.37043478260869</v>
      </c>
      <c r="D508" s="177">
        <f>'Cost input'!P431</f>
        <v>26.246956521739129</v>
      </c>
      <c r="E508" s="177">
        <f>'Cost input'!Q431</f>
        <v>52.493913043478258</v>
      </c>
      <c r="F508" s="156">
        <f t="shared" si="336"/>
        <v>6.695652173913043</v>
      </c>
      <c r="G508" s="160" t="s">
        <v>575</v>
      </c>
      <c r="H508" s="162">
        <f t="shared" si="334"/>
        <v>34.574399999999997</v>
      </c>
      <c r="I508" s="162">
        <f t="shared" si="335"/>
        <v>1.1387163561076603</v>
      </c>
      <c r="J508" s="70">
        <f ca="1">IF(F508=0,C508,IF(G508="Beta",_xlfn.BETA.INV(J501,H508,I508),IF(G508="Lognormal",EXP(NORMINV(J501,H508,I508)),IF(G508="Gamma",_xlfn.GAMMA.INV(J501,H508,I508),IF(G508="Normal",_xlfn.NORM.INV(J501,H508,I508),0)))))</f>
        <v>47.353715986389595</v>
      </c>
    </row>
    <row r="509" spans="2:12" ht="15.6" x14ac:dyDescent="0.3">
      <c r="B509" s="150" t="s">
        <v>1444</v>
      </c>
      <c r="C509" s="533"/>
      <c r="D509" s="533"/>
      <c r="E509" s="533"/>
      <c r="F509" s="533"/>
      <c r="G509" s="141"/>
      <c r="H509" s="141"/>
      <c r="I509" s="141"/>
      <c r="J509" s="291">
        <f ca="1">RAND()</f>
        <v>0.52921377938857816</v>
      </c>
      <c r="L509" s="79" t="s">
        <v>679</v>
      </c>
    </row>
    <row r="510" spans="2:12" x14ac:dyDescent="0.3">
      <c r="B510" s="31" t="s">
        <v>1082</v>
      </c>
      <c r="C510" s="177">
        <f>'Cost input'!O433</f>
        <v>39.37043478260869</v>
      </c>
      <c r="D510" s="177">
        <f>'Cost input'!P433</f>
        <v>26.246956521739129</v>
      </c>
      <c r="E510" s="177">
        <f>'Cost input'!Q433</f>
        <v>52.493913043478258</v>
      </c>
      <c r="F510" s="156">
        <f>(E510-D510)/(2*1.96)</f>
        <v>6.695652173913043</v>
      </c>
      <c r="G510" s="160" t="s">
        <v>575</v>
      </c>
      <c r="H510" s="162">
        <f t="shared" ref="H510:H516" si="337">IF(G510="Beta",C510*(C510*(1-C510)/(F510^2)-1),IF(G510="Lognormal",LN(C510^2/SQRT(F510^2+C510^2)),IF(G510="Gamma",C510^2/F510^2,IF(G510="Normal",C510,0))))</f>
        <v>34.574399999999997</v>
      </c>
      <c r="I510" s="162">
        <f t="shared" ref="I510:I516" si="338">IF(G510="Beta",C510*(1-C510)/(F510^2)-1-H510,IF(G510="Lognormal",SQRT(LN(1+F510^2/C510^2)),IF(G510="Gamma",F510^2/C510,IF(G510="Normal",F510,0))))</f>
        <v>1.1387163561076603</v>
      </c>
      <c r="J510" s="70">
        <f ca="1">IF(F510=0,C510,IF(G510="Beta",_xlfn.BETA.INV(J509,H510,I510),IF(G510="Lognormal",EXP(NORMINV(J509,H510,I510)),IF(G510="Gamma",_xlfn.GAMMA.INV(J509,H510,I510),IF(G510="Normal",_xlfn.NORM.INV(J509,H510,I510),0)))))</f>
        <v>39.481544070828406</v>
      </c>
    </row>
    <row r="511" spans="2:12" x14ac:dyDescent="0.3">
      <c r="B511" s="31" t="s">
        <v>1083</v>
      </c>
      <c r="C511" s="177">
        <f>'Cost input'!O434</f>
        <v>39.37043478260869</v>
      </c>
      <c r="D511" s="177">
        <f>'Cost input'!P434</f>
        <v>26.246956521739129</v>
      </c>
      <c r="E511" s="177">
        <f>'Cost input'!Q434</f>
        <v>52.493913043478258</v>
      </c>
      <c r="F511" s="156">
        <f t="shared" ref="F511:F516" si="339">(E511-D511)/(2*1.96)</f>
        <v>6.695652173913043</v>
      </c>
      <c r="G511" s="160" t="s">
        <v>575</v>
      </c>
      <c r="H511" s="162">
        <f t="shared" si="337"/>
        <v>34.574399999999997</v>
      </c>
      <c r="I511" s="162">
        <f t="shared" si="338"/>
        <v>1.1387163561076603</v>
      </c>
      <c r="J511" s="70">
        <f ca="1">IF(F511=0,C511,IF(G511="Beta",_xlfn.BETA.INV(J509,H511,I511),IF(G511="Lognormal",EXP(NORMINV(J509,H511,I511)),IF(G511="Gamma",_xlfn.GAMMA.INV(J509,H511,I511),IF(G511="Normal",_xlfn.NORM.INV(J509,H511,I511),0)))))</f>
        <v>39.481544070828406</v>
      </c>
    </row>
    <row r="512" spans="2:12" x14ac:dyDescent="0.3">
      <c r="B512" s="31" t="s">
        <v>1084</v>
      </c>
      <c r="C512" s="177">
        <f>'Cost input'!O435</f>
        <v>39.37043478260869</v>
      </c>
      <c r="D512" s="177">
        <f>'Cost input'!P435</f>
        <v>26.246956521739129</v>
      </c>
      <c r="E512" s="177">
        <f>'Cost input'!Q435</f>
        <v>52.493913043478258</v>
      </c>
      <c r="F512" s="156">
        <f t="shared" si="339"/>
        <v>6.695652173913043</v>
      </c>
      <c r="G512" s="160" t="s">
        <v>575</v>
      </c>
      <c r="H512" s="162">
        <f t="shared" si="337"/>
        <v>34.574399999999997</v>
      </c>
      <c r="I512" s="162">
        <f t="shared" si="338"/>
        <v>1.1387163561076603</v>
      </c>
      <c r="J512" s="70">
        <f ca="1">IF(F512=0,C512,IF(G512="Beta",_xlfn.BETA.INV(J509,H512,I512),IF(G512="Lognormal",EXP(NORMINV(J509,H512,I512)),IF(G512="Gamma",_xlfn.GAMMA.INV(J509,H512,I512),IF(G512="Normal",_xlfn.NORM.INV(J509,H512,I512),0)))))</f>
        <v>39.481544070828406</v>
      </c>
    </row>
    <row r="513" spans="2:28" x14ac:dyDescent="0.3">
      <c r="B513" s="31" t="s">
        <v>1085</v>
      </c>
      <c r="C513" s="177">
        <f>'Cost input'!O436</f>
        <v>39.37043478260869</v>
      </c>
      <c r="D513" s="177">
        <f>'Cost input'!P436</f>
        <v>26.246956521739129</v>
      </c>
      <c r="E513" s="177">
        <f>'Cost input'!Q436</f>
        <v>52.493913043478258</v>
      </c>
      <c r="F513" s="156">
        <f t="shared" si="339"/>
        <v>6.695652173913043</v>
      </c>
      <c r="G513" s="160" t="s">
        <v>575</v>
      </c>
      <c r="H513" s="162">
        <f t="shared" si="337"/>
        <v>34.574399999999997</v>
      </c>
      <c r="I513" s="162">
        <f t="shared" si="338"/>
        <v>1.1387163561076603</v>
      </c>
      <c r="J513" s="70">
        <f ca="1">IF(F513=0,C513,IF(G513="Beta",_xlfn.BETA.INV(J509,H513,I513),IF(G513="Lognormal",EXP(NORMINV(J509,H513,I513)),IF(G513="Gamma",_xlfn.GAMMA.INV(J509,H513,I513),IF(G513="Normal",_xlfn.NORM.INV(J509,H513,I513),0)))))</f>
        <v>39.481544070828406</v>
      </c>
      <c r="AB513" s="67"/>
    </row>
    <row r="514" spans="2:28" x14ac:dyDescent="0.3">
      <c r="B514" s="31" t="s">
        <v>1086</v>
      </c>
      <c r="C514" s="177">
        <f>'Cost input'!O437</f>
        <v>39.37043478260869</v>
      </c>
      <c r="D514" s="177">
        <f>'Cost input'!P437</f>
        <v>26.246956521739129</v>
      </c>
      <c r="E514" s="177">
        <f>'Cost input'!Q437</f>
        <v>52.493913043478258</v>
      </c>
      <c r="F514" s="156">
        <f t="shared" si="339"/>
        <v>6.695652173913043</v>
      </c>
      <c r="G514" s="160" t="s">
        <v>575</v>
      </c>
      <c r="H514" s="162">
        <f t="shared" si="337"/>
        <v>34.574399999999997</v>
      </c>
      <c r="I514" s="162">
        <f t="shared" si="338"/>
        <v>1.1387163561076603</v>
      </c>
      <c r="J514" s="70">
        <f ca="1">IF(F514=0,C514,IF(G514="Beta",_xlfn.BETA.INV(J509,H514,I514),IF(G514="Lognormal",EXP(NORMINV(J509,H514,I514)),IF(G514="Gamma",_xlfn.GAMMA.INV(J509,H514,I514),IF(G514="Normal",_xlfn.NORM.INV(J509,H514,I514),0)))))</f>
        <v>39.481544070828406</v>
      </c>
    </row>
    <row r="515" spans="2:28" x14ac:dyDescent="0.3">
      <c r="B515" s="31" t="s">
        <v>1087</v>
      </c>
      <c r="C515" s="177">
        <f>'Cost input'!O438</f>
        <v>39.37043478260869</v>
      </c>
      <c r="D515" s="177">
        <f>'Cost input'!P438</f>
        <v>26.246956521739129</v>
      </c>
      <c r="E515" s="177">
        <f>'Cost input'!Q438</f>
        <v>52.493913043478258</v>
      </c>
      <c r="F515" s="156">
        <f t="shared" si="339"/>
        <v>6.695652173913043</v>
      </c>
      <c r="G515" s="160" t="s">
        <v>575</v>
      </c>
      <c r="H515" s="162">
        <f t="shared" si="337"/>
        <v>34.574399999999997</v>
      </c>
      <c r="I515" s="162">
        <f t="shared" si="338"/>
        <v>1.1387163561076603</v>
      </c>
      <c r="J515" s="70">
        <f ca="1">IF(F515=0,C515,IF(G515="Beta",_xlfn.BETA.INV(J509,H515,I515),IF(G515="Lognormal",EXP(NORMINV(J509,H515,I515)),IF(G515="Gamma",_xlfn.GAMMA.INV(J509,H515,I515),IF(G515="Normal",_xlfn.NORM.INV(J509,H515,I515),0)))))</f>
        <v>39.481544070828406</v>
      </c>
    </row>
    <row r="516" spans="2:28" x14ac:dyDescent="0.3">
      <c r="B516" s="31" t="s">
        <v>1443</v>
      </c>
      <c r="C516" s="177">
        <f>'Cost input'!O439</f>
        <v>39.37043478260869</v>
      </c>
      <c r="D516" s="177">
        <f>'Cost input'!P439</f>
        <v>26.246956521739129</v>
      </c>
      <c r="E516" s="177">
        <f>'Cost input'!Q439</f>
        <v>52.493913043478258</v>
      </c>
      <c r="F516" s="156">
        <f t="shared" si="339"/>
        <v>6.695652173913043</v>
      </c>
      <c r="G516" s="160" t="s">
        <v>575</v>
      </c>
      <c r="H516" s="162">
        <f t="shared" si="337"/>
        <v>34.574399999999997</v>
      </c>
      <c r="I516" s="162">
        <f t="shared" si="338"/>
        <v>1.1387163561076603</v>
      </c>
      <c r="J516" s="70">
        <f ca="1">IF(F516=0,C516,IF(G516="Beta",_xlfn.BETA.INV(J509,H516,I516),IF(G516="Lognormal",EXP(NORMINV(J509,H516,I516)),IF(G516="Gamma",_xlfn.GAMMA.INV(J509,H516,I516),IF(G516="Normal",_xlfn.NORM.INV(J509,H516,I516),0)))))</f>
        <v>39.481544070828406</v>
      </c>
    </row>
    <row r="517" spans="2:28" ht="15.6" x14ac:dyDescent="0.3">
      <c r="B517" s="151" t="s">
        <v>227</v>
      </c>
      <c r="C517" s="533"/>
      <c r="D517" s="533"/>
      <c r="E517" s="533"/>
      <c r="F517" s="533"/>
      <c r="G517" s="162"/>
      <c r="H517" s="162"/>
      <c r="I517" s="162"/>
      <c r="J517" s="291">
        <f ca="1">RAND()</f>
        <v>0.3845311345489093</v>
      </c>
    </row>
    <row r="518" spans="2:28" x14ac:dyDescent="0.3">
      <c r="B518" s="31" t="s">
        <v>1437</v>
      </c>
      <c r="C518" s="177">
        <f>'Cost input'!O441</f>
        <v>39.37043478260869</v>
      </c>
      <c r="D518" s="177">
        <f>'Cost input'!P441</f>
        <v>26.246956521739129</v>
      </c>
      <c r="E518" s="177">
        <f>'Cost input'!Q441</f>
        <v>52.493913043478258</v>
      </c>
      <c r="F518" s="156">
        <f t="shared" ref="F518:F519" si="340">(E518-D518)/(2*1.96)</f>
        <v>6.695652173913043</v>
      </c>
      <c r="G518" s="160" t="s">
        <v>575</v>
      </c>
      <c r="H518" s="162">
        <f t="shared" ref="H518:H519" si="341">IF(G518="Beta",C518*(C518*(1-C518)/(F518^2)-1),IF(G518="Lognormal",LN(C518^2/SQRT(F518^2+C518^2)),IF(G518="Gamma",C518^2/F518^2,IF(G518="Normal",C518,0))))</f>
        <v>34.574399999999997</v>
      </c>
      <c r="I518" s="162">
        <f t="shared" ref="I518:I519" si="342">IF(G518="Beta",C518*(1-C518)/(F518^2)-1-H518,IF(G518="Lognormal",SQRT(LN(1+F518^2/C518^2)),IF(G518="Gamma",F518^2/C518,IF(G518="Normal",F518,0))))</f>
        <v>1.1387163561076603</v>
      </c>
      <c r="J518" s="70">
        <f ca="1">IF(F518=0,C518,IF(G518="Beta",_xlfn.BETA.INV(J$293,H518,I518),IF(G518="Lognormal",EXP(NORMINV(J$293,H518,I518)),IF(G518="Gamma",_xlfn.GAMMA.INV(J$293,H518,I518),IF(G518="Normal",_xlfn.NORM.INV(J$293,H518,I518),0)))))</f>
        <v>51.724349550776012</v>
      </c>
    </row>
    <row r="519" spans="2:28" x14ac:dyDescent="0.3">
      <c r="B519" s="31" t="s">
        <v>1438</v>
      </c>
      <c r="C519" s="177">
        <f>'Cost input'!O442</f>
        <v>39.37043478260869</v>
      </c>
      <c r="D519" s="177">
        <f>'Cost input'!P442</f>
        <v>26.246956521739129</v>
      </c>
      <c r="E519" s="177">
        <f>'Cost input'!Q442</f>
        <v>52.493913043478258</v>
      </c>
      <c r="F519" s="156">
        <f t="shared" si="340"/>
        <v>6.695652173913043</v>
      </c>
      <c r="G519" s="160" t="s">
        <v>575</v>
      </c>
      <c r="H519" s="162">
        <f t="shared" si="341"/>
        <v>34.574399999999997</v>
      </c>
      <c r="I519" s="162">
        <f t="shared" si="342"/>
        <v>1.1387163561076603</v>
      </c>
      <c r="J519" s="70">
        <f ca="1">IF(F519=0,C519,IF(G519="Beta",_xlfn.BETA.INV(J$293,H519,I519),IF(G519="Lognormal",EXP(NORMINV(J$293,H519,I519)),IF(G519="Gamma",_xlfn.GAMMA.INV(J$293,H519,I519),IF(G519="Normal",_xlfn.NORM.INV(J$293,H519,I519),0)))))</f>
        <v>51.724349550776012</v>
      </c>
    </row>
    <row r="520" spans="2:28" x14ac:dyDescent="0.3">
      <c r="B520" s="31" t="s">
        <v>1441</v>
      </c>
      <c r="C520" s="177">
        <f>'Cost input'!O443</f>
        <v>39.37043478260869</v>
      </c>
      <c r="D520" s="177">
        <f>'Cost input'!P443</f>
        <v>26.246956521739129</v>
      </c>
      <c r="E520" s="177">
        <f>'Cost input'!Q443</f>
        <v>52.493913043478258</v>
      </c>
      <c r="F520" s="156">
        <f t="shared" ref="F520:F523" si="343">(E520-D520)/(2*1.96)</f>
        <v>6.695652173913043</v>
      </c>
      <c r="G520" s="160" t="s">
        <v>575</v>
      </c>
      <c r="H520" s="162">
        <f t="shared" ref="H520:H521" si="344">IF(G520="Beta",C520*(C520*(1-C520)/(F520^2)-1),IF(G520="Lognormal",LN(C520^2/SQRT(F520^2+C520^2)),IF(G520="Gamma",C520^2/F520^2,IF(G520="Normal",C520,0))))</f>
        <v>34.574399999999997</v>
      </c>
      <c r="I520" s="162">
        <f t="shared" ref="I520:I521" si="345">IF(G520="Beta",C520*(1-C520)/(F520^2)-1-H520,IF(G520="Lognormal",SQRT(LN(1+F520^2/C520^2)),IF(G520="Gamma",F520^2/C520,IF(G520="Normal",F520,0))))</f>
        <v>1.1387163561076603</v>
      </c>
      <c r="J520" s="70">
        <f t="shared" ref="J520:J524" ca="1" si="346">IF(F520=0,C520,IF(G520="Beta",_xlfn.BETA.INV(J$293,H520,I520),IF(G520="Lognormal",EXP(NORMINV(J$293,H520,I520)),IF(G520="Gamma",_xlfn.GAMMA.INV(J$293,H520,I520),IF(G520="Normal",_xlfn.NORM.INV(J$293,H520,I520),0)))))</f>
        <v>51.724349550776012</v>
      </c>
    </row>
    <row r="521" spans="2:28" x14ac:dyDescent="0.3">
      <c r="B521" s="31" t="s">
        <v>1442</v>
      </c>
      <c r="C521" s="177">
        <f>'Cost input'!O444</f>
        <v>39.37043478260869</v>
      </c>
      <c r="D521" s="177">
        <f>'Cost input'!P444</f>
        <v>26.246956521739129</v>
      </c>
      <c r="E521" s="177">
        <f>'Cost input'!Q444</f>
        <v>52.493913043478258</v>
      </c>
      <c r="F521" s="156">
        <f t="shared" si="343"/>
        <v>6.695652173913043</v>
      </c>
      <c r="G521" s="160" t="s">
        <v>575</v>
      </c>
      <c r="H521" s="162">
        <f t="shared" si="344"/>
        <v>34.574399999999997</v>
      </c>
      <c r="I521" s="162">
        <f t="shared" si="345"/>
        <v>1.1387163561076603</v>
      </c>
      <c r="J521" s="70">
        <f t="shared" ca="1" si="346"/>
        <v>51.724349550776012</v>
      </c>
    </row>
    <row r="522" spans="2:28" ht="15.6" x14ac:dyDescent="0.3">
      <c r="B522" s="151" t="s">
        <v>920</v>
      </c>
      <c r="C522" s="533"/>
      <c r="D522" s="533"/>
      <c r="E522" s="533"/>
      <c r="F522" s="533"/>
      <c r="G522" s="162"/>
      <c r="H522" s="162"/>
      <c r="I522" s="162"/>
      <c r="J522" s="291">
        <f ca="1">RAND()</f>
        <v>0.27378129347204661</v>
      </c>
    </row>
    <row r="523" spans="2:28" x14ac:dyDescent="0.3">
      <c r="B523" s="31" t="s">
        <v>920</v>
      </c>
      <c r="C523" s="177">
        <f>'Cost input'!O446</f>
        <v>39.37043478260869</v>
      </c>
      <c r="D523" s="177">
        <f>'Cost input'!P446</f>
        <v>26.246956521739129</v>
      </c>
      <c r="E523" s="177">
        <f>'Cost input'!Q446</f>
        <v>52.493913043478258</v>
      </c>
      <c r="F523" s="156">
        <f t="shared" si="343"/>
        <v>6.695652173913043</v>
      </c>
      <c r="G523" s="160" t="s">
        <v>575</v>
      </c>
      <c r="H523" s="162">
        <f t="shared" ref="H523:H524" si="347">IF(G523="Beta",C523*(C523*(1-C523)/(F523^2)-1),IF(G523="Lognormal",LN(C523^2/SQRT(F523^2+C523^2)),IF(G523="Gamma",C523^2/F523^2,IF(G523="Normal",C523,0))))</f>
        <v>34.574399999999997</v>
      </c>
      <c r="I523" s="162">
        <f t="shared" ref="I523:I524" si="348">IF(G523="Beta",C523*(1-C523)/(F523^2)-1-H523,IF(G523="Lognormal",SQRT(LN(1+F523^2/C523^2)),IF(G523="Gamma",F523^2/C523,IF(G523="Normal",F523,0))))</f>
        <v>1.1387163561076603</v>
      </c>
      <c r="J523" s="70">
        <f t="shared" ca="1" si="346"/>
        <v>51.724349550776012</v>
      </c>
    </row>
    <row r="524" spans="2:28" x14ac:dyDescent="0.3">
      <c r="B524" s="31" t="s">
        <v>980</v>
      </c>
      <c r="C524" s="177">
        <f>'Cost input'!O447</f>
        <v>39.37043478260869</v>
      </c>
      <c r="D524" s="177">
        <f>'Cost input'!P447</f>
        <v>26.246956521739129</v>
      </c>
      <c r="E524" s="177">
        <f>'Cost input'!Q447</f>
        <v>52.493913043478258</v>
      </c>
      <c r="F524" s="156">
        <f t="shared" ref="F524" si="349">(E524-D524)/(2*1.96)</f>
        <v>6.695652173913043</v>
      </c>
      <c r="G524" s="160" t="s">
        <v>575</v>
      </c>
      <c r="H524" s="162">
        <f t="shared" si="347"/>
        <v>34.574399999999997</v>
      </c>
      <c r="I524" s="162">
        <f t="shared" si="348"/>
        <v>1.1387163561076603</v>
      </c>
      <c r="J524" s="70">
        <f t="shared" ca="1" si="346"/>
        <v>51.724349550776012</v>
      </c>
    </row>
    <row r="526" spans="2:28" x14ac:dyDescent="0.3">
      <c r="B526" s="175" t="s">
        <v>1005</v>
      </c>
      <c r="C526" s="175"/>
      <c r="D526" s="175"/>
      <c r="E526" s="175"/>
      <c r="F526" s="175"/>
      <c r="G526" s="164"/>
      <c r="H526" s="84"/>
      <c r="I526" s="84"/>
      <c r="J526" s="84"/>
    </row>
    <row r="527" spans="2:28" x14ac:dyDescent="0.3">
      <c r="B527" s="159" t="s">
        <v>905</v>
      </c>
      <c r="C527" s="73"/>
      <c r="D527" s="73"/>
      <c r="E527" s="73"/>
      <c r="F527" s="73"/>
      <c r="G527" s="73"/>
      <c r="H527" s="73"/>
      <c r="I527" s="73"/>
      <c r="J527" s="73"/>
    </row>
    <row r="528" spans="2:28" x14ac:dyDescent="0.3">
      <c r="B528" s="159" t="s">
        <v>1</v>
      </c>
      <c r="C528" s="159" t="s">
        <v>567</v>
      </c>
      <c r="D528" s="159" t="s">
        <v>985</v>
      </c>
      <c r="E528" s="159" t="s">
        <v>986</v>
      </c>
      <c r="F528" s="73" t="s">
        <v>584</v>
      </c>
      <c r="G528" s="73" t="s">
        <v>569</v>
      </c>
      <c r="H528" s="73" t="s">
        <v>581</v>
      </c>
      <c r="I528" s="73" t="s">
        <v>582</v>
      </c>
      <c r="J528" s="73" t="s">
        <v>583</v>
      </c>
    </row>
    <row r="529" spans="2:28" x14ac:dyDescent="0.3">
      <c r="B529" s="150" t="s">
        <v>988</v>
      </c>
      <c r="C529" s="197"/>
      <c r="D529" s="197"/>
      <c r="E529" s="197"/>
      <c r="J529" s="291">
        <f ca="1">RAND()</f>
        <v>3.183743198001654E-2</v>
      </c>
    </row>
    <row r="530" spans="2:28" x14ac:dyDescent="0.3">
      <c r="B530" s="31" t="s">
        <v>1082</v>
      </c>
      <c r="C530" s="177">
        <f>'Cost input'!O456</f>
        <v>183.72869565217388</v>
      </c>
      <c r="D530" s="177">
        <f>'Cost input'!P456</f>
        <v>118.11130434782608</v>
      </c>
      <c r="E530" s="177">
        <f>'Cost input'!Q456</f>
        <v>249.34608695652173</v>
      </c>
      <c r="F530" s="156">
        <f>(E530-D530)/(2*1.96)</f>
        <v>33.478260869565212</v>
      </c>
      <c r="G530" s="160" t="s">
        <v>575</v>
      </c>
      <c r="H530" s="162">
        <f t="shared" ref="H530" si="350">IF(G530="Beta",C530*(C530*(1-C530)/(F530^2)-1),IF(G530="Lognormal",LN(C530^2/SQRT(F530^2+C530^2)),IF(G530="Gamma",C530^2/F530^2,IF(G530="Normal",C530,0))))</f>
        <v>30.118143999999997</v>
      </c>
      <c r="I530" s="162">
        <f t="shared" ref="I530" si="351">IF(G530="Beta",C530*(1-C530)/(F530^2)-1-H530,IF(G530="Lognormal",SQRT(LN(1+F530^2/C530^2)),IF(G530="Gamma",F530^2/C530,IF(G530="Normal",F530,0))))</f>
        <v>6.1002661934338942</v>
      </c>
      <c r="J530" s="70">
        <f ca="1">IF(F530=0,C530,IF(G530="Beta",_xlfn.BETA.INV(J529,H530,I530),IF(G530="Lognormal",EXP(NORMINV(J529,H530,I530)),IF(G530="Gamma",_xlfn.GAMMA.INV(J529,H530,I530),IF(G530="Normal",_xlfn.NORM.INV(J529,H530,I530),0)))))</f>
        <v>126.79631474073003</v>
      </c>
      <c r="K530">
        <f>(E530+D530)/2</f>
        <v>183.72869565217391</v>
      </c>
      <c r="L530" s="149"/>
    </row>
    <row r="531" spans="2:28" x14ac:dyDescent="0.3">
      <c r="B531" s="31" t="s">
        <v>1083</v>
      </c>
      <c r="C531" s="177">
        <f>'Cost input'!O457</f>
        <v>183.72869565217388</v>
      </c>
      <c r="D531" s="177">
        <f>'Cost input'!P457</f>
        <v>118.11130434782608</v>
      </c>
      <c r="E531" s="177">
        <f>'Cost input'!Q457</f>
        <v>249.34608695652173</v>
      </c>
      <c r="F531" s="156">
        <f t="shared" ref="F531:F552" si="352">(E531-D531)/(2*1.96)</f>
        <v>33.478260869565212</v>
      </c>
      <c r="G531" s="160" t="s">
        <v>575</v>
      </c>
      <c r="H531" s="162">
        <f t="shared" ref="H531:H552" si="353">IF(G531="Beta",C531*(C531*(1-C531)/(F531^2)-1),IF(G531="Lognormal",LN(C531^2/SQRT(F531^2+C531^2)),IF(G531="Gamma",C531^2/F531^2,IF(G531="Normal",C531,0))))</f>
        <v>30.118143999999997</v>
      </c>
      <c r="I531" s="162">
        <f t="shared" ref="I531:I552" si="354">IF(G531="Beta",C531*(1-C531)/(F531^2)-1-H531,IF(G531="Lognormal",SQRT(LN(1+F531^2/C531^2)),IF(G531="Gamma",F531^2/C531,IF(G531="Normal",F531,0))))</f>
        <v>6.1002661934338942</v>
      </c>
      <c r="J531" s="70">
        <f ca="1">IF(F531=0,C531,IF(G531="Beta",_xlfn.BETA.INV(J529,H531,I531),IF(G531="Lognormal",EXP(NORMINV(J529,H531,I531)),IF(G531="Gamma",_xlfn.GAMMA.INV(J529,H531,I531),IF(G531="Normal",_xlfn.NORM.INV(J529,H531,I531),0)))))</f>
        <v>126.79631474073003</v>
      </c>
      <c r="K531" s="296">
        <f>_xlfn.GAMMA.INV(0.5,H531,I531)</f>
        <v>181.69932310128144</v>
      </c>
    </row>
    <row r="532" spans="2:28" x14ac:dyDescent="0.3">
      <c r="B532" s="31" t="s">
        <v>1084</v>
      </c>
      <c r="C532" s="177">
        <f>'Cost input'!O458</f>
        <v>183.72869565217388</v>
      </c>
      <c r="D532" s="177">
        <f>'Cost input'!P458</f>
        <v>118.11130434782608</v>
      </c>
      <c r="E532" s="177">
        <f>'Cost input'!Q458</f>
        <v>249.34608695652173</v>
      </c>
      <c r="F532" s="156">
        <f t="shared" si="352"/>
        <v>33.478260869565212</v>
      </c>
      <c r="G532" s="160" t="s">
        <v>575</v>
      </c>
      <c r="H532" s="162">
        <f t="shared" si="353"/>
        <v>30.118143999999997</v>
      </c>
      <c r="I532" s="162">
        <f t="shared" si="354"/>
        <v>6.1002661934338942</v>
      </c>
      <c r="J532" s="70">
        <f ca="1">IF(F532=0,C532,IF(G532="Beta",_xlfn.BETA.INV(J529,H532,I532),IF(G532="Lognormal",EXP(NORMINV(J529,H532,I532)),IF(G532="Gamma",_xlfn.GAMMA.INV(J529,H532,I532),IF(G532="Normal",_xlfn.NORM.INV(J529,H532,I532),0)))))</f>
        <v>126.79631474073003</v>
      </c>
    </row>
    <row r="533" spans="2:28" x14ac:dyDescent="0.3">
      <c r="B533" s="31" t="s">
        <v>1085</v>
      </c>
      <c r="C533" s="177">
        <f>'Cost input'!O459</f>
        <v>170.60521739130434</v>
      </c>
      <c r="D533" s="177">
        <f>'Cost input'!P459</f>
        <v>104.98782608695652</v>
      </c>
      <c r="E533" s="177">
        <f>'Cost input'!Q459</f>
        <v>236.22260869565216</v>
      </c>
      <c r="F533" s="156">
        <f t="shared" si="352"/>
        <v>33.478260869565212</v>
      </c>
      <c r="G533" s="160" t="s">
        <v>575</v>
      </c>
      <c r="H533" s="162">
        <f t="shared" si="353"/>
        <v>25.969216000000003</v>
      </c>
      <c r="I533" s="162">
        <f t="shared" si="354"/>
        <v>6.569517439082655</v>
      </c>
      <c r="J533" s="70">
        <f ca="1">IF(F533=0,C533,IF(G533="Beta",_xlfn.BETA.INV(J529,H533,I533),IF(G533="Lognormal",EXP(NORMINV(J529,H533,I533)),IF(G533="Gamma",_xlfn.GAMMA.INV(J529,H533,I533),IF(G533="Normal",_xlfn.NORM.INV(J529,H533,I533),0)))))</f>
        <v>114.08379294434985</v>
      </c>
    </row>
    <row r="534" spans="2:28" x14ac:dyDescent="0.3">
      <c r="B534" s="31" t="s">
        <v>1086</v>
      </c>
      <c r="C534" s="177">
        <f>'Cost input'!O460</f>
        <v>170.60521739130434</v>
      </c>
      <c r="D534" s="177">
        <f>'Cost input'!P460</f>
        <v>104.98782608695652</v>
      </c>
      <c r="E534" s="177">
        <f>'Cost input'!Q460</f>
        <v>236.22260869565216</v>
      </c>
      <c r="F534" s="156">
        <f t="shared" si="352"/>
        <v>33.478260869565212</v>
      </c>
      <c r="G534" s="160" t="s">
        <v>575</v>
      </c>
      <c r="H534" s="162">
        <f t="shared" si="353"/>
        <v>25.969216000000003</v>
      </c>
      <c r="I534" s="162">
        <f t="shared" si="354"/>
        <v>6.569517439082655</v>
      </c>
      <c r="J534" s="70">
        <f ca="1">IF(F534=0,C534,IF(G534="Beta",_xlfn.BETA.INV(J529,H534,I534),IF(G534="Lognormal",EXP(NORMINV(J529,H534,I534)),IF(G534="Gamma",_xlfn.GAMMA.INV(J529,H534,I534),IF(G534="Normal",_xlfn.NORM.INV(J529,H534,I534),0)))))</f>
        <v>114.08379294434985</v>
      </c>
    </row>
    <row r="535" spans="2:28" x14ac:dyDescent="0.3">
      <c r="B535" s="31" t="s">
        <v>1087</v>
      </c>
      <c r="C535" s="177">
        <f>'Cost input'!O461</f>
        <v>170.60521739130434</v>
      </c>
      <c r="D535" s="177">
        <f>'Cost input'!P461</f>
        <v>104.98782608695652</v>
      </c>
      <c r="E535" s="177">
        <f>'Cost input'!Q461</f>
        <v>236.22260869565216</v>
      </c>
      <c r="F535" s="156">
        <f t="shared" si="352"/>
        <v>33.478260869565212</v>
      </c>
      <c r="G535" s="160" t="s">
        <v>575</v>
      </c>
      <c r="H535" s="162">
        <f t="shared" si="353"/>
        <v>25.969216000000003</v>
      </c>
      <c r="I535" s="162">
        <f t="shared" si="354"/>
        <v>6.569517439082655</v>
      </c>
      <c r="J535" s="70">
        <f ca="1">IF(F535=0,C535,IF(G535="Beta",_xlfn.BETA.INV(J529,H535,I535),IF(G535="Lognormal",EXP(NORMINV(J529,H535,I535)),IF(G535="Gamma",_xlfn.GAMMA.INV(J529,H535,I535),IF(G535="Normal",_xlfn.NORM.INV(J529,H535,I535),0)))))</f>
        <v>114.08379294434985</v>
      </c>
    </row>
    <row r="536" spans="2:28" x14ac:dyDescent="0.3">
      <c r="B536" s="31" t="s">
        <v>1443</v>
      </c>
      <c r="C536" s="177">
        <f>'Cost input'!O462</f>
        <v>170.60521739130434</v>
      </c>
      <c r="D536" s="177">
        <f>'Cost input'!P462</f>
        <v>104.98782608695652</v>
      </c>
      <c r="E536" s="177">
        <f>'Cost input'!Q462</f>
        <v>236.22260869565216</v>
      </c>
      <c r="F536" s="156">
        <f t="shared" si="352"/>
        <v>33.478260869565212</v>
      </c>
      <c r="G536" s="160" t="s">
        <v>575</v>
      </c>
      <c r="H536" s="162">
        <f t="shared" si="353"/>
        <v>25.969216000000003</v>
      </c>
      <c r="I536" s="162">
        <f t="shared" si="354"/>
        <v>6.569517439082655</v>
      </c>
      <c r="J536" s="70">
        <f ca="1">IF(F536=0,C536,IF(G536="Beta",_xlfn.BETA.INV(J529,H536,I536),IF(G536="Lognormal",EXP(NORMINV(J529,H536,I536)),IF(G536="Gamma",_xlfn.GAMMA.INV(J529,H536,I536),IF(G536="Normal",_xlfn.NORM.INV(J529,H536,I536),0)))))</f>
        <v>114.08379294434985</v>
      </c>
    </row>
    <row r="537" spans="2:28" ht="15.6" x14ac:dyDescent="0.3">
      <c r="B537" s="150" t="s">
        <v>1444</v>
      </c>
      <c r="C537" s="533"/>
      <c r="D537" s="533"/>
      <c r="E537" s="533"/>
      <c r="F537" s="533"/>
      <c r="G537" s="141"/>
      <c r="H537" s="141"/>
      <c r="I537" s="141"/>
      <c r="J537" s="291">
        <f ca="1">RAND()</f>
        <v>0.33789837009886425</v>
      </c>
      <c r="L537" s="79" t="s">
        <v>679</v>
      </c>
    </row>
    <row r="538" spans="2:28" x14ac:dyDescent="0.3">
      <c r="B538" s="31" t="s">
        <v>1082</v>
      </c>
      <c r="C538" s="177">
        <f>'Cost input'!O464</f>
        <v>183.72869565217388</v>
      </c>
      <c r="D538" s="177">
        <f>'Cost input'!P464</f>
        <v>118.11130434782608</v>
      </c>
      <c r="E538" s="177">
        <f>'Cost input'!Q464</f>
        <v>249.34608695652173</v>
      </c>
      <c r="F538" s="156">
        <f>(E538-D538)/(2*1.96)</f>
        <v>33.478260869565212</v>
      </c>
      <c r="G538" s="160" t="s">
        <v>575</v>
      </c>
      <c r="H538" s="162">
        <f t="shared" ref="H538:H544" si="355">IF(G538="Beta",C538*(C538*(1-C538)/(F538^2)-1),IF(G538="Lognormal",LN(C538^2/SQRT(F538^2+C538^2)),IF(G538="Gamma",C538^2/F538^2,IF(G538="Normal",C538,0))))</f>
        <v>30.118143999999997</v>
      </c>
      <c r="I538" s="162">
        <f t="shared" ref="I538:I544" si="356">IF(G538="Beta",C538*(1-C538)/(F538^2)-1-H538,IF(G538="Lognormal",SQRT(LN(1+F538^2/C538^2)),IF(G538="Gamma",F538^2/C538,IF(G538="Normal",F538,0))))</f>
        <v>6.1002661934338942</v>
      </c>
      <c r="J538" s="70">
        <f ca="1">IF(F538=0,C538,IF(G538="Beta",_xlfn.BETA.INV(J537,H538,I538),IF(G538="Lognormal",EXP(NORMINV(J537,H538,I538)),IF(G538="Gamma",_xlfn.GAMMA.INV(J537,H538,I538),IF(G538="Normal",_xlfn.NORM.INV(J537,H538,I538),0)))))</f>
        <v>168.14211110115235</v>
      </c>
    </row>
    <row r="539" spans="2:28" x14ac:dyDescent="0.3">
      <c r="B539" s="31" t="s">
        <v>1083</v>
      </c>
      <c r="C539" s="177">
        <f>'Cost input'!O465</f>
        <v>183.72869565217388</v>
      </c>
      <c r="D539" s="177">
        <f>'Cost input'!P465</f>
        <v>118.11130434782608</v>
      </c>
      <c r="E539" s="177">
        <f>'Cost input'!Q465</f>
        <v>249.34608695652173</v>
      </c>
      <c r="F539" s="156">
        <f t="shared" ref="F539:F544" si="357">(E539-D539)/(2*1.96)</f>
        <v>33.478260869565212</v>
      </c>
      <c r="G539" s="160" t="s">
        <v>575</v>
      </c>
      <c r="H539" s="162">
        <f t="shared" si="355"/>
        <v>30.118143999999997</v>
      </c>
      <c r="I539" s="162">
        <f t="shared" si="356"/>
        <v>6.1002661934338942</v>
      </c>
      <c r="J539" s="70">
        <f ca="1">IF(F539=0,C539,IF(G539="Beta",_xlfn.BETA.INV(J537,H539,I539),IF(G539="Lognormal",EXP(NORMINV(J537,H539,I539)),IF(G539="Gamma",_xlfn.GAMMA.INV(J537,H539,I539),IF(G539="Normal",_xlfn.NORM.INV(J537,H539,I539),0)))))</f>
        <v>168.14211110115235</v>
      </c>
    </row>
    <row r="540" spans="2:28" x14ac:dyDescent="0.3">
      <c r="B540" s="31" t="s">
        <v>1084</v>
      </c>
      <c r="C540" s="177">
        <f>'Cost input'!O466</f>
        <v>183.72869565217388</v>
      </c>
      <c r="D540" s="177">
        <f>'Cost input'!P466</f>
        <v>118.11130434782608</v>
      </c>
      <c r="E540" s="177">
        <f>'Cost input'!Q466</f>
        <v>249.34608695652173</v>
      </c>
      <c r="F540" s="156">
        <f t="shared" si="357"/>
        <v>33.478260869565212</v>
      </c>
      <c r="G540" s="160" t="s">
        <v>575</v>
      </c>
      <c r="H540" s="162">
        <f t="shared" si="355"/>
        <v>30.118143999999997</v>
      </c>
      <c r="I540" s="162">
        <f t="shared" si="356"/>
        <v>6.1002661934338942</v>
      </c>
      <c r="J540" s="70">
        <f ca="1">IF(F540=0,C540,IF(G540="Beta",_xlfn.BETA.INV(J537,H540,I540),IF(G540="Lognormal",EXP(NORMINV(J537,H540,I540)),IF(G540="Gamma",_xlfn.GAMMA.INV(J537,H540,I540),IF(G540="Normal",_xlfn.NORM.INV(J537,H540,I540),0)))))</f>
        <v>168.14211110115235</v>
      </c>
    </row>
    <row r="541" spans="2:28" x14ac:dyDescent="0.3">
      <c r="B541" s="31" t="s">
        <v>1085</v>
      </c>
      <c r="C541" s="177">
        <f>'Cost input'!O467</f>
        <v>170.60521739130434</v>
      </c>
      <c r="D541" s="177">
        <f>'Cost input'!P467</f>
        <v>104.98782608695652</v>
      </c>
      <c r="E541" s="177">
        <f>'Cost input'!Q467</f>
        <v>236.22260869565216</v>
      </c>
      <c r="F541" s="156">
        <f t="shared" si="357"/>
        <v>33.478260869565212</v>
      </c>
      <c r="G541" s="160" t="s">
        <v>575</v>
      </c>
      <c r="H541" s="162">
        <f t="shared" si="355"/>
        <v>25.969216000000003</v>
      </c>
      <c r="I541" s="162">
        <f t="shared" si="356"/>
        <v>6.569517439082655</v>
      </c>
      <c r="J541" s="70">
        <f ca="1">IF(F541=0,C541,IF(G541="Beta",_xlfn.BETA.INV(J537,H541,I541),IF(G541="Lognormal",EXP(NORMINV(J537,H541,I541)),IF(G541="Gamma",_xlfn.GAMMA.INV(J537,H541,I541),IF(G541="Normal",_xlfn.NORM.INV(J537,H541,I541),0)))))</f>
        <v>154.90463860406908</v>
      </c>
      <c r="AB541" s="67"/>
    </row>
    <row r="542" spans="2:28" x14ac:dyDescent="0.3">
      <c r="B542" s="31" t="s">
        <v>1086</v>
      </c>
      <c r="C542" s="177">
        <f>'Cost input'!O468</f>
        <v>170.60521739130434</v>
      </c>
      <c r="D542" s="177">
        <f>'Cost input'!P468</f>
        <v>104.98782608695652</v>
      </c>
      <c r="E542" s="177">
        <f>'Cost input'!Q468</f>
        <v>236.22260869565216</v>
      </c>
      <c r="F542" s="156">
        <f t="shared" si="357"/>
        <v>33.478260869565212</v>
      </c>
      <c r="G542" s="160" t="s">
        <v>575</v>
      </c>
      <c r="H542" s="162">
        <f t="shared" si="355"/>
        <v>25.969216000000003</v>
      </c>
      <c r="I542" s="162">
        <f t="shared" si="356"/>
        <v>6.569517439082655</v>
      </c>
      <c r="J542" s="70">
        <f ca="1">IF(F542=0,C542,IF(G542="Beta",_xlfn.BETA.INV(J537,H542,I542),IF(G542="Lognormal",EXP(NORMINV(J537,H542,I542)),IF(G542="Gamma",_xlfn.GAMMA.INV(J537,H542,I542),IF(G542="Normal",_xlfn.NORM.INV(J537,H542,I542),0)))))</f>
        <v>154.90463860406908</v>
      </c>
    </row>
    <row r="543" spans="2:28" x14ac:dyDescent="0.3">
      <c r="B543" s="31" t="s">
        <v>1087</v>
      </c>
      <c r="C543" s="177">
        <f>'Cost input'!O469</f>
        <v>170.60521739130434</v>
      </c>
      <c r="D543" s="177">
        <f>'Cost input'!P469</f>
        <v>104.98782608695652</v>
      </c>
      <c r="E543" s="177">
        <f>'Cost input'!Q469</f>
        <v>236.22260869565216</v>
      </c>
      <c r="F543" s="156">
        <f t="shared" si="357"/>
        <v>33.478260869565212</v>
      </c>
      <c r="G543" s="160" t="s">
        <v>575</v>
      </c>
      <c r="H543" s="162">
        <f t="shared" si="355"/>
        <v>25.969216000000003</v>
      </c>
      <c r="I543" s="162">
        <f t="shared" si="356"/>
        <v>6.569517439082655</v>
      </c>
      <c r="J543" s="70">
        <f ca="1">IF(F543=0,C543,IF(G543="Beta",_xlfn.BETA.INV(J537,H543,I543),IF(G543="Lognormal",EXP(NORMINV(J537,H543,I543)),IF(G543="Gamma",_xlfn.GAMMA.INV(J537,H543,I543),IF(G543="Normal",_xlfn.NORM.INV(J537,H543,I543),0)))))</f>
        <v>154.90463860406908</v>
      </c>
    </row>
    <row r="544" spans="2:28" x14ac:dyDescent="0.3">
      <c r="B544" s="31" t="s">
        <v>1443</v>
      </c>
      <c r="C544" s="177">
        <f>'Cost input'!O470</f>
        <v>170.60521739130434</v>
      </c>
      <c r="D544" s="177">
        <f>'Cost input'!P470</f>
        <v>104.98782608695652</v>
      </c>
      <c r="E544" s="177">
        <f>'Cost input'!Q470</f>
        <v>236.22260869565216</v>
      </c>
      <c r="F544" s="156">
        <f t="shared" si="357"/>
        <v>33.478260869565212</v>
      </c>
      <c r="G544" s="160" t="s">
        <v>575</v>
      </c>
      <c r="H544" s="162">
        <f t="shared" si="355"/>
        <v>25.969216000000003</v>
      </c>
      <c r="I544" s="162">
        <f t="shared" si="356"/>
        <v>6.569517439082655</v>
      </c>
      <c r="J544" s="70">
        <f ca="1">IF(F544=0,C544,IF(G544="Beta",_xlfn.BETA.INV(J537,H544,I544),IF(G544="Lognormal",EXP(NORMINV(J537,H544,I544)),IF(G544="Gamma",_xlfn.GAMMA.INV(J537,H544,I544),IF(G544="Normal",_xlfn.NORM.INV(J537,H544,I544),0)))))</f>
        <v>154.90463860406908</v>
      </c>
    </row>
    <row r="545" spans="2:23" ht="15.6" x14ac:dyDescent="0.3">
      <c r="B545" s="151" t="s">
        <v>227</v>
      </c>
      <c r="C545" s="533"/>
      <c r="D545" s="533"/>
      <c r="E545" s="533"/>
      <c r="F545" s="533"/>
      <c r="G545" s="162"/>
      <c r="H545" s="162"/>
      <c r="I545" s="162"/>
      <c r="J545" s="291">
        <f ca="1">RAND()</f>
        <v>1.998333612449199E-2</v>
      </c>
    </row>
    <row r="546" spans="2:23" x14ac:dyDescent="0.3">
      <c r="B546" s="31" t="s">
        <v>1437</v>
      </c>
      <c r="C546" s="177">
        <f>'Cost input'!O472</f>
        <v>183.72869565217388</v>
      </c>
      <c r="D546" s="177">
        <f>'Cost input'!P472</f>
        <v>118.11130434782608</v>
      </c>
      <c r="E546" s="177">
        <f>'Cost input'!Q472</f>
        <v>249.34608695652173</v>
      </c>
      <c r="F546" s="156">
        <f t="shared" ref="F546:F547" si="358">(E546-D546)/(2*1.96)</f>
        <v>33.478260869565212</v>
      </c>
      <c r="G546" s="160" t="s">
        <v>575</v>
      </c>
      <c r="H546" s="162">
        <f t="shared" ref="H546:H547" si="359">IF(G546="Beta",C546*(C546*(1-C546)/(F546^2)-1),IF(G546="Lognormal",LN(C546^2/SQRT(F546^2+C546^2)),IF(G546="Gamma",C546^2/F546^2,IF(G546="Normal",C546,0))))</f>
        <v>30.118143999999997</v>
      </c>
      <c r="I546" s="162">
        <f t="shared" ref="I546:I547" si="360">IF(G546="Beta",C546*(1-C546)/(F546^2)-1-H546,IF(G546="Lognormal",SQRT(LN(1+F546^2/C546^2)),IF(G546="Gamma",F546^2/C546,IF(G546="Normal",F546,0))))</f>
        <v>6.1002661934338942</v>
      </c>
      <c r="J546" s="70">
        <f ca="1">IF(F546=0,C546,IF(G546="Beta",_xlfn.BETA.INV(J$293,H546,I546),IF(G546="Lognormal",EXP(NORMINV(J$293,H546,I546)),IF(G546="Gamma",_xlfn.GAMMA.INV(J$293,H546,I546),IF(G546="Normal",_xlfn.NORM.INV(J$293,H546,I546),0)))))</f>
        <v>245.74259672715291</v>
      </c>
    </row>
    <row r="547" spans="2:23" x14ac:dyDescent="0.3">
      <c r="B547" s="31" t="s">
        <v>1438</v>
      </c>
      <c r="C547" s="177">
        <f>'Cost input'!O473</f>
        <v>183.72869565217388</v>
      </c>
      <c r="D547" s="177">
        <f>'Cost input'!P473</f>
        <v>118.11130434782608</v>
      </c>
      <c r="E547" s="177">
        <f>'Cost input'!Q473</f>
        <v>249.34608695652173</v>
      </c>
      <c r="F547" s="156">
        <f t="shared" si="358"/>
        <v>33.478260869565212</v>
      </c>
      <c r="G547" s="160" t="s">
        <v>575</v>
      </c>
      <c r="H547" s="162">
        <f t="shared" si="359"/>
        <v>30.118143999999997</v>
      </c>
      <c r="I547" s="162">
        <f t="shared" si="360"/>
        <v>6.1002661934338942</v>
      </c>
      <c r="J547" s="70">
        <f ca="1">IF(F547=0,C547,IF(G547="Beta",_xlfn.BETA.INV(J$293,H547,I547),IF(G547="Lognormal",EXP(NORMINV(J$293,H547,I547)),IF(G547="Gamma",_xlfn.GAMMA.INV(J$293,H547,I547),IF(G547="Normal",_xlfn.NORM.INV(J$293,H547,I547),0)))))</f>
        <v>245.74259672715291</v>
      </c>
    </row>
    <row r="548" spans="2:23" x14ac:dyDescent="0.3">
      <c r="B548" s="31" t="s">
        <v>1441</v>
      </c>
      <c r="C548" s="177">
        <f>'Cost input'!O474</f>
        <v>183.72869565217388</v>
      </c>
      <c r="D548" s="177">
        <f>'Cost input'!P474</f>
        <v>118.11130434782608</v>
      </c>
      <c r="E548" s="177">
        <f>'Cost input'!Q474</f>
        <v>249.34608695652173</v>
      </c>
      <c r="F548" s="156">
        <f t="shared" si="352"/>
        <v>33.478260869565212</v>
      </c>
      <c r="G548" s="160" t="s">
        <v>575</v>
      </c>
      <c r="H548" s="162">
        <f t="shared" si="353"/>
        <v>30.118143999999997</v>
      </c>
      <c r="I548" s="162">
        <f t="shared" si="354"/>
        <v>6.1002661934338942</v>
      </c>
      <c r="J548" s="70">
        <f t="shared" ref="J548:J552" ca="1" si="361">IF(F548=0,C548,IF(G548="Beta",_xlfn.BETA.INV(J$293,H548,I548),IF(G548="Lognormal",EXP(NORMINV(J$293,H548,I548)),IF(G548="Gamma",_xlfn.GAMMA.INV(J$293,H548,I548),IF(G548="Normal",_xlfn.NORM.INV(J$293,H548,I548),0)))))</f>
        <v>245.74259672715291</v>
      </c>
    </row>
    <row r="549" spans="2:23" x14ac:dyDescent="0.3">
      <c r="B549" s="31" t="s">
        <v>1442</v>
      </c>
      <c r="C549" s="177">
        <f>'Cost input'!O475</f>
        <v>183.72869565217388</v>
      </c>
      <c r="D549" s="177">
        <f>'Cost input'!P475</f>
        <v>118.11130434782608</v>
      </c>
      <c r="E549" s="177">
        <f>'Cost input'!Q475</f>
        <v>249.34608695652173</v>
      </c>
      <c r="F549" s="156">
        <f t="shared" si="352"/>
        <v>33.478260869565212</v>
      </c>
      <c r="G549" s="160" t="s">
        <v>575</v>
      </c>
      <c r="H549" s="162">
        <f t="shared" si="353"/>
        <v>30.118143999999997</v>
      </c>
      <c r="I549" s="162">
        <f t="shared" si="354"/>
        <v>6.1002661934338942</v>
      </c>
      <c r="J549" s="70">
        <f t="shared" ca="1" si="361"/>
        <v>245.74259672715291</v>
      </c>
    </row>
    <row r="550" spans="2:23" ht="15.6" x14ac:dyDescent="0.3">
      <c r="B550" s="151" t="s">
        <v>920</v>
      </c>
      <c r="C550" s="533"/>
      <c r="D550" s="533"/>
      <c r="E550" s="533"/>
      <c r="F550" s="533"/>
      <c r="G550" s="162"/>
      <c r="H550" s="162"/>
      <c r="I550" s="162"/>
      <c r="J550" s="291">
        <f ca="1">RAND()</f>
        <v>0.13543787787368566</v>
      </c>
    </row>
    <row r="551" spans="2:23" x14ac:dyDescent="0.3">
      <c r="B551" s="31" t="s">
        <v>920</v>
      </c>
      <c r="C551" s="177">
        <f>'Cost input'!O477</f>
        <v>170.60521739130434</v>
      </c>
      <c r="D551" s="177">
        <f>'Cost input'!P477</f>
        <v>104.98782608695652</v>
      </c>
      <c r="E551" s="177">
        <f>'Cost input'!Q477</f>
        <v>236.22260869565216</v>
      </c>
      <c r="F551" s="156">
        <f t="shared" si="352"/>
        <v>33.478260869565212</v>
      </c>
      <c r="G551" s="160" t="s">
        <v>575</v>
      </c>
      <c r="H551" s="162">
        <f t="shared" si="353"/>
        <v>25.969216000000003</v>
      </c>
      <c r="I551" s="162">
        <f t="shared" si="354"/>
        <v>6.569517439082655</v>
      </c>
      <c r="J551" s="70">
        <f t="shared" ca="1" si="361"/>
        <v>232.89844234193288</v>
      </c>
    </row>
    <row r="552" spans="2:23" x14ac:dyDescent="0.3">
      <c r="B552" s="31" t="s">
        <v>980</v>
      </c>
      <c r="C552" s="177">
        <f>'Cost input'!O478</f>
        <v>170.60521739130434</v>
      </c>
      <c r="D552" s="177">
        <f>'Cost input'!P478</f>
        <v>104.98782608695652</v>
      </c>
      <c r="E552" s="177">
        <f>'Cost input'!Q478</f>
        <v>236.22260869565216</v>
      </c>
      <c r="F552" s="156">
        <f t="shared" si="352"/>
        <v>33.478260869565212</v>
      </c>
      <c r="G552" s="160" t="s">
        <v>575</v>
      </c>
      <c r="H552" s="162">
        <f t="shared" si="353"/>
        <v>25.969216000000003</v>
      </c>
      <c r="I552" s="162">
        <f t="shared" si="354"/>
        <v>6.569517439082655</v>
      </c>
      <c r="J552" s="70">
        <f t="shared" ca="1" si="361"/>
        <v>232.89844234193288</v>
      </c>
    </row>
    <row r="554" spans="2:23" x14ac:dyDescent="0.3">
      <c r="B554" s="175" t="s">
        <v>10</v>
      </c>
      <c r="C554" s="175"/>
      <c r="D554" s="175"/>
      <c r="E554" s="175"/>
      <c r="F554" s="175"/>
      <c r="G554" s="164"/>
      <c r="H554" s="84"/>
      <c r="I554" s="84"/>
      <c r="J554" s="84"/>
      <c r="K554" s="84"/>
      <c r="L554" s="84"/>
      <c r="M554" s="175"/>
      <c r="N554" s="175"/>
      <c r="O554" s="175"/>
      <c r="P554" s="175"/>
      <c r="Q554" s="175"/>
      <c r="R554" s="164"/>
      <c r="S554" s="84"/>
      <c r="T554" s="84"/>
      <c r="U554" s="84"/>
      <c r="V554" s="84"/>
      <c r="W554" s="84"/>
    </row>
    <row r="556" spans="2:23" x14ac:dyDescent="0.3">
      <c r="B556" s="175" t="s">
        <v>938</v>
      </c>
      <c r="C556" s="84"/>
      <c r="D556" s="186"/>
      <c r="E556" s="154"/>
      <c r="F556" s="84"/>
      <c r="G556" s="84"/>
      <c r="H556" s="175"/>
      <c r="I556" s="84"/>
      <c r="J556" s="186"/>
      <c r="K556" s="154"/>
      <c r="L556" s="84"/>
      <c r="M556" s="84"/>
      <c r="N556" s="175"/>
      <c r="O556" s="175"/>
      <c r="P556" s="175"/>
      <c r="Q556" s="175"/>
      <c r="R556" s="175"/>
      <c r="S556" s="175"/>
      <c r="T556" s="175"/>
      <c r="U556" s="175"/>
    </row>
    <row r="557" spans="2:23" x14ac:dyDescent="0.3">
      <c r="B557" s="176" t="s">
        <v>552</v>
      </c>
      <c r="C557" s="73"/>
      <c r="D557" s="159"/>
      <c r="E557" s="195"/>
      <c r="F557" s="73"/>
      <c r="G557" s="73"/>
      <c r="H557" s="24"/>
      <c r="I557" s="73"/>
      <c r="J557" s="159"/>
      <c r="K557" s="196"/>
      <c r="M557" s="176" t="s">
        <v>553</v>
      </c>
      <c r="N557" s="24"/>
      <c r="O557" s="24"/>
      <c r="P557" s="24"/>
      <c r="Q557" s="24"/>
      <c r="R557" s="24"/>
      <c r="S557" s="24"/>
      <c r="T557" s="24"/>
      <c r="U557" s="24"/>
    </row>
    <row r="558" spans="2:23" x14ac:dyDescent="0.3">
      <c r="B558" s="187" t="s">
        <v>1003</v>
      </c>
      <c r="C558" s="73"/>
      <c r="D558" s="73"/>
      <c r="E558" s="73"/>
      <c r="F558" s="73"/>
      <c r="G558" s="73"/>
      <c r="H558" s="73"/>
      <c r="I558" s="73"/>
      <c r="J558" s="73"/>
      <c r="M558" s="140" t="s">
        <v>1001</v>
      </c>
      <c r="N558" s="73"/>
      <c r="O558" s="73"/>
      <c r="P558" s="73"/>
      <c r="Q558" s="73"/>
      <c r="R558" s="73"/>
      <c r="S558" s="73"/>
      <c r="T558" s="73"/>
      <c r="U558" s="73"/>
    </row>
    <row r="559" spans="2:23" x14ac:dyDescent="0.3">
      <c r="B559" s="159" t="s">
        <v>1</v>
      </c>
      <c r="C559" s="159" t="s">
        <v>567</v>
      </c>
      <c r="D559" s="159" t="s">
        <v>985</v>
      </c>
      <c r="E559" s="159" t="s">
        <v>986</v>
      </c>
      <c r="F559" s="73" t="s">
        <v>584</v>
      </c>
      <c r="G559" s="73" t="s">
        <v>569</v>
      </c>
      <c r="H559" s="73" t="s">
        <v>581</v>
      </c>
      <c r="I559" s="73" t="s">
        <v>582</v>
      </c>
      <c r="J559" s="73" t="s">
        <v>583</v>
      </c>
      <c r="M559" s="159" t="s">
        <v>1</v>
      </c>
      <c r="N559" s="159" t="s">
        <v>567</v>
      </c>
      <c r="O559" s="159"/>
      <c r="P559" s="159"/>
      <c r="Q559" s="73" t="s">
        <v>584</v>
      </c>
      <c r="R559" s="73" t="s">
        <v>569</v>
      </c>
      <c r="S559" s="73" t="s">
        <v>581</v>
      </c>
      <c r="T559" s="73" t="s">
        <v>582</v>
      </c>
      <c r="U559" s="73" t="s">
        <v>583</v>
      </c>
    </row>
    <row r="560" spans="2:23" x14ac:dyDescent="0.3">
      <c r="B560" s="150" t="s">
        <v>988</v>
      </c>
      <c r="C560" s="197"/>
      <c r="D560" s="197"/>
      <c r="E560" s="197"/>
      <c r="J560" s="291">
        <f ca="1">RAND()</f>
        <v>0.99978353910038287</v>
      </c>
      <c r="M560" s="150" t="s">
        <v>988</v>
      </c>
      <c r="U560" s="291">
        <f ca="1">J560</f>
        <v>0.99978353910038287</v>
      </c>
    </row>
    <row r="561" spans="2:28" x14ac:dyDescent="0.3">
      <c r="B561" s="31" t="s">
        <v>1082</v>
      </c>
      <c r="C561" s="177">
        <f>'Cost input'!C488</f>
        <v>0</v>
      </c>
      <c r="D561" s="177">
        <f>'Cost input'!D488</f>
        <v>0</v>
      </c>
      <c r="E561" s="177">
        <f>'Cost input'!E488</f>
        <v>0</v>
      </c>
      <c r="F561" s="697">
        <f>(E561-D561)/(2*1.96)</f>
        <v>0</v>
      </c>
      <c r="G561" s="160" t="s">
        <v>575</v>
      </c>
      <c r="H561" s="162" t="e">
        <f t="shared" ref="H561" si="362">IF(G561="Beta",C561*(C561*(1-C561)/(F561^2)-1),IF(G561="Lognormal",LN(C561^2/SQRT(F561^2+C561^2)),IF(G561="Gamma",C561^2/F561^2,IF(G561="Normal",C561,0))))</f>
        <v>#DIV/0!</v>
      </c>
      <c r="I561" s="162" t="e">
        <f t="shared" ref="I561" si="363">IF(G561="Beta",C561*(1-C561)/(F561^2)-1-H561,IF(G561="Lognormal",SQRT(LN(1+F561^2/C561^2)),IF(G561="Gamma",F561^2/C561,IF(G561="Normal",F561,0))))</f>
        <v>#DIV/0!</v>
      </c>
      <c r="J561" s="70">
        <f>IF(F561=0,C561,IF(G561="Beta",_xlfn.BETA.INV(J560,H561,I561),IF(G561="Lognormal",EXP(NORMINV(J560,H561,I561)),IF(G561="Gamma",_xlfn.GAMMA.INV(J560,H561,I561),IF(G561="Normal",_xlfn.NORM.INV(J560,H561,I561),0)))))</f>
        <v>0</v>
      </c>
      <c r="M561" s="31" t="s">
        <v>2</v>
      </c>
      <c r="N561" s="177">
        <f>'Cost input'!C516</f>
        <v>0</v>
      </c>
      <c r="O561" s="177">
        <f>'Cost input'!D516</f>
        <v>0</v>
      </c>
      <c r="P561" s="177">
        <f>'Cost input'!E516</f>
        <v>0</v>
      </c>
      <c r="Q561" s="156">
        <f>(P561-O561)/(2*1.96)</f>
        <v>0</v>
      </c>
      <c r="R561" s="160" t="s">
        <v>575</v>
      </c>
      <c r="S561" s="162" t="e">
        <f t="shared" ref="S561" si="364">IF(R561="Beta",N561*(N561*(1-N561)/(Q561^2)-1),IF(R561="Lognormal",LN(N561^2/SQRT(Q561^2+N561^2)),IF(R561="Gamma",N561^2/Q561^2,IF(R561="Normal",N561,0))))</f>
        <v>#DIV/0!</v>
      </c>
      <c r="T561" s="162" t="e">
        <f t="shared" ref="T561" si="365">IF(R561="Beta",N561*(1-N561)/(Q561^2)-1-S561,IF(R561="Lognormal",SQRT(LN(1+Q561^2/N561^2)),IF(R561="Gamma",Q561^2/N561,IF(R561="Normal",Q561,0))))</f>
        <v>#DIV/0!</v>
      </c>
      <c r="U561" s="70">
        <f>IF(Q561=0,N561,IF(R561="Beta",_xlfn.BETA.INV(U560,S561,T561),IF(R561="Lognormal",EXP(NORMINV(U560,S561,T561)),IF(R561="Gamma",_xlfn.GAMMA.INV(U560,S561,T561),IF(R561="Normal",_xlfn.NORM.INV(U560,S561,T561),0)))))</f>
        <v>0</v>
      </c>
    </row>
    <row r="562" spans="2:28" x14ac:dyDescent="0.3">
      <c r="B562" s="31" t="s">
        <v>1083</v>
      </c>
      <c r="C562" s="177">
        <f>'Cost input'!C489</f>
        <v>0</v>
      </c>
      <c r="D562" s="177">
        <f>'Cost input'!D489</f>
        <v>0</v>
      </c>
      <c r="E562" s="177">
        <f>'Cost input'!E489</f>
        <v>0</v>
      </c>
      <c r="F562" s="697">
        <f t="shared" ref="F562:F583" si="366">(E562-D562)/(2*1.96)</f>
        <v>0</v>
      </c>
      <c r="G562" s="160" t="s">
        <v>575</v>
      </c>
      <c r="H562" s="162" t="e">
        <f t="shared" ref="H562:H583" si="367">IF(G562="Beta",C562*(C562*(1-C562)/(F562^2)-1),IF(G562="Lognormal",LN(C562^2/SQRT(F562^2+C562^2)),IF(G562="Gamma",C562^2/F562^2,IF(G562="Normal",C562,0))))</f>
        <v>#DIV/0!</v>
      </c>
      <c r="I562" s="162" t="e">
        <f t="shared" ref="I562:I583" si="368">IF(G562="Beta",C562*(1-C562)/(F562^2)-1-H562,IF(G562="Lognormal",SQRT(LN(1+F562^2/C562^2)),IF(G562="Gamma",F562^2/C562,IF(G562="Normal",F562,0))))</f>
        <v>#DIV/0!</v>
      </c>
      <c r="J562" s="70">
        <f>IF(F562=0,C562,IF(G562="Beta",_xlfn.BETA.INV(J560,H562,I562),IF(G562="Lognormal",EXP(NORMINV(J560,H562,I562)),IF(G562="Gamma",_xlfn.GAMMA.INV(J560,H562,I562),IF(G562="Normal",_xlfn.NORM.INV(J560,H562,I562),0)))))</f>
        <v>0</v>
      </c>
      <c r="M562" s="31" t="s">
        <v>3</v>
      </c>
      <c r="N562" s="177">
        <f>'Cost input'!C517</f>
        <v>0</v>
      </c>
      <c r="O562" s="177">
        <f>'Cost input'!D517</f>
        <v>0</v>
      </c>
      <c r="P562" s="177">
        <f>'Cost input'!E517</f>
        <v>0</v>
      </c>
      <c r="Q562" s="156">
        <f t="shared" ref="Q562:Q583" si="369">(P562-O562)/(2*1.96)</f>
        <v>0</v>
      </c>
      <c r="R562" s="160" t="s">
        <v>575</v>
      </c>
      <c r="S562" s="162" t="e">
        <f t="shared" ref="S562:S583" si="370">IF(R562="Beta",N562*(N562*(1-N562)/(Q562^2)-1),IF(R562="Lognormal",LN(N562^2/SQRT(Q562^2+N562^2)),IF(R562="Gamma",N562^2/Q562^2,IF(R562="Normal",N562,0))))</f>
        <v>#DIV/0!</v>
      </c>
      <c r="T562" s="162" t="e">
        <f t="shared" ref="T562:T583" si="371">IF(R562="Beta",N562*(1-N562)/(Q562^2)-1-S562,IF(R562="Lognormal",SQRT(LN(1+Q562^2/N562^2)),IF(R562="Gamma",Q562^2/N562,IF(R562="Normal",Q562,0))))</f>
        <v>#DIV/0!</v>
      </c>
      <c r="U562" s="70">
        <f>IF(Q562=0,N562,IF(R562="Beta",_xlfn.BETA.INV(U560,S562,T562),IF(R562="Lognormal",EXP(NORMINV(U560,S562,T562)),IF(R562="Gamma",_xlfn.GAMMA.INV(U560,S562,T562),IF(R562="Normal",_xlfn.NORM.INV(U560,S562,T562),0)))))</f>
        <v>0</v>
      </c>
    </row>
    <row r="563" spans="2:28" x14ac:dyDescent="0.3">
      <c r="B563" s="31" t="s">
        <v>1084</v>
      </c>
      <c r="C563" s="177">
        <f>'Cost input'!C490</f>
        <v>0</v>
      </c>
      <c r="D563" s="177">
        <f>'Cost input'!D490</f>
        <v>0</v>
      </c>
      <c r="E563" s="177">
        <f>'Cost input'!E490</f>
        <v>0</v>
      </c>
      <c r="F563" s="697">
        <f t="shared" si="366"/>
        <v>0</v>
      </c>
      <c r="G563" s="160" t="s">
        <v>575</v>
      </c>
      <c r="H563" s="162" t="e">
        <f t="shared" si="367"/>
        <v>#DIV/0!</v>
      </c>
      <c r="I563" s="162" t="e">
        <f t="shared" si="368"/>
        <v>#DIV/0!</v>
      </c>
      <c r="J563" s="70">
        <f>IF(F563=0,C563,IF(G563="Beta",_xlfn.BETA.INV(J560,H563,I563),IF(G563="Lognormal",EXP(NORMINV(J560,H563,I563)),IF(G563="Gamma",_xlfn.GAMMA.INV(J560,H563,I563),IF(G563="Normal",_xlfn.NORM.INV(J560,H563,I563),0)))))</f>
        <v>0</v>
      </c>
      <c r="M563" s="31" t="s">
        <v>4</v>
      </c>
      <c r="N563" s="177">
        <f>'Cost input'!C518</f>
        <v>0</v>
      </c>
      <c r="O563" s="177">
        <f>'Cost input'!D518</f>
        <v>0</v>
      </c>
      <c r="P563" s="177">
        <f>'Cost input'!E518</f>
        <v>0</v>
      </c>
      <c r="Q563" s="156">
        <f t="shared" si="369"/>
        <v>0</v>
      </c>
      <c r="R563" s="160" t="s">
        <v>575</v>
      </c>
      <c r="S563" s="162" t="e">
        <f t="shared" si="370"/>
        <v>#DIV/0!</v>
      </c>
      <c r="T563" s="162" t="e">
        <f t="shared" si="371"/>
        <v>#DIV/0!</v>
      </c>
      <c r="U563" s="70">
        <f>IF(Q563=0,N563,IF(R563="Beta",_xlfn.BETA.INV(U560,S563,T563),IF(R563="Lognormal",EXP(NORMINV(U560,S563,T563)),IF(R563="Gamma",_xlfn.GAMMA.INV(U560,S563,T563),IF(R563="Normal",_xlfn.NORM.INV(U560,S563,T563),0)))))</f>
        <v>0</v>
      </c>
    </row>
    <row r="564" spans="2:28" x14ac:dyDescent="0.3">
      <c r="B564" s="31" t="s">
        <v>1085</v>
      </c>
      <c r="C564" s="177">
        <f>'Cost input'!C491</f>
        <v>0</v>
      </c>
      <c r="D564" s="177">
        <f>'Cost input'!D491</f>
        <v>0</v>
      </c>
      <c r="E564" s="177">
        <f>'Cost input'!E491</f>
        <v>0</v>
      </c>
      <c r="F564" s="697">
        <f t="shared" si="366"/>
        <v>0</v>
      </c>
      <c r="G564" s="160" t="s">
        <v>575</v>
      </c>
      <c r="H564" s="162" t="e">
        <f t="shared" si="367"/>
        <v>#DIV/0!</v>
      </c>
      <c r="I564" s="162" t="e">
        <f t="shared" si="368"/>
        <v>#DIV/0!</v>
      </c>
      <c r="J564" s="70">
        <f>IF(F564=0,C564,IF(G564="Beta",_xlfn.BETA.INV(J560,H564,I564),IF(G564="Lognormal",EXP(NORMINV(J560,H564,I564)),IF(G564="Gamma",_xlfn.GAMMA.INV(J560,H564,I564),IF(G564="Normal",_xlfn.NORM.INV(J560,H564,I564),0)))))</f>
        <v>0</v>
      </c>
      <c r="M564" s="31" t="s">
        <v>5</v>
      </c>
      <c r="N564" s="177">
        <f>'Cost input'!C519</f>
        <v>0</v>
      </c>
      <c r="O564" s="177">
        <f>'Cost input'!D519</f>
        <v>0</v>
      </c>
      <c r="P564" s="177">
        <f>'Cost input'!E519</f>
        <v>0</v>
      </c>
      <c r="Q564" s="156">
        <f t="shared" si="369"/>
        <v>0</v>
      </c>
      <c r="R564" s="160" t="s">
        <v>575</v>
      </c>
      <c r="S564" s="162" t="e">
        <f t="shared" si="370"/>
        <v>#DIV/0!</v>
      </c>
      <c r="T564" s="162" t="e">
        <f t="shared" si="371"/>
        <v>#DIV/0!</v>
      </c>
      <c r="U564" s="70">
        <f>IF(Q564=0,N564,IF(R564="Beta",_xlfn.BETA.INV(U560,S564,T564),IF(R564="Lognormal",EXP(NORMINV(U560,S564,T564)),IF(R564="Gamma",_xlfn.GAMMA.INV(U560,S564,T564),IF(R564="Normal",_xlfn.NORM.INV(U560,S564,T564),0)))))</f>
        <v>0</v>
      </c>
    </row>
    <row r="565" spans="2:28" x14ac:dyDescent="0.3">
      <c r="B565" s="31" t="s">
        <v>1086</v>
      </c>
      <c r="C565" s="177">
        <f>'Cost input'!C492</f>
        <v>0</v>
      </c>
      <c r="D565" s="177">
        <f>'Cost input'!D492</f>
        <v>0</v>
      </c>
      <c r="E565" s="177">
        <f>'Cost input'!E492</f>
        <v>0</v>
      </c>
      <c r="F565" s="697">
        <f t="shared" si="366"/>
        <v>0</v>
      </c>
      <c r="G565" s="160" t="s">
        <v>575</v>
      </c>
      <c r="H565" s="162" t="e">
        <f t="shared" si="367"/>
        <v>#DIV/0!</v>
      </c>
      <c r="I565" s="162" t="e">
        <f t="shared" si="368"/>
        <v>#DIV/0!</v>
      </c>
      <c r="J565" s="70">
        <f>IF(F565=0,C565,IF(G565="Beta",_xlfn.BETA.INV(J560,H565,I565),IF(G565="Lognormal",EXP(NORMINV(J560,H565,I565)),IF(G565="Gamma",_xlfn.GAMMA.INV(J560,H565,I565),IF(G565="Normal",_xlfn.NORM.INV(J560,H565,I565),0)))))</f>
        <v>0</v>
      </c>
      <c r="M565" s="31" t="s">
        <v>6</v>
      </c>
      <c r="N565" s="177">
        <f>'Cost input'!C520</f>
        <v>0</v>
      </c>
      <c r="O565" s="177">
        <f>'Cost input'!D520</f>
        <v>0</v>
      </c>
      <c r="P565" s="177">
        <f>'Cost input'!E520</f>
        <v>0</v>
      </c>
      <c r="Q565" s="156">
        <f t="shared" si="369"/>
        <v>0</v>
      </c>
      <c r="R565" s="160" t="s">
        <v>575</v>
      </c>
      <c r="S565" s="162" t="e">
        <f t="shared" si="370"/>
        <v>#DIV/0!</v>
      </c>
      <c r="T565" s="162" t="e">
        <f t="shared" si="371"/>
        <v>#DIV/0!</v>
      </c>
      <c r="U565" s="70">
        <f>IF(Q565=0,N565,IF(R565="Beta",_xlfn.BETA.INV(U560,S565,T565),IF(R565="Lognormal",EXP(NORMINV(U560,S565,T565)),IF(R565="Gamma",_xlfn.GAMMA.INV(U560,S565,T565),IF(R565="Normal",_xlfn.NORM.INV(U560,S565,T565),0)))))</f>
        <v>0</v>
      </c>
    </row>
    <row r="566" spans="2:28" x14ac:dyDescent="0.3">
      <c r="B566" s="31" t="s">
        <v>1087</v>
      </c>
      <c r="C566" s="177">
        <f>'Cost input'!C493</f>
        <v>0</v>
      </c>
      <c r="D566" s="177">
        <f>'Cost input'!D493</f>
        <v>0</v>
      </c>
      <c r="E566" s="177">
        <f>'Cost input'!E493</f>
        <v>0</v>
      </c>
      <c r="F566" s="697">
        <f t="shared" si="366"/>
        <v>0</v>
      </c>
      <c r="G566" s="160" t="s">
        <v>575</v>
      </c>
      <c r="H566" s="162" t="e">
        <f t="shared" si="367"/>
        <v>#DIV/0!</v>
      </c>
      <c r="I566" s="162" t="e">
        <f t="shared" si="368"/>
        <v>#DIV/0!</v>
      </c>
      <c r="J566" s="70">
        <f>IF(F566=0,C566,IF(G566="Beta",_xlfn.BETA.INV(J560,H566,I566),IF(G566="Lognormal",EXP(NORMINV(J560,H566,I566)),IF(G566="Gamma",_xlfn.GAMMA.INV(J560,H566,I566),IF(G566="Normal",_xlfn.NORM.INV(J560,H566,I566),0)))))</f>
        <v>0</v>
      </c>
      <c r="M566" s="31" t="s">
        <v>7</v>
      </c>
      <c r="N566" s="177">
        <f>'Cost input'!C521</f>
        <v>0</v>
      </c>
      <c r="O566" s="177">
        <f>'Cost input'!D521</f>
        <v>0</v>
      </c>
      <c r="P566" s="177">
        <f>'Cost input'!E521</f>
        <v>0</v>
      </c>
      <c r="Q566" s="156">
        <f t="shared" si="369"/>
        <v>0</v>
      </c>
      <c r="R566" s="160" t="s">
        <v>575</v>
      </c>
      <c r="S566" s="162" t="e">
        <f t="shared" si="370"/>
        <v>#DIV/0!</v>
      </c>
      <c r="T566" s="162" t="e">
        <f t="shared" si="371"/>
        <v>#DIV/0!</v>
      </c>
      <c r="U566" s="70">
        <f>IF(Q566=0,N566,IF(R566="Beta",_xlfn.BETA.INV(U560,S566,T566),IF(R566="Lognormal",EXP(NORMINV(U560,S566,T566)),IF(R566="Gamma",_xlfn.GAMMA.INV(U560,S566,T566),IF(R566="Normal",_xlfn.NORM.INV(U560,S566,T566),0)))))</f>
        <v>0</v>
      </c>
    </row>
    <row r="567" spans="2:28" x14ac:dyDescent="0.3">
      <c r="B567" s="31" t="s">
        <v>1443</v>
      </c>
      <c r="C567" s="177">
        <f>'Cost input'!C494</f>
        <v>0</v>
      </c>
      <c r="D567" s="177">
        <f>'Cost input'!D494</f>
        <v>0</v>
      </c>
      <c r="E567" s="177">
        <f>'Cost input'!E494</f>
        <v>0</v>
      </c>
      <c r="F567" s="697">
        <f t="shared" si="366"/>
        <v>0</v>
      </c>
      <c r="G567" s="160" t="s">
        <v>575</v>
      </c>
      <c r="H567" s="162" t="e">
        <f t="shared" si="367"/>
        <v>#DIV/0!</v>
      </c>
      <c r="I567" s="162" t="e">
        <f t="shared" si="368"/>
        <v>#DIV/0!</v>
      </c>
      <c r="J567" s="70">
        <f>IF(F567=0,C567,IF(G567="Beta",_xlfn.BETA.INV(J560,H567,I567),IF(G567="Lognormal",EXP(NORMINV(J560,H567,I567)),IF(G567="Gamma",_xlfn.GAMMA.INV(J560,H567,I567),IF(G567="Normal",_xlfn.NORM.INV(J560,H567,I567),0)))))</f>
        <v>0</v>
      </c>
      <c r="M567" s="31" t="s">
        <v>11</v>
      </c>
      <c r="N567" s="177">
        <f>'Cost input'!C522</f>
        <v>0</v>
      </c>
      <c r="O567" s="177">
        <f>'Cost input'!D522</f>
        <v>0</v>
      </c>
      <c r="P567" s="177">
        <f>'Cost input'!E522</f>
        <v>0</v>
      </c>
      <c r="Q567" s="156">
        <f t="shared" si="369"/>
        <v>0</v>
      </c>
      <c r="R567" s="160" t="s">
        <v>575</v>
      </c>
      <c r="S567" s="162" t="e">
        <f t="shared" si="370"/>
        <v>#DIV/0!</v>
      </c>
      <c r="T567" s="162" t="e">
        <f t="shared" si="371"/>
        <v>#DIV/0!</v>
      </c>
      <c r="U567" s="70">
        <f>IF(Q567=0,N567,IF(R567="Beta",_xlfn.BETA.INV(U560,S567,T567),IF(R567="Lognormal",EXP(NORMINV(U560,S567,T567)),IF(R567="Gamma",_xlfn.GAMMA.INV(U560,S567,T567),IF(R567="Normal",_xlfn.NORM.INV(U560,S567,T567),0)))))</f>
        <v>0</v>
      </c>
    </row>
    <row r="568" spans="2:28" ht="15.6" x14ac:dyDescent="0.3">
      <c r="B568" s="150" t="s">
        <v>1444</v>
      </c>
      <c r="C568" s="533"/>
      <c r="D568" s="533"/>
      <c r="E568" s="533"/>
      <c r="F568" s="699"/>
      <c r="G568" s="141"/>
      <c r="H568" s="141"/>
      <c r="I568" s="141"/>
      <c r="J568" s="291">
        <f ca="1">RAND()</f>
        <v>0.43955154822725562</v>
      </c>
      <c r="L568" s="79" t="s">
        <v>679</v>
      </c>
      <c r="M568" s="150" t="s">
        <v>1444</v>
      </c>
      <c r="N568" s="533"/>
      <c r="O568" s="533"/>
      <c r="P568" s="533"/>
      <c r="Q568" s="533"/>
      <c r="R568" s="141"/>
      <c r="S568" s="141"/>
      <c r="T568" s="141"/>
      <c r="U568" s="291">
        <f ca="1">RAND()</f>
        <v>0.21434800282199451</v>
      </c>
    </row>
    <row r="569" spans="2:28" x14ac:dyDescent="0.3">
      <c r="B569" s="31" t="s">
        <v>1082</v>
      </c>
      <c r="C569" s="177">
        <f>'Cost input'!C496</f>
        <v>0</v>
      </c>
      <c r="D569" s="177">
        <f>'Cost input'!D496</f>
        <v>0</v>
      </c>
      <c r="E569" s="177">
        <f>'Cost input'!E496</f>
        <v>0</v>
      </c>
      <c r="F569" s="697">
        <f>(E569-D569)/(2*1.96)</f>
        <v>0</v>
      </c>
      <c r="G569" s="160" t="s">
        <v>575</v>
      </c>
      <c r="H569" s="162" t="e">
        <f t="shared" ref="H569:H575" si="372">IF(G569="Beta",C569*(C569*(1-C569)/(F569^2)-1),IF(G569="Lognormal",LN(C569^2/SQRT(F569^2+C569^2)),IF(G569="Gamma",C569^2/F569^2,IF(G569="Normal",C569,0))))</f>
        <v>#DIV/0!</v>
      </c>
      <c r="I569" s="162" t="e">
        <f t="shared" ref="I569:I575" si="373">IF(G569="Beta",C569*(1-C569)/(F569^2)-1-H569,IF(G569="Lognormal",SQRT(LN(1+F569^2/C569^2)),IF(G569="Gamma",F569^2/C569,IF(G569="Normal",F569,0))))</f>
        <v>#DIV/0!</v>
      </c>
      <c r="J569" s="70">
        <f>IF(F569=0,C569,IF(G569="Beta",_xlfn.BETA.INV(J568,H569,I569),IF(G569="Lognormal",EXP(NORMINV(J568,H569,I569)),IF(G569="Gamma",_xlfn.GAMMA.INV(J568,H569,I569),IF(G569="Normal",_xlfn.NORM.INV(J568,H569,I569),0)))))</f>
        <v>0</v>
      </c>
      <c r="M569" s="31" t="s">
        <v>1082</v>
      </c>
      <c r="N569" s="177">
        <f>'Cost input'!C524</f>
        <v>0</v>
      </c>
      <c r="O569" s="177">
        <f>'Cost input'!D524</f>
        <v>0</v>
      </c>
      <c r="P569" s="177">
        <f>'Cost input'!E524</f>
        <v>0</v>
      </c>
      <c r="Q569" s="156">
        <f>(P569-O569)/(2*1.96)</f>
        <v>0</v>
      </c>
      <c r="R569" s="160" t="s">
        <v>575</v>
      </c>
      <c r="S569" s="162" t="e">
        <f t="shared" ref="S569:S575" si="374">IF(R569="Beta",N569*(N569*(1-N569)/(Q569^2)-1),IF(R569="Lognormal",LN(N569^2/SQRT(Q569^2+N569^2)),IF(R569="Gamma",N569^2/Q569^2,IF(R569="Normal",N569,0))))</f>
        <v>#DIV/0!</v>
      </c>
      <c r="T569" s="162" t="e">
        <f t="shared" ref="T569:T575" si="375">IF(R569="Beta",N569*(1-N569)/(Q569^2)-1-S569,IF(R569="Lognormal",SQRT(LN(1+Q569^2/N569^2)),IF(R569="Gamma",Q569^2/N569,IF(R569="Normal",Q569,0))))</f>
        <v>#DIV/0!</v>
      </c>
      <c r="U569" s="70">
        <f>IF(Q569=0,N569,IF(R569="Beta",_xlfn.BETA.INV(U568,S569,T569),IF(R569="Lognormal",EXP(NORMINV(U568,S569,T569)),IF(R569="Gamma",_xlfn.GAMMA.INV(U568,S569,T569),IF(R569="Normal",_xlfn.NORM.INV(U568,S569,T569),0)))))</f>
        <v>0</v>
      </c>
    </row>
    <row r="570" spans="2:28" x14ac:dyDescent="0.3">
      <c r="B570" s="31" t="s">
        <v>1083</v>
      </c>
      <c r="C570" s="177">
        <f>'Cost input'!C497</f>
        <v>0</v>
      </c>
      <c r="D570" s="177">
        <f>'Cost input'!D497</f>
        <v>0</v>
      </c>
      <c r="E570" s="177">
        <f>'Cost input'!E497</f>
        <v>0</v>
      </c>
      <c r="F570" s="697">
        <f t="shared" ref="F570:F575" si="376">(E570-D570)/(2*1.96)</f>
        <v>0</v>
      </c>
      <c r="G570" s="160" t="s">
        <v>575</v>
      </c>
      <c r="H570" s="162" t="e">
        <f t="shared" si="372"/>
        <v>#DIV/0!</v>
      </c>
      <c r="I570" s="162" t="e">
        <f t="shared" si="373"/>
        <v>#DIV/0!</v>
      </c>
      <c r="J570" s="70">
        <f>IF(F570=0,C570,IF(G570="Beta",_xlfn.BETA.INV(J568,H570,I570),IF(G570="Lognormal",EXP(NORMINV(J568,H570,I570)),IF(G570="Gamma",_xlfn.GAMMA.INV(J568,H570,I570),IF(G570="Normal",_xlfn.NORM.INV(J568,H570,I570),0)))))</f>
        <v>0</v>
      </c>
      <c r="M570" s="31" t="s">
        <v>1083</v>
      </c>
      <c r="N570" s="177">
        <f>'Cost input'!C525</f>
        <v>0</v>
      </c>
      <c r="O570" s="177">
        <f>'Cost input'!D525</f>
        <v>0</v>
      </c>
      <c r="P570" s="177">
        <f>'Cost input'!E525</f>
        <v>0</v>
      </c>
      <c r="Q570" s="156">
        <f t="shared" ref="Q570:Q575" si="377">(P570-O570)/(2*1.96)</f>
        <v>0</v>
      </c>
      <c r="R570" s="160" t="s">
        <v>575</v>
      </c>
      <c r="S570" s="162" t="e">
        <f t="shared" si="374"/>
        <v>#DIV/0!</v>
      </c>
      <c r="T570" s="162" t="e">
        <f t="shared" si="375"/>
        <v>#DIV/0!</v>
      </c>
      <c r="U570" s="70">
        <f>IF(Q570=0,N570,IF(R570="Beta",_xlfn.BETA.INV(U568,S570,T570),IF(R570="Lognormal",EXP(NORMINV(U568,S570,T570)),IF(R570="Gamma",_xlfn.GAMMA.INV(U568,S570,T570),IF(R570="Normal",_xlfn.NORM.INV(U568,S570,T570),0)))))</f>
        <v>0</v>
      </c>
    </row>
    <row r="571" spans="2:28" x14ac:dyDescent="0.3">
      <c r="B571" s="31" t="s">
        <v>1084</v>
      </c>
      <c r="C571" s="177">
        <f>'Cost input'!C498</f>
        <v>0</v>
      </c>
      <c r="D571" s="177">
        <f>'Cost input'!D498</f>
        <v>0</v>
      </c>
      <c r="E571" s="177">
        <f>'Cost input'!E498</f>
        <v>0</v>
      </c>
      <c r="F571" s="697">
        <f t="shared" si="376"/>
        <v>0</v>
      </c>
      <c r="G571" s="160" t="s">
        <v>575</v>
      </c>
      <c r="H571" s="162" t="e">
        <f t="shared" si="372"/>
        <v>#DIV/0!</v>
      </c>
      <c r="I571" s="162" t="e">
        <f t="shared" si="373"/>
        <v>#DIV/0!</v>
      </c>
      <c r="J571" s="70">
        <f>IF(F571=0,C571,IF(G571="Beta",_xlfn.BETA.INV(J568,H571,I571),IF(G571="Lognormal",EXP(NORMINV(J568,H571,I571)),IF(G571="Gamma",_xlfn.GAMMA.INV(J568,H571,I571),IF(G571="Normal",_xlfn.NORM.INV(J568,H571,I571),0)))))</f>
        <v>0</v>
      </c>
      <c r="M571" s="31" t="s">
        <v>1084</v>
      </c>
      <c r="N571" s="177">
        <f>'Cost input'!C526</f>
        <v>0</v>
      </c>
      <c r="O571" s="177">
        <f>'Cost input'!D526</f>
        <v>0</v>
      </c>
      <c r="P571" s="177">
        <f>'Cost input'!E526</f>
        <v>0</v>
      </c>
      <c r="Q571" s="156">
        <f t="shared" si="377"/>
        <v>0</v>
      </c>
      <c r="R571" s="160" t="s">
        <v>575</v>
      </c>
      <c r="S571" s="162" t="e">
        <f t="shared" si="374"/>
        <v>#DIV/0!</v>
      </c>
      <c r="T571" s="162" t="e">
        <f t="shared" si="375"/>
        <v>#DIV/0!</v>
      </c>
      <c r="U571" s="70">
        <f>IF(Q571=0,N571,IF(R571="Beta",_xlfn.BETA.INV(U568,S571,T571),IF(R571="Lognormal",EXP(NORMINV(U568,S571,T571)),IF(R571="Gamma",_xlfn.GAMMA.INV(U568,S571,T571),IF(R571="Normal",_xlfn.NORM.INV(U568,S571,T571),0)))))</f>
        <v>0</v>
      </c>
    </row>
    <row r="572" spans="2:28" x14ac:dyDescent="0.3">
      <c r="B572" s="31" t="s">
        <v>1085</v>
      </c>
      <c r="C572" s="177">
        <f>'Cost input'!C499</f>
        <v>0</v>
      </c>
      <c r="D572" s="177">
        <f>'Cost input'!D499</f>
        <v>0</v>
      </c>
      <c r="E572" s="177">
        <f>'Cost input'!E499</f>
        <v>0</v>
      </c>
      <c r="F572" s="697">
        <f t="shared" si="376"/>
        <v>0</v>
      </c>
      <c r="G572" s="160" t="s">
        <v>575</v>
      </c>
      <c r="H572" s="162" t="e">
        <f t="shared" si="372"/>
        <v>#DIV/0!</v>
      </c>
      <c r="I572" s="162" t="e">
        <f t="shared" si="373"/>
        <v>#DIV/0!</v>
      </c>
      <c r="J572" s="70">
        <f>IF(F572=0,C572,IF(G572="Beta",_xlfn.BETA.INV(J568,H572,I572),IF(G572="Lognormal",EXP(NORMINV(J568,H572,I572)),IF(G572="Gamma",_xlfn.GAMMA.INV(J568,H572,I572),IF(G572="Normal",_xlfn.NORM.INV(J568,H572,I572),0)))))</f>
        <v>0</v>
      </c>
      <c r="M572" s="31" t="s">
        <v>1085</v>
      </c>
      <c r="N572" s="177">
        <f>'Cost input'!C527</f>
        <v>0</v>
      </c>
      <c r="O572" s="177">
        <f>'Cost input'!D527</f>
        <v>0</v>
      </c>
      <c r="P572" s="177">
        <f>'Cost input'!E527</f>
        <v>0</v>
      </c>
      <c r="Q572" s="156">
        <f t="shared" si="377"/>
        <v>0</v>
      </c>
      <c r="R572" s="160" t="s">
        <v>575</v>
      </c>
      <c r="S572" s="162" t="e">
        <f t="shared" si="374"/>
        <v>#DIV/0!</v>
      </c>
      <c r="T572" s="162" t="e">
        <f t="shared" si="375"/>
        <v>#DIV/0!</v>
      </c>
      <c r="U572" s="70">
        <f>IF(Q572=0,N572,IF(R572="Beta",_xlfn.BETA.INV(U568,S572,T572),IF(R572="Lognormal",EXP(NORMINV(U568,S572,T572)),IF(R572="Gamma",_xlfn.GAMMA.INV(U568,S572,T572),IF(R572="Normal",_xlfn.NORM.INV(U568,S572,T572),0)))))</f>
        <v>0</v>
      </c>
      <c r="AB572" s="67"/>
    </row>
    <row r="573" spans="2:28" x14ac:dyDescent="0.3">
      <c r="B573" s="31" t="s">
        <v>1086</v>
      </c>
      <c r="C573" s="177">
        <f>'Cost input'!C500</f>
        <v>0</v>
      </c>
      <c r="D573" s="177">
        <f>'Cost input'!D500</f>
        <v>0</v>
      </c>
      <c r="E573" s="177">
        <f>'Cost input'!E500</f>
        <v>0</v>
      </c>
      <c r="F573" s="697">
        <f t="shared" si="376"/>
        <v>0</v>
      </c>
      <c r="G573" s="160" t="s">
        <v>575</v>
      </c>
      <c r="H573" s="162" t="e">
        <f t="shared" si="372"/>
        <v>#DIV/0!</v>
      </c>
      <c r="I573" s="162" t="e">
        <f t="shared" si="373"/>
        <v>#DIV/0!</v>
      </c>
      <c r="J573" s="70">
        <f>IF(F573=0,C573,IF(G573="Beta",_xlfn.BETA.INV(J568,H573,I573),IF(G573="Lognormal",EXP(NORMINV(J568,H573,I573)),IF(G573="Gamma",_xlfn.GAMMA.INV(J568,H573,I573),IF(G573="Normal",_xlfn.NORM.INV(J568,H573,I573),0)))))</f>
        <v>0</v>
      </c>
      <c r="M573" s="31" t="s">
        <v>1086</v>
      </c>
      <c r="N573" s="177">
        <f>'Cost input'!C528</f>
        <v>0</v>
      </c>
      <c r="O573" s="177">
        <f>'Cost input'!D528</f>
        <v>0</v>
      </c>
      <c r="P573" s="177">
        <f>'Cost input'!E528</f>
        <v>0</v>
      </c>
      <c r="Q573" s="156">
        <f t="shared" si="377"/>
        <v>0</v>
      </c>
      <c r="R573" s="160" t="s">
        <v>575</v>
      </c>
      <c r="S573" s="162" t="e">
        <f t="shared" si="374"/>
        <v>#DIV/0!</v>
      </c>
      <c r="T573" s="162" t="e">
        <f t="shared" si="375"/>
        <v>#DIV/0!</v>
      </c>
      <c r="U573" s="70">
        <f>IF(Q573=0,N573,IF(R573="Beta",_xlfn.BETA.INV(U568,S573,T573),IF(R573="Lognormal",EXP(NORMINV(U568,S573,T573)),IF(R573="Gamma",_xlfn.GAMMA.INV(U568,S573,T573),IF(R573="Normal",_xlfn.NORM.INV(U568,S573,T573),0)))))</f>
        <v>0</v>
      </c>
    </row>
    <row r="574" spans="2:28" x14ac:dyDescent="0.3">
      <c r="B574" s="31" t="s">
        <v>1087</v>
      </c>
      <c r="C574" s="177">
        <f>'Cost input'!C501</f>
        <v>0</v>
      </c>
      <c r="D574" s="177">
        <f>'Cost input'!D501</f>
        <v>0</v>
      </c>
      <c r="E574" s="177">
        <f>'Cost input'!E501</f>
        <v>0</v>
      </c>
      <c r="F574" s="697">
        <f t="shared" si="376"/>
        <v>0</v>
      </c>
      <c r="G574" s="160" t="s">
        <v>575</v>
      </c>
      <c r="H574" s="162" t="e">
        <f t="shared" si="372"/>
        <v>#DIV/0!</v>
      </c>
      <c r="I574" s="162" t="e">
        <f t="shared" si="373"/>
        <v>#DIV/0!</v>
      </c>
      <c r="J574" s="70">
        <f>IF(F574=0,C574,IF(G574="Beta",_xlfn.BETA.INV(J568,H574,I574),IF(G574="Lognormal",EXP(NORMINV(J568,H574,I574)),IF(G574="Gamma",_xlfn.GAMMA.INV(J568,H574,I574),IF(G574="Normal",_xlfn.NORM.INV(J568,H574,I574),0)))))</f>
        <v>0</v>
      </c>
      <c r="M574" s="31" t="s">
        <v>1087</v>
      </c>
      <c r="N574" s="177">
        <f>'Cost input'!C529</f>
        <v>0</v>
      </c>
      <c r="O574" s="177">
        <f>'Cost input'!D529</f>
        <v>0</v>
      </c>
      <c r="P574" s="177">
        <f>'Cost input'!E529</f>
        <v>0</v>
      </c>
      <c r="Q574" s="156">
        <f t="shared" si="377"/>
        <v>0</v>
      </c>
      <c r="R574" s="160" t="s">
        <v>575</v>
      </c>
      <c r="S574" s="162" t="e">
        <f t="shared" si="374"/>
        <v>#DIV/0!</v>
      </c>
      <c r="T574" s="162" t="e">
        <f t="shared" si="375"/>
        <v>#DIV/0!</v>
      </c>
      <c r="U574" s="70">
        <f>IF(Q574=0,N574,IF(R574="Beta",_xlfn.BETA.INV(U568,S574,T574),IF(R574="Lognormal",EXP(NORMINV(U568,S574,T574)),IF(R574="Gamma",_xlfn.GAMMA.INV(U568,S574,T574),IF(R574="Normal",_xlfn.NORM.INV(U568,S574,T574),0)))))</f>
        <v>0</v>
      </c>
    </row>
    <row r="575" spans="2:28" x14ac:dyDescent="0.3">
      <c r="B575" s="31" t="s">
        <v>1443</v>
      </c>
      <c r="C575" s="177">
        <f>'Cost input'!C502</f>
        <v>0</v>
      </c>
      <c r="D575" s="177">
        <f>'Cost input'!D502</f>
        <v>0</v>
      </c>
      <c r="E575" s="177">
        <f>'Cost input'!E502</f>
        <v>0</v>
      </c>
      <c r="F575" s="697">
        <f t="shared" si="376"/>
        <v>0</v>
      </c>
      <c r="G575" s="160" t="s">
        <v>575</v>
      </c>
      <c r="H575" s="162" t="e">
        <f t="shared" si="372"/>
        <v>#DIV/0!</v>
      </c>
      <c r="I575" s="162" t="e">
        <f t="shared" si="373"/>
        <v>#DIV/0!</v>
      </c>
      <c r="J575" s="70">
        <f>IF(F575=0,C575,IF(G575="Beta",_xlfn.BETA.INV(J568,H575,I575),IF(G575="Lognormal",EXP(NORMINV(J568,H575,I575)),IF(G575="Gamma",_xlfn.GAMMA.INV(J568,H575,I575),IF(G575="Normal",_xlfn.NORM.INV(J568,H575,I575),0)))))</f>
        <v>0</v>
      </c>
      <c r="M575" s="31" t="s">
        <v>1443</v>
      </c>
      <c r="N575" s="177">
        <f>'Cost input'!C530</f>
        <v>0</v>
      </c>
      <c r="O575" s="177">
        <f>'Cost input'!D530</f>
        <v>0</v>
      </c>
      <c r="P575" s="177">
        <f>'Cost input'!E530</f>
        <v>0</v>
      </c>
      <c r="Q575" s="156">
        <f t="shared" si="377"/>
        <v>0</v>
      </c>
      <c r="R575" s="160" t="s">
        <v>575</v>
      </c>
      <c r="S575" s="162" t="e">
        <f t="shared" si="374"/>
        <v>#DIV/0!</v>
      </c>
      <c r="T575" s="162" t="e">
        <f t="shared" si="375"/>
        <v>#DIV/0!</v>
      </c>
      <c r="U575" s="70">
        <f>IF(Q575=0,N575,IF(R575="Beta",_xlfn.BETA.INV(U568,S575,T575),IF(R575="Lognormal",EXP(NORMINV(U568,S575,T575)),IF(R575="Gamma",_xlfn.GAMMA.INV(U568,S575,T575),IF(R575="Normal",_xlfn.NORM.INV(U568,S575,T575),0)))))</f>
        <v>0</v>
      </c>
    </row>
    <row r="576" spans="2:28" ht="15.6" x14ac:dyDescent="0.3">
      <c r="B576" s="151" t="s">
        <v>227</v>
      </c>
      <c r="C576" s="533"/>
      <c r="D576" s="533"/>
      <c r="E576" s="533"/>
      <c r="F576" s="699"/>
      <c r="G576" s="162"/>
      <c r="H576" s="162"/>
      <c r="I576" s="162"/>
      <c r="J576" s="291">
        <f ca="1">RAND()</f>
        <v>0.77483870250373066</v>
      </c>
      <c r="M576" s="151" t="s">
        <v>227</v>
      </c>
      <c r="N576" s="533"/>
      <c r="O576" s="533"/>
      <c r="P576" s="533"/>
      <c r="Q576" s="533"/>
      <c r="R576" s="141"/>
      <c r="S576" s="141"/>
      <c r="T576" s="141"/>
      <c r="U576" s="291">
        <f ca="1">RAND()</f>
        <v>0.60322341739331642</v>
      </c>
    </row>
    <row r="577" spans="2:21" x14ac:dyDescent="0.3">
      <c r="B577" s="31" t="s">
        <v>1437</v>
      </c>
      <c r="C577" s="177">
        <f>'Cost input'!C504</f>
        <v>0</v>
      </c>
      <c r="D577" s="177">
        <f>'Cost input'!D504</f>
        <v>0</v>
      </c>
      <c r="E577" s="177">
        <f>'Cost input'!E504</f>
        <v>0</v>
      </c>
      <c r="F577" s="697">
        <f t="shared" ref="F577:F578" si="378">(E577-D577)/(2*1.96)</f>
        <v>0</v>
      </c>
      <c r="G577" s="160" t="s">
        <v>575</v>
      </c>
      <c r="H577" s="162" t="e">
        <f t="shared" ref="H577:H578" si="379">IF(G577="Beta",C577*(C577*(1-C577)/(F577^2)-1),IF(G577="Lognormal",LN(C577^2/SQRT(F577^2+C577^2)),IF(G577="Gamma",C577^2/F577^2,IF(G577="Normal",C577,0))))</f>
        <v>#DIV/0!</v>
      </c>
      <c r="I577" s="162" t="e">
        <f t="shared" ref="I577:I578" si="380">IF(G577="Beta",C577*(1-C577)/(F577^2)-1-H577,IF(G577="Lognormal",SQRT(LN(1+F577^2/C577^2)),IF(G577="Gamma",F577^2/C577,IF(G577="Normal",F577,0))))</f>
        <v>#DIV/0!</v>
      </c>
      <c r="J577" s="70">
        <f>IF(F577=0,C577,IF(G577="Beta",_xlfn.BETA.INV(J$293,H577,I577),IF(G577="Lognormal",EXP(NORMINV(J$293,H577,I577)),IF(G577="Gamma",_xlfn.GAMMA.INV(J$293,H577,I577),IF(G577="Normal",_xlfn.NORM.INV(J$293,H577,I577),0)))))</f>
        <v>0</v>
      </c>
      <c r="M577" s="31" t="s">
        <v>227</v>
      </c>
      <c r="N577" s="177">
        <f>'Cost input'!C532</f>
        <v>0</v>
      </c>
      <c r="O577" s="177">
        <f>'Cost input'!D532</f>
        <v>0</v>
      </c>
      <c r="P577" s="177">
        <f>'Cost input'!E532</f>
        <v>0</v>
      </c>
      <c r="Q577" s="156">
        <f t="shared" ref="Q577:Q578" si="381">(P577-O577)/(2*1.96)</f>
        <v>0</v>
      </c>
      <c r="R577" s="160" t="s">
        <v>575</v>
      </c>
      <c r="S577" s="162" t="e">
        <f t="shared" ref="S577:S578" si="382">IF(R577="Beta",N577*(N577*(1-N577)/(Q577^2)-1),IF(R577="Lognormal",LN(N577^2/SQRT(Q577^2+N577^2)),IF(R577="Gamma",N577^2/Q577^2,IF(R577="Normal",N577,0))))</f>
        <v>#DIV/0!</v>
      </c>
      <c r="T577" s="162" t="e">
        <f t="shared" ref="T577:T578" si="383">IF(R577="Beta",N577*(1-N577)/(Q577^2)-1-S577,IF(R577="Lognormal",SQRT(LN(1+Q577^2/N577^2)),IF(R577="Gamma",Q577^2/N577,IF(R577="Normal",Q577,0))))</f>
        <v>#DIV/0!</v>
      </c>
      <c r="U577" s="70">
        <f>IF(Q577=0,N577,IF(R577="Beta",_xlfn.BETA.INV(U576,S577,T577),IF(R577="Lognormal",EXP(NORMINV(U576,S577,T577)),IF(R577="Gamma",_xlfn.GAMMA.INV(U576,S577,T577),IF(R577="Normal",_xlfn.NORM.INV(U576,S577,T577),0)))))</f>
        <v>0</v>
      </c>
    </row>
    <row r="578" spans="2:21" x14ac:dyDescent="0.3">
      <c r="B578" s="31" t="s">
        <v>1438</v>
      </c>
      <c r="C578" s="177">
        <f>'Cost input'!C505</f>
        <v>0</v>
      </c>
      <c r="D578" s="177">
        <f>'Cost input'!D505</f>
        <v>0</v>
      </c>
      <c r="E578" s="177">
        <f>'Cost input'!E505</f>
        <v>0</v>
      </c>
      <c r="F578" s="697">
        <f t="shared" si="378"/>
        <v>0</v>
      </c>
      <c r="G578" s="160" t="s">
        <v>575</v>
      </c>
      <c r="H578" s="162" t="e">
        <f t="shared" si="379"/>
        <v>#DIV/0!</v>
      </c>
      <c r="I578" s="162" t="e">
        <f t="shared" si="380"/>
        <v>#DIV/0!</v>
      </c>
      <c r="J578" s="70">
        <f>IF(F578=0,C578,IF(G578="Beta",_xlfn.BETA.INV(J$293,H578,I578),IF(G578="Lognormal",EXP(NORMINV(J$293,H578,I578)),IF(G578="Gamma",_xlfn.GAMMA.INV(J$293,H578,I578),IF(G578="Normal",_xlfn.NORM.INV(J$293,H578,I578),0)))))</f>
        <v>0</v>
      </c>
      <c r="M578" s="31" t="s">
        <v>8</v>
      </c>
      <c r="N578" s="177">
        <f>'Cost input'!C533</f>
        <v>0</v>
      </c>
      <c r="O578" s="177">
        <f>'Cost input'!D533</f>
        <v>0</v>
      </c>
      <c r="P578" s="177">
        <f>'Cost input'!E533</f>
        <v>0</v>
      </c>
      <c r="Q578" s="156">
        <f t="shared" si="381"/>
        <v>0</v>
      </c>
      <c r="R578" s="160" t="s">
        <v>575</v>
      </c>
      <c r="S578" s="162" t="e">
        <f t="shared" si="382"/>
        <v>#DIV/0!</v>
      </c>
      <c r="T578" s="162" t="e">
        <f t="shared" si="383"/>
        <v>#DIV/0!</v>
      </c>
      <c r="U578" s="70">
        <f>IF(Q578=0,N578,IF(R578="Beta",_xlfn.BETA.INV(U576,S578,T578),IF(R578="Lognormal",EXP(NORMINV(U576,S578,T578)),IF(R578="Gamma",_xlfn.GAMMA.INV(U576,S578,T578),IF(R578="Normal",_xlfn.NORM.INV(U576,S578,T578),0)))))</f>
        <v>0</v>
      </c>
    </row>
    <row r="579" spans="2:21" x14ac:dyDescent="0.3">
      <c r="B579" s="31" t="s">
        <v>1441</v>
      </c>
      <c r="C579" s="177">
        <f>'Cost input'!C506</f>
        <v>0</v>
      </c>
      <c r="D579" s="177">
        <f>'Cost input'!D506</f>
        <v>0</v>
      </c>
      <c r="E579" s="177">
        <f>'Cost input'!E506</f>
        <v>0</v>
      </c>
      <c r="F579" s="697">
        <f t="shared" si="366"/>
        <v>0</v>
      </c>
      <c r="G579" s="160" t="s">
        <v>575</v>
      </c>
      <c r="H579" s="162" t="e">
        <f t="shared" si="367"/>
        <v>#DIV/0!</v>
      </c>
      <c r="I579" s="162" t="e">
        <f t="shared" si="368"/>
        <v>#DIV/0!</v>
      </c>
      <c r="J579" s="70">
        <f t="shared" ref="J579:J583" si="384">IF(F579=0,C579,IF(G579="Beta",_xlfn.BETA.INV(J$293,H579,I579),IF(G579="Lognormal",EXP(NORMINV(J$293,H579,I579)),IF(G579="Gamma",_xlfn.GAMMA.INV(J$293,H579,I579),IF(G579="Normal",_xlfn.NORM.INV(J$293,H579,I579),0)))))</f>
        <v>0</v>
      </c>
      <c r="M579" s="31" t="s">
        <v>227</v>
      </c>
      <c r="N579" s="177">
        <f>'Cost input'!C534</f>
        <v>0</v>
      </c>
      <c r="O579" s="177">
        <f>'Cost input'!D534</f>
        <v>0</v>
      </c>
      <c r="P579" s="177">
        <f>'Cost input'!E534</f>
        <v>0</v>
      </c>
      <c r="Q579" s="156">
        <f t="shared" si="369"/>
        <v>0</v>
      </c>
      <c r="R579" s="160" t="s">
        <v>575</v>
      </c>
      <c r="S579" s="162" t="e">
        <f t="shared" si="370"/>
        <v>#DIV/0!</v>
      </c>
      <c r="T579" s="162" t="e">
        <f t="shared" si="371"/>
        <v>#DIV/0!</v>
      </c>
      <c r="U579" s="70">
        <f>IF(Q579=0,N579,IF(R579="Beta",_xlfn.BETA.INV(U576,S579,T579),IF(R579="Lognormal",EXP(NORMINV(U576,S579,T579)),IF(R579="Gamma",_xlfn.GAMMA.INV(U576,S579,T579),IF(R579="Normal",_xlfn.NORM.INV(U576,S579,T579),0)))))</f>
        <v>0</v>
      </c>
    </row>
    <row r="580" spans="2:21" x14ac:dyDescent="0.3">
      <c r="B580" s="31" t="s">
        <v>1442</v>
      </c>
      <c r="C580" s="177">
        <f>'Cost input'!C507</f>
        <v>0</v>
      </c>
      <c r="D580" s="177">
        <f>'Cost input'!D507</f>
        <v>0</v>
      </c>
      <c r="E580" s="177">
        <f>'Cost input'!E507</f>
        <v>0</v>
      </c>
      <c r="F580" s="697">
        <f t="shared" si="366"/>
        <v>0</v>
      </c>
      <c r="G580" s="160" t="s">
        <v>575</v>
      </c>
      <c r="H580" s="162" t="e">
        <f t="shared" si="367"/>
        <v>#DIV/0!</v>
      </c>
      <c r="I580" s="162" t="e">
        <f t="shared" si="368"/>
        <v>#DIV/0!</v>
      </c>
      <c r="J580" s="70">
        <f t="shared" si="384"/>
        <v>0</v>
      </c>
      <c r="M580" s="31" t="s">
        <v>8</v>
      </c>
      <c r="N580" s="177">
        <f>'Cost input'!C535</f>
        <v>0</v>
      </c>
      <c r="O580" s="177">
        <f>'Cost input'!D535</f>
        <v>0</v>
      </c>
      <c r="P580" s="177">
        <f>'Cost input'!E535</f>
        <v>0</v>
      </c>
      <c r="Q580" s="156">
        <f t="shared" si="369"/>
        <v>0</v>
      </c>
      <c r="R580" s="160" t="s">
        <v>575</v>
      </c>
      <c r="S580" s="162" t="e">
        <f t="shared" si="370"/>
        <v>#DIV/0!</v>
      </c>
      <c r="T580" s="162" t="e">
        <f t="shared" si="371"/>
        <v>#DIV/0!</v>
      </c>
      <c r="U580" s="70">
        <f>IF(Q580=0,N580,IF(R580="Beta",_xlfn.BETA.INV(U576,S580,T580),IF(R580="Lognormal",EXP(NORMINV(U576,S580,T580)),IF(R580="Gamma",_xlfn.GAMMA.INV(U576,S580,T580),IF(R580="Normal",_xlfn.NORM.INV(U576,S580,T580),0)))))</f>
        <v>0</v>
      </c>
    </row>
    <row r="581" spans="2:21" ht="15.6" x14ac:dyDescent="0.3">
      <c r="B581" s="151" t="s">
        <v>920</v>
      </c>
      <c r="C581" s="533"/>
      <c r="D581" s="533"/>
      <c r="E581" s="533"/>
      <c r="F581" s="699"/>
      <c r="G581" s="162"/>
      <c r="H581" s="162"/>
      <c r="I581" s="162"/>
      <c r="J581" s="291">
        <f ca="1">RAND()</f>
        <v>0.37752177935900932</v>
      </c>
      <c r="M581" s="151" t="s">
        <v>920</v>
      </c>
      <c r="N581" s="533"/>
      <c r="O581" s="533"/>
      <c r="P581" s="533"/>
      <c r="Q581" s="533"/>
      <c r="R581" s="141"/>
      <c r="S581" s="141"/>
      <c r="T581" s="141"/>
      <c r="U581" s="291">
        <f ca="1">RAND()</f>
        <v>0.96338479962194057</v>
      </c>
    </row>
    <row r="582" spans="2:21" x14ac:dyDescent="0.3">
      <c r="B582" s="31" t="s">
        <v>920</v>
      </c>
      <c r="C582" s="177">
        <f>'Cost input'!C509</f>
        <v>0</v>
      </c>
      <c r="D582" s="177">
        <f>'Cost input'!D509</f>
        <v>0</v>
      </c>
      <c r="E582" s="177">
        <f>'Cost input'!E509</f>
        <v>0</v>
      </c>
      <c r="F582" s="697">
        <f t="shared" si="366"/>
        <v>0</v>
      </c>
      <c r="G582" s="160" t="s">
        <v>575</v>
      </c>
      <c r="H582" s="162" t="e">
        <f t="shared" si="367"/>
        <v>#DIV/0!</v>
      </c>
      <c r="I582" s="162" t="e">
        <f t="shared" si="368"/>
        <v>#DIV/0!</v>
      </c>
      <c r="J582" s="70">
        <f t="shared" si="384"/>
        <v>0</v>
      </c>
      <c r="M582" s="31" t="s">
        <v>920</v>
      </c>
      <c r="N582" s="177">
        <f>'Cost input'!C537</f>
        <v>0</v>
      </c>
      <c r="O582" s="177">
        <f>'Cost input'!D537</f>
        <v>0</v>
      </c>
      <c r="P582" s="177">
        <f>'Cost input'!E537</f>
        <v>0</v>
      </c>
      <c r="Q582" s="156">
        <f t="shared" si="369"/>
        <v>0</v>
      </c>
      <c r="R582" s="160" t="s">
        <v>575</v>
      </c>
      <c r="S582" s="162" t="e">
        <f t="shared" si="370"/>
        <v>#DIV/0!</v>
      </c>
      <c r="T582" s="162" t="e">
        <f t="shared" si="371"/>
        <v>#DIV/0!</v>
      </c>
      <c r="U582" s="70">
        <f>IF(Q582=0,N582,IF(R582="Beta",_xlfn.BETA.INV(U581,S582,T582),IF(R582="Lognormal",EXP(NORMINV(U581,S582,T582)),IF(R582="Gamma",_xlfn.GAMMA.INV(U581,S582,T582),IF(R582="Normal",_xlfn.NORM.INV(U581,S582,T582),0)))))</f>
        <v>0</v>
      </c>
    </row>
    <row r="583" spans="2:21" x14ac:dyDescent="0.3">
      <c r="B583" s="31" t="s">
        <v>980</v>
      </c>
      <c r="C583" s="177">
        <f>'Cost input'!C510</f>
        <v>0</v>
      </c>
      <c r="D583" s="177">
        <f>'Cost input'!D510</f>
        <v>0</v>
      </c>
      <c r="E583" s="177">
        <f>'Cost input'!E510</f>
        <v>0</v>
      </c>
      <c r="F583" s="697">
        <f t="shared" si="366"/>
        <v>0</v>
      </c>
      <c r="G583" s="160" t="s">
        <v>575</v>
      </c>
      <c r="H583" s="162" t="e">
        <f t="shared" si="367"/>
        <v>#DIV/0!</v>
      </c>
      <c r="I583" s="162" t="e">
        <f t="shared" si="368"/>
        <v>#DIV/0!</v>
      </c>
      <c r="J583" s="70">
        <f t="shared" si="384"/>
        <v>0</v>
      </c>
      <c r="M583" s="31" t="s">
        <v>980</v>
      </c>
      <c r="N583" s="177">
        <f>'Cost input'!C538</f>
        <v>0</v>
      </c>
      <c r="O583" s="177">
        <f>'Cost input'!D538</f>
        <v>0</v>
      </c>
      <c r="P583" s="177">
        <f>'Cost input'!E538</f>
        <v>0</v>
      </c>
      <c r="Q583" s="156">
        <f t="shared" si="369"/>
        <v>0</v>
      </c>
      <c r="R583" s="160" t="s">
        <v>575</v>
      </c>
      <c r="S583" s="162" t="e">
        <f t="shared" si="370"/>
        <v>#DIV/0!</v>
      </c>
      <c r="T583" s="162" t="e">
        <f t="shared" si="371"/>
        <v>#DIV/0!</v>
      </c>
      <c r="U583" s="70">
        <f>IF(Q583=0,N583,IF(R583="Beta",_xlfn.BETA.INV(U581,S583,T583),IF(R583="Lognormal",EXP(NORMINV(U581,S583,T583)),IF(R583="Gamma",_xlfn.GAMMA.INV(U581,S583,T583),IF(R583="Normal",_xlfn.NORM.INV(U581,S583,T583),0)))))</f>
        <v>0</v>
      </c>
    </row>
    <row r="585" spans="2:21" x14ac:dyDescent="0.3">
      <c r="B585" s="175" t="s">
        <v>1411</v>
      </c>
      <c r="C585" s="84"/>
      <c r="D585" s="84"/>
      <c r="E585" s="84"/>
      <c r="F585" s="84"/>
      <c r="G585" s="84"/>
      <c r="H585" s="84"/>
      <c r="I585" s="84"/>
      <c r="J585" s="84"/>
    </row>
    <row r="586" spans="2:21" x14ac:dyDescent="0.3">
      <c r="B586" s="24" t="s">
        <v>1408</v>
      </c>
      <c r="C586" s="73"/>
      <c r="D586" s="73"/>
      <c r="E586" s="73"/>
      <c r="F586" s="73"/>
      <c r="G586" s="73"/>
      <c r="H586" s="73"/>
      <c r="I586" s="73"/>
      <c r="J586" s="73"/>
    </row>
    <row r="587" spans="2:21" x14ac:dyDescent="0.3">
      <c r="B587" s="159" t="s">
        <v>1</v>
      </c>
      <c r="C587" s="159" t="s">
        <v>567</v>
      </c>
      <c r="D587" s="159" t="s">
        <v>985</v>
      </c>
      <c r="E587" s="159" t="s">
        <v>986</v>
      </c>
      <c r="F587" s="73" t="s">
        <v>584</v>
      </c>
      <c r="G587" s="73" t="s">
        <v>569</v>
      </c>
      <c r="H587" s="73" t="s">
        <v>581</v>
      </c>
      <c r="I587" s="73" t="s">
        <v>582</v>
      </c>
      <c r="J587" s="73" t="s">
        <v>583</v>
      </c>
    </row>
    <row r="588" spans="2:21" x14ac:dyDescent="0.3">
      <c r="B588" s="150" t="s">
        <v>988</v>
      </c>
      <c r="C588" s="197"/>
      <c r="D588" s="197"/>
      <c r="E588" s="197"/>
      <c r="J588" s="291">
        <f ca="1">RAND()</f>
        <v>0.66786939643928955</v>
      </c>
    </row>
    <row r="589" spans="2:21" x14ac:dyDescent="0.3">
      <c r="B589" s="31" t="s">
        <v>1082</v>
      </c>
      <c r="C589" s="177">
        <f>'Cost input'!C547</f>
        <v>1.3</v>
      </c>
      <c r="D589" s="177">
        <f>'Cost input'!D547</f>
        <v>0.6</v>
      </c>
      <c r="E589" s="177">
        <f>'Cost input'!E547</f>
        <v>2.1</v>
      </c>
      <c r="F589" s="156">
        <f>(E589-D589)/(2*1.96)</f>
        <v>0.38265306122448978</v>
      </c>
      <c r="G589" s="160" t="s">
        <v>575</v>
      </c>
      <c r="H589" s="162">
        <f t="shared" ref="H589" si="385">IF(G589="Beta",C589*(C589*(1-C589)/(F589^2)-1),IF(G589="Lognormal",LN(C589^2/SQRT(F589^2+C589^2)),IF(G589="Gamma",C589^2/F589^2,IF(G589="Normal",C589,0))))</f>
        <v>11.541873777777781</v>
      </c>
      <c r="I589" s="162">
        <f t="shared" ref="I589" si="386">IF(G589="Beta",C589*(1-C589)/(F589^2)-1-H589,IF(G589="Lognormal",SQRT(LN(1+F589^2/C589^2)),IF(G589="Gamma",F589^2/C589,IF(G589="Normal",F589,0))))</f>
        <v>0.11263335789574855</v>
      </c>
      <c r="J589" s="70">
        <f ca="1">IF(F589=0,C589,IF(G589="Beta",_xlfn.BETA.INV(J588,H589,I589),IF(G589="Lognormal",EXP(NORMINV(J588,H589,I589)),IF(G589="Gamma",_xlfn.GAMMA.INV(J588,H589,I589),IF(G589="Normal",_xlfn.NORM.INV(J588,H589,I589),0)))))</f>
        <v>1.433060438691947</v>
      </c>
      <c r="K589">
        <f>(D589+C589)/2</f>
        <v>0.95</v>
      </c>
    </row>
    <row r="590" spans="2:21" x14ac:dyDescent="0.3">
      <c r="B590" s="31" t="s">
        <v>1083</v>
      </c>
      <c r="C590" s="177">
        <f>'Cost input'!C548</f>
        <v>1.3</v>
      </c>
      <c r="D590" s="177">
        <f>'Cost input'!D548</f>
        <v>0.6</v>
      </c>
      <c r="E590" s="177">
        <f>'Cost input'!E548</f>
        <v>2.1</v>
      </c>
      <c r="F590" s="156">
        <f t="shared" ref="F590:F611" si="387">(E590-D590)/(2*1.96)</f>
        <v>0.38265306122448978</v>
      </c>
      <c r="G590" s="160" t="s">
        <v>575</v>
      </c>
      <c r="H590" s="162">
        <f t="shared" ref="H590:H611" si="388">IF(G590="Beta",C590*(C590*(1-C590)/(F590^2)-1),IF(G590="Lognormal",LN(C590^2/SQRT(F590^2+C590^2)),IF(G590="Gamma",C590^2/F590^2,IF(G590="Normal",C590,0))))</f>
        <v>11.541873777777781</v>
      </c>
      <c r="I590" s="162">
        <f t="shared" ref="I590:I611" si="389">IF(G590="Beta",C590*(1-C590)/(F590^2)-1-H590,IF(G590="Lognormal",SQRT(LN(1+F590^2/C590^2)),IF(G590="Gamma",F590^2/C590,IF(G590="Normal",F590,0))))</f>
        <v>0.11263335789574855</v>
      </c>
      <c r="J590" s="70">
        <f ca="1">IF(F590=0,C590,IF(G590="Beta",_xlfn.BETA.INV(J588,H590,I590),IF(G590="Lognormal",EXP(NORMINV(J588,H590,I590)),IF(G590="Gamma",_xlfn.GAMMA.INV(J588,H590,I590),IF(G590="Normal",_xlfn.NORM.INV(J588,H590,I590),0)))))</f>
        <v>1.433060438691947</v>
      </c>
      <c r="K590" s="296">
        <f>_xlfn.GAMMA.INV(0.5,H590,I590)</f>
        <v>1.2626544482746571</v>
      </c>
    </row>
    <row r="591" spans="2:21" x14ac:dyDescent="0.3">
      <c r="B591" s="31" t="s">
        <v>1084</v>
      </c>
      <c r="C591" s="177">
        <f>'Cost input'!C549</f>
        <v>1.3</v>
      </c>
      <c r="D591" s="177">
        <f>'Cost input'!D549</f>
        <v>0.6</v>
      </c>
      <c r="E591" s="177">
        <f>'Cost input'!E549</f>
        <v>2.1</v>
      </c>
      <c r="F591" s="156">
        <f t="shared" si="387"/>
        <v>0.38265306122448978</v>
      </c>
      <c r="G591" s="160" t="s">
        <v>575</v>
      </c>
      <c r="H591" s="162">
        <f t="shared" si="388"/>
        <v>11.541873777777781</v>
      </c>
      <c r="I591" s="162">
        <f t="shared" si="389"/>
        <v>0.11263335789574855</v>
      </c>
      <c r="J591" s="70">
        <f ca="1">IF(F591=0,C591,IF(G591="Beta",_xlfn.BETA.INV(J588,H591,I591),IF(G591="Lognormal",EXP(NORMINV(J588,H591,I591)),IF(G591="Gamma",_xlfn.GAMMA.INV(J588,H591,I591),IF(G591="Normal",_xlfn.NORM.INV(J588,H591,I591),0)))))</f>
        <v>1.433060438691947</v>
      </c>
    </row>
    <row r="592" spans="2:21" x14ac:dyDescent="0.3">
      <c r="B592" s="31" t="s">
        <v>1085</v>
      </c>
      <c r="C592" s="177">
        <f>'Cost input'!C550</f>
        <v>0.8</v>
      </c>
      <c r="D592" s="177">
        <f>'Cost input'!D550</f>
        <v>0.3</v>
      </c>
      <c r="E592" s="177">
        <f>'Cost input'!E550</f>
        <v>1.6</v>
      </c>
      <c r="F592" s="156">
        <f t="shared" si="387"/>
        <v>0.33163265306122452</v>
      </c>
      <c r="G592" s="160" t="s">
        <v>575</v>
      </c>
      <c r="H592" s="162">
        <f t="shared" si="388"/>
        <v>5.8192284023668641</v>
      </c>
      <c r="I592" s="162">
        <f t="shared" si="389"/>
        <v>0.13747527072053312</v>
      </c>
      <c r="J592" s="70">
        <f ca="1">IF(F592=0,C592,IF(G592="Beta",_xlfn.BETA.INV(J588,H592,I592),IF(G592="Lognormal",EXP(NORMINV(J588,H592,I592)),IF(G592="Gamma",_xlfn.GAMMA.INV(J588,H592,I592),IF(G592="Normal",_xlfn.NORM.INV(J588,H592,I592),0)))))</f>
        <v>0.90247930260575837</v>
      </c>
    </row>
    <row r="593" spans="2:28" x14ac:dyDescent="0.3">
      <c r="B593" s="31" t="s">
        <v>1086</v>
      </c>
      <c r="C593" s="177">
        <f>'Cost input'!C551</f>
        <v>0.8</v>
      </c>
      <c r="D593" s="177">
        <f>'Cost input'!D551</f>
        <v>0.3</v>
      </c>
      <c r="E593" s="177">
        <f>'Cost input'!E551</f>
        <v>1.6</v>
      </c>
      <c r="F593" s="156">
        <f t="shared" si="387"/>
        <v>0.33163265306122452</v>
      </c>
      <c r="G593" s="160" t="s">
        <v>575</v>
      </c>
      <c r="H593" s="162">
        <f t="shared" si="388"/>
        <v>5.8192284023668641</v>
      </c>
      <c r="I593" s="162">
        <f t="shared" si="389"/>
        <v>0.13747527072053312</v>
      </c>
      <c r="J593" s="70">
        <f ca="1">IF(F593=0,C593,IF(G593="Beta",_xlfn.BETA.INV(J588,H593,I593),IF(G593="Lognormal",EXP(NORMINV(J588,H593,I593)),IF(G593="Gamma",_xlfn.GAMMA.INV(J588,H593,I593),IF(G593="Normal",_xlfn.NORM.INV(J588,H593,I593),0)))))</f>
        <v>0.90247930260575837</v>
      </c>
    </row>
    <row r="594" spans="2:28" x14ac:dyDescent="0.3">
      <c r="B594" s="31" t="s">
        <v>1087</v>
      </c>
      <c r="C594" s="177">
        <f>'Cost input'!C552</f>
        <v>0.8</v>
      </c>
      <c r="D594" s="177">
        <f>'Cost input'!D552</f>
        <v>0.3</v>
      </c>
      <c r="E594" s="177">
        <f>'Cost input'!E552</f>
        <v>1.6</v>
      </c>
      <c r="F594" s="156">
        <f t="shared" si="387"/>
        <v>0.33163265306122452</v>
      </c>
      <c r="G594" s="160" t="s">
        <v>575</v>
      </c>
      <c r="H594" s="162">
        <f t="shared" si="388"/>
        <v>5.8192284023668641</v>
      </c>
      <c r="I594" s="162">
        <f t="shared" si="389"/>
        <v>0.13747527072053312</v>
      </c>
      <c r="J594" s="70">
        <f ca="1">IF(F594=0,C594,IF(G594="Beta",_xlfn.BETA.INV(J588,H594,I594),IF(G594="Lognormal",EXP(NORMINV(J588,H594,I594)),IF(G594="Gamma",_xlfn.GAMMA.INV(J588,H594,I594),IF(G594="Normal",_xlfn.NORM.INV(J588,H594,I594),0)))))</f>
        <v>0.90247930260575837</v>
      </c>
    </row>
    <row r="595" spans="2:28" x14ac:dyDescent="0.3">
      <c r="B595" s="31" t="s">
        <v>1443</v>
      </c>
      <c r="C595" s="177">
        <f>'Cost input'!C553</f>
        <v>0.4</v>
      </c>
      <c r="D595" s="177">
        <f>'Cost input'!D553</f>
        <v>0.2</v>
      </c>
      <c r="E595" s="177">
        <f>'Cost input'!E553</f>
        <v>1.8</v>
      </c>
      <c r="F595" s="156">
        <f t="shared" si="387"/>
        <v>0.40816326530612246</v>
      </c>
      <c r="G595" s="160" t="s">
        <v>575</v>
      </c>
      <c r="H595" s="162">
        <f t="shared" si="388"/>
        <v>0.96040000000000014</v>
      </c>
      <c r="I595" s="162">
        <f t="shared" si="389"/>
        <v>0.41649312786339027</v>
      </c>
      <c r="J595" s="70">
        <f ca="1">IF(F595=0,C595,IF(G595="Beta",_xlfn.BETA.INV(J588,H595,I595),IF(G595="Lognormal",EXP(NORMINV(J588,H595,I595)),IF(G595="Gamma",_xlfn.GAMMA.INV(J588,H595,I595),IF(G595="Normal",_xlfn.NORM.INV(J588,H595,I595),0)))))</f>
        <v>0.43870546305620028</v>
      </c>
    </row>
    <row r="596" spans="2:28" x14ac:dyDescent="0.3">
      <c r="B596" s="150" t="s">
        <v>1444</v>
      </c>
      <c r="H596" s="141"/>
      <c r="I596" s="141"/>
      <c r="J596" s="291">
        <f ca="1">RAND()</f>
        <v>5.2718527040309326E-2</v>
      </c>
      <c r="L596" s="79" t="s">
        <v>679</v>
      </c>
    </row>
    <row r="597" spans="2:28" x14ac:dyDescent="0.3">
      <c r="B597" s="31" t="s">
        <v>1082</v>
      </c>
      <c r="C597" s="177">
        <f>'Cost input'!C555</f>
        <v>1.3</v>
      </c>
      <c r="D597" s="177">
        <f>'Cost input'!D555</f>
        <v>0.6</v>
      </c>
      <c r="E597" s="177">
        <f>'Cost input'!E555</f>
        <v>2.1</v>
      </c>
      <c r="F597" s="156">
        <f>(E597-D597)/(2*1.96)</f>
        <v>0.38265306122448978</v>
      </c>
      <c r="G597" s="160" t="s">
        <v>575</v>
      </c>
      <c r="H597" s="162">
        <f t="shared" ref="H597:H603" si="390">IF(G597="Beta",C597*(C597*(1-C597)/(F597^2)-1),IF(G597="Lognormal",LN(C597^2/SQRT(F597^2+C597^2)),IF(G597="Gamma",C597^2/F597^2,IF(G597="Normal",C597,0))))</f>
        <v>11.541873777777781</v>
      </c>
      <c r="I597" s="162">
        <f t="shared" ref="I597:I603" si="391">IF(G597="Beta",C597*(1-C597)/(F597^2)-1-H597,IF(G597="Lognormal",SQRT(LN(1+F597^2/C597^2)),IF(G597="Gamma",F597^2/C597,IF(G597="Normal",F597,0))))</f>
        <v>0.11263335789574855</v>
      </c>
      <c r="J597" s="70">
        <f ca="1">IF(F597=0,C597,IF(G597="Beta",_xlfn.BETA.INV(J596,H597,I597),IF(G597="Lognormal",EXP(NORMINV(J596,H597,I597)),IF(G597="Gamma",_xlfn.GAMMA.INV(J596,H597,I597),IF(G597="Normal",_xlfn.NORM.INV(J596,H597,I597),0)))))</f>
        <v>0.74754125837767016</v>
      </c>
    </row>
    <row r="598" spans="2:28" x14ac:dyDescent="0.3">
      <c r="B598" s="31" t="s">
        <v>1083</v>
      </c>
      <c r="C598" s="177">
        <f>'Cost input'!C556</f>
        <v>1.3</v>
      </c>
      <c r="D598" s="177">
        <f>'Cost input'!D556</f>
        <v>0.6</v>
      </c>
      <c r="E598" s="177">
        <f>'Cost input'!E556</f>
        <v>2.1</v>
      </c>
      <c r="F598" s="156">
        <f t="shared" ref="F598:F603" si="392">(E598-D598)/(2*1.96)</f>
        <v>0.38265306122448978</v>
      </c>
      <c r="G598" s="160" t="s">
        <v>575</v>
      </c>
      <c r="H598" s="162">
        <f t="shared" si="390"/>
        <v>11.541873777777781</v>
      </c>
      <c r="I598" s="162">
        <f t="shared" si="391"/>
        <v>0.11263335789574855</v>
      </c>
      <c r="J598" s="70">
        <f ca="1">IF(F598=0,C598,IF(G598="Beta",_xlfn.BETA.INV(J596,H598,I598),IF(G598="Lognormal",EXP(NORMINV(J596,H598,I598)),IF(G598="Gamma",_xlfn.GAMMA.INV(J596,H598,I598),IF(G598="Normal",_xlfn.NORM.INV(J596,H598,I598),0)))))</f>
        <v>0.74754125837767016</v>
      </c>
    </row>
    <row r="599" spans="2:28" x14ac:dyDescent="0.3">
      <c r="B599" s="31" t="s">
        <v>1084</v>
      </c>
      <c r="C599" s="177">
        <f>'Cost input'!C557</f>
        <v>1.3</v>
      </c>
      <c r="D599" s="177">
        <f>'Cost input'!D557</f>
        <v>0.6</v>
      </c>
      <c r="E599" s="177">
        <f>'Cost input'!E557</f>
        <v>2.1</v>
      </c>
      <c r="F599" s="156">
        <f t="shared" si="392"/>
        <v>0.38265306122448978</v>
      </c>
      <c r="G599" s="160" t="s">
        <v>575</v>
      </c>
      <c r="H599" s="162">
        <f t="shared" si="390"/>
        <v>11.541873777777781</v>
      </c>
      <c r="I599" s="162">
        <f t="shared" si="391"/>
        <v>0.11263335789574855</v>
      </c>
      <c r="J599" s="70">
        <f ca="1">IF(F599=0,C599,IF(G599="Beta",_xlfn.BETA.INV(J596,H599,I599),IF(G599="Lognormal",EXP(NORMINV(J596,H599,I599)),IF(G599="Gamma",_xlfn.GAMMA.INV(J596,H599,I599),IF(G599="Normal",_xlfn.NORM.INV(J596,H599,I599),0)))))</f>
        <v>0.74754125837767016</v>
      </c>
    </row>
    <row r="600" spans="2:28" x14ac:dyDescent="0.3">
      <c r="B600" s="31" t="s">
        <v>1085</v>
      </c>
      <c r="C600" s="177">
        <f>'Cost input'!C558</f>
        <v>0.9</v>
      </c>
      <c r="D600" s="177">
        <f>'Cost input'!D558</f>
        <v>0.4</v>
      </c>
      <c r="E600" s="177">
        <f>'Cost input'!E558</f>
        <v>1.8</v>
      </c>
      <c r="F600" s="156">
        <f t="shared" si="392"/>
        <v>0.35714285714285715</v>
      </c>
      <c r="G600" s="160" t="s">
        <v>575</v>
      </c>
      <c r="H600" s="162">
        <f t="shared" si="390"/>
        <v>6.3504000000000005</v>
      </c>
      <c r="I600" s="162">
        <f t="shared" si="391"/>
        <v>0.14172335600907029</v>
      </c>
      <c r="J600" s="70">
        <f ca="1">IF(F600=0,C600,IF(G600="Beta",_xlfn.BETA.INV(J596,H600,I600),IF(G600="Lognormal",EXP(NORMINV(J596,H600,I600)),IF(G600="Gamma",_xlfn.GAMMA.INV(J596,H600,I600),IF(G600="Normal",_xlfn.NORM.INV(J596,H600,I600),0)))))</f>
        <v>0.40863478274872916</v>
      </c>
      <c r="AB600" s="67"/>
    </row>
    <row r="601" spans="2:28" x14ac:dyDescent="0.3">
      <c r="B601" s="31" t="s">
        <v>1086</v>
      </c>
      <c r="C601" s="177">
        <f>'Cost input'!C559</f>
        <v>0.9</v>
      </c>
      <c r="D601" s="177">
        <f>'Cost input'!D559</f>
        <v>0.4</v>
      </c>
      <c r="E601" s="177">
        <f>'Cost input'!E559</f>
        <v>1.8</v>
      </c>
      <c r="F601" s="156">
        <f t="shared" si="392"/>
        <v>0.35714285714285715</v>
      </c>
      <c r="G601" s="160" t="s">
        <v>575</v>
      </c>
      <c r="H601" s="162">
        <f t="shared" si="390"/>
        <v>6.3504000000000005</v>
      </c>
      <c r="I601" s="162">
        <f t="shared" si="391"/>
        <v>0.14172335600907029</v>
      </c>
      <c r="J601" s="70">
        <f ca="1">IF(F601=0,C601,IF(G601="Beta",_xlfn.BETA.INV(J596,H601,I601),IF(G601="Lognormal",EXP(NORMINV(J596,H601,I601)),IF(G601="Gamma",_xlfn.GAMMA.INV(J596,H601,I601),IF(G601="Normal",_xlfn.NORM.INV(J596,H601,I601),0)))))</f>
        <v>0.40863478274872916</v>
      </c>
    </row>
    <row r="602" spans="2:28" x14ac:dyDescent="0.3">
      <c r="B602" s="31" t="s">
        <v>1087</v>
      </c>
      <c r="C602" s="177">
        <f>'Cost input'!C560</f>
        <v>0.9</v>
      </c>
      <c r="D602" s="177">
        <f>'Cost input'!D560</f>
        <v>0.4</v>
      </c>
      <c r="E602" s="177">
        <f>'Cost input'!E560</f>
        <v>1.8</v>
      </c>
      <c r="F602" s="156">
        <f t="shared" si="392"/>
        <v>0.35714285714285715</v>
      </c>
      <c r="G602" s="160" t="s">
        <v>575</v>
      </c>
      <c r="H602" s="162">
        <f t="shared" si="390"/>
        <v>6.3504000000000005</v>
      </c>
      <c r="I602" s="162">
        <f t="shared" si="391"/>
        <v>0.14172335600907029</v>
      </c>
      <c r="J602" s="70">
        <f ca="1">IF(F602=0,C602,IF(G602="Beta",_xlfn.BETA.INV(J596,H602,I602),IF(G602="Lognormal",EXP(NORMINV(J596,H602,I602)),IF(G602="Gamma",_xlfn.GAMMA.INV(J596,H602,I602),IF(G602="Normal",_xlfn.NORM.INV(J596,H602,I602),0)))))</f>
        <v>0.40863478274872916</v>
      </c>
    </row>
    <row r="603" spans="2:28" x14ac:dyDescent="0.3">
      <c r="B603" s="31" t="s">
        <v>1443</v>
      </c>
      <c r="C603" s="177">
        <f>'Cost input'!C561</f>
        <v>0.4</v>
      </c>
      <c r="D603" s="177">
        <f>'Cost input'!D561</f>
        <v>0.2</v>
      </c>
      <c r="E603" s="177">
        <f>'Cost input'!E561</f>
        <v>1.8</v>
      </c>
      <c r="F603" s="156">
        <f t="shared" si="392"/>
        <v>0.40816326530612246</v>
      </c>
      <c r="G603" s="160" t="s">
        <v>575</v>
      </c>
      <c r="H603" s="162">
        <f t="shared" si="390"/>
        <v>0.96040000000000014</v>
      </c>
      <c r="I603" s="162">
        <f t="shared" si="391"/>
        <v>0.41649312786339027</v>
      </c>
      <c r="J603" s="70">
        <f ca="1">IF(F603=0,C603,IF(G603="Beta",_xlfn.BETA.INV(J596,H603,I603),IF(G603="Lognormal",EXP(NORMINV(J596,H603,I603)),IF(G603="Gamma",_xlfn.GAMMA.INV(J596,H603,I603),IF(G603="Normal",_xlfn.NORM.INV(J596,H603,I603),0)))))</f>
        <v>1.958432039912205E-2</v>
      </c>
      <c r="K603" s="149">
        <f t="shared" ref="K603" ca="1" si="393">J603*100000</f>
        <v>1958.432039912205</v>
      </c>
    </row>
    <row r="604" spans="2:28" x14ac:dyDescent="0.3">
      <c r="B604" s="151" t="s">
        <v>227</v>
      </c>
      <c r="H604" s="162"/>
      <c r="I604" s="162"/>
      <c r="J604" s="291">
        <f ca="1">RAND()</f>
        <v>0.15680279553220489</v>
      </c>
    </row>
    <row r="605" spans="2:28" x14ac:dyDescent="0.3">
      <c r="B605" s="31" t="s">
        <v>1437</v>
      </c>
      <c r="C605" s="177">
        <f>'Cost input'!C563</f>
        <v>1</v>
      </c>
      <c r="D605" s="177">
        <f>'Cost input'!D563</f>
        <v>0.6</v>
      </c>
      <c r="E605" s="177">
        <f>'Cost input'!E563</f>
        <v>2</v>
      </c>
      <c r="F605" s="156">
        <f t="shared" ref="F605:F606" si="394">(E605-D605)/(2*1.96)</f>
        <v>0.35714285714285715</v>
      </c>
      <c r="G605" s="160" t="s">
        <v>575</v>
      </c>
      <c r="H605" s="162">
        <f t="shared" ref="H605:H606" si="395">IF(G605="Beta",C605*(C605*(1-C605)/(F605^2)-1),IF(G605="Lognormal",LN(C605^2/SQRT(F605^2+C605^2)),IF(G605="Gamma",C605^2/F605^2,IF(G605="Normal",C605,0))))</f>
        <v>7.84</v>
      </c>
      <c r="I605" s="162">
        <f t="shared" ref="I605:I606" si="396">IF(G605="Beta",C605*(1-C605)/(F605^2)-1-H605,IF(G605="Lognormal",SQRT(LN(1+F605^2/C605^2)),IF(G605="Gamma",F605^2/C605,IF(G605="Normal",F605,0))))</f>
        <v>0.12755102040816327</v>
      </c>
      <c r="J605" s="70">
        <f ca="1">IF(F605=0,C605,IF(G605="Beta",_xlfn.BETA.INV(J$293,H605,I605),IF(G605="Lognormal",EXP(NORMINV(J$293,H605,I605)),IF(G605="Gamma",_xlfn.GAMMA.INV(J$293,H605,I605),IF(G605="Normal",_xlfn.NORM.INV(J$293,H605,I605),0)))))</f>
        <v>1.6965701687681196</v>
      </c>
    </row>
    <row r="606" spans="2:28" x14ac:dyDescent="0.3">
      <c r="B606" s="31" t="s">
        <v>1438</v>
      </c>
      <c r="C606" s="177">
        <f>'Cost input'!C564</f>
        <v>1</v>
      </c>
      <c r="D606" s="177">
        <f>'Cost input'!D564</f>
        <v>0.6</v>
      </c>
      <c r="E606" s="177">
        <f>'Cost input'!E564</f>
        <v>2</v>
      </c>
      <c r="F606" s="156">
        <f t="shared" si="394"/>
        <v>0.35714285714285715</v>
      </c>
      <c r="G606" s="160" t="s">
        <v>575</v>
      </c>
      <c r="H606" s="162">
        <f t="shared" si="395"/>
        <v>7.84</v>
      </c>
      <c r="I606" s="162">
        <f t="shared" si="396"/>
        <v>0.12755102040816327</v>
      </c>
      <c r="J606" s="70">
        <f ca="1">IF(F606=0,C606,IF(G606="Beta",_xlfn.BETA.INV(J$293,H606,I606),IF(G606="Lognormal",EXP(NORMINV(J$293,H606,I606)),IF(G606="Gamma",_xlfn.GAMMA.INV(J$293,H606,I606),IF(G606="Normal",_xlfn.NORM.INV(J$293,H606,I606),0)))))</f>
        <v>1.6965701687681196</v>
      </c>
    </row>
    <row r="607" spans="2:28" x14ac:dyDescent="0.3">
      <c r="B607" s="31" t="s">
        <v>1441</v>
      </c>
      <c r="C607" s="177">
        <f>'Cost input'!C565</f>
        <v>1.3</v>
      </c>
      <c r="D607" s="177">
        <f>'Cost input'!D565</f>
        <v>0.7</v>
      </c>
      <c r="E607" s="177">
        <f>'Cost input'!E565</f>
        <v>2.2999999999999998</v>
      </c>
      <c r="F607" s="156">
        <f t="shared" si="387"/>
        <v>0.4081632653061224</v>
      </c>
      <c r="G607" s="160" t="s">
        <v>575</v>
      </c>
      <c r="H607" s="162">
        <f t="shared" si="388"/>
        <v>10.144225000000004</v>
      </c>
      <c r="I607" s="162">
        <f t="shared" si="389"/>
        <v>0.12815173165027388</v>
      </c>
      <c r="J607" s="70">
        <f t="shared" ref="J607:J611" ca="1" si="397">IF(F607=0,C607,IF(G607="Beta",_xlfn.BETA.INV(J$293,H607,I607),IF(G607="Lognormal",EXP(NORMINV(J$293,H607,I607)),IF(G607="Gamma",_xlfn.GAMMA.INV(J$293,H607,I607),IF(G607="Normal",_xlfn.NORM.INV(J$293,H607,I607),0)))))</f>
        <v>2.0867150512672805</v>
      </c>
    </row>
    <row r="608" spans="2:28" x14ac:dyDescent="0.3">
      <c r="B608" s="31" t="s">
        <v>1442</v>
      </c>
      <c r="C608" s="177">
        <f>'Cost input'!C566</f>
        <v>1.3</v>
      </c>
      <c r="D608" s="177">
        <f>'Cost input'!D566</f>
        <v>0.7</v>
      </c>
      <c r="E608" s="177">
        <f>'Cost input'!E566</f>
        <v>2.2999999999999998</v>
      </c>
      <c r="F608" s="156">
        <f t="shared" si="387"/>
        <v>0.4081632653061224</v>
      </c>
      <c r="G608" s="160" t="s">
        <v>575</v>
      </c>
      <c r="H608" s="162">
        <f t="shared" si="388"/>
        <v>10.144225000000004</v>
      </c>
      <c r="I608" s="162">
        <f t="shared" si="389"/>
        <v>0.12815173165027388</v>
      </c>
      <c r="J608" s="70">
        <f t="shared" ca="1" si="397"/>
        <v>2.0867150512672805</v>
      </c>
    </row>
    <row r="609" spans="2:12" x14ac:dyDescent="0.3">
      <c r="B609" s="151" t="s">
        <v>920</v>
      </c>
      <c r="C609" s="162"/>
      <c r="D609" s="162"/>
      <c r="E609" s="162"/>
      <c r="F609" s="162"/>
      <c r="G609" s="162"/>
      <c r="H609" s="162"/>
      <c r="I609" s="162"/>
      <c r="J609" s="291">
        <f ca="1">RAND()</f>
        <v>0.46297882302962701</v>
      </c>
    </row>
    <row r="610" spans="2:12" x14ac:dyDescent="0.3">
      <c r="B610" s="31" t="s">
        <v>920</v>
      </c>
      <c r="C610" s="177">
        <f>'Cost input'!C568</f>
        <v>0.8</v>
      </c>
      <c r="D610" s="177">
        <f>'Cost input'!D568</f>
        <v>0.3</v>
      </c>
      <c r="E610" s="177">
        <f>'Cost input'!E568</f>
        <v>1.6</v>
      </c>
      <c r="F610" s="156">
        <f t="shared" si="387"/>
        <v>0.33163265306122452</v>
      </c>
      <c r="G610" s="160" t="s">
        <v>575</v>
      </c>
      <c r="H610" s="162">
        <f t="shared" si="388"/>
        <v>5.8192284023668641</v>
      </c>
      <c r="I610" s="162">
        <f t="shared" si="389"/>
        <v>0.13747527072053312</v>
      </c>
      <c r="J610" s="70">
        <f t="shared" ca="1" si="397"/>
        <v>1.4565001327294849</v>
      </c>
    </row>
    <row r="611" spans="2:12" x14ac:dyDescent="0.3">
      <c r="B611" s="31" t="s">
        <v>980</v>
      </c>
      <c r="C611" s="177">
        <f>'Cost input'!C569</f>
        <v>0.8</v>
      </c>
      <c r="D611" s="177">
        <f>'Cost input'!D569</f>
        <v>0.3</v>
      </c>
      <c r="E611" s="177">
        <f>'Cost input'!E569</f>
        <v>1.6</v>
      </c>
      <c r="F611" s="156">
        <f t="shared" si="387"/>
        <v>0.33163265306122452</v>
      </c>
      <c r="G611" s="160" t="s">
        <v>575</v>
      </c>
      <c r="H611" s="162">
        <f t="shared" si="388"/>
        <v>5.8192284023668641</v>
      </c>
      <c r="I611" s="162">
        <f t="shared" si="389"/>
        <v>0.13747527072053312</v>
      </c>
      <c r="J611" s="70">
        <f t="shared" ca="1" si="397"/>
        <v>1.4565001327294849</v>
      </c>
    </row>
    <row r="613" spans="2:12" x14ac:dyDescent="0.3">
      <c r="B613" s="175" t="s">
        <v>1406</v>
      </c>
      <c r="C613" s="84"/>
      <c r="D613" s="84"/>
      <c r="E613" s="84"/>
      <c r="F613" s="84"/>
      <c r="G613" s="84"/>
      <c r="H613" s="84"/>
      <c r="I613" s="84"/>
      <c r="J613" s="84"/>
    </row>
    <row r="614" spans="2:12" x14ac:dyDescent="0.3">
      <c r="B614" s="24" t="s">
        <v>1371</v>
      </c>
      <c r="C614" s="73"/>
      <c r="D614" s="73"/>
      <c r="E614" s="73"/>
      <c r="F614" s="73"/>
      <c r="G614" s="73"/>
      <c r="H614" s="73"/>
      <c r="I614" s="73"/>
      <c r="J614" s="73"/>
    </row>
    <row r="615" spans="2:12" x14ac:dyDescent="0.3">
      <c r="B615" s="159" t="s">
        <v>1</v>
      </c>
      <c r="C615" s="159" t="s">
        <v>567</v>
      </c>
      <c r="D615" s="159" t="s">
        <v>985</v>
      </c>
      <c r="E615" s="159" t="s">
        <v>986</v>
      </c>
      <c r="F615" s="73" t="s">
        <v>584</v>
      </c>
      <c r="G615" s="73" t="s">
        <v>569</v>
      </c>
      <c r="H615" s="73" t="s">
        <v>581</v>
      </c>
      <c r="I615" s="73" t="s">
        <v>582</v>
      </c>
      <c r="J615" s="73" t="s">
        <v>583</v>
      </c>
    </row>
    <row r="616" spans="2:12" x14ac:dyDescent="0.3">
      <c r="B616" s="150" t="s">
        <v>988</v>
      </c>
      <c r="C616" s="197"/>
      <c r="D616" s="197"/>
      <c r="E616" s="197"/>
      <c r="J616" s="291">
        <f ca="1">RAND()</f>
        <v>0.80236487294433512</v>
      </c>
    </row>
    <row r="617" spans="2:12" x14ac:dyDescent="0.3">
      <c r="B617" s="31" t="s">
        <v>1082</v>
      </c>
      <c r="C617" s="177">
        <f>'Cost input'!C578</f>
        <v>1.4</v>
      </c>
      <c r="D617" s="177">
        <f>'Cost input'!D578</f>
        <v>0.8</v>
      </c>
      <c r="E617" s="177">
        <f>'Cost input'!E578</f>
        <v>2.7</v>
      </c>
      <c r="F617" s="156">
        <f>(E617-D617)/(2*1.96)</f>
        <v>0.48469387755102045</v>
      </c>
      <c r="G617" s="160" t="s">
        <v>575</v>
      </c>
      <c r="H617" s="162">
        <f t="shared" ref="H617:H623" si="398">IF(G617="Beta",C617*(C617*(1-C617)/(F617^2)-1),IF(G617="Lognormal",LN(C617^2/SQRT(F617^2+C617^2)),IF(G617="Gamma",C617^2/F617^2,IF(G617="Normal",C617,0))))</f>
        <v>8.3429761772853155</v>
      </c>
      <c r="I617" s="162">
        <f t="shared" ref="I617:I623" si="399">IF(G617="Beta",C617*(1-C617)/(F617^2)-1-H617,IF(G617="Lognormal",SQRT(LN(1+F617^2/C617^2)),IF(G617="Gamma",F617^2/C617,IF(G617="Normal",F617,0))))</f>
        <v>0.16780582495388829</v>
      </c>
      <c r="J617" s="70">
        <f ca="1">IF(F617=0,C617,IF(G617="Beta",_xlfn.BETA.INV(J616,H617,I617),IF(G617="Lognormal",EXP(NORMINV(J616,H617,I617)),IF(G617="Gamma",_xlfn.GAMMA.INV(J616,H617,I617),IF(G617="Normal",_xlfn.NORM.INV(J616,H617,I617),0)))))</f>
        <v>1.788119332948495</v>
      </c>
      <c r="K617">
        <f>(D617+C617)/2</f>
        <v>1.1000000000000001</v>
      </c>
    </row>
    <row r="618" spans="2:12" x14ac:dyDescent="0.3">
      <c r="B618" s="31" t="s">
        <v>1083</v>
      </c>
      <c r="C618" s="177">
        <f>'Cost input'!C579</f>
        <v>1.4</v>
      </c>
      <c r="D618" s="177">
        <f>'Cost input'!D579</f>
        <v>0.8</v>
      </c>
      <c r="E618" s="177">
        <f>'Cost input'!E579</f>
        <v>2.7</v>
      </c>
      <c r="F618" s="156">
        <f t="shared" ref="F618:F623" si="400">(E618-D618)/(2*1.96)</f>
        <v>0.48469387755102045</v>
      </c>
      <c r="G618" s="160" t="s">
        <v>575</v>
      </c>
      <c r="H618" s="162">
        <f t="shared" si="398"/>
        <v>8.3429761772853155</v>
      </c>
      <c r="I618" s="162">
        <f t="shared" si="399"/>
        <v>0.16780582495388829</v>
      </c>
      <c r="J618" s="70">
        <f ca="1">IF(F618=0,C618,IF(G618="Beta",_xlfn.BETA.INV(J616,H618,I618),IF(G618="Lognormal",EXP(NORMINV(J616,H618,I618)),IF(G618="Gamma",_xlfn.GAMMA.INV(J616,H618,I618),IF(G618="Normal",_xlfn.NORM.INV(J616,H618,I618),0)))))</f>
        <v>1.788119332948495</v>
      </c>
      <c r="K618" s="296">
        <f>_xlfn.GAMMA.INV(0.5,H618,I618)</f>
        <v>1.344479556906407</v>
      </c>
    </row>
    <row r="619" spans="2:12" x14ac:dyDescent="0.3">
      <c r="B619" s="31" t="s">
        <v>1084</v>
      </c>
      <c r="C619" s="177">
        <f>'Cost input'!C580</f>
        <v>1.4</v>
      </c>
      <c r="D619" s="177">
        <f>'Cost input'!D580</f>
        <v>0.8</v>
      </c>
      <c r="E619" s="177">
        <f>'Cost input'!E580</f>
        <v>2.7</v>
      </c>
      <c r="F619" s="156">
        <f t="shared" si="400"/>
        <v>0.48469387755102045</v>
      </c>
      <c r="G619" s="160" t="s">
        <v>575</v>
      </c>
      <c r="H619" s="162">
        <f t="shared" si="398"/>
        <v>8.3429761772853155</v>
      </c>
      <c r="I619" s="162">
        <f t="shared" si="399"/>
        <v>0.16780582495388829</v>
      </c>
      <c r="J619" s="70">
        <f ca="1">IF(F619=0,C619,IF(G619="Beta",_xlfn.BETA.INV(J616,H619,I619),IF(G619="Lognormal",EXP(NORMINV(J616,H619,I619)),IF(G619="Gamma",_xlfn.GAMMA.INV(J616,H619,I619),IF(G619="Normal",_xlfn.NORM.INV(J616,H619,I619),0)))))</f>
        <v>1.788119332948495</v>
      </c>
    </row>
    <row r="620" spans="2:12" x14ac:dyDescent="0.3">
      <c r="B620" s="31" t="s">
        <v>1085</v>
      </c>
      <c r="C620" s="177">
        <f>'Cost input'!C581</f>
        <v>0.9</v>
      </c>
      <c r="D620" s="177">
        <f>'Cost input'!D581</f>
        <v>0.5</v>
      </c>
      <c r="E620" s="177">
        <f>'Cost input'!E581</f>
        <v>1.9</v>
      </c>
      <c r="F620" s="156">
        <f t="shared" si="400"/>
        <v>0.35714285714285715</v>
      </c>
      <c r="G620" s="160" t="s">
        <v>575</v>
      </c>
      <c r="H620" s="162">
        <f t="shared" si="398"/>
        <v>6.3504000000000005</v>
      </c>
      <c r="I620" s="162">
        <f t="shared" si="399"/>
        <v>0.14172335600907029</v>
      </c>
      <c r="J620" s="70">
        <f ca="1">IF(F620=0,C620,IF(G620="Beta",_xlfn.BETA.INV(J616,H620,I620),IF(G620="Lognormal",EXP(NORMINV(J616,H620,I620)),IF(G620="Gamma",_xlfn.GAMMA.INV(J616,H620,I620),IF(G620="Normal",_xlfn.NORM.INV(J616,H620,I620),0)))))</f>
        <v>1.182395412399617</v>
      </c>
    </row>
    <row r="621" spans="2:12" x14ac:dyDescent="0.3">
      <c r="B621" s="31" t="s">
        <v>1086</v>
      </c>
      <c r="C621" s="177">
        <f>'Cost input'!C582</f>
        <v>0.9</v>
      </c>
      <c r="D621" s="177">
        <f>'Cost input'!D582</f>
        <v>0.5</v>
      </c>
      <c r="E621" s="177">
        <f>'Cost input'!E582</f>
        <v>1.9</v>
      </c>
      <c r="F621" s="156">
        <f t="shared" si="400"/>
        <v>0.35714285714285715</v>
      </c>
      <c r="G621" s="160" t="s">
        <v>575</v>
      </c>
      <c r="H621" s="162">
        <f t="shared" si="398"/>
        <v>6.3504000000000005</v>
      </c>
      <c r="I621" s="162">
        <f t="shared" si="399"/>
        <v>0.14172335600907029</v>
      </c>
      <c r="J621" s="70">
        <f ca="1">IF(F621=0,C621,IF(G621="Beta",_xlfn.BETA.INV(J616,H621,I621),IF(G621="Lognormal",EXP(NORMINV(J616,H621,I621)),IF(G621="Gamma",_xlfn.GAMMA.INV(J616,H621,I621),IF(G621="Normal",_xlfn.NORM.INV(J616,H621,I621),0)))))</f>
        <v>1.182395412399617</v>
      </c>
    </row>
    <row r="622" spans="2:12" x14ac:dyDescent="0.3">
      <c r="B622" s="31" t="s">
        <v>1087</v>
      </c>
      <c r="C622" s="177">
        <f>'Cost input'!C583</f>
        <v>0.9</v>
      </c>
      <c r="D622" s="177">
        <f>'Cost input'!D583</f>
        <v>0.5</v>
      </c>
      <c r="E622" s="177">
        <f>'Cost input'!E583</f>
        <v>1.9</v>
      </c>
      <c r="F622" s="156">
        <f t="shared" si="400"/>
        <v>0.35714285714285715</v>
      </c>
      <c r="G622" s="160" t="s">
        <v>575</v>
      </c>
      <c r="H622" s="162">
        <f t="shared" si="398"/>
        <v>6.3504000000000005</v>
      </c>
      <c r="I622" s="162">
        <f t="shared" si="399"/>
        <v>0.14172335600907029</v>
      </c>
      <c r="J622" s="70">
        <f ca="1">IF(F622=0,C622,IF(G622="Beta",_xlfn.BETA.INV(J616,H622,I622),IF(G622="Lognormal",EXP(NORMINV(J616,H622,I622)),IF(G622="Gamma",_xlfn.GAMMA.INV(J616,H622,I622),IF(G622="Normal",_xlfn.NORM.INV(J616,H622,I622),0)))))</f>
        <v>1.182395412399617</v>
      </c>
    </row>
    <row r="623" spans="2:12" x14ac:dyDescent="0.3">
      <c r="B623" s="31" t="s">
        <v>1443</v>
      </c>
      <c r="C623" s="177">
        <f>'Cost input'!C584</f>
        <v>0.5</v>
      </c>
      <c r="D623" s="177">
        <f>'Cost input'!D584</f>
        <v>0.2</v>
      </c>
      <c r="E623" s="177">
        <f>'Cost input'!E584</f>
        <v>0.8</v>
      </c>
      <c r="F623" s="156">
        <f t="shared" si="400"/>
        <v>0.15306122448979595</v>
      </c>
      <c r="G623" s="160" t="s">
        <v>575</v>
      </c>
      <c r="H623" s="162">
        <f t="shared" si="398"/>
        <v>10.671111111111106</v>
      </c>
      <c r="I623" s="162">
        <f t="shared" si="399"/>
        <v>4.6855476884631424E-2</v>
      </c>
      <c r="J623" s="70">
        <f ca="1">IF(F623=0,C623,IF(G623="Beta",_xlfn.BETA.INV(J616,H623,I623),IF(G623="Lognormal",EXP(NORMINV(J616,H623,I623)),IF(G623="Gamma",_xlfn.GAMMA.INV(J616,H623,I623),IF(G623="Normal",_xlfn.NORM.INV(J616,H623,I623),0)))))</f>
        <v>0.6237048454832399</v>
      </c>
    </row>
    <row r="624" spans="2:12" x14ac:dyDescent="0.3">
      <c r="B624" s="150" t="s">
        <v>1444</v>
      </c>
      <c r="C624" s="197"/>
      <c r="G624" s="141"/>
      <c r="H624" s="141"/>
      <c r="I624" s="141"/>
      <c r="J624" s="291">
        <f ca="1">RAND()</f>
        <v>0.49943850912430576</v>
      </c>
      <c r="L624" s="79" t="s">
        <v>679</v>
      </c>
    </row>
    <row r="625" spans="2:28" x14ac:dyDescent="0.3">
      <c r="B625" s="31" t="s">
        <v>1082</v>
      </c>
      <c r="C625" s="177">
        <f>'Cost input'!C586</f>
        <v>1.4</v>
      </c>
      <c r="D625" s="177">
        <f>'Cost input'!D586</f>
        <v>0.8</v>
      </c>
      <c r="E625" s="177">
        <f>'Cost input'!E586</f>
        <v>2.7</v>
      </c>
      <c r="F625" s="156">
        <f>(E625-D625)/(2*1.96)</f>
        <v>0.48469387755102045</v>
      </c>
      <c r="G625" s="160" t="s">
        <v>575</v>
      </c>
      <c r="H625" s="162">
        <f t="shared" ref="H625:H631" si="401">IF(G625="Beta",C625*(C625*(1-C625)/(F625^2)-1),IF(G625="Lognormal",LN(C625^2/SQRT(F625^2+C625^2)),IF(G625="Gamma",C625^2/F625^2,IF(G625="Normal",C625,0))))</f>
        <v>8.3429761772853155</v>
      </c>
      <c r="I625" s="162">
        <f t="shared" ref="I625:I631" si="402">IF(G625="Beta",C625*(1-C625)/(F625^2)-1-H625,IF(G625="Lognormal",SQRT(LN(1+F625^2/C625^2)),IF(G625="Gamma",F625^2/C625,IF(G625="Normal",F625,0))))</f>
        <v>0.16780582495388829</v>
      </c>
      <c r="J625" s="70">
        <f ca="1">IF(F625=0,C625,IF(G625="Beta",_xlfn.BETA.INV(J624,H625,I625),IF(G625="Lognormal",EXP(NORMINV(J624,H625,I625)),IF(G625="Gamma",_xlfn.GAMMA.INV(J624,H625,I625),IF(G625="Normal",_xlfn.NORM.INV(J624,H625,I625),0)))))</f>
        <v>1.343813491011711</v>
      </c>
      <c r="K625" s="149"/>
    </row>
    <row r="626" spans="2:28" x14ac:dyDescent="0.3">
      <c r="B626" s="31" t="s">
        <v>1083</v>
      </c>
      <c r="C626" s="177">
        <f>'Cost input'!C587</f>
        <v>1.4</v>
      </c>
      <c r="D626" s="177">
        <f>'Cost input'!D587</f>
        <v>0.8</v>
      </c>
      <c r="E626" s="177">
        <f>'Cost input'!E587</f>
        <v>2.7</v>
      </c>
      <c r="F626" s="156">
        <f t="shared" ref="F626:F631" si="403">(E626-D626)/(2*1.96)</f>
        <v>0.48469387755102045</v>
      </c>
      <c r="G626" s="160" t="s">
        <v>575</v>
      </c>
      <c r="H626" s="162">
        <f t="shared" si="401"/>
        <v>8.3429761772853155</v>
      </c>
      <c r="I626" s="162">
        <f t="shared" si="402"/>
        <v>0.16780582495388829</v>
      </c>
      <c r="J626" s="70">
        <f ca="1">IF(F626=0,C626,IF(G626="Beta",_xlfn.BETA.INV(J624,H626,I626),IF(G626="Lognormal",EXP(NORMINV(J624,H626,I626)),IF(G626="Gamma",_xlfn.GAMMA.INV(J624,H626,I626),IF(G626="Normal",_xlfn.NORM.INV(J624,H626,I626),0)))))</f>
        <v>1.343813491011711</v>
      </c>
      <c r="K626" s="149"/>
    </row>
    <row r="627" spans="2:28" x14ac:dyDescent="0.3">
      <c r="B627" s="31" t="s">
        <v>1084</v>
      </c>
      <c r="C627" s="177">
        <f>'Cost input'!C588</f>
        <v>1.4</v>
      </c>
      <c r="D627" s="177">
        <f>'Cost input'!D588</f>
        <v>0.8</v>
      </c>
      <c r="E627" s="177">
        <f>'Cost input'!E588</f>
        <v>2.7</v>
      </c>
      <c r="F627" s="156">
        <f t="shared" si="403"/>
        <v>0.48469387755102045</v>
      </c>
      <c r="G627" s="160" t="s">
        <v>575</v>
      </c>
      <c r="H627" s="162">
        <f t="shared" si="401"/>
        <v>8.3429761772853155</v>
      </c>
      <c r="I627" s="162">
        <f t="shared" si="402"/>
        <v>0.16780582495388829</v>
      </c>
      <c r="J627" s="70">
        <f ca="1">IF(F627=0,C627,IF(G627="Beta",_xlfn.BETA.INV(J624,H627,I627),IF(G627="Lognormal",EXP(NORMINV(J624,H627,I627)),IF(G627="Gamma",_xlfn.GAMMA.INV(J624,H627,I627),IF(G627="Normal",_xlfn.NORM.INV(J624,H627,I627),0)))))</f>
        <v>1.343813491011711</v>
      </c>
      <c r="K627" s="149"/>
    </row>
    <row r="628" spans="2:28" x14ac:dyDescent="0.3">
      <c r="B628" s="31" t="s">
        <v>1085</v>
      </c>
      <c r="C628" s="177">
        <f>'Cost input'!C589</f>
        <v>0.9</v>
      </c>
      <c r="D628" s="177">
        <f>'Cost input'!D589</f>
        <v>0.5</v>
      </c>
      <c r="E628" s="177">
        <f>'Cost input'!E589</f>
        <v>1.9</v>
      </c>
      <c r="F628" s="156">
        <f t="shared" si="403"/>
        <v>0.35714285714285715</v>
      </c>
      <c r="G628" s="160" t="s">
        <v>575</v>
      </c>
      <c r="H628" s="162">
        <f t="shared" si="401"/>
        <v>6.3504000000000005</v>
      </c>
      <c r="I628" s="162">
        <f t="shared" si="402"/>
        <v>0.14172335600907029</v>
      </c>
      <c r="J628" s="70">
        <f ca="1">IF(F628=0,C628,IF(G628="Beta",_xlfn.BETA.INV(J624,H628,I628),IF(G628="Lognormal",EXP(NORMINV(J624,H628,I628)),IF(G628="Gamma",_xlfn.GAMMA.INV(J624,H628,I628),IF(G628="Normal",_xlfn.NORM.INV(J624,H628,I628),0)))))</f>
        <v>0.85273826549701137</v>
      </c>
      <c r="K628" s="149"/>
      <c r="AB628" s="67"/>
    </row>
    <row r="629" spans="2:28" x14ac:dyDescent="0.3">
      <c r="B629" s="31" t="s">
        <v>1086</v>
      </c>
      <c r="C629" s="177">
        <f>'Cost input'!C590</f>
        <v>0.9</v>
      </c>
      <c r="D629" s="177">
        <f>'Cost input'!D590</f>
        <v>0.5</v>
      </c>
      <c r="E629" s="177">
        <f>'Cost input'!E590</f>
        <v>1.9</v>
      </c>
      <c r="F629" s="156">
        <f t="shared" si="403"/>
        <v>0.35714285714285715</v>
      </c>
      <c r="G629" s="160" t="s">
        <v>575</v>
      </c>
      <c r="H629" s="162">
        <f t="shared" si="401"/>
        <v>6.3504000000000005</v>
      </c>
      <c r="I629" s="162">
        <f t="shared" si="402"/>
        <v>0.14172335600907029</v>
      </c>
      <c r="J629" s="70">
        <f ca="1">IF(F629=0,C629,IF(G629="Beta",_xlfn.BETA.INV(J624,H629,I629),IF(G629="Lognormal",EXP(NORMINV(J624,H629,I629)),IF(G629="Gamma",_xlfn.GAMMA.INV(J624,H629,I629),IF(G629="Normal",_xlfn.NORM.INV(J624,H629,I629),0)))))</f>
        <v>0.85273826549701137</v>
      </c>
      <c r="K629" s="149"/>
    </row>
    <row r="630" spans="2:28" x14ac:dyDescent="0.3">
      <c r="B630" s="31" t="s">
        <v>1087</v>
      </c>
      <c r="C630" s="177">
        <f>'Cost input'!C591</f>
        <v>0.9</v>
      </c>
      <c r="D630" s="177">
        <f>'Cost input'!D591</f>
        <v>0.5</v>
      </c>
      <c r="E630" s="177">
        <f>'Cost input'!E591</f>
        <v>1.9</v>
      </c>
      <c r="F630" s="156">
        <f t="shared" si="403"/>
        <v>0.35714285714285715</v>
      </c>
      <c r="G630" s="160" t="s">
        <v>575</v>
      </c>
      <c r="H630" s="162">
        <f t="shared" si="401"/>
        <v>6.3504000000000005</v>
      </c>
      <c r="I630" s="162">
        <f t="shared" si="402"/>
        <v>0.14172335600907029</v>
      </c>
      <c r="J630" s="70">
        <f ca="1">IF(F630=0,C630,IF(G630="Beta",_xlfn.BETA.INV(J624,H630,I630),IF(G630="Lognormal",EXP(NORMINV(J624,H630,I630)),IF(G630="Gamma",_xlfn.GAMMA.INV(J624,H630,I630),IF(G630="Normal",_xlfn.NORM.INV(J624,H630,I630),0)))))</f>
        <v>0.85273826549701137</v>
      </c>
      <c r="K630" s="149"/>
    </row>
    <row r="631" spans="2:28" x14ac:dyDescent="0.3">
      <c r="B631" s="31" t="s">
        <v>1443</v>
      </c>
      <c r="C631" s="177">
        <f>'Cost input'!C592</f>
        <v>0.5</v>
      </c>
      <c r="D631" s="177">
        <f>'Cost input'!D592</f>
        <v>0.2</v>
      </c>
      <c r="E631" s="177">
        <f>'Cost input'!E592</f>
        <v>0.8</v>
      </c>
      <c r="F631" s="156">
        <f t="shared" si="403"/>
        <v>0.15306122448979595</v>
      </c>
      <c r="G631" s="160" t="s">
        <v>575</v>
      </c>
      <c r="H631" s="162">
        <f t="shared" si="401"/>
        <v>10.671111111111106</v>
      </c>
      <c r="I631" s="162">
        <f t="shared" si="402"/>
        <v>4.6855476884631424E-2</v>
      </c>
      <c r="J631" s="70">
        <f ca="1">IF(F631=0,C631,IF(G631="Beta",_xlfn.BETA.INV(J624,H631,I631),IF(G631="Lognormal",EXP(NORMINV(J624,H631,I631)),IF(G631="Gamma",_xlfn.GAMMA.INV(J624,H631,I631),IF(G631="Normal",_xlfn.NORM.INV(J624,H631,I631),0)))))</f>
        <v>0.4842597798637262</v>
      </c>
      <c r="K631" s="149">
        <f t="shared" ref="K631" ca="1" si="404">J631*100000</f>
        <v>48425.977986372622</v>
      </c>
    </row>
    <row r="632" spans="2:28" x14ac:dyDescent="0.3">
      <c r="B632" s="151" t="s">
        <v>227</v>
      </c>
      <c r="C632" s="197"/>
      <c r="F632" s="162"/>
      <c r="G632" s="162"/>
      <c r="H632" s="162"/>
      <c r="I632" s="162"/>
      <c r="J632" s="291">
        <f ca="1">RAND()</f>
        <v>0.60867097325587571</v>
      </c>
    </row>
    <row r="633" spans="2:28" x14ac:dyDescent="0.3">
      <c r="B633" s="31" t="s">
        <v>1437</v>
      </c>
      <c r="C633" s="177">
        <f>'Cost input'!C594</f>
        <v>1.2</v>
      </c>
      <c r="D633" s="177">
        <f>'Cost input'!D594</f>
        <v>0.8</v>
      </c>
      <c r="E633" s="177">
        <f>'Cost input'!E594</f>
        <v>2.1</v>
      </c>
      <c r="F633" s="156">
        <f t="shared" ref="F633:F634" si="405">(E633-D633)/(2*1.96)</f>
        <v>0.33163265306122452</v>
      </c>
      <c r="G633" s="160" t="s">
        <v>575</v>
      </c>
      <c r="H633" s="162">
        <f t="shared" ref="H633:H634" si="406">IF(G633="Beta",C633*(C633*(1-C633)/(F633^2)-1),IF(G633="Lognormal",LN(C633^2/SQRT(F633^2+C633^2)),IF(G633="Gamma",C633^2/F633^2,IF(G633="Normal",C633,0))))</f>
        <v>13.093263905325442</v>
      </c>
      <c r="I633" s="162">
        <f t="shared" ref="I633:I634" si="407">IF(G633="Beta",C633*(1-C633)/(F633^2)-1-H633,IF(G633="Lognormal",SQRT(LN(1+F633^2/C633^2)),IF(G633="Gamma",F633^2/C633,IF(G633="Normal",F633,0))))</f>
        <v>9.1650180480355434E-2</v>
      </c>
      <c r="J633" s="70">
        <f ca="1">IF(F633=0,C633,IF(G633="Beta",_xlfn.BETA.INV(J$293,H633,I633),IF(G633="Lognormal",EXP(NORMINV(J$293,H633,I633)),IF(G633="Gamma",_xlfn.GAMMA.INV(J$293,H633,I633),IF(G633="Normal",_xlfn.NORM.INV(J$293,H633,I633),0)))))</f>
        <v>1.8323529152359206</v>
      </c>
    </row>
    <row r="634" spans="2:28" x14ac:dyDescent="0.3">
      <c r="B634" s="31" t="s">
        <v>1438</v>
      </c>
      <c r="C634" s="177">
        <f>'Cost input'!C595</f>
        <v>1.2</v>
      </c>
      <c r="D634" s="177">
        <f>'Cost input'!D595</f>
        <v>0.8</v>
      </c>
      <c r="E634" s="177">
        <f>'Cost input'!E595</f>
        <v>2.1</v>
      </c>
      <c r="F634" s="156">
        <f t="shared" si="405"/>
        <v>0.33163265306122452</v>
      </c>
      <c r="G634" s="160" t="s">
        <v>575</v>
      </c>
      <c r="H634" s="162">
        <f t="shared" si="406"/>
        <v>13.093263905325442</v>
      </c>
      <c r="I634" s="162">
        <f t="shared" si="407"/>
        <v>9.1650180480355434E-2</v>
      </c>
      <c r="J634" s="70">
        <f ca="1">IF(F634=0,C634,IF(G634="Beta",_xlfn.BETA.INV(J$293,H634,I634),IF(G634="Lognormal",EXP(NORMINV(J$293,H634,I634)),IF(G634="Gamma",_xlfn.GAMMA.INV(J$293,H634,I634),IF(G634="Normal",_xlfn.NORM.INV(J$293,H634,I634),0)))))</f>
        <v>1.8323529152359206</v>
      </c>
    </row>
    <row r="635" spans="2:28" x14ac:dyDescent="0.3">
      <c r="B635" s="31" t="s">
        <v>1441</v>
      </c>
      <c r="C635" s="177">
        <f>'Cost input'!C596</f>
        <v>1.5</v>
      </c>
      <c r="D635" s="177">
        <f>'Cost input'!D596</f>
        <v>0.8</v>
      </c>
      <c r="E635" s="177">
        <f>'Cost input'!E596</f>
        <v>2.9</v>
      </c>
      <c r="F635" s="156">
        <f t="shared" ref="F635:F636" si="408">(E635-D635)/(2*1.96)</f>
        <v>0.53571428571428559</v>
      </c>
      <c r="G635" s="160" t="s">
        <v>575</v>
      </c>
      <c r="H635" s="162">
        <f t="shared" ref="H635:H636" si="409">IF(G635="Beta",C635*(C635*(1-C635)/(F635^2)-1),IF(G635="Lognormal",LN(C635^2/SQRT(F635^2+C635^2)),IF(G635="Gamma",C635^2/F635^2,IF(G635="Normal",C635,0))))</f>
        <v>7.8400000000000034</v>
      </c>
      <c r="I635" s="162">
        <f t="shared" ref="I635:I636" si="410">IF(G635="Beta",C635*(1-C635)/(F635^2)-1-H635,IF(G635="Lognormal",SQRT(LN(1+F635^2/C635^2)),IF(G635="Gamma",F635^2/C635,IF(G635="Normal",F635,0))))</f>
        <v>0.19132653061224481</v>
      </c>
      <c r="J635" s="70">
        <f t="shared" ref="J635:J639" ca="1" si="411">IF(F635=0,C635,IF(G635="Beta",_xlfn.BETA.INV(J$293,H635,I635),IF(G635="Lognormal",EXP(NORMINV(J$293,H635,I635)),IF(G635="Gamma",_xlfn.GAMMA.INV(J$293,H635,I635),IF(G635="Normal",_xlfn.NORM.INV(J$293,H635,I635),0)))))</f>
        <v>2.5448552531521798</v>
      </c>
    </row>
    <row r="636" spans="2:28" x14ac:dyDescent="0.3">
      <c r="B636" s="31" t="s">
        <v>1442</v>
      </c>
      <c r="C636" s="177">
        <f>'Cost input'!C597</f>
        <v>1.5</v>
      </c>
      <c r="D636" s="177">
        <f>'Cost input'!D597</f>
        <v>0.8</v>
      </c>
      <c r="E636" s="177">
        <f>'Cost input'!E597</f>
        <v>2.9</v>
      </c>
      <c r="F636" s="156">
        <f t="shared" si="408"/>
        <v>0.53571428571428559</v>
      </c>
      <c r="G636" s="160" t="s">
        <v>575</v>
      </c>
      <c r="H636" s="162">
        <f t="shared" si="409"/>
        <v>7.8400000000000034</v>
      </c>
      <c r="I636" s="162">
        <f t="shared" si="410"/>
        <v>0.19132653061224481</v>
      </c>
      <c r="J636" s="70">
        <f t="shared" ca="1" si="411"/>
        <v>2.5448552531521798</v>
      </c>
    </row>
    <row r="637" spans="2:28" x14ac:dyDescent="0.3">
      <c r="B637" s="151" t="s">
        <v>920</v>
      </c>
      <c r="C637" s="197"/>
      <c r="I637" s="162"/>
      <c r="J637" s="291">
        <f ca="1">RAND()</f>
        <v>0.22809895321817109</v>
      </c>
    </row>
    <row r="638" spans="2:28" x14ac:dyDescent="0.3">
      <c r="B638" s="31" t="s">
        <v>920</v>
      </c>
      <c r="C638" s="177">
        <f>'Cost input'!C599</f>
        <v>4</v>
      </c>
      <c r="D638" s="177">
        <f>'Cost input'!D599</f>
        <v>3</v>
      </c>
      <c r="E638" s="177">
        <f>'Cost input'!E599</f>
        <v>5</v>
      </c>
      <c r="F638" s="156">
        <f t="shared" ref="F638:F639" si="412">(E638-D638)/(2*1.96)</f>
        <v>0.51020408163265307</v>
      </c>
      <c r="G638" s="160" t="s">
        <v>575</v>
      </c>
      <c r="H638" s="162">
        <f t="shared" ref="H638:H639" si="413">IF(G638="Beta",C638*(C638*(1-C638)/(F638^2)-1),IF(G638="Lognormal",LN(C638^2/SQRT(F638^2+C638^2)),IF(G638="Gamma",C638^2/F638^2,IF(G638="Normal",C638,0))))</f>
        <v>61.465599999999995</v>
      </c>
      <c r="I638" s="162">
        <f t="shared" ref="I638:I639" si="414">IF(G638="Beta",C638*(1-C638)/(F638^2)-1-H638,IF(G638="Lognormal",SQRT(LN(1+F638^2/C638^2)),IF(G638="Gamma",F638^2/C638,IF(G638="Normal",F638,0))))</f>
        <v>6.5077051228654731E-2</v>
      </c>
      <c r="J638" s="70">
        <f t="shared" ca="1" si="411"/>
        <v>4.9280796369815087</v>
      </c>
    </row>
    <row r="639" spans="2:28" x14ac:dyDescent="0.3">
      <c r="B639" s="31" t="s">
        <v>980</v>
      </c>
      <c r="C639" s="177">
        <f>'Cost input'!C600</f>
        <v>0</v>
      </c>
      <c r="D639" s="177">
        <f>'Cost input'!D600</f>
        <v>0</v>
      </c>
      <c r="E639" s="177">
        <f>'Cost input'!E600</f>
        <v>0</v>
      </c>
      <c r="F639" s="156">
        <f t="shared" si="412"/>
        <v>0</v>
      </c>
      <c r="G639" s="160" t="s">
        <v>575</v>
      </c>
      <c r="H639" s="162" t="e">
        <f t="shared" si="413"/>
        <v>#DIV/0!</v>
      </c>
      <c r="I639" s="162" t="e">
        <f t="shared" si="414"/>
        <v>#DIV/0!</v>
      </c>
      <c r="J639" s="70">
        <f t="shared" si="411"/>
        <v>0</v>
      </c>
    </row>
    <row r="641" spans="2:28" x14ac:dyDescent="0.3">
      <c r="B641" s="175" t="s">
        <v>1005</v>
      </c>
      <c r="C641" s="84"/>
      <c r="D641" s="84"/>
      <c r="E641" s="84"/>
      <c r="F641" s="84"/>
      <c r="G641" s="84"/>
      <c r="H641" s="84"/>
      <c r="I641" s="84"/>
      <c r="J641" s="84"/>
    </row>
    <row r="642" spans="2:28" x14ac:dyDescent="0.3">
      <c r="B642" s="24" t="s">
        <v>1409</v>
      </c>
      <c r="C642" s="73"/>
      <c r="D642" s="73"/>
      <c r="E642" s="73"/>
      <c r="F642" s="73"/>
      <c r="G642" s="73"/>
      <c r="H642" s="73"/>
      <c r="I642" s="73"/>
      <c r="J642" s="73"/>
    </row>
    <row r="643" spans="2:28" x14ac:dyDescent="0.3">
      <c r="B643" s="159" t="s">
        <v>1</v>
      </c>
      <c r="C643" s="159" t="s">
        <v>567</v>
      </c>
      <c r="D643" s="159" t="s">
        <v>985</v>
      </c>
      <c r="E643" s="159" t="s">
        <v>986</v>
      </c>
      <c r="F643" s="73" t="s">
        <v>584</v>
      </c>
      <c r="G643" s="73" t="s">
        <v>569</v>
      </c>
      <c r="H643" s="73" t="s">
        <v>581</v>
      </c>
      <c r="I643" s="73" t="s">
        <v>582</v>
      </c>
      <c r="J643" s="73" t="s">
        <v>583</v>
      </c>
    </row>
    <row r="644" spans="2:28" x14ac:dyDescent="0.3">
      <c r="B644" s="150" t="s">
        <v>988</v>
      </c>
      <c r="C644" s="197"/>
      <c r="D644" s="197"/>
      <c r="E644" s="197"/>
      <c r="J644" s="291">
        <f ca="1">RAND()</f>
        <v>0.15927240053259728</v>
      </c>
    </row>
    <row r="645" spans="2:28" x14ac:dyDescent="0.3">
      <c r="B645" s="31" t="s">
        <v>1082</v>
      </c>
      <c r="C645" s="177">
        <f>'Cost input'!C609</f>
        <v>1.6</v>
      </c>
      <c r="D645" s="177">
        <f>'Cost input'!D609</f>
        <v>0.8</v>
      </c>
      <c r="E645" s="177">
        <f>'Cost input'!E609</f>
        <v>2.8</v>
      </c>
      <c r="F645" s="156">
        <f>(E645-D645)/(2*1.96)</f>
        <v>0.51020408163265296</v>
      </c>
      <c r="G645" s="160" t="s">
        <v>575</v>
      </c>
      <c r="H645" s="162">
        <f t="shared" ref="H645" si="415">IF(G645="Beta",C645*(C645*(1-C645)/(F645^2)-1),IF(G645="Lognormal",LN(C645^2/SQRT(F645^2+C645^2)),IF(G645="Gamma",C645^2/F645^2,IF(G645="Normal",C645,0))))</f>
        <v>9.834496000000005</v>
      </c>
      <c r="I645" s="162">
        <f t="shared" ref="I645" si="416">IF(G645="Beta",C645*(1-C645)/(F645^2)-1-H645,IF(G645="Lognormal",SQRT(LN(1+F645^2/C645^2)),IF(G645="Gamma",F645^2/C645,IF(G645="Normal",F645,0))))</f>
        <v>0.16269262807163676</v>
      </c>
      <c r="J645" s="70">
        <f ca="1">IF(F645=0,C645,IF(G645="Beta",_xlfn.BETA.INV(J644,H645,I645),IF(G645="Lognormal",EXP(NORMINV(J644,H645,I645)),IF(G645="Gamma",_xlfn.GAMMA.INV(J644,H645,I645),IF(G645="Normal",_xlfn.NORM.INV(J644,H645,I645),0)))))</f>
        <v>1.0995984685352655</v>
      </c>
      <c r="K645">
        <f>(E645+D645)/2</f>
        <v>1.7999999999999998</v>
      </c>
    </row>
    <row r="646" spans="2:28" x14ac:dyDescent="0.3">
      <c r="B646" s="31" t="s">
        <v>1083</v>
      </c>
      <c r="C646" s="177">
        <f>'Cost input'!C610</f>
        <v>1.6</v>
      </c>
      <c r="D646" s="177">
        <f>'Cost input'!D610</f>
        <v>0.8</v>
      </c>
      <c r="E646" s="177">
        <f>'Cost input'!E610</f>
        <v>2.8</v>
      </c>
      <c r="F646" s="156">
        <f t="shared" ref="F646:F667" si="417">(E646-D646)/(2*1.96)</f>
        <v>0.51020408163265296</v>
      </c>
      <c r="G646" s="160" t="s">
        <v>575</v>
      </c>
      <c r="H646" s="162">
        <f t="shared" ref="H646:H667" si="418">IF(G646="Beta",C646*(C646*(1-C646)/(F646^2)-1),IF(G646="Lognormal",LN(C646^2/SQRT(F646^2+C646^2)),IF(G646="Gamma",C646^2/F646^2,IF(G646="Normal",C646,0))))</f>
        <v>9.834496000000005</v>
      </c>
      <c r="I646" s="162">
        <f t="shared" ref="I646:I667" si="419">IF(G646="Beta",C646*(1-C646)/(F646^2)-1-H646,IF(G646="Lognormal",SQRT(LN(1+F646^2/C646^2)),IF(G646="Gamma",F646^2/C646,IF(G646="Normal",F646,0))))</f>
        <v>0.16269262807163676</v>
      </c>
      <c r="J646" s="70">
        <f ca="1">IF(F646=0,C646,IF(G646="Beta",_xlfn.BETA.INV(J644,H646,I646),IF(G646="Lognormal",EXP(NORMINV(J644,H646,I646)),IF(G646="Gamma",_xlfn.GAMMA.INV(J644,H646,I646),IF(G646="Normal",_xlfn.NORM.INV(J644,H646,I646),0)))))</f>
        <v>1.0995984685352655</v>
      </c>
      <c r="K646" s="296">
        <f>_xlfn.GAMMA.INV(0.5,H646,I646)</f>
        <v>1.5461081205284108</v>
      </c>
    </row>
    <row r="647" spans="2:28" x14ac:dyDescent="0.3">
      <c r="B647" s="31" t="s">
        <v>1084</v>
      </c>
      <c r="C647" s="177">
        <f>'Cost input'!C611</f>
        <v>1.6</v>
      </c>
      <c r="D647" s="177">
        <f>'Cost input'!D611</f>
        <v>0.8</v>
      </c>
      <c r="E647" s="177">
        <f>'Cost input'!E611</f>
        <v>2.8</v>
      </c>
      <c r="F647" s="156">
        <f t="shared" si="417"/>
        <v>0.51020408163265296</v>
      </c>
      <c r="G647" s="160" t="s">
        <v>575</v>
      </c>
      <c r="H647" s="162">
        <f t="shared" si="418"/>
        <v>9.834496000000005</v>
      </c>
      <c r="I647" s="162">
        <f t="shared" si="419"/>
        <v>0.16269262807163676</v>
      </c>
      <c r="J647" s="70">
        <f ca="1">IF(F647=0,C647,IF(G647="Beta",_xlfn.BETA.INV(J644,H647,I647),IF(G647="Lognormal",EXP(NORMINV(J644,H647,I647)),IF(G647="Gamma",_xlfn.GAMMA.INV(J644,H647,I647),IF(G647="Normal",_xlfn.NORM.INV(J644,H647,I647),0)))))</f>
        <v>1.0995984685352655</v>
      </c>
    </row>
    <row r="648" spans="2:28" x14ac:dyDescent="0.3">
      <c r="B648" s="31" t="s">
        <v>1085</v>
      </c>
      <c r="C648" s="177">
        <f>'Cost input'!C612</f>
        <v>4.9000000000000004</v>
      </c>
      <c r="D648" s="177">
        <f>'Cost input'!D612</f>
        <v>2.4</v>
      </c>
      <c r="E648" s="177">
        <f>'Cost input'!E612</f>
        <v>8.1999999999999993</v>
      </c>
      <c r="F648" s="156">
        <f t="shared" si="417"/>
        <v>1.4795918367346936</v>
      </c>
      <c r="G648" s="160" t="s">
        <v>575</v>
      </c>
      <c r="H648" s="162">
        <f t="shared" si="418"/>
        <v>10.967516765755059</v>
      </c>
      <c r="I648" s="162">
        <f t="shared" si="419"/>
        <v>0.446773878231009</v>
      </c>
      <c r="J648" s="70">
        <f ca="1">IF(F648=0,C648,IF(G648="Beta",_xlfn.BETA.INV(J644,H648,I648),IF(G648="Lognormal",EXP(NORMINV(J644,H648,I648)),IF(G648="Gamma",_xlfn.GAMMA.INV(J644,H648,I648),IF(G648="Normal",_xlfn.NORM.INV(J644,H648,I648),0)))))</f>
        <v>3.4462249471222886</v>
      </c>
    </row>
    <row r="649" spans="2:28" x14ac:dyDescent="0.3">
      <c r="B649" s="31" t="s">
        <v>1086</v>
      </c>
      <c r="C649" s="177">
        <f>'Cost input'!C613</f>
        <v>4.9000000000000004</v>
      </c>
      <c r="D649" s="177">
        <f>'Cost input'!D613</f>
        <v>2.4</v>
      </c>
      <c r="E649" s="177">
        <f>'Cost input'!E613</f>
        <v>8.1999999999999993</v>
      </c>
      <c r="F649" s="156">
        <f t="shared" si="417"/>
        <v>1.4795918367346936</v>
      </c>
      <c r="G649" s="160" t="s">
        <v>575</v>
      </c>
      <c r="H649" s="162">
        <f t="shared" si="418"/>
        <v>10.967516765755059</v>
      </c>
      <c r="I649" s="162">
        <f t="shared" si="419"/>
        <v>0.446773878231009</v>
      </c>
      <c r="J649" s="70">
        <f ca="1">IF(F649=0,C649,IF(G649="Beta",_xlfn.BETA.INV(J644,H649,I649),IF(G649="Lognormal",EXP(NORMINV(J644,H649,I649)),IF(G649="Gamma",_xlfn.GAMMA.INV(J644,H649,I649),IF(G649="Normal",_xlfn.NORM.INV(J644,H649,I649),0)))))</f>
        <v>3.4462249471222886</v>
      </c>
    </row>
    <row r="650" spans="2:28" x14ac:dyDescent="0.3">
      <c r="B650" s="31" t="s">
        <v>1087</v>
      </c>
      <c r="C650" s="177">
        <f>'Cost input'!C614</f>
        <v>4.9000000000000004</v>
      </c>
      <c r="D650" s="177">
        <f>'Cost input'!D614</f>
        <v>2.4</v>
      </c>
      <c r="E650" s="177">
        <f>'Cost input'!E614</f>
        <v>8.1999999999999993</v>
      </c>
      <c r="F650" s="156">
        <f t="shared" si="417"/>
        <v>1.4795918367346936</v>
      </c>
      <c r="G650" s="160" t="s">
        <v>575</v>
      </c>
      <c r="H650" s="162">
        <f t="shared" si="418"/>
        <v>10.967516765755059</v>
      </c>
      <c r="I650" s="162">
        <f t="shared" si="419"/>
        <v>0.446773878231009</v>
      </c>
      <c r="J650" s="70">
        <f ca="1">IF(F650=0,C650,IF(G650="Beta",_xlfn.BETA.INV(J644,H650,I650),IF(G650="Lognormal",EXP(NORMINV(J644,H650,I650)),IF(G650="Gamma",_xlfn.GAMMA.INV(J644,H650,I650),IF(G650="Normal",_xlfn.NORM.INV(J644,H650,I650),0)))))</f>
        <v>3.4462249471222886</v>
      </c>
    </row>
    <row r="651" spans="2:28" x14ac:dyDescent="0.3">
      <c r="B651" s="31" t="s">
        <v>1443</v>
      </c>
      <c r="C651" s="177">
        <f>'Cost input'!C615</f>
        <v>0.7</v>
      </c>
      <c r="D651" s="177">
        <f>'Cost input'!D615</f>
        <v>0.3</v>
      </c>
      <c r="E651" s="177">
        <f>'Cost input'!E615</f>
        <v>0.9</v>
      </c>
      <c r="F651" s="156">
        <f t="shared" si="417"/>
        <v>0.15306122448979595</v>
      </c>
      <c r="G651" s="160" t="s">
        <v>575</v>
      </c>
      <c r="H651" s="162">
        <f t="shared" si="418"/>
        <v>20.915377777777767</v>
      </c>
      <c r="I651" s="162">
        <f t="shared" si="419"/>
        <v>3.3468197774736731E-2</v>
      </c>
      <c r="J651" s="70">
        <f ca="1">IF(F651=0,C651,IF(G651="Beta",_xlfn.BETA.INV(J644,H651,I651),IF(G651="Lognormal",EXP(NORMINV(J644,H651,I651)),IF(G651="Gamma",_xlfn.GAMMA.INV(J644,H651,I651),IF(G651="Normal",_xlfn.NORM.INV(J644,H651,I651),0)))))</f>
        <v>0.54850306539858673</v>
      </c>
    </row>
    <row r="652" spans="2:28" x14ac:dyDescent="0.3">
      <c r="B652" s="150" t="s">
        <v>1444</v>
      </c>
      <c r="G652" s="141"/>
      <c r="H652" s="141"/>
      <c r="I652" s="141"/>
      <c r="J652" s="291">
        <f ca="1">RAND()</f>
        <v>0.4203441122573961</v>
      </c>
      <c r="L652" s="79" t="s">
        <v>679</v>
      </c>
    </row>
    <row r="653" spans="2:28" x14ac:dyDescent="0.3">
      <c r="B653" s="31" t="s">
        <v>1082</v>
      </c>
      <c r="C653" s="177">
        <f>'Cost input'!C617</f>
        <v>1.6</v>
      </c>
      <c r="D653" s="177">
        <f>'Cost input'!D617</f>
        <v>0.8</v>
      </c>
      <c r="E653" s="177">
        <f>'Cost input'!E617</f>
        <v>2.8</v>
      </c>
      <c r="F653" s="156">
        <f>(E653-D653)/(2*1.96)</f>
        <v>0.51020408163265296</v>
      </c>
      <c r="G653" s="160" t="s">
        <v>575</v>
      </c>
      <c r="H653" s="162">
        <f t="shared" ref="H653:H659" si="420">IF(G653="Beta",C653*(C653*(1-C653)/(F653^2)-1),IF(G653="Lognormal",LN(C653^2/SQRT(F653^2+C653^2)),IF(G653="Gamma",C653^2/F653^2,IF(G653="Normal",C653,0))))</f>
        <v>9.834496000000005</v>
      </c>
      <c r="I653" s="162">
        <f t="shared" ref="I653:I659" si="421">IF(G653="Beta",C653*(1-C653)/(F653^2)-1-H653,IF(G653="Lognormal",SQRT(LN(1+F653^2/C653^2)),IF(G653="Gamma",F653^2/C653,IF(G653="Normal",F653,0))))</f>
        <v>0.16269262807163676</v>
      </c>
      <c r="J653" s="70">
        <f ca="1">IF(F653=0,C653,IF(G653="Beta",_xlfn.BETA.INV(J652,H653,I653),IF(G653="Lognormal",EXP(NORMINV(J652,H653,I653)),IF(G653="Gamma",_xlfn.GAMMA.INV(J652,H653,I653),IF(G653="Normal",_xlfn.NORM.INV(J652,H653,I653),0)))))</f>
        <v>1.4477627365654948</v>
      </c>
    </row>
    <row r="654" spans="2:28" x14ac:dyDescent="0.3">
      <c r="B654" s="31" t="s">
        <v>1083</v>
      </c>
      <c r="C654" s="177">
        <f>'Cost input'!C618</f>
        <v>1.6</v>
      </c>
      <c r="D654" s="177">
        <f>'Cost input'!D618</f>
        <v>0.8</v>
      </c>
      <c r="E654" s="177">
        <f>'Cost input'!E618</f>
        <v>2.8</v>
      </c>
      <c r="F654" s="156">
        <f t="shared" ref="F654:F659" si="422">(E654-D654)/(2*1.96)</f>
        <v>0.51020408163265296</v>
      </c>
      <c r="G654" s="160" t="s">
        <v>575</v>
      </c>
      <c r="H654" s="162">
        <f t="shared" si="420"/>
        <v>9.834496000000005</v>
      </c>
      <c r="I654" s="162">
        <f t="shared" si="421"/>
        <v>0.16269262807163676</v>
      </c>
      <c r="J654" s="70">
        <f ca="1">IF(F654=0,C654,IF(G654="Beta",_xlfn.BETA.INV(J652,H654,I654),IF(G654="Lognormal",EXP(NORMINV(J652,H654,I654)),IF(G654="Gamma",_xlfn.GAMMA.INV(J652,H654,I654),IF(G654="Normal",_xlfn.NORM.INV(J652,H654,I654),0)))))</f>
        <v>1.4477627365654948</v>
      </c>
    </row>
    <row r="655" spans="2:28" x14ac:dyDescent="0.3">
      <c r="B655" s="31" t="s">
        <v>1084</v>
      </c>
      <c r="C655" s="177">
        <f>'Cost input'!C619</f>
        <v>1.6</v>
      </c>
      <c r="D655" s="177">
        <f>'Cost input'!D619</f>
        <v>0.8</v>
      </c>
      <c r="E655" s="177">
        <f>'Cost input'!E619</f>
        <v>2.8</v>
      </c>
      <c r="F655" s="156">
        <f t="shared" si="422"/>
        <v>0.51020408163265296</v>
      </c>
      <c r="G655" s="160" t="s">
        <v>575</v>
      </c>
      <c r="H655" s="162">
        <f t="shared" si="420"/>
        <v>9.834496000000005</v>
      </c>
      <c r="I655" s="162">
        <f t="shared" si="421"/>
        <v>0.16269262807163676</v>
      </c>
      <c r="J655" s="70">
        <f ca="1">IF(F655=0,C655,IF(G655="Beta",_xlfn.BETA.INV(J652,H655,I655),IF(G655="Lognormal",EXP(NORMINV(J652,H655,I655)),IF(G655="Gamma",_xlfn.GAMMA.INV(J652,H655,I655),IF(G655="Normal",_xlfn.NORM.INV(J652,H655,I655),0)))))</f>
        <v>1.4477627365654948</v>
      </c>
    </row>
    <row r="656" spans="2:28" x14ac:dyDescent="0.3">
      <c r="B656" s="31" t="s">
        <v>1085</v>
      </c>
      <c r="C656" s="177">
        <f>'Cost input'!C620</f>
        <v>4.9000000000000004</v>
      </c>
      <c r="D656" s="177">
        <f>'Cost input'!D620</f>
        <v>2.4</v>
      </c>
      <c r="E656" s="177">
        <f>'Cost input'!E620</f>
        <v>8.1999999999999993</v>
      </c>
      <c r="F656" s="156">
        <f t="shared" si="422"/>
        <v>1.4795918367346936</v>
      </c>
      <c r="G656" s="160" t="s">
        <v>575</v>
      </c>
      <c r="H656" s="162">
        <f t="shared" si="420"/>
        <v>10.967516765755059</v>
      </c>
      <c r="I656" s="162">
        <f t="shared" si="421"/>
        <v>0.446773878231009</v>
      </c>
      <c r="J656" s="70">
        <f ca="1">IF(F656=0,C656,IF(G656="Beta",_xlfn.BETA.INV(J652,H656,I656),IF(G656="Lognormal",EXP(NORMINV(J652,H656,I656)),IF(G656="Gamma",_xlfn.GAMMA.INV(J652,H656,I656),IF(G656="Normal",_xlfn.NORM.INV(J652,H656,I656),0)))))</f>
        <v>4.4657606677131936</v>
      </c>
      <c r="AB656" s="67"/>
    </row>
    <row r="657" spans="2:11" x14ac:dyDescent="0.3">
      <c r="B657" s="31" t="s">
        <v>1086</v>
      </c>
      <c r="C657" s="177">
        <f>'Cost input'!C621</f>
        <v>4.9000000000000004</v>
      </c>
      <c r="D657" s="177">
        <f>'Cost input'!D621</f>
        <v>2.4</v>
      </c>
      <c r="E657" s="177">
        <f>'Cost input'!E621</f>
        <v>8.1999999999999993</v>
      </c>
      <c r="F657" s="156">
        <f t="shared" si="422"/>
        <v>1.4795918367346936</v>
      </c>
      <c r="G657" s="160" t="s">
        <v>575</v>
      </c>
      <c r="H657" s="162">
        <f t="shared" si="420"/>
        <v>10.967516765755059</v>
      </c>
      <c r="I657" s="162">
        <f t="shared" si="421"/>
        <v>0.446773878231009</v>
      </c>
      <c r="J657" s="70">
        <f ca="1">IF(F657=0,C657,IF(G657="Beta",_xlfn.BETA.INV(J652,H657,I657),IF(G657="Lognormal",EXP(NORMINV(J652,H657,I657)),IF(G657="Gamma",_xlfn.GAMMA.INV(J652,H657,I657),IF(G657="Normal",_xlfn.NORM.INV(J652,H657,I657),0)))))</f>
        <v>4.4657606677131936</v>
      </c>
    </row>
    <row r="658" spans="2:11" x14ac:dyDescent="0.3">
      <c r="B658" s="31" t="s">
        <v>1087</v>
      </c>
      <c r="C658" s="177">
        <f>'Cost input'!C622</f>
        <v>4.9000000000000004</v>
      </c>
      <c r="D658" s="177">
        <f>'Cost input'!D622</f>
        <v>2.4</v>
      </c>
      <c r="E658" s="177">
        <f>'Cost input'!E622</f>
        <v>8.1999999999999993</v>
      </c>
      <c r="F658" s="156">
        <f t="shared" si="422"/>
        <v>1.4795918367346936</v>
      </c>
      <c r="G658" s="160" t="s">
        <v>575</v>
      </c>
      <c r="H658" s="162">
        <f t="shared" si="420"/>
        <v>10.967516765755059</v>
      </c>
      <c r="I658" s="162">
        <f t="shared" si="421"/>
        <v>0.446773878231009</v>
      </c>
      <c r="J658" s="70">
        <f ca="1">IF(F658=0,C658,IF(G658="Beta",_xlfn.BETA.INV(J652,H658,I658),IF(G658="Lognormal",EXP(NORMINV(J652,H658,I658)),IF(G658="Gamma",_xlfn.GAMMA.INV(J652,H658,I658),IF(G658="Normal",_xlfn.NORM.INV(J652,H658,I658),0)))))</f>
        <v>4.4657606677131936</v>
      </c>
    </row>
    <row r="659" spans="2:11" x14ac:dyDescent="0.3">
      <c r="B659" s="31" t="s">
        <v>1443</v>
      </c>
      <c r="C659" s="177">
        <f>'Cost input'!C623</f>
        <v>0.7</v>
      </c>
      <c r="D659" s="177">
        <f>'Cost input'!D623</f>
        <v>0.3</v>
      </c>
      <c r="E659" s="177">
        <f>'Cost input'!E623</f>
        <v>0.9</v>
      </c>
      <c r="F659" s="156">
        <f t="shared" si="422"/>
        <v>0.15306122448979595</v>
      </c>
      <c r="G659" s="160" t="s">
        <v>575</v>
      </c>
      <c r="H659" s="162">
        <f t="shared" si="420"/>
        <v>20.915377777777767</v>
      </c>
      <c r="I659" s="162">
        <f t="shared" si="421"/>
        <v>3.3468197774736731E-2</v>
      </c>
      <c r="J659" s="70">
        <f ca="1">IF(F659=0,C659,IF(G659="Beta",_xlfn.BETA.INV(J652,H659,I659),IF(G659="Lognormal",EXP(NORMINV(J652,H659,I659)),IF(G659="Gamma",_xlfn.GAMMA.INV(J652,H659,I659),IF(G659="Normal",_xlfn.NORM.INV(J652,H659,I659),0)))))</f>
        <v>0.65884409858714377</v>
      </c>
      <c r="K659" s="149">
        <f t="shared" ref="K659" ca="1" si="423">J659*100000</f>
        <v>65884.409858714382</v>
      </c>
    </row>
    <row r="660" spans="2:11" x14ac:dyDescent="0.3">
      <c r="B660" s="151" t="s">
        <v>227</v>
      </c>
      <c r="C660" s="162"/>
      <c r="D660" s="162"/>
      <c r="E660" s="162"/>
      <c r="F660" s="162"/>
      <c r="G660" s="162"/>
      <c r="H660" s="162"/>
      <c r="I660" s="162"/>
      <c r="J660" s="291">
        <f ca="1">RAND()</f>
        <v>0.60006933162148723</v>
      </c>
    </row>
    <row r="661" spans="2:11" x14ac:dyDescent="0.3">
      <c r="B661" s="31" t="s">
        <v>1437</v>
      </c>
      <c r="C661" s="177">
        <f>'Cost input'!C625</f>
        <v>5</v>
      </c>
      <c r="D661" s="177">
        <f>'Cost input'!D625</f>
        <v>2.4</v>
      </c>
      <c r="E661" s="177">
        <f>'Cost input'!E625</f>
        <v>8.4</v>
      </c>
      <c r="F661" s="156">
        <f t="shared" ref="F661:F662" si="424">(E661-D661)/(2*1.96)</f>
        <v>1.5306122448979591</v>
      </c>
      <c r="G661" s="160" t="s">
        <v>575</v>
      </c>
      <c r="H661" s="162">
        <f t="shared" ref="H661:H662" si="425">IF(G661="Beta",C661*(C661*(1-C661)/(F661^2)-1),IF(G661="Lognormal",LN(C661^2/SQRT(F661^2+C661^2)),IF(G661="Gamma",C661^2/F661^2,IF(G661="Normal",C661,0))))</f>
        <v>10.671111111111113</v>
      </c>
      <c r="I661" s="162">
        <f t="shared" ref="I661:I662" si="426">IF(G661="Beta",C661*(1-C661)/(F661^2)-1-H661,IF(G661="Lognormal",SQRT(LN(1+F661^2/C661^2)),IF(G661="Gamma",F661^2/C661,IF(G661="Normal",F661,0))))</f>
        <v>0.46855476884631397</v>
      </c>
      <c r="J661" s="70">
        <f ca="1">IF(F661=0,C661,IF(G661="Beta",_xlfn.BETA.INV(J$293,H661,I661),IF(G661="Lognormal",EXP(NORMINV(J$293,H661,I661)),IF(G661="Gamma",_xlfn.GAMMA.INV(J$293,H661,I661),IF(G661="Normal",_xlfn.NORM.INV(J$293,H661,I661),0)))))</f>
        <v>7.9436594729247236</v>
      </c>
    </row>
    <row r="662" spans="2:11" x14ac:dyDescent="0.3">
      <c r="B662" s="31" t="s">
        <v>1438</v>
      </c>
      <c r="C662" s="177">
        <f>'Cost input'!C626</f>
        <v>5</v>
      </c>
      <c r="D662" s="177">
        <f>'Cost input'!D626</f>
        <v>2.4</v>
      </c>
      <c r="E662" s="177">
        <f>'Cost input'!E626</f>
        <v>8.4</v>
      </c>
      <c r="F662" s="156">
        <f t="shared" si="424"/>
        <v>1.5306122448979591</v>
      </c>
      <c r="G662" s="160" t="s">
        <v>575</v>
      </c>
      <c r="H662" s="162">
        <f t="shared" si="425"/>
        <v>10.671111111111113</v>
      </c>
      <c r="I662" s="162">
        <f t="shared" si="426"/>
        <v>0.46855476884631397</v>
      </c>
      <c r="J662" s="70">
        <f ca="1">IF(F662=0,C662,IF(G662="Beta",_xlfn.BETA.INV(J$293,H662,I662),IF(G662="Lognormal",EXP(NORMINV(J$293,H662,I662)),IF(G662="Gamma",_xlfn.GAMMA.INV(J$293,H662,I662),IF(G662="Normal",_xlfn.NORM.INV(J$293,H662,I662),0)))))</f>
        <v>7.9436594729247236</v>
      </c>
    </row>
    <row r="663" spans="2:11" x14ac:dyDescent="0.3">
      <c r="B663" s="31" t="s">
        <v>1441</v>
      </c>
      <c r="C663" s="177">
        <f>'Cost input'!C627</f>
        <v>2</v>
      </c>
      <c r="D663" s="177">
        <f>'Cost input'!D627</f>
        <v>1</v>
      </c>
      <c r="E663" s="177">
        <f>'Cost input'!E627</f>
        <v>3.3</v>
      </c>
      <c r="F663" s="156">
        <f t="shared" si="417"/>
        <v>0.58673469387755095</v>
      </c>
      <c r="G663" s="160" t="s">
        <v>575</v>
      </c>
      <c r="H663" s="162">
        <f t="shared" si="418"/>
        <v>11.619206049149341</v>
      </c>
      <c r="I663" s="162">
        <f t="shared" si="419"/>
        <v>0.17212880049979171</v>
      </c>
      <c r="J663" s="70">
        <f t="shared" ref="J663:J667" ca="1" si="427">IF(F663=0,C663,IF(G663="Beta",_xlfn.BETA.INV(J$293,H663,I663),IF(G663="Lognormal",EXP(NORMINV(J$293,H663,I663)),IF(G663="Gamma",_xlfn.GAMMA.INV(J$293,H663,I663),IF(G663="Normal",_xlfn.NORM.INV(J$293,H663,I663),0)))))</f>
        <v>3.1243060283417674</v>
      </c>
    </row>
    <row r="664" spans="2:11" x14ac:dyDescent="0.3">
      <c r="B664" s="31" t="s">
        <v>1442</v>
      </c>
      <c r="C664" s="177">
        <f>'Cost input'!C628</f>
        <v>2</v>
      </c>
      <c r="D664" s="177">
        <f>'Cost input'!D628</f>
        <v>1</v>
      </c>
      <c r="E664" s="177">
        <f>'Cost input'!E628</f>
        <v>3.3</v>
      </c>
      <c r="F664" s="156">
        <f t="shared" si="417"/>
        <v>0.58673469387755095</v>
      </c>
      <c r="G664" s="160" t="s">
        <v>575</v>
      </c>
      <c r="H664" s="162">
        <f t="shared" si="418"/>
        <v>11.619206049149341</v>
      </c>
      <c r="I664" s="162">
        <f t="shared" si="419"/>
        <v>0.17212880049979171</v>
      </c>
      <c r="J664" s="70">
        <f t="shared" ca="1" si="427"/>
        <v>3.1243060283417674</v>
      </c>
    </row>
    <row r="665" spans="2:11" x14ac:dyDescent="0.3">
      <c r="B665" s="151" t="s">
        <v>920</v>
      </c>
      <c r="C665" s="162"/>
      <c r="D665" s="162"/>
      <c r="E665" s="162"/>
      <c r="F665" s="162"/>
      <c r="G665" s="162"/>
      <c r="H665" s="162"/>
      <c r="I665" s="162"/>
      <c r="J665" s="291">
        <f ca="1">RAND()</f>
        <v>0.21708373263226033</v>
      </c>
    </row>
    <row r="666" spans="2:11" x14ac:dyDescent="0.3">
      <c r="B666" s="31" t="s">
        <v>920</v>
      </c>
      <c r="C666" s="177">
        <f>'Cost input'!C630</f>
        <v>5.8</v>
      </c>
      <c r="D666" s="177">
        <f>'Cost input'!D630</f>
        <v>4.3499999999999996</v>
      </c>
      <c r="E666" s="177">
        <f>'Cost input'!E630</f>
        <v>7.25</v>
      </c>
      <c r="F666" s="156">
        <f t="shared" si="417"/>
        <v>0.73979591836734704</v>
      </c>
      <c r="G666" s="160" t="s">
        <v>575</v>
      </c>
      <c r="H666" s="162">
        <f t="shared" si="418"/>
        <v>61.465599999999981</v>
      </c>
      <c r="I666" s="162">
        <f t="shared" si="419"/>
        <v>9.4361724281549389E-2</v>
      </c>
      <c r="J666" s="70">
        <f t="shared" ca="1" si="427"/>
        <v>7.1457154736231878</v>
      </c>
    </row>
    <row r="667" spans="2:11" x14ac:dyDescent="0.3">
      <c r="B667" s="31" t="s">
        <v>980</v>
      </c>
      <c r="C667" s="177">
        <f>'Cost input'!C631</f>
        <v>0</v>
      </c>
      <c r="D667" s="177">
        <f>'Cost input'!D631</f>
        <v>0</v>
      </c>
      <c r="E667" s="177">
        <f>'Cost input'!E631</f>
        <v>0</v>
      </c>
      <c r="F667" s="156">
        <f t="shared" si="417"/>
        <v>0</v>
      </c>
      <c r="G667" s="160" t="s">
        <v>575</v>
      </c>
      <c r="H667" s="162" t="e">
        <f t="shared" si="418"/>
        <v>#DIV/0!</v>
      </c>
      <c r="I667" s="162" t="e">
        <f t="shared" si="419"/>
        <v>#DIV/0!</v>
      </c>
      <c r="J667" s="70">
        <f t="shared" si="427"/>
        <v>0</v>
      </c>
    </row>
    <row r="669" spans="2:11" x14ac:dyDescent="0.3">
      <c r="B669" s="175" t="s">
        <v>1006</v>
      </c>
      <c r="C669" s="84"/>
      <c r="D669" s="84"/>
      <c r="E669" s="84"/>
      <c r="F669" s="84"/>
      <c r="G669" s="84"/>
      <c r="H669" s="84"/>
      <c r="I669" s="84"/>
      <c r="J669" s="84"/>
    </row>
    <row r="670" spans="2:11" x14ac:dyDescent="0.3">
      <c r="B670" s="24" t="s">
        <v>1410</v>
      </c>
      <c r="C670" s="73"/>
      <c r="D670" s="73"/>
      <c r="E670" s="73"/>
      <c r="F670" s="73"/>
      <c r="G670" s="73"/>
      <c r="H670" s="73"/>
      <c r="I670" s="73"/>
      <c r="J670" s="73"/>
    </row>
    <row r="671" spans="2:11" x14ac:dyDescent="0.3">
      <c r="B671" s="159" t="s">
        <v>1</v>
      </c>
      <c r="C671" s="159" t="s">
        <v>567</v>
      </c>
      <c r="D671" s="159" t="s">
        <v>985</v>
      </c>
      <c r="E671" s="159" t="s">
        <v>986</v>
      </c>
      <c r="F671" s="73" t="s">
        <v>584</v>
      </c>
      <c r="G671" s="73" t="s">
        <v>569</v>
      </c>
      <c r="H671" s="73" t="s">
        <v>581</v>
      </c>
      <c r="I671" s="73" t="s">
        <v>582</v>
      </c>
      <c r="J671" s="73" t="s">
        <v>583</v>
      </c>
    </row>
    <row r="672" spans="2:11" x14ac:dyDescent="0.3">
      <c r="B672" s="150" t="s">
        <v>988</v>
      </c>
      <c r="C672" s="197"/>
      <c r="D672" s="197"/>
      <c r="E672" s="197"/>
      <c r="J672" s="291">
        <f ca="1">RAND()</f>
        <v>0.41201502417435809</v>
      </c>
    </row>
    <row r="673" spans="2:28" x14ac:dyDescent="0.3">
      <c r="B673" s="31" t="s">
        <v>1082</v>
      </c>
      <c r="C673" s="177">
        <f>'Cost input'!C639</f>
        <v>4985.7509795734868</v>
      </c>
      <c r="D673" s="177">
        <f>'Cost input'!D639</f>
        <v>3739.3132346801149</v>
      </c>
      <c r="E673" s="177">
        <f>'Cost input'!E639</f>
        <v>4985.7509795734868</v>
      </c>
      <c r="F673" s="156">
        <f>(E673-D673)/(2*1.96)</f>
        <v>317.96881247279896</v>
      </c>
      <c r="G673" s="160" t="s">
        <v>575</v>
      </c>
      <c r="H673" s="162">
        <f t="shared" ref="H673" si="428">IF(G673="Beta",C673*(C673*(1-C673)/(F673^2)-1),IF(G673="Lognormal",LN(C673^2/SQRT(F673^2+C673^2)),IF(G673="Gamma",C673^2/F673^2,IF(G673="Normal",C673,0))))</f>
        <v>245.86239999999992</v>
      </c>
      <c r="I673" s="162">
        <f t="shared" ref="I673" si="429">IF(G673="Beta",C673*(1-C673)/(F673^2)-1-H673,IF(G673="Lognormal",SQRT(LN(1+F673^2/C673^2)),IF(G673="Gamma",F673^2/C673,IF(G673="Normal",F673,0))))</f>
        <v>20.278623244438712</v>
      </c>
      <c r="J673" s="70">
        <f ca="1">IF(F673=0,C673,IF(G673="Beta",_xlfn.BETA.INV(J672,H673,I673),IF(G673="Lognormal",EXP(NORMINV(J672,H673,I673)),IF(G673="Gamma",_xlfn.GAMMA.INV(J672,H673,I673),IF(G673="Normal",_xlfn.NORM.INV(J672,H673,I673),0)))))</f>
        <v>4908.6777869679891</v>
      </c>
      <c r="K673" s="296">
        <f>_xlfn.GAMMA.INV(0.5,H673,I673)</f>
        <v>4978.9930701380472</v>
      </c>
    </row>
    <row r="674" spans="2:28" x14ac:dyDescent="0.3">
      <c r="B674" s="31" t="s">
        <v>1083</v>
      </c>
      <c r="C674" s="177">
        <f>'Cost input'!C640</f>
        <v>5030.8891469256405</v>
      </c>
      <c r="D674" s="177">
        <f>'Cost input'!D640</f>
        <v>3773.1668601942301</v>
      </c>
      <c r="E674" s="177">
        <f>'Cost input'!E640</f>
        <v>5030.8891469256405</v>
      </c>
      <c r="F674" s="156">
        <f t="shared" ref="F674:F695" si="430">(E674-D674)/(2*1.96)</f>
        <v>320.84752212535977</v>
      </c>
      <c r="G674" s="160" t="s">
        <v>575</v>
      </c>
      <c r="H674" s="162">
        <f t="shared" ref="H674:H695" si="431">IF(G674="Beta",C674*(C674*(1-C674)/(F674^2)-1),IF(G674="Lognormal",LN(C674^2/SQRT(F674^2+C674^2)),IF(G674="Gamma",C674^2/F674^2,IF(G674="Normal",C674,0))))</f>
        <v>245.86239999999992</v>
      </c>
      <c r="I674" s="162">
        <f t="shared" ref="I674:I695" si="432">IF(G674="Beta",C674*(1-C674)/(F674^2)-1-H674,IF(G674="Lognormal",SQRT(LN(1+F674^2/C674^2)),IF(G674="Gamma",F674^2/C674,IF(G674="Normal",F674,0))))</f>
        <v>20.462214421260192</v>
      </c>
      <c r="J674" s="70">
        <f ca="1">IF(F674=0,C674,IF(G674="Beta",_xlfn.BETA.INV(J672,H674,I674),IF(G674="Lognormal",EXP(NORMINV(J672,H674,I674)),IF(G674="Gamma",_xlfn.GAMMA.INV(J672,H674,I674),IF(G674="Normal",_xlfn.NORM.INV(J672,H674,I674),0)))))</f>
        <v>4953.1181772589853</v>
      </c>
    </row>
    <row r="675" spans="2:28" x14ac:dyDescent="0.3">
      <c r="B675" s="31" t="s">
        <v>1084</v>
      </c>
      <c r="C675" s="177">
        <f>'Cost input'!C641</f>
        <v>5017.400405809859</v>
      </c>
      <c r="D675" s="177">
        <f>'Cost input'!D641</f>
        <v>3763.0503043573945</v>
      </c>
      <c r="E675" s="177">
        <f>'Cost input'!E641</f>
        <v>5017.400405809859</v>
      </c>
      <c r="F675" s="156">
        <f t="shared" si="430"/>
        <v>319.98727077868995</v>
      </c>
      <c r="G675" s="160" t="s">
        <v>575</v>
      </c>
      <c r="H675" s="162">
        <f t="shared" si="431"/>
        <v>245.86240000000006</v>
      </c>
      <c r="I675" s="162">
        <f t="shared" si="432"/>
        <v>20.407351452722573</v>
      </c>
      <c r="J675" s="70">
        <f ca="1">IF(F675=0,C675,IF(G675="Beta",_xlfn.BETA.INV(J672,H675,I675),IF(G675="Lognormal",EXP(NORMINV(J672,H675,I675)),IF(G675="Gamma",_xlfn.GAMMA.INV(J672,H675,I675),IF(G675="Normal",_xlfn.NORM.INV(J672,H675,I675),0)))))</f>
        <v>4939.8379544479258</v>
      </c>
    </row>
    <row r="676" spans="2:28" x14ac:dyDescent="0.3">
      <c r="B676" s="31" t="s">
        <v>1085</v>
      </c>
      <c r="C676" s="177">
        <f>'Cost input'!C642</f>
        <v>4903.5750778517449</v>
      </c>
      <c r="D676" s="177">
        <f>'Cost input'!D642</f>
        <v>3677.6813083888087</v>
      </c>
      <c r="E676" s="177">
        <f>'Cost input'!E642</f>
        <v>4903.5750778517449</v>
      </c>
      <c r="F676" s="156">
        <f t="shared" si="430"/>
        <v>312.72800241401433</v>
      </c>
      <c r="G676" s="160" t="s">
        <v>575</v>
      </c>
      <c r="H676" s="162">
        <f t="shared" si="431"/>
        <v>245.86240000000001</v>
      </c>
      <c r="I676" s="162">
        <f t="shared" si="432"/>
        <v>19.944387909057035</v>
      </c>
      <c r="J676" s="70">
        <f ca="1">IF(F676=0,C676,IF(G676="Beta",_xlfn.BETA.INV(J672,H676,I676),IF(G676="Lognormal",EXP(NORMINV(J672,H676,I676)),IF(G676="Gamma",_xlfn.GAMMA.INV(J672,H676,I676),IF(G676="Normal",_xlfn.NORM.INV(J672,H676,I676),0)))))</f>
        <v>4827.7722172638069</v>
      </c>
    </row>
    <row r="677" spans="2:28" x14ac:dyDescent="0.3">
      <c r="B677" s="31" t="s">
        <v>1086</v>
      </c>
      <c r="C677" s="177">
        <f>'Cost input'!C643</f>
        <v>3893.2164977034513</v>
      </c>
      <c r="D677" s="177">
        <f>'Cost input'!D643</f>
        <v>2919.9123732775884</v>
      </c>
      <c r="E677" s="177">
        <f>'Cost input'!E643</f>
        <v>3893.2164977034513</v>
      </c>
      <c r="F677" s="156">
        <f t="shared" si="430"/>
        <v>248.29186847598544</v>
      </c>
      <c r="G677" s="160" t="s">
        <v>575</v>
      </c>
      <c r="H677" s="162">
        <f t="shared" si="431"/>
        <v>245.86239999999998</v>
      </c>
      <c r="I677" s="162">
        <f t="shared" si="432"/>
        <v>15.834940591580704</v>
      </c>
      <c r="J677" s="70">
        <f ca="1">IF(F677=0,C677,IF(G677="Beta",_xlfn.BETA.INV(J672,H677,I677),IF(G677="Lognormal",EXP(NORMINV(J672,H677,I677)),IF(G677="Gamma",_xlfn.GAMMA.INV(J672,H677,I677),IF(G677="Normal",_xlfn.NORM.INV(J672,H677,I677),0)))))</f>
        <v>3833.032459990427</v>
      </c>
    </row>
    <row r="678" spans="2:28" x14ac:dyDescent="0.3">
      <c r="B678" s="31" t="s">
        <v>1087</v>
      </c>
      <c r="C678" s="177">
        <f>'Cost input'!C644</f>
        <v>1782.9225884208738</v>
      </c>
      <c r="D678" s="177">
        <f>'Cost input'!D644</f>
        <v>1337.1919413156554</v>
      </c>
      <c r="E678" s="177">
        <f>'Cost input'!E644</f>
        <v>1782.9225884208738</v>
      </c>
      <c r="F678" s="156">
        <f t="shared" si="430"/>
        <v>113.70679773092306</v>
      </c>
      <c r="G678" s="160" t="s">
        <v>575</v>
      </c>
      <c r="H678" s="162">
        <f t="shared" si="431"/>
        <v>245.86240000000009</v>
      </c>
      <c r="I678" s="162">
        <f t="shared" si="432"/>
        <v>7.2517090389619279</v>
      </c>
      <c r="J678" s="70">
        <f ca="1">IF(F678=0,C678,IF(G678="Beta",_xlfn.BETA.INV(J672,H678,I678),IF(G678="Lognormal",EXP(NORMINV(J672,H678,I678)),IF(G678="Gamma",_xlfn.GAMMA.INV(J672,H678,I678),IF(G678="Normal",_xlfn.NORM.INV(J672,H678,I678),0)))))</f>
        <v>1755.3609358993094</v>
      </c>
    </row>
    <row r="679" spans="2:28" x14ac:dyDescent="0.3">
      <c r="B679" s="31" t="s">
        <v>1443</v>
      </c>
      <c r="C679" s="177">
        <f>'Cost input'!C645</f>
        <v>0</v>
      </c>
      <c r="D679" s="177">
        <f>'Cost input'!D645</f>
        <v>0</v>
      </c>
      <c r="E679" s="177">
        <f>'Cost input'!E645</f>
        <v>0</v>
      </c>
      <c r="F679" s="156">
        <f t="shared" si="430"/>
        <v>0</v>
      </c>
      <c r="G679" s="160" t="s">
        <v>575</v>
      </c>
      <c r="H679" s="162" t="e">
        <f t="shared" si="431"/>
        <v>#DIV/0!</v>
      </c>
      <c r="I679" s="162" t="e">
        <f t="shared" si="432"/>
        <v>#DIV/0!</v>
      </c>
      <c r="J679" s="70">
        <f>IF(F679=0,C679,IF(G679="Beta",_xlfn.BETA.INV(J672,H679,I679),IF(G679="Lognormal",EXP(NORMINV(J672,H679,I679)),IF(G679="Gamma",_xlfn.GAMMA.INV(J672,H679,I679),IF(G679="Normal",_xlfn.NORM.INV(J672,H679,I679),0)))))</f>
        <v>0</v>
      </c>
    </row>
    <row r="680" spans="2:28" x14ac:dyDescent="0.3">
      <c r="B680" s="150" t="s">
        <v>1444</v>
      </c>
      <c r="C680" s="141"/>
      <c r="D680" s="141"/>
      <c r="E680" s="141"/>
      <c r="F680" s="141"/>
      <c r="G680" s="141"/>
      <c r="H680" s="141"/>
      <c r="I680" s="141"/>
      <c r="J680" s="291">
        <f ca="1">RAND()</f>
        <v>0.62096955447012703</v>
      </c>
      <c r="L680" s="79" t="s">
        <v>679</v>
      </c>
    </row>
    <row r="681" spans="2:28" x14ac:dyDescent="0.3">
      <c r="B681" s="31" t="s">
        <v>1082</v>
      </c>
      <c r="C681" s="177">
        <f>'Cost input'!C647</f>
        <v>3988.6007836587887</v>
      </c>
      <c r="D681" s="177">
        <f>'Cost input'!D647</f>
        <v>2991.4505877440915</v>
      </c>
      <c r="E681" s="177">
        <f>'Cost input'!E647</f>
        <v>3988.6007836587887</v>
      </c>
      <c r="F681" s="156">
        <f>(E681-D681)/(2*1.96)</f>
        <v>254.37504997823908</v>
      </c>
      <c r="G681" s="160" t="s">
        <v>575</v>
      </c>
      <c r="H681" s="162">
        <f t="shared" ref="H681:H687" si="433">IF(G681="Beta",C681*(C681*(1-C681)/(F681^2)-1),IF(G681="Lognormal",LN(C681^2/SQRT(F681^2+C681^2)),IF(G681="Gamma",C681^2/F681^2,IF(G681="Normal",C681,0))))</f>
        <v>245.86240000000001</v>
      </c>
      <c r="I681" s="162">
        <f t="shared" ref="I681:I687" si="434">IF(G681="Beta",C681*(1-C681)/(F681^2)-1-H681,IF(G681="Lognormal",SQRT(LN(1+F681^2/C681^2)),IF(G681="Gamma",F681^2/C681,IF(G681="Normal",F681,0))))</f>
        <v>16.222898595550962</v>
      </c>
      <c r="J681" s="70">
        <f ca="1">IF(F681=0,C681,IF(G681="Beta",_xlfn.BETA.INV(J680,H681,I681),IF(G681="Lognormal",EXP(NORMINV(J680,H681,I681)),IF(G681="Gamma",_xlfn.GAMMA.INV(J680,H681,I681),IF(G681="Normal",_xlfn.NORM.INV(J680,H681,I681),0)))))</f>
        <v>4062.0010246489528</v>
      </c>
      <c r="K681" s="149"/>
    </row>
    <row r="682" spans="2:28" x14ac:dyDescent="0.3">
      <c r="B682" s="31" t="s">
        <v>1083</v>
      </c>
      <c r="C682" s="177">
        <f>'Cost input'!C648</f>
        <v>4024.7113175405129</v>
      </c>
      <c r="D682" s="177">
        <f>'Cost input'!D648</f>
        <v>3018.5334881553845</v>
      </c>
      <c r="E682" s="177">
        <f>'Cost input'!E648</f>
        <v>4024.7113175405129</v>
      </c>
      <c r="F682" s="156">
        <f t="shared" ref="F682:F687" si="435">(E682-D682)/(2*1.96)</f>
        <v>256.67801770028785</v>
      </c>
      <c r="G682" s="160" t="s">
        <v>575</v>
      </c>
      <c r="H682" s="162">
        <f t="shared" si="433"/>
        <v>245.86239999999992</v>
      </c>
      <c r="I682" s="162">
        <f t="shared" si="434"/>
        <v>16.369771537008155</v>
      </c>
      <c r="J682" s="70">
        <f ca="1">IF(F682=0,C682,IF(G682="Beta",_xlfn.BETA.INV(J680,H682,I682),IF(G682="Lognormal",EXP(NORMINV(J680,H682,I682)),IF(G682="Gamma",_xlfn.GAMMA.INV(J680,H682,I682),IF(G682="Normal",_xlfn.NORM.INV(J680,H682,I682),0)))))</f>
        <v>4098.7760827668599</v>
      </c>
      <c r="K682" s="149"/>
    </row>
    <row r="683" spans="2:28" x14ac:dyDescent="0.3">
      <c r="B683" s="31" t="s">
        <v>1084</v>
      </c>
      <c r="C683" s="177">
        <f>'Cost input'!C649</f>
        <v>4013.9203246478878</v>
      </c>
      <c r="D683" s="177">
        <f>'Cost input'!D649</f>
        <v>3010.4402434859157</v>
      </c>
      <c r="E683" s="177">
        <f>'Cost input'!E649</f>
        <v>4013.9203246478878</v>
      </c>
      <c r="F683" s="156">
        <f t="shared" si="435"/>
        <v>255.98981662295205</v>
      </c>
      <c r="G683" s="160" t="s">
        <v>575</v>
      </c>
      <c r="H683" s="162">
        <f t="shared" si="433"/>
        <v>245.86239999999998</v>
      </c>
      <c r="I683" s="162">
        <f t="shared" si="434"/>
        <v>16.325881162178067</v>
      </c>
      <c r="J683" s="70">
        <f ca="1">IF(F683=0,C683,IF(G683="Beta",_xlfn.BETA.INV(J680,H683,I683),IF(G683="Lognormal",EXP(NORMINV(J680,H683,I683)),IF(G683="Gamma",_xlfn.GAMMA.INV(J680,H683,I683),IF(G683="Normal",_xlfn.NORM.INV(J680,H683,I683),0)))))</f>
        <v>4087.7865085867611</v>
      </c>
      <c r="K683" s="149"/>
    </row>
    <row r="684" spans="2:28" x14ac:dyDescent="0.3">
      <c r="B684" s="31" t="s">
        <v>1085</v>
      </c>
      <c r="C684" s="177">
        <f>'Cost input'!C650</f>
        <v>3922.8600622813956</v>
      </c>
      <c r="D684" s="177">
        <f>'Cost input'!D650</f>
        <v>2942.1450467110467</v>
      </c>
      <c r="E684" s="177">
        <f>'Cost input'!E650</f>
        <v>3922.8600622813956</v>
      </c>
      <c r="F684" s="156">
        <f t="shared" si="435"/>
        <v>250.18240193121144</v>
      </c>
      <c r="G684" s="160" t="s">
        <v>575</v>
      </c>
      <c r="H684" s="162">
        <f t="shared" si="433"/>
        <v>245.86240000000004</v>
      </c>
      <c r="I684" s="162">
        <f t="shared" si="434"/>
        <v>15.955510327245626</v>
      </c>
      <c r="J684" s="70">
        <f ca="1">IF(F684=0,C684,IF(G684="Beta",_xlfn.BETA.INV(J680,H684,I684),IF(G684="Lognormal",EXP(NORMINV(J680,H684,I684)),IF(G684="Gamma",_xlfn.GAMMA.INV(J680,H684,I684),IF(G684="Normal",_xlfn.NORM.INV(J680,H684,I684),0)))))</f>
        <v>3995.0505093980446</v>
      </c>
      <c r="K684" s="149"/>
      <c r="AB684" s="67"/>
    </row>
    <row r="685" spans="2:28" x14ac:dyDescent="0.3">
      <c r="B685" s="31" t="s">
        <v>1086</v>
      </c>
      <c r="C685" s="177">
        <f>'Cost input'!C651</f>
        <v>3114.5731981627605</v>
      </c>
      <c r="D685" s="177">
        <f>'Cost input'!D651</f>
        <v>2335.9298986220701</v>
      </c>
      <c r="E685" s="177">
        <f>'Cost input'!E651</f>
        <v>3114.5731981627605</v>
      </c>
      <c r="F685" s="156">
        <f t="shared" si="435"/>
        <v>198.63349478078837</v>
      </c>
      <c r="G685" s="160" t="s">
        <v>575</v>
      </c>
      <c r="H685" s="162">
        <f t="shared" si="433"/>
        <v>245.86239999999987</v>
      </c>
      <c r="I685" s="162">
        <f t="shared" si="434"/>
        <v>12.667952473264569</v>
      </c>
      <c r="J685" s="70">
        <f ca="1">IF(F685=0,C685,IF(G685="Beta",_xlfn.BETA.INV(J680,H685,I685),IF(G685="Lognormal",EXP(NORMINV(J680,H685,I685)),IF(G685="Gamma",_xlfn.GAMMA.INV(J680,H685,I685),IF(G685="Normal",_xlfn.NORM.INV(J680,H685,I685),0)))))</f>
        <v>3171.8891432087694</v>
      </c>
      <c r="K685" s="149"/>
    </row>
    <row r="686" spans="2:28" x14ac:dyDescent="0.3">
      <c r="B686" s="31" t="s">
        <v>1087</v>
      </c>
      <c r="C686" s="177">
        <f>'Cost input'!C652</f>
        <v>1782.9225884208738</v>
      </c>
      <c r="D686" s="177">
        <f>'Cost input'!D652</f>
        <v>1337.1919413156554</v>
      </c>
      <c r="E686" s="177">
        <f>'Cost input'!E652</f>
        <v>1782.9225884208738</v>
      </c>
      <c r="F686" s="156">
        <f t="shared" si="435"/>
        <v>113.70679773092306</v>
      </c>
      <c r="G686" s="160" t="s">
        <v>575</v>
      </c>
      <c r="H686" s="162">
        <f t="shared" si="433"/>
        <v>245.86240000000009</v>
      </c>
      <c r="I686" s="162">
        <f t="shared" si="434"/>
        <v>7.2517090389619279</v>
      </c>
      <c r="J686" s="70">
        <f ca="1">IF(F686=0,C686,IF(G686="Beta",_xlfn.BETA.INV(J680,H686,I686),IF(G686="Lognormal",EXP(NORMINV(J680,H686,I686)),IF(G686="Gamma",_xlfn.GAMMA.INV(J680,H686,I686),IF(G686="Normal",_xlfn.NORM.INV(J680,H686,I686),0)))))</f>
        <v>1815.7328280901477</v>
      </c>
      <c r="K686" s="149"/>
    </row>
    <row r="687" spans="2:28" x14ac:dyDescent="0.3">
      <c r="B687" s="31" t="s">
        <v>1443</v>
      </c>
      <c r="C687" s="177">
        <f>'Cost input'!C653</f>
        <v>0</v>
      </c>
      <c r="D687" s="177">
        <f>'Cost input'!D653</f>
        <v>0</v>
      </c>
      <c r="E687" s="156">
        <f>'Cost input'!E653</f>
        <v>0</v>
      </c>
      <c r="F687" s="156">
        <f t="shared" si="435"/>
        <v>0</v>
      </c>
      <c r="G687" s="160" t="s">
        <v>575</v>
      </c>
      <c r="H687" s="162" t="e">
        <f t="shared" si="433"/>
        <v>#DIV/0!</v>
      </c>
      <c r="I687" s="162" t="e">
        <f t="shared" si="434"/>
        <v>#DIV/0!</v>
      </c>
      <c r="J687" s="70">
        <f>IF(F687=0,C687,IF(G687="Beta",_xlfn.BETA.INV(J680,H687,I687),IF(G687="Lognormal",EXP(NORMINV(J680,H687,I687)),IF(G687="Gamma",_xlfn.GAMMA.INV(J680,H687,I687),IF(G687="Normal",_xlfn.NORM.INV(J680,H687,I687),0)))))</f>
        <v>0</v>
      </c>
      <c r="K687" s="149">
        <f t="shared" ref="K687" si="436">J687*100000</f>
        <v>0</v>
      </c>
    </row>
    <row r="688" spans="2:28" x14ac:dyDescent="0.3">
      <c r="B688" s="151" t="s">
        <v>227</v>
      </c>
      <c r="C688" s="162"/>
      <c r="D688" s="162"/>
      <c r="E688" s="162"/>
      <c r="F688" s="162"/>
      <c r="G688" s="162"/>
      <c r="H688" s="162"/>
      <c r="I688" s="162"/>
      <c r="J688" s="291">
        <f ca="1">RAND()</f>
        <v>0.33204727232858899</v>
      </c>
    </row>
    <row r="689" spans="2:10" x14ac:dyDescent="0.3">
      <c r="B689" s="31" t="s">
        <v>1437</v>
      </c>
      <c r="C689" s="177">
        <f>'Cost input'!C655</f>
        <v>3114.5731981627605</v>
      </c>
      <c r="D689" s="177">
        <f>'Cost input'!D655</f>
        <v>2335.9298986220701</v>
      </c>
      <c r="E689" s="177">
        <f>'Cost input'!E655</f>
        <v>3114.5731981627605</v>
      </c>
      <c r="F689" s="156">
        <f t="shared" ref="F689:F690" si="437">(E689-D689)/(2*1.96)</f>
        <v>198.63349478078837</v>
      </c>
      <c r="G689" s="160" t="s">
        <v>575</v>
      </c>
      <c r="H689" s="162">
        <f t="shared" ref="H689:H690" si="438">IF(G689="Beta",C689*(C689*(1-C689)/(F689^2)-1),IF(G689="Lognormal",LN(C689^2/SQRT(F689^2+C689^2)),IF(G689="Gamma",C689^2/F689^2,IF(G689="Normal",C689,0))))</f>
        <v>245.86239999999987</v>
      </c>
      <c r="I689" s="162">
        <f t="shared" ref="I689:I690" si="439">IF(G689="Beta",C689*(1-C689)/(F689^2)-1-H689,IF(G689="Lognormal",SQRT(LN(1+F689^2/C689^2)),IF(G689="Gamma",F689^2/C689,IF(G689="Normal",F689,0))))</f>
        <v>12.667952473264569</v>
      </c>
      <c r="J689" s="70">
        <f ca="1">IF(F689=0,C689,IF(G689="Beta",_xlfn.BETA.INV(J$293,H689,I689),IF(G689="Lognormal",EXP(NORMINV(J$293,H689,I689)),IF(G689="Gamma",_xlfn.GAMMA.INV(J$293,H689,I689),IF(G689="Normal",_xlfn.NORM.INV(J$293,H689,I689),0)))))</f>
        <v>3467.8629909265273</v>
      </c>
    </row>
    <row r="690" spans="2:10" x14ac:dyDescent="0.3">
      <c r="B690" s="31" t="s">
        <v>1438</v>
      </c>
      <c r="C690" s="177">
        <f>'Cost input'!C656</f>
        <v>1782.9225884208738</v>
      </c>
      <c r="D690" s="177">
        <f>'Cost input'!D656</f>
        <v>1337.1919413156554</v>
      </c>
      <c r="E690" s="177">
        <f>'Cost input'!E656</f>
        <v>1782.9225884208738</v>
      </c>
      <c r="F690" s="156">
        <f t="shared" si="437"/>
        <v>113.70679773092306</v>
      </c>
      <c r="G690" s="160" t="s">
        <v>575</v>
      </c>
      <c r="H690" s="162">
        <f t="shared" si="438"/>
        <v>245.86240000000009</v>
      </c>
      <c r="I690" s="162">
        <f t="shared" si="439"/>
        <v>7.2517090389619279</v>
      </c>
      <c r="J690" s="70">
        <f ca="1">IF(F690=0,C690,IF(G690="Beta",_xlfn.BETA.INV(J$293,H690,I690),IF(G690="Lognormal",EXP(NORMINV(J$293,H690,I690)),IF(G690="Gamma",_xlfn.GAMMA.INV(J$293,H690,I690),IF(G690="Normal",_xlfn.NORM.INV(J$293,H690,I690),0)))))</f>
        <v>1985.1616470978731</v>
      </c>
    </row>
    <row r="691" spans="2:10" x14ac:dyDescent="0.3">
      <c r="B691" s="31" t="s">
        <v>1441</v>
      </c>
      <c r="C691" s="177">
        <f>'Cost input'!C657</f>
        <v>5018.738985210357</v>
      </c>
      <c r="D691" s="177">
        <f>'Cost input'!D657</f>
        <v>3764.0542389077677</v>
      </c>
      <c r="E691" s="177">
        <f>'Cost input'!E657</f>
        <v>5018.738985210357</v>
      </c>
      <c r="F691" s="156">
        <f t="shared" si="430"/>
        <v>320.07263936290542</v>
      </c>
      <c r="G691" s="160" t="s">
        <v>575</v>
      </c>
      <c r="H691" s="162">
        <f t="shared" si="431"/>
        <v>245.86240000000001</v>
      </c>
      <c r="I691" s="162">
        <f t="shared" si="432"/>
        <v>20.412795877736315</v>
      </c>
      <c r="J691" s="70">
        <f t="shared" ref="J691:J695" ca="1" si="440">IF(F691=0,C691,IF(G691="Beta",_xlfn.BETA.INV(J$293,H691,I691),IF(G691="Lognormal",EXP(NORMINV(J$293,H691,I691)),IF(G691="Gamma",_xlfn.GAMMA.INV(J$293,H691,I691),IF(G691="Normal",_xlfn.NORM.INV(J$293,H691,I691),0)))))</f>
        <v>5588.020598840857</v>
      </c>
    </row>
    <row r="692" spans="2:10" x14ac:dyDescent="0.3">
      <c r="B692" s="31" t="s">
        <v>1442</v>
      </c>
      <c r="C692" s="177">
        <f>'Cost input'!C658</f>
        <v>4985.7509795734868</v>
      </c>
      <c r="D692" s="177">
        <f>'Cost input'!D658</f>
        <v>3739.3132346801149</v>
      </c>
      <c r="E692" s="177">
        <f>'Cost input'!E658</f>
        <v>4985.7509795734868</v>
      </c>
      <c r="F692" s="156">
        <f t="shared" si="430"/>
        <v>317.96881247279896</v>
      </c>
      <c r="G692" s="160" t="s">
        <v>575</v>
      </c>
      <c r="H692" s="162">
        <f t="shared" si="431"/>
        <v>245.86239999999992</v>
      </c>
      <c r="I692" s="162">
        <f t="shared" si="432"/>
        <v>20.278623244438712</v>
      </c>
      <c r="J692" s="70">
        <f t="shared" ca="1" si="440"/>
        <v>5551.2907239546093</v>
      </c>
    </row>
    <row r="693" spans="2:10" x14ac:dyDescent="0.3">
      <c r="B693" s="151" t="s">
        <v>920</v>
      </c>
      <c r="C693" s="162"/>
      <c r="D693" s="162"/>
      <c r="E693" s="162"/>
      <c r="F693" s="162"/>
      <c r="G693" s="162"/>
      <c r="H693" s="162"/>
      <c r="I693" s="162"/>
      <c r="J693" s="291">
        <f ca="1">RAND()</f>
        <v>0.9205675713005862</v>
      </c>
    </row>
    <row r="694" spans="2:10" x14ac:dyDescent="0.3">
      <c r="B694" s="31" t="s">
        <v>920</v>
      </c>
      <c r="C694" s="177">
        <f>'Cost input'!C660</f>
        <v>3893.2164977034513</v>
      </c>
      <c r="D694" s="177">
        <f>'Cost input'!D660</f>
        <v>2919.9123732775884</v>
      </c>
      <c r="E694" s="177">
        <f>'Cost input'!E660</f>
        <v>3893.2164977034513</v>
      </c>
      <c r="F694" s="156">
        <f t="shared" si="430"/>
        <v>248.29186847598544</v>
      </c>
      <c r="G694" s="160" t="s">
        <v>575</v>
      </c>
      <c r="H694" s="162">
        <f t="shared" si="431"/>
        <v>245.86239999999998</v>
      </c>
      <c r="I694" s="162">
        <f t="shared" si="432"/>
        <v>15.834940591580704</v>
      </c>
      <c r="J694" s="70">
        <f t="shared" ca="1" si="440"/>
        <v>4334.8287386581596</v>
      </c>
    </row>
    <row r="695" spans="2:10" x14ac:dyDescent="0.3">
      <c r="B695" s="31" t="s">
        <v>980</v>
      </c>
      <c r="C695" s="177">
        <f>'Cost input'!C661</f>
        <v>1782.9225884208738</v>
      </c>
      <c r="D695" s="177">
        <f>'Cost input'!D661</f>
        <v>1337.1919413156554</v>
      </c>
      <c r="E695" s="177">
        <f>'Cost input'!E661</f>
        <v>1782.9225884208738</v>
      </c>
      <c r="F695" s="156">
        <f t="shared" si="430"/>
        <v>113.70679773092306</v>
      </c>
      <c r="G695" s="160" t="s">
        <v>575</v>
      </c>
      <c r="H695" s="162">
        <f t="shared" si="431"/>
        <v>245.86240000000009</v>
      </c>
      <c r="I695" s="162">
        <f t="shared" si="432"/>
        <v>7.2517090389619279</v>
      </c>
      <c r="J695" s="70">
        <f t="shared" ca="1" si="440"/>
        <v>1985.1616470978731</v>
      </c>
    </row>
    <row r="697" spans="2:10" x14ac:dyDescent="0.3">
      <c r="B697" s="164" t="s">
        <v>1007</v>
      </c>
      <c r="C697" s="84"/>
      <c r="D697" s="84"/>
      <c r="E697" s="84"/>
      <c r="F697" s="84"/>
      <c r="G697" s="84"/>
      <c r="H697" s="84"/>
      <c r="I697" s="84"/>
      <c r="J697" s="84"/>
    </row>
    <row r="698" spans="2:10" x14ac:dyDescent="0.3">
      <c r="B698" s="165" t="s">
        <v>1008</v>
      </c>
      <c r="C698" s="73"/>
      <c r="D698" s="73"/>
      <c r="E698" s="73"/>
      <c r="F698" s="73"/>
      <c r="G698" s="73"/>
      <c r="H698" s="73"/>
      <c r="I698" s="73"/>
      <c r="J698" s="73"/>
    </row>
    <row r="699" spans="2:10" x14ac:dyDescent="0.3">
      <c r="B699" s="159" t="s">
        <v>1</v>
      </c>
      <c r="C699" s="159" t="s">
        <v>567</v>
      </c>
      <c r="D699" s="159" t="s">
        <v>985</v>
      </c>
      <c r="E699" s="159" t="s">
        <v>986</v>
      </c>
      <c r="F699" s="73" t="s">
        <v>584</v>
      </c>
      <c r="G699" s="73" t="s">
        <v>569</v>
      </c>
      <c r="H699" s="73" t="s">
        <v>581</v>
      </c>
      <c r="I699" s="73" t="s">
        <v>582</v>
      </c>
      <c r="J699" s="73" t="s">
        <v>583</v>
      </c>
    </row>
    <row r="700" spans="2:10" x14ac:dyDescent="0.3">
      <c r="B700" s="150" t="s">
        <v>988</v>
      </c>
      <c r="C700" s="197"/>
      <c r="D700" s="197"/>
      <c r="E700" s="197"/>
      <c r="J700" s="291">
        <f ca="1">RAND()</f>
        <v>7.1993259712750501E-2</v>
      </c>
    </row>
    <row r="701" spans="2:10" x14ac:dyDescent="0.3">
      <c r="B701" s="31" t="s">
        <v>1082</v>
      </c>
      <c r="C701" s="177">
        <f>'Cost input'!C669</f>
        <v>111.02462608695653</v>
      </c>
      <c r="D701" s="177">
        <f>'Cost input'!D669</f>
        <v>83.268469565217401</v>
      </c>
      <c r="E701" s="177">
        <f>'Cost input'!E669</f>
        <v>111.02462608695653</v>
      </c>
      <c r="F701" s="156">
        <f>(E701-D701)/(2*1.96)</f>
        <v>7.0806521739130437</v>
      </c>
      <c r="G701" s="160" t="s">
        <v>575</v>
      </c>
      <c r="H701" s="162">
        <f t="shared" ref="H701" si="441">IF(G701="Beta",C701*(C701*(1-C701)/(F701^2)-1),IF(G701="Lognormal",LN(C701^2/SQRT(F701^2+C701^2)),IF(G701="Gamma",C701^2/F701^2,IF(G701="Normal",C701,0))))</f>
        <v>245.86240000000006</v>
      </c>
      <c r="I701" s="162">
        <f t="shared" ref="I701" si="442">IF(G701="Beta",C701*(1-C701)/(F701^2)-1-H701,IF(G701="Lognormal",SQRT(LN(1+F701^2/C701^2)),IF(G701="Gamma",F701^2/C701,IF(G701="Normal",F701,0))))</f>
        <v>0.45157220496894407</v>
      </c>
      <c r="J701" s="70">
        <f ca="1">IF(F701=0,C701,IF(G701="Beta",_xlfn.BETA.INV(J700,H701,I701),IF(G701="Lognormal",EXP(NORMINV(J700,H701,I701)),IF(G701="Gamma",_xlfn.GAMMA.INV(J700,H701,I701),IF(G701="Normal",_xlfn.NORM.INV(J700,H701,I701),0)))))</f>
        <v>100.85552338538126</v>
      </c>
    </row>
    <row r="702" spans="2:10" x14ac:dyDescent="0.3">
      <c r="B702" s="31" t="s">
        <v>1083</v>
      </c>
      <c r="C702" s="177">
        <f>'Cost input'!C670</f>
        <v>111.02462608695653</v>
      </c>
      <c r="D702" s="177">
        <f>'Cost input'!D670</f>
        <v>83.268469565217401</v>
      </c>
      <c r="E702" s="177">
        <f>'Cost input'!E670</f>
        <v>111.02462608695653</v>
      </c>
      <c r="F702" s="156">
        <f t="shared" ref="F702:F723" si="443">(E702-D702)/(2*1.96)</f>
        <v>7.0806521739130437</v>
      </c>
      <c r="G702" s="160" t="s">
        <v>575</v>
      </c>
      <c r="H702" s="162">
        <f t="shared" ref="H702:H723" si="444">IF(G702="Beta",C702*(C702*(1-C702)/(F702^2)-1),IF(G702="Lognormal",LN(C702^2/SQRT(F702^2+C702^2)),IF(G702="Gamma",C702^2/F702^2,IF(G702="Normal",C702,0))))</f>
        <v>245.86240000000006</v>
      </c>
      <c r="I702" s="162">
        <f t="shared" ref="I702:I723" si="445">IF(G702="Beta",C702*(1-C702)/(F702^2)-1-H702,IF(G702="Lognormal",SQRT(LN(1+F702^2/C702^2)),IF(G702="Gamma",F702^2/C702,IF(G702="Normal",F702,0))))</f>
        <v>0.45157220496894407</v>
      </c>
      <c r="J702" s="70">
        <f ca="1">IF(F702=0,C702,IF(G702="Beta",_xlfn.BETA.INV(J700,H702,I702),IF(G702="Lognormal",EXP(NORMINV(J700,H702,I702)),IF(G702="Gamma",_xlfn.GAMMA.INV(J700,H702,I702),IF(G702="Normal",_xlfn.NORM.INV(J700,H702,I702),0)))))</f>
        <v>100.85552338538126</v>
      </c>
    </row>
    <row r="703" spans="2:10" x14ac:dyDescent="0.3">
      <c r="B703" s="31" t="s">
        <v>1084</v>
      </c>
      <c r="C703" s="177">
        <f>'Cost input'!C671</f>
        <v>111.02462608695653</v>
      </c>
      <c r="D703" s="177">
        <f>'Cost input'!D671</f>
        <v>83.268469565217401</v>
      </c>
      <c r="E703" s="177">
        <f>'Cost input'!E671</f>
        <v>111.02462608695653</v>
      </c>
      <c r="F703" s="156">
        <f t="shared" si="443"/>
        <v>7.0806521739130437</v>
      </c>
      <c r="G703" s="160" t="s">
        <v>575</v>
      </c>
      <c r="H703" s="162">
        <f t="shared" si="444"/>
        <v>245.86240000000006</v>
      </c>
      <c r="I703" s="162">
        <f t="shared" si="445"/>
        <v>0.45157220496894407</v>
      </c>
      <c r="J703" s="70">
        <f ca="1">IF(F703=0,C703,IF(G703="Beta",_xlfn.BETA.INV(J700,H703,I703),IF(G703="Lognormal",EXP(NORMINV(J700,H703,I703)),IF(G703="Gamma",_xlfn.GAMMA.INV(J700,H703,I703),IF(G703="Normal",_xlfn.NORM.INV(J700,H703,I703),0)))))</f>
        <v>100.85552338538126</v>
      </c>
    </row>
    <row r="704" spans="2:10" x14ac:dyDescent="0.3">
      <c r="B704" s="31" t="s">
        <v>1085</v>
      </c>
      <c r="C704" s="177">
        <f>'Cost input'!C672</f>
        <v>145.80184347826085</v>
      </c>
      <c r="D704" s="177">
        <f>'Cost input'!D672</f>
        <v>109.35138260869564</v>
      </c>
      <c r="E704" s="177">
        <f>'Cost input'!E672</f>
        <v>145.80184347826085</v>
      </c>
      <c r="F704" s="156">
        <f t="shared" si="443"/>
        <v>9.2985869565217367</v>
      </c>
      <c r="G704" s="160" t="s">
        <v>575</v>
      </c>
      <c r="H704" s="162">
        <f t="shared" si="444"/>
        <v>245.86240000000004</v>
      </c>
      <c r="I704" s="162">
        <f t="shared" si="445"/>
        <v>0.59302212732919235</v>
      </c>
      <c r="J704" s="70">
        <f ca="1">IF(F704=0,C704,IF(G704="Beta",_xlfn.BETA.INV(J700,H704,I704),IF(G704="Lognormal",EXP(NORMINV(J700,H704,I704)),IF(G704="Gamma",_xlfn.GAMMA.INV(J700,H704,I704),IF(G704="Normal",_xlfn.NORM.INV(J700,H704,I704),0)))))</f>
        <v>132.44738354746872</v>
      </c>
    </row>
    <row r="705" spans="2:28" x14ac:dyDescent="0.3">
      <c r="B705" s="31" t="s">
        <v>1086</v>
      </c>
      <c r="C705" s="177">
        <f>'Cost input'!C673</f>
        <v>145.80184347826085</v>
      </c>
      <c r="D705" s="177">
        <f>'Cost input'!D673</f>
        <v>109.35138260869564</v>
      </c>
      <c r="E705" s="177">
        <f>'Cost input'!E673</f>
        <v>145.80184347826085</v>
      </c>
      <c r="F705" s="156">
        <f t="shared" si="443"/>
        <v>9.2985869565217367</v>
      </c>
      <c r="G705" s="160" t="s">
        <v>575</v>
      </c>
      <c r="H705" s="162">
        <f t="shared" si="444"/>
        <v>245.86240000000004</v>
      </c>
      <c r="I705" s="162">
        <f t="shared" si="445"/>
        <v>0.59302212732919235</v>
      </c>
      <c r="J705" s="70">
        <f ca="1">IF(F705=0,C705,IF(G705="Beta",_xlfn.BETA.INV(J700,H705,I705),IF(G705="Lognormal",EXP(NORMINV(J700,H705,I705)),IF(G705="Gamma",_xlfn.GAMMA.INV(J700,H705,I705),IF(G705="Normal",_xlfn.NORM.INV(J700,H705,I705),0)))))</f>
        <v>132.44738354746872</v>
      </c>
    </row>
    <row r="706" spans="2:28" x14ac:dyDescent="0.3">
      <c r="B706" s="31" t="s">
        <v>1087</v>
      </c>
      <c r="C706" s="177">
        <f>'Cost input'!C674</f>
        <v>145.80184347826085</v>
      </c>
      <c r="D706" s="177">
        <f>'Cost input'!D674</f>
        <v>109.35138260869564</v>
      </c>
      <c r="E706" s="177">
        <f>'Cost input'!E674</f>
        <v>145.80184347826085</v>
      </c>
      <c r="F706" s="156">
        <f t="shared" si="443"/>
        <v>9.2985869565217367</v>
      </c>
      <c r="G706" s="160" t="s">
        <v>575</v>
      </c>
      <c r="H706" s="162">
        <f t="shared" si="444"/>
        <v>245.86240000000004</v>
      </c>
      <c r="I706" s="162">
        <f t="shared" si="445"/>
        <v>0.59302212732919235</v>
      </c>
      <c r="J706" s="70">
        <f ca="1">IF(F706=0,C706,IF(G706="Beta",_xlfn.BETA.INV(J700,H706,I706),IF(G706="Lognormal",EXP(NORMINV(J700,H706,I706)),IF(G706="Gamma",_xlfn.GAMMA.INV(J700,H706,I706),IF(G706="Normal",_xlfn.NORM.INV(J700,H706,I706),0)))))</f>
        <v>132.44738354746872</v>
      </c>
    </row>
    <row r="707" spans="2:28" x14ac:dyDescent="0.3">
      <c r="B707" s="31" t="s">
        <v>1443</v>
      </c>
      <c r="C707" s="177">
        <f>'Cost input'!C675</f>
        <v>104.98782608695652</v>
      </c>
      <c r="D707" s="177">
        <f>'Cost input'!D675</f>
        <v>78.740869565217395</v>
      </c>
      <c r="E707" s="177">
        <f>'Cost input'!E675</f>
        <v>104.98782608695652</v>
      </c>
      <c r="F707" s="156">
        <f t="shared" si="443"/>
        <v>6.6956521739130412</v>
      </c>
      <c r="G707" s="160" t="s">
        <v>575</v>
      </c>
      <c r="H707" s="162">
        <f t="shared" si="444"/>
        <v>245.86240000000012</v>
      </c>
      <c r="I707" s="162">
        <f t="shared" si="445"/>
        <v>0.42701863354037239</v>
      </c>
      <c r="J707" s="70">
        <f ca="1">IF(F707=0,C707,IF(G707="Beta",_xlfn.BETA.INV(J700,H707,I707),IF(G707="Lognormal",EXP(NORMINV(J700,H707,I707)),IF(G707="Gamma",_xlfn.GAMMA.INV(J700,H707,I707),IF(G707="Normal",_xlfn.NORM.INV(J700,H707,I707),0)))))</f>
        <v>95.371653319509434</v>
      </c>
    </row>
    <row r="708" spans="2:28" x14ac:dyDescent="0.3">
      <c r="B708" s="150" t="s">
        <v>1444</v>
      </c>
      <c r="G708" s="141"/>
      <c r="H708" s="141"/>
      <c r="I708" s="141"/>
      <c r="J708" s="291">
        <f ca="1">RAND()</f>
        <v>0.21700868426335018</v>
      </c>
      <c r="L708" s="79" t="s">
        <v>679</v>
      </c>
    </row>
    <row r="709" spans="2:28" x14ac:dyDescent="0.3">
      <c r="B709" s="31" t="s">
        <v>1082</v>
      </c>
      <c r="C709" s="177">
        <f>'Cost input'!C677</f>
        <v>111.02462608695653</v>
      </c>
      <c r="D709" s="177">
        <f>'Cost input'!D677</f>
        <v>83.268469565217401</v>
      </c>
      <c r="E709" s="177">
        <f>'Cost input'!E677</f>
        <v>111.02462608695653</v>
      </c>
      <c r="F709" s="156">
        <f>(E709-D709)/(2*1.96)</f>
        <v>7.0806521739130437</v>
      </c>
      <c r="G709" s="160" t="s">
        <v>575</v>
      </c>
      <c r="H709" s="162">
        <f t="shared" ref="H709:H715" si="446">IF(G709="Beta",C709*(C709*(1-C709)/(F709^2)-1),IF(G709="Lognormal",LN(C709^2/SQRT(F709^2+C709^2)),IF(G709="Gamma",C709^2/F709^2,IF(G709="Normal",C709,0))))</f>
        <v>245.86240000000006</v>
      </c>
      <c r="I709" s="162">
        <f t="shared" ref="I709:I715" si="447">IF(G709="Beta",C709*(1-C709)/(F709^2)-1-H709,IF(G709="Lognormal",SQRT(LN(1+F709^2/C709^2)),IF(G709="Gamma",F709^2/C709,IF(G709="Normal",F709,0))))</f>
        <v>0.45157220496894407</v>
      </c>
      <c r="J709" s="70">
        <f ca="1">IF(F709=0,C709,IF(G709="Beta",_xlfn.BETA.INV(J708,H709,I709),IF(G709="Lognormal",EXP(NORMINV(J708,H709,I709)),IF(G709="Gamma",_xlfn.GAMMA.INV(J708,H709,I709),IF(G709="Normal",_xlfn.NORM.INV(J708,H709,I709),0)))))</f>
        <v>105.43080643786818</v>
      </c>
    </row>
    <row r="710" spans="2:28" x14ac:dyDescent="0.3">
      <c r="B710" s="31" t="s">
        <v>1083</v>
      </c>
      <c r="C710" s="177">
        <f>'Cost input'!C678</f>
        <v>111.02462608695653</v>
      </c>
      <c r="D710" s="177">
        <f>'Cost input'!D678</f>
        <v>83.268469565217401</v>
      </c>
      <c r="E710" s="177">
        <f>'Cost input'!E678</f>
        <v>111.02462608695653</v>
      </c>
      <c r="F710" s="156">
        <f t="shared" ref="F710:F715" si="448">(E710-D710)/(2*1.96)</f>
        <v>7.0806521739130437</v>
      </c>
      <c r="G710" s="160" t="s">
        <v>575</v>
      </c>
      <c r="H710" s="162">
        <f t="shared" si="446"/>
        <v>245.86240000000006</v>
      </c>
      <c r="I710" s="162">
        <f t="shared" si="447"/>
        <v>0.45157220496894407</v>
      </c>
      <c r="J710" s="70">
        <f ca="1">IF(F710=0,C710,IF(G710="Beta",_xlfn.BETA.INV(J708,H710,I710),IF(G710="Lognormal",EXP(NORMINV(J708,H710,I710)),IF(G710="Gamma",_xlfn.GAMMA.INV(J708,H710,I710),IF(G710="Normal",_xlfn.NORM.INV(J708,H710,I710),0)))))</f>
        <v>105.43080643786818</v>
      </c>
    </row>
    <row r="711" spans="2:28" x14ac:dyDescent="0.3">
      <c r="B711" s="31" t="s">
        <v>1084</v>
      </c>
      <c r="C711" s="177">
        <f>'Cost input'!C679</f>
        <v>111.02462608695653</v>
      </c>
      <c r="D711" s="177">
        <f>'Cost input'!D679</f>
        <v>83.268469565217401</v>
      </c>
      <c r="E711" s="177">
        <f>'Cost input'!E679</f>
        <v>111.02462608695653</v>
      </c>
      <c r="F711" s="156">
        <f t="shared" si="448"/>
        <v>7.0806521739130437</v>
      </c>
      <c r="G711" s="160" t="s">
        <v>575</v>
      </c>
      <c r="H711" s="162">
        <f t="shared" si="446"/>
        <v>245.86240000000006</v>
      </c>
      <c r="I711" s="162">
        <f t="shared" si="447"/>
        <v>0.45157220496894407</v>
      </c>
      <c r="J711" s="70">
        <f ca="1">IF(F711=0,C711,IF(G711="Beta",_xlfn.BETA.INV(J708,H711,I711),IF(G711="Lognormal",EXP(NORMINV(J708,H711,I711)),IF(G711="Gamma",_xlfn.GAMMA.INV(J708,H711,I711),IF(G711="Normal",_xlfn.NORM.INV(J708,H711,I711),0)))))</f>
        <v>105.43080643786818</v>
      </c>
    </row>
    <row r="712" spans="2:28" x14ac:dyDescent="0.3">
      <c r="B712" s="31" t="s">
        <v>1085</v>
      </c>
      <c r="C712" s="177">
        <f>'Cost input'!C680</f>
        <v>145.80184347826085</v>
      </c>
      <c r="D712" s="177">
        <f>'Cost input'!D680</f>
        <v>109.35138260869564</v>
      </c>
      <c r="E712" s="177">
        <f>'Cost input'!E680</f>
        <v>145.80184347826085</v>
      </c>
      <c r="F712" s="156">
        <f t="shared" si="448"/>
        <v>9.2985869565217367</v>
      </c>
      <c r="G712" s="160" t="s">
        <v>575</v>
      </c>
      <c r="H712" s="162">
        <f t="shared" si="446"/>
        <v>245.86240000000004</v>
      </c>
      <c r="I712" s="162">
        <f t="shared" si="447"/>
        <v>0.59302212732919235</v>
      </c>
      <c r="J712" s="70">
        <f ca="1">IF(F712=0,C712,IF(G712="Beta",_xlfn.BETA.INV(J708,H712,I712),IF(G712="Lognormal",EXP(NORMINV(J708,H712,I712)),IF(G712="Gamma",_xlfn.GAMMA.INV(J708,H712,I712),IF(G712="Normal",_xlfn.NORM.INV(J708,H712,I712),0)))))</f>
        <v>138.45582263885521</v>
      </c>
      <c r="AB712" s="67"/>
    </row>
    <row r="713" spans="2:28" x14ac:dyDescent="0.3">
      <c r="B713" s="31" t="s">
        <v>1086</v>
      </c>
      <c r="C713" s="177">
        <f>'Cost input'!C681</f>
        <v>145.80184347826085</v>
      </c>
      <c r="D713" s="177">
        <f>'Cost input'!D681</f>
        <v>109.35138260869564</v>
      </c>
      <c r="E713" s="177">
        <f>'Cost input'!E681</f>
        <v>145.80184347826085</v>
      </c>
      <c r="F713" s="156">
        <f t="shared" si="448"/>
        <v>9.2985869565217367</v>
      </c>
      <c r="G713" s="160" t="s">
        <v>575</v>
      </c>
      <c r="H713" s="162">
        <f t="shared" si="446"/>
        <v>245.86240000000004</v>
      </c>
      <c r="I713" s="162">
        <f t="shared" si="447"/>
        <v>0.59302212732919235</v>
      </c>
      <c r="J713" s="70">
        <f ca="1">IF(F713=0,C713,IF(G713="Beta",_xlfn.BETA.INV(J708,H713,I713),IF(G713="Lognormal",EXP(NORMINV(J708,H713,I713)),IF(G713="Gamma",_xlfn.GAMMA.INV(J708,H713,I713),IF(G713="Normal",_xlfn.NORM.INV(J708,H713,I713),0)))))</f>
        <v>138.45582263885521</v>
      </c>
    </row>
    <row r="714" spans="2:28" x14ac:dyDescent="0.3">
      <c r="B714" s="31" t="s">
        <v>1087</v>
      </c>
      <c r="C714" s="177">
        <f>'Cost input'!C682</f>
        <v>145.80184347826085</v>
      </c>
      <c r="D714" s="177">
        <f>'Cost input'!D682</f>
        <v>109.35138260869564</v>
      </c>
      <c r="E714" s="177">
        <f>'Cost input'!E682</f>
        <v>145.80184347826085</v>
      </c>
      <c r="F714" s="156">
        <f t="shared" si="448"/>
        <v>9.2985869565217367</v>
      </c>
      <c r="G714" s="160" t="s">
        <v>575</v>
      </c>
      <c r="H714" s="162">
        <f t="shared" si="446"/>
        <v>245.86240000000004</v>
      </c>
      <c r="I714" s="162">
        <f t="shared" si="447"/>
        <v>0.59302212732919235</v>
      </c>
      <c r="J714" s="70">
        <f ca="1">IF(F714=0,C714,IF(G714="Beta",_xlfn.BETA.INV(J708,H714,I714),IF(G714="Lognormal",EXP(NORMINV(J708,H714,I714)),IF(G714="Gamma",_xlfn.GAMMA.INV(J708,H714,I714),IF(G714="Normal",_xlfn.NORM.INV(J708,H714,I714),0)))))</f>
        <v>138.45582263885521</v>
      </c>
    </row>
    <row r="715" spans="2:28" x14ac:dyDescent="0.3">
      <c r="B715" s="31" t="s">
        <v>1443</v>
      </c>
      <c r="C715" s="177">
        <f>'Cost input'!C683</f>
        <v>104.98782608695652</v>
      </c>
      <c r="D715" s="177">
        <f>'Cost input'!D683</f>
        <v>78.740869565217395</v>
      </c>
      <c r="E715" s="177">
        <f>'Cost input'!E683</f>
        <v>104.98782608695652</v>
      </c>
      <c r="F715" s="156">
        <f t="shared" si="448"/>
        <v>6.6956521739130412</v>
      </c>
      <c r="G715" s="160" t="s">
        <v>575</v>
      </c>
      <c r="H715" s="162">
        <f t="shared" si="446"/>
        <v>245.86240000000012</v>
      </c>
      <c r="I715" s="162">
        <f t="shared" si="447"/>
        <v>0.42701863354037239</v>
      </c>
      <c r="J715" s="70">
        <f ca="1">IF(F715=0,C715,IF(G715="Beta",_xlfn.BETA.INV(J708,H715,I715),IF(G715="Lognormal",EXP(NORMINV(J708,H715,I715)),IF(G715="Gamma",_xlfn.GAMMA.INV(J708,H715,I715),IF(G715="Normal",_xlfn.NORM.INV(J708,H715,I715),0)))))</f>
        <v>99.698162116187376</v>
      </c>
    </row>
    <row r="716" spans="2:28" x14ac:dyDescent="0.3">
      <c r="B716" s="151" t="s">
        <v>227</v>
      </c>
      <c r="C716" s="162"/>
      <c r="D716" s="162"/>
      <c r="E716" s="162"/>
      <c r="F716" s="162"/>
      <c r="G716" s="162"/>
      <c r="H716" s="162"/>
      <c r="I716" s="162"/>
      <c r="J716" s="291">
        <f ca="1">RAND()</f>
        <v>0.73416967270451117</v>
      </c>
    </row>
    <row r="717" spans="2:28" x14ac:dyDescent="0.3">
      <c r="B717" s="31" t="s">
        <v>1437</v>
      </c>
      <c r="C717" s="177">
        <f>'Cost input'!C685</f>
        <v>83.465321739130431</v>
      </c>
      <c r="D717" s="177">
        <f>'Cost input'!D685</f>
        <v>62.59899130434782</v>
      </c>
      <c r="E717" s="177">
        <f>'Cost input'!E685</f>
        <v>83.465321739130431</v>
      </c>
      <c r="F717" s="156">
        <f t="shared" ref="F717:F718" si="449">(E717-D717)/(2*1.96)</f>
        <v>5.3230434782608702</v>
      </c>
      <c r="G717" s="160" t="s">
        <v>575</v>
      </c>
      <c r="H717" s="162">
        <f t="shared" ref="H717:H718" si="450">IF(G717="Beta",C717*(C717*(1-C717)/(F717^2)-1),IF(G717="Lognormal",LN(C717^2/SQRT(F717^2+C717^2)),IF(G717="Gamma",C717^2/F717^2,IF(G717="Normal",C717,0))))</f>
        <v>245.86239999999995</v>
      </c>
      <c r="I717" s="162">
        <f t="shared" ref="I717:I718" si="451">IF(G717="Beta",C717*(1-C717)/(F717^2)-1-H717,IF(G717="Lognormal",SQRT(LN(1+F717^2/C717^2)),IF(G717="Gamma",F717^2/C717,IF(G717="Normal",F717,0))))</f>
        <v>0.33947981366459634</v>
      </c>
      <c r="J717" s="70">
        <f ca="1">IF(F717=0,C717,IF(G717="Beta",_xlfn.BETA.INV(J$293,H717,I717),IF(G717="Lognormal",EXP(NORMINV(J$293,H717,I717)),IF(G717="Gamma",_xlfn.GAMMA.INV(J$293,H717,I717),IF(G717="Normal",_xlfn.NORM.INV(J$293,H717,I717),0)))))</f>
        <v>92.932893808899962</v>
      </c>
    </row>
    <row r="718" spans="2:28" x14ac:dyDescent="0.3">
      <c r="B718" s="31" t="s">
        <v>1438</v>
      </c>
      <c r="C718" s="177">
        <f>'Cost input'!C686</f>
        <v>83.465321739130431</v>
      </c>
      <c r="D718" s="177">
        <f>'Cost input'!D686</f>
        <v>62.59899130434782</v>
      </c>
      <c r="E718" s="177">
        <f>'Cost input'!E686</f>
        <v>83.465321739130431</v>
      </c>
      <c r="F718" s="156">
        <f t="shared" si="449"/>
        <v>5.3230434782608702</v>
      </c>
      <c r="G718" s="160" t="s">
        <v>575</v>
      </c>
      <c r="H718" s="162">
        <f t="shared" si="450"/>
        <v>245.86239999999995</v>
      </c>
      <c r="I718" s="162">
        <f t="shared" si="451"/>
        <v>0.33947981366459634</v>
      </c>
      <c r="J718" s="70">
        <f ca="1">IF(F718=0,C718,IF(G718="Beta",_xlfn.BETA.INV(J$293,H718,I718),IF(G718="Lognormal",EXP(NORMINV(J$293,H718,I718)),IF(G718="Gamma",_xlfn.GAMMA.INV(J$293,H718,I718),IF(G718="Normal",_xlfn.NORM.INV(J$293,H718,I718),0)))))</f>
        <v>92.932893808899962</v>
      </c>
    </row>
    <row r="719" spans="2:28" x14ac:dyDescent="0.3">
      <c r="B719" s="31" t="s">
        <v>1441</v>
      </c>
      <c r="C719" s="177">
        <f>'Cost input'!C687</f>
        <v>112.46820869565217</v>
      </c>
      <c r="D719" s="177">
        <f>'Cost input'!D687</f>
        <v>84.351156521739128</v>
      </c>
      <c r="E719" s="177">
        <f>'Cost input'!E687</f>
        <v>112.46820869565217</v>
      </c>
      <c r="F719" s="156">
        <f t="shared" si="443"/>
        <v>7.1727173913043467</v>
      </c>
      <c r="G719" s="160" t="s">
        <v>575</v>
      </c>
      <c r="H719" s="162">
        <f t="shared" si="444"/>
        <v>245.86240000000001</v>
      </c>
      <c r="I719" s="162">
        <f t="shared" si="445"/>
        <v>0.45744371118012411</v>
      </c>
      <c r="J719" s="70">
        <f t="shared" ref="J719:J723" ca="1" si="452">IF(F719=0,C719,IF(G719="Beta",_xlfn.BETA.INV(J$293,H719,I719),IF(G719="Lognormal",EXP(NORMINV(J$293,H719,I719)),IF(G719="Gamma",_xlfn.GAMMA.INV(J$293,H719,I719),IF(G719="Normal",_xlfn.NORM.INV(J$293,H719,I719),0)))))</f>
        <v>125.22561319847051</v>
      </c>
    </row>
    <row r="720" spans="2:28" x14ac:dyDescent="0.3">
      <c r="B720" s="31" t="s">
        <v>1442</v>
      </c>
      <c r="C720" s="177">
        <f>'Cost input'!C688</f>
        <v>111.02462608695653</v>
      </c>
      <c r="D720" s="177">
        <f>'Cost input'!D688</f>
        <v>83.268469565217401</v>
      </c>
      <c r="E720" s="177">
        <f>'Cost input'!E688</f>
        <v>111.02462608695653</v>
      </c>
      <c r="F720" s="156">
        <f t="shared" si="443"/>
        <v>7.0806521739130437</v>
      </c>
      <c r="G720" s="160" t="s">
        <v>575</v>
      </c>
      <c r="H720" s="162">
        <f t="shared" si="444"/>
        <v>245.86240000000006</v>
      </c>
      <c r="I720" s="162">
        <f t="shared" si="445"/>
        <v>0.45157220496894407</v>
      </c>
      <c r="J720" s="70">
        <f t="shared" ca="1" si="452"/>
        <v>123.61828327410279</v>
      </c>
    </row>
    <row r="721" spans="2:27" x14ac:dyDescent="0.3">
      <c r="B721" s="151" t="s">
        <v>920</v>
      </c>
      <c r="C721" s="162"/>
      <c r="D721" s="162"/>
      <c r="E721" s="162"/>
      <c r="F721" s="162"/>
      <c r="G721" s="162"/>
      <c r="H721" s="162"/>
      <c r="I721" s="162"/>
      <c r="J721" s="291">
        <f ca="1">RAND()</f>
        <v>0.82651417433413044</v>
      </c>
    </row>
    <row r="722" spans="2:27" x14ac:dyDescent="0.3">
      <c r="B722" s="31" t="s">
        <v>920</v>
      </c>
      <c r="C722" s="177">
        <f>'Cost input'!C690</f>
        <v>111.02462608695653</v>
      </c>
      <c r="D722" s="177">
        <f>'Cost input'!D690</f>
        <v>83.268469565217401</v>
      </c>
      <c r="E722" s="177">
        <f>'Cost input'!E690</f>
        <v>111.02462608695653</v>
      </c>
      <c r="F722" s="156">
        <f t="shared" si="443"/>
        <v>7.0806521739130437</v>
      </c>
      <c r="G722" s="160" t="s">
        <v>575</v>
      </c>
      <c r="H722" s="162">
        <f t="shared" si="444"/>
        <v>245.86240000000006</v>
      </c>
      <c r="I722" s="162">
        <f t="shared" si="445"/>
        <v>0.45157220496894407</v>
      </c>
      <c r="J722" s="70">
        <f t="shared" ca="1" si="452"/>
        <v>123.61828327410279</v>
      </c>
    </row>
    <row r="723" spans="2:27" x14ac:dyDescent="0.3">
      <c r="B723" s="31" t="s">
        <v>980</v>
      </c>
      <c r="C723" s="177">
        <f>'Cost input'!C691</f>
        <v>111.02462608695653</v>
      </c>
      <c r="D723" s="177">
        <f>'Cost input'!D691</f>
        <v>83.268469565217401</v>
      </c>
      <c r="E723" s="177">
        <f>'Cost input'!E691</f>
        <v>111.02462608695653</v>
      </c>
      <c r="F723" s="156">
        <f t="shared" si="443"/>
        <v>7.0806521739130437</v>
      </c>
      <c r="G723" s="160" t="s">
        <v>575</v>
      </c>
      <c r="H723" s="162">
        <f t="shared" si="444"/>
        <v>245.86240000000006</v>
      </c>
      <c r="I723" s="162">
        <f t="shared" si="445"/>
        <v>0.45157220496894407</v>
      </c>
      <c r="J723" s="70">
        <f t="shared" ca="1" si="452"/>
        <v>123.61828327410279</v>
      </c>
    </row>
    <row r="725" spans="2:27" ht="21" x14ac:dyDescent="0.4">
      <c r="B725" s="795" t="s">
        <v>559</v>
      </c>
      <c r="C725" s="795"/>
      <c r="D725" s="795"/>
      <c r="E725" s="795"/>
      <c r="F725" s="795"/>
      <c r="G725" s="84"/>
      <c r="H725" s="84"/>
      <c r="I725" s="84"/>
      <c r="J725" s="84"/>
      <c r="K725" s="84"/>
      <c r="L725" s="84"/>
      <c r="M725" s="186"/>
      <c r="N725" s="193"/>
      <c r="O725" s="193"/>
      <c r="P725" s="193"/>
      <c r="Q725" s="84"/>
      <c r="R725" s="84"/>
      <c r="S725" s="84"/>
      <c r="T725" s="84"/>
      <c r="U725" s="84"/>
    </row>
    <row r="726" spans="2:27" x14ac:dyDescent="0.3">
      <c r="M726" s="31"/>
      <c r="N726" s="169"/>
      <c r="O726" s="169"/>
      <c r="P726" s="169"/>
    </row>
    <row r="727" spans="2:27" x14ac:dyDescent="0.3">
      <c r="B727" s="32" t="s">
        <v>1004</v>
      </c>
      <c r="C727" s="170"/>
      <c r="D727" s="170"/>
      <c r="E727" s="170"/>
      <c r="F727" s="33"/>
      <c r="G727" s="84"/>
      <c r="H727" s="84"/>
      <c r="I727" s="84"/>
      <c r="J727" s="84"/>
      <c r="M727" s="31"/>
      <c r="N727" s="169"/>
      <c r="O727" s="169"/>
      <c r="P727" s="169"/>
      <c r="Z727" s="72"/>
      <c r="AA727" s="72"/>
    </row>
    <row r="728" spans="2:27" x14ac:dyDescent="0.3">
      <c r="B728" s="19" t="s">
        <v>1011</v>
      </c>
      <c r="C728" s="171"/>
      <c r="D728" s="171"/>
      <c r="E728" s="171"/>
      <c r="F728" s="34"/>
      <c r="G728" s="73"/>
      <c r="H728" s="73"/>
      <c r="I728" s="73"/>
      <c r="J728" s="73"/>
      <c r="Z728" s="169"/>
      <c r="AA728" s="169"/>
    </row>
    <row r="729" spans="2:27" x14ac:dyDescent="0.3">
      <c r="B729" s="159" t="s">
        <v>1</v>
      </c>
      <c r="C729" s="159" t="s">
        <v>567</v>
      </c>
      <c r="D729" s="159" t="s">
        <v>985</v>
      </c>
      <c r="E729" s="159" t="s">
        <v>986</v>
      </c>
      <c r="F729" s="73" t="s">
        <v>584</v>
      </c>
      <c r="G729" s="73" t="s">
        <v>569</v>
      </c>
      <c r="H729" s="73" t="s">
        <v>581</v>
      </c>
      <c r="I729" s="73" t="s">
        <v>582</v>
      </c>
      <c r="J729" s="73" t="s">
        <v>583</v>
      </c>
      <c r="Z729" s="169"/>
      <c r="AA729" s="169"/>
    </row>
    <row r="730" spans="2:27" x14ac:dyDescent="0.3">
      <c r="B730" s="150" t="s">
        <v>988</v>
      </c>
      <c r="C730" s="197"/>
      <c r="D730" s="197"/>
      <c r="E730" s="197"/>
      <c r="J730" s="291">
        <f ca="1">RAND()</f>
        <v>0.34312150735434443</v>
      </c>
      <c r="Z730" s="169"/>
      <c r="AA730" s="169"/>
    </row>
    <row r="731" spans="2:27" x14ac:dyDescent="0.3">
      <c r="B731" s="31" t="s">
        <v>1082</v>
      </c>
      <c r="C731" s="183">
        <f>'QoL input'!O14</f>
        <v>8.9999999999999993E-3</v>
      </c>
      <c r="D731" s="183">
        <f>'QoL input'!P14</f>
        <v>7.0000000000000001E-3</v>
      </c>
      <c r="E731" s="183">
        <f>'QoL input'!Q14</f>
        <v>1.0999999999999999E-2</v>
      </c>
      <c r="F731" s="156">
        <f>(E731-D731)/(2*1.96)</f>
        <v>1.020408163265306E-3</v>
      </c>
      <c r="G731" s="161" t="s">
        <v>578</v>
      </c>
      <c r="H731" s="162">
        <f t="shared" ref="H731" si="453">IF(G731="Beta",C731*(C731*(1-C731)/(F731^2)-1),IF(G731="Lognormal",LN(C731^2/SQRT(F731^2+C731^2)),IF(G731="Gamma",C731^2/F731^2,IF(G731="Normal",C731,0))))</f>
        <v>77.083268400000009</v>
      </c>
      <c r="I731" s="162">
        <f t="shared" ref="I731" si="454">IF(G731="Beta",C731*(1-C731)/(F731^2)-1-H731,IF(G731="Lognormal",SQRT(LN(1+F731^2/C731^2)),IF(G731="Gamma",F731^2/C731,IF(G731="Normal",F731,0))))</f>
        <v>8487.7243316000022</v>
      </c>
      <c r="J731" s="70">
        <f ca="1">IF(F731=0,C731,IF(G731="Beta",_xlfn.BETA.INV(J730,H731,I731),IF(G731="Lognormal",EXP(NORMINV(J730,H731,I731)),IF(G731="Gamma",_xlfn.GAMMA.INV(J730,H731,I731),IF(G731="Normal",_xlfn.NORM.INV(J730,H731,I731),0)))))</f>
        <v>8.5567959123319676E-3</v>
      </c>
      <c r="Z731" s="169"/>
      <c r="AA731" s="169"/>
    </row>
    <row r="732" spans="2:27" x14ac:dyDescent="0.3">
      <c r="B732" s="31" t="s">
        <v>1083</v>
      </c>
      <c r="C732" s="183">
        <f>'QoL input'!C15</f>
        <v>8.9999999999999993E-3</v>
      </c>
      <c r="D732" s="183">
        <f>'QoL input'!D15</f>
        <v>7.0000000000000001E-3</v>
      </c>
      <c r="E732" s="183">
        <f>'QoL input'!E15</f>
        <v>1.0999999999999999E-2</v>
      </c>
      <c r="F732" s="156">
        <f t="shared" ref="F732:F753" si="455">(E732-D732)/(2*1.96)</f>
        <v>1.020408163265306E-3</v>
      </c>
      <c r="G732" s="161" t="s">
        <v>578</v>
      </c>
      <c r="H732" s="162">
        <f t="shared" ref="H732:H753" si="456">IF(G732="Beta",C732*(C732*(1-C732)/(F732^2)-1),IF(G732="Lognormal",LN(C732^2/SQRT(F732^2+C732^2)),IF(G732="Gamma",C732^2/F732^2,IF(G732="Normal",C732,0))))</f>
        <v>77.083268400000009</v>
      </c>
      <c r="I732" s="162">
        <f t="shared" ref="I732:I753" si="457">IF(G732="Beta",C732*(1-C732)/(F732^2)-1-H732,IF(G732="Lognormal",SQRT(LN(1+F732^2/C732^2)),IF(G732="Gamma",F732^2/C732,IF(G732="Normal",F732,0))))</f>
        <v>8487.7243316000022</v>
      </c>
      <c r="J732" s="70">
        <f ca="1">IF(F732=0,C732,IF(G732="Beta",_xlfn.BETA.INV(J730,H732,I732),IF(G732="Lognormal",EXP(NORMINV(J730,H732,I732)),IF(G732="Gamma",_xlfn.GAMMA.INV(J730,H732,I732),IF(G732="Normal",_xlfn.NORM.INV(J730,H732,I732),0)))))</f>
        <v>8.5567959123319676E-3</v>
      </c>
      <c r="Z732" s="169"/>
      <c r="AA732" s="169"/>
    </row>
    <row r="733" spans="2:27" x14ac:dyDescent="0.3">
      <c r="B733" s="31" t="s">
        <v>1084</v>
      </c>
      <c r="C733" s="183">
        <f>'QoL input'!C16</f>
        <v>8.9999999999999993E-3</v>
      </c>
      <c r="D733" s="183">
        <f>'QoL input'!D16</f>
        <v>7.0000000000000001E-3</v>
      </c>
      <c r="E733" s="183">
        <f>'QoL input'!E16</f>
        <v>1.0999999999999999E-2</v>
      </c>
      <c r="F733" s="156">
        <f t="shared" si="455"/>
        <v>1.020408163265306E-3</v>
      </c>
      <c r="G733" s="161" t="s">
        <v>578</v>
      </c>
      <c r="H733" s="162">
        <f t="shared" si="456"/>
        <v>77.083268400000009</v>
      </c>
      <c r="I733" s="162">
        <f t="shared" si="457"/>
        <v>8487.7243316000022</v>
      </c>
      <c r="J733" s="70">
        <f ca="1">IF(F733=0,C733,IF(G733="Beta",_xlfn.BETA.INV(J730,H733,I733),IF(G733="Lognormal",EXP(NORMINV(J730,H733,I733)),IF(G733="Gamma",_xlfn.GAMMA.INV(J730,H733,I733),IF(G733="Normal",_xlfn.NORM.INV(J730,H733,I733),0)))))</f>
        <v>8.5567959123319676E-3</v>
      </c>
      <c r="Z733" s="169"/>
      <c r="AA733" s="169"/>
    </row>
    <row r="734" spans="2:27" x14ac:dyDescent="0.3">
      <c r="B734" s="31" t="s">
        <v>1085</v>
      </c>
      <c r="C734" s="183">
        <f>'QoL input'!C17</f>
        <v>8.9999999999999993E-3</v>
      </c>
      <c r="D734" s="183">
        <f>'QoL input'!D17</f>
        <v>7.0000000000000001E-3</v>
      </c>
      <c r="E734" s="183">
        <f>'QoL input'!E17</f>
        <v>1.0999999999999999E-2</v>
      </c>
      <c r="F734" s="156">
        <f t="shared" si="455"/>
        <v>1.020408163265306E-3</v>
      </c>
      <c r="G734" s="161" t="s">
        <v>578</v>
      </c>
      <c r="H734" s="162">
        <f t="shared" si="456"/>
        <v>77.083268400000009</v>
      </c>
      <c r="I734" s="162">
        <f t="shared" si="457"/>
        <v>8487.7243316000022</v>
      </c>
      <c r="J734" s="70">
        <f ca="1">IF(F734=0,C734,IF(G734="Beta",_xlfn.BETA.INV(J730,H734,I734),IF(G734="Lognormal",EXP(NORMINV(J730,H734,I734)),IF(G734="Gamma",_xlfn.GAMMA.INV(J730,H734,I734),IF(G734="Normal",_xlfn.NORM.INV(J730,H734,I734),0)))))</f>
        <v>8.5567959123319676E-3</v>
      </c>
      <c r="Z734" s="169"/>
      <c r="AA734" s="169"/>
    </row>
    <row r="735" spans="2:27" x14ac:dyDescent="0.3">
      <c r="B735" s="31" t="s">
        <v>1086</v>
      </c>
      <c r="C735" s="183">
        <f>'QoL input'!C18</f>
        <v>8.9999999999999993E-3</v>
      </c>
      <c r="D735" s="183">
        <f>'QoL input'!D18</f>
        <v>7.0000000000000001E-3</v>
      </c>
      <c r="E735" s="183">
        <f>'QoL input'!E18</f>
        <v>1.0999999999999999E-2</v>
      </c>
      <c r="F735" s="156">
        <f t="shared" si="455"/>
        <v>1.020408163265306E-3</v>
      </c>
      <c r="G735" s="161" t="s">
        <v>578</v>
      </c>
      <c r="H735" s="162">
        <f t="shared" si="456"/>
        <v>77.083268400000009</v>
      </c>
      <c r="I735" s="162">
        <f t="shared" si="457"/>
        <v>8487.7243316000022</v>
      </c>
      <c r="J735" s="70">
        <f ca="1">IF(F735=0,C735,IF(G735="Beta",_xlfn.BETA.INV(J730,H735,I735),IF(G735="Lognormal",EXP(NORMINV(J730,H735,I735)),IF(G735="Gamma",_xlfn.GAMMA.INV(J730,H735,I735),IF(G735="Normal",_xlfn.NORM.INV(J730,H735,I735),0)))))</f>
        <v>8.5567959123319676E-3</v>
      </c>
      <c r="Z735" s="169"/>
      <c r="AA735" s="169"/>
    </row>
    <row r="736" spans="2:27" x14ac:dyDescent="0.3">
      <c r="B736" s="31" t="s">
        <v>1087</v>
      </c>
      <c r="C736" s="183">
        <f>'QoL input'!C19</f>
        <v>8.9999999999999993E-3</v>
      </c>
      <c r="D736" s="183">
        <f>'QoL input'!D19</f>
        <v>7.0000000000000001E-3</v>
      </c>
      <c r="E736" s="183">
        <f>'QoL input'!E19</f>
        <v>1.0999999999999999E-2</v>
      </c>
      <c r="F736" s="156">
        <f t="shared" si="455"/>
        <v>1.020408163265306E-3</v>
      </c>
      <c r="G736" s="161" t="s">
        <v>578</v>
      </c>
      <c r="H736" s="162">
        <f t="shared" si="456"/>
        <v>77.083268400000009</v>
      </c>
      <c r="I736" s="162">
        <f t="shared" si="457"/>
        <v>8487.7243316000022</v>
      </c>
      <c r="J736" s="70">
        <f ca="1">IF(F736=0,C736,IF(G736="Beta",_xlfn.BETA.INV(J730,H736,I736),IF(G736="Lognormal",EXP(NORMINV(J730,H736,I736)),IF(G736="Gamma",_xlfn.GAMMA.INV(J730,H736,I736),IF(G736="Normal",_xlfn.NORM.INV(J730,H736,I736),0)))))</f>
        <v>8.5567959123319676E-3</v>
      </c>
      <c r="Z736" s="169"/>
      <c r="AA736" s="169"/>
    </row>
    <row r="737" spans="2:28" x14ac:dyDescent="0.3">
      <c r="B737" s="31" t="s">
        <v>1443</v>
      </c>
      <c r="C737" s="183">
        <f>'QoL input'!C20</f>
        <v>8.9999999999999993E-3</v>
      </c>
      <c r="D737" s="183">
        <f>'QoL input'!D20</f>
        <v>7.0000000000000001E-3</v>
      </c>
      <c r="E737" s="183">
        <f>'QoL input'!E20</f>
        <v>1.0999999999999999E-2</v>
      </c>
      <c r="F737" s="156">
        <f t="shared" si="455"/>
        <v>1.020408163265306E-3</v>
      </c>
      <c r="G737" s="161" t="s">
        <v>578</v>
      </c>
      <c r="H737" s="162">
        <f t="shared" si="456"/>
        <v>77.083268400000009</v>
      </c>
      <c r="I737" s="162">
        <f t="shared" si="457"/>
        <v>8487.7243316000022</v>
      </c>
      <c r="J737" s="70">
        <f ca="1">IF(F737=0,C737,IF(G737="Beta",_xlfn.BETA.INV(J730,H737,I737),IF(G737="Lognormal",EXP(NORMINV(J730,H737,I737)),IF(G737="Gamma",_xlfn.GAMMA.INV(J730,H737,I737),IF(G737="Normal",_xlfn.NORM.INV(J730,H737,I737),0)))))</f>
        <v>8.5567959123319676E-3</v>
      </c>
      <c r="Z737" s="169"/>
      <c r="AA737" s="169"/>
    </row>
    <row r="738" spans="2:28" x14ac:dyDescent="0.3">
      <c r="B738" s="150" t="s">
        <v>1444</v>
      </c>
      <c r="H738" s="141"/>
      <c r="I738" s="141"/>
      <c r="J738" s="291">
        <f ca="1">RAND()</f>
        <v>0.36076827866248573</v>
      </c>
      <c r="L738" s="79" t="s">
        <v>679</v>
      </c>
    </row>
    <row r="739" spans="2:28" x14ac:dyDescent="0.3">
      <c r="B739" s="31" t="s">
        <v>1082</v>
      </c>
      <c r="C739" s="183">
        <f>'QoL input'!C22</f>
        <v>8.9999999999999993E-3</v>
      </c>
      <c r="D739" s="183">
        <f>'QoL input'!D22</f>
        <v>7.0000000000000001E-3</v>
      </c>
      <c r="E739" s="183">
        <f>'QoL input'!E22</f>
        <v>1.0999999999999999E-2</v>
      </c>
      <c r="F739" s="156">
        <f>(E739-D739)/(2*1.96)</f>
        <v>1.020408163265306E-3</v>
      </c>
      <c r="G739" s="161" t="s">
        <v>578</v>
      </c>
      <c r="H739" s="162">
        <f t="shared" ref="H739:H745" si="458">IF(G739="Beta",C739*(C739*(1-C739)/(F739^2)-1),IF(G739="Lognormal",LN(C739^2/SQRT(F739^2+C739^2)),IF(G739="Gamma",C739^2/F739^2,IF(G739="Normal",C739,0))))</f>
        <v>77.083268400000009</v>
      </c>
      <c r="I739" s="162">
        <f t="shared" ref="I739:I745" si="459">IF(G739="Beta",C739*(1-C739)/(F739^2)-1-H739,IF(G739="Lognormal",SQRT(LN(1+F739^2/C739^2)),IF(G739="Gamma",F739^2/C739,IF(G739="Normal",F739,0))))</f>
        <v>8487.7243316000022</v>
      </c>
      <c r="J739" s="70">
        <f ca="1">IF(F739=0,C739,IF(G739="Beta",_xlfn.BETA.INV(J738,H739,I739),IF(G739="Lognormal",EXP(NORMINV(J738,H739,I739)),IF(G739="Gamma",_xlfn.GAMMA.INV(J738,H739,I739),IF(G739="Normal",_xlfn.NORM.INV(J738,H739,I739),0)))))</f>
        <v>8.6038294738183738E-3</v>
      </c>
    </row>
    <row r="740" spans="2:28" x14ac:dyDescent="0.3">
      <c r="B740" s="31" t="s">
        <v>1083</v>
      </c>
      <c r="C740" s="183">
        <f>'QoL input'!C23</f>
        <v>8.9999999999999993E-3</v>
      </c>
      <c r="D740" s="183">
        <f>'QoL input'!D23</f>
        <v>7.0000000000000001E-3</v>
      </c>
      <c r="E740" s="183">
        <f>'QoL input'!E23</f>
        <v>1.0999999999999999E-2</v>
      </c>
      <c r="F740" s="156">
        <f t="shared" ref="F740:F745" si="460">(E740-D740)/(2*1.96)</f>
        <v>1.020408163265306E-3</v>
      </c>
      <c r="G740" s="161" t="s">
        <v>578</v>
      </c>
      <c r="H740" s="162">
        <f t="shared" si="458"/>
        <v>77.083268400000009</v>
      </c>
      <c r="I740" s="162">
        <f t="shared" si="459"/>
        <v>8487.7243316000022</v>
      </c>
      <c r="J740" s="70">
        <f ca="1">IF(F740=0,C740,IF(G740="Beta",_xlfn.BETA.INV(J738,H740,I740),IF(G740="Lognormal",EXP(NORMINV(J738,H740,I740)),IF(G740="Gamma",_xlfn.GAMMA.INV(J738,H740,I740),IF(G740="Normal",_xlfn.NORM.INV(J738,H740,I740),0)))))</f>
        <v>8.6038294738183738E-3</v>
      </c>
    </row>
    <row r="741" spans="2:28" x14ac:dyDescent="0.3">
      <c r="B741" s="31" t="s">
        <v>1084</v>
      </c>
      <c r="C741" s="183">
        <f>'QoL input'!C24</f>
        <v>8.9999999999999993E-3</v>
      </c>
      <c r="D741" s="183">
        <f>'QoL input'!D24</f>
        <v>7.0000000000000001E-3</v>
      </c>
      <c r="E741" s="183">
        <f>'QoL input'!E24</f>
        <v>1.0999999999999999E-2</v>
      </c>
      <c r="F741" s="156">
        <f t="shared" si="460"/>
        <v>1.020408163265306E-3</v>
      </c>
      <c r="G741" s="161" t="s">
        <v>578</v>
      </c>
      <c r="H741" s="162">
        <f t="shared" si="458"/>
        <v>77.083268400000009</v>
      </c>
      <c r="I741" s="162">
        <f t="shared" si="459"/>
        <v>8487.7243316000022</v>
      </c>
      <c r="J741" s="70">
        <f ca="1">IF(F741=0,C741,IF(G741="Beta",_xlfn.BETA.INV(J738,H741,I741),IF(G741="Lognormal",EXP(NORMINV(J738,H741,I741)),IF(G741="Gamma",_xlfn.GAMMA.INV(J738,H741,I741),IF(G741="Normal",_xlfn.NORM.INV(J738,H741,I741),0)))))</f>
        <v>8.6038294738183738E-3</v>
      </c>
    </row>
    <row r="742" spans="2:28" x14ac:dyDescent="0.3">
      <c r="B742" s="31" t="s">
        <v>1085</v>
      </c>
      <c r="C742" s="183">
        <f>'QoL input'!C25</f>
        <v>8.9999999999999993E-3</v>
      </c>
      <c r="D742" s="183">
        <f>'QoL input'!D25</f>
        <v>7.0000000000000001E-3</v>
      </c>
      <c r="E742" s="183">
        <f>'QoL input'!E25</f>
        <v>1.0999999999999999E-2</v>
      </c>
      <c r="F742" s="156">
        <f t="shared" si="460"/>
        <v>1.020408163265306E-3</v>
      </c>
      <c r="G742" s="161" t="s">
        <v>578</v>
      </c>
      <c r="H742" s="162">
        <f t="shared" si="458"/>
        <v>77.083268400000009</v>
      </c>
      <c r="I742" s="162">
        <f t="shared" si="459"/>
        <v>8487.7243316000022</v>
      </c>
      <c r="J742" s="70">
        <f ca="1">IF(F742=0,C742,IF(G742="Beta",_xlfn.BETA.INV(J738,H742,I742),IF(G742="Lognormal",EXP(NORMINV(J738,H742,I742)),IF(G742="Gamma",_xlfn.GAMMA.INV(J738,H742,I742),IF(G742="Normal",_xlfn.NORM.INV(J738,H742,I742),0)))))</f>
        <v>8.6038294738183738E-3</v>
      </c>
      <c r="AB742" s="67"/>
    </row>
    <row r="743" spans="2:28" x14ac:dyDescent="0.3">
      <c r="B743" s="31" t="s">
        <v>1086</v>
      </c>
      <c r="C743" s="183">
        <f>'QoL input'!C26</f>
        <v>8.9999999999999993E-3</v>
      </c>
      <c r="D743" s="183">
        <f>'QoL input'!D26</f>
        <v>7.0000000000000001E-3</v>
      </c>
      <c r="E743" s="183">
        <f>'QoL input'!E26</f>
        <v>1.0999999999999999E-2</v>
      </c>
      <c r="F743" s="156">
        <f t="shared" si="460"/>
        <v>1.020408163265306E-3</v>
      </c>
      <c r="G743" s="161" t="s">
        <v>578</v>
      </c>
      <c r="H743" s="162">
        <f t="shared" si="458"/>
        <v>77.083268400000009</v>
      </c>
      <c r="I743" s="162">
        <f t="shared" si="459"/>
        <v>8487.7243316000022</v>
      </c>
      <c r="J743" s="70">
        <f ca="1">IF(F743=0,C743,IF(G743="Beta",_xlfn.BETA.INV(J738,H743,I743),IF(G743="Lognormal",EXP(NORMINV(J738,H743,I743)),IF(G743="Gamma",_xlfn.GAMMA.INV(J738,H743,I743),IF(G743="Normal",_xlfn.NORM.INV(J738,H743,I743),0)))))</f>
        <v>8.6038294738183738E-3</v>
      </c>
    </row>
    <row r="744" spans="2:28" x14ac:dyDescent="0.3">
      <c r="B744" s="31" t="s">
        <v>1087</v>
      </c>
      <c r="C744" s="183">
        <f>'QoL input'!C27</f>
        <v>8.9999999999999993E-3</v>
      </c>
      <c r="D744" s="183">
        <f>'QoL input'!D27</f>
        <v>7.0000000000000001E-3</v>
      </c>
      <c r="E744" s="183">
        <f>'QoL input'!E27</f>
        <v>1.0999999999999999E-2</v>
      </c>
      <c r="F744" s="156">
        <f t="shared" si="460"/>
        <v>1.020408163265306E-3</v>
      </c>
      <c r="G744" s="161" t="s">
        <v>578</v>
      </c>
      <c r="H744" s="162">
        <f t="shared" si="458"/>
        <v>77.083268400000009</v>
      </c>
      <c r="I744" s="162">
        <f t="shared" si="459"/>
        <v>8487.7243316000022</v>
      </c>
      <c r="J744" s="70">
        <f ca="1">IF(F744=0,C744,IF(G744="Beta",_xlfn.BETA.INV(J738,H744,I744),IF(G744="Lognormal",EXP(NORMINV(J738,H744,I744)),IF(G744="Gamma",_xlfn.GAMMA.INV(J738,H744,I744),IF(G744="Normal",_xlfn.NORM.INV(J738,H744,I744),0)))))</f>
        <v>8.6038294738183738E-3</v>
      </c>
    </row>
    <row r="745" spans="2:28" x14ac:dyDescent="0.3">
      <c r="B745" s="31" t="s">
        <v>1443</v>
      </c>
      <c r="C745" s="183">
        <f>'QoL input'!C28</f>
        <v>8.9999999999999993E-3</v>
      </c>
      <c r="D745" s="183">
        <f>'QoL input'!D28</f>
        <v>7.0000000000000001E-3</v>
      </c>
      <c r="E745" s="183">
        <f>'QoL input'!E28</f>
        <v>1.0999999999999999E-2</v>
      </c>
      <c r="F745" s="156">
        <f t="shared" si="460"/>
        <v>1.020408163265306E-3</v>
      </c>
      <c r="G745" s="161" t="s">
        <v>578</v>
      </c>
      <c r="H745" s="162">
        <f t="shared" si="458"/>
        <v>77.083268400000009</v>
      </c>
      <c r="I745" s="162">
        <f t="shared" si="459"/>
        <v>8487.7243316000022</v>
      </c>
      <c r="J745" s="70">
        <f ca="1">IF(F745=0,C745,IF(G745="Beta",_xlfn.BETA.INV(J738,H745,I745),IF(G745="Lognormal",EXP(NORMINV(J738,H745,I745)),IF(G745="Gamma",_xlfn.GAMMA.INV(J738,H745,I745),IF(G745="Normal",_xlfn.NORM.INV(J738,H745,I745),0)))))</f>
        <v>8.6038294738183738E-3</v>
      </c>
    </row>
    <row r="746" spans="2:28" x14ac:dyDescent="0.3">
      <c r="B746" s="151" t="s">
        <v>227</v>
      </c>
      <c r="H746" s="162"/>
      <c r="I746" s="162"/>
      <c r="J746" s="291">
        <f ca="1">RAND()</f>
        <v>0.86179564926558772</v>
      </c>
    </row>
    <row r="747" spans="2:28" x14ac:dyDescent="0.3">
      <c r="B747" s="31" t="s">
        <v>1437</v>
      </c>
      <c r="C747" s="183">
        <f>'QoL input'!C30</f>
        <v>8.9999999999999993E-3</v>
      </c>
      <c r="D747" s="183">
        <f>'QoL input'!D30</f>
        <v>7.0000000000000001E-3</v>
      </c>
      <c r="E747" s="183">
        <f>'QoL input'!E30</f>
        <v>1.0999999999999999E-2</v>
      </c>
      <c r="F747" s="156">
        <f t="shared" ref="F747:F748" si="461">(E747-D747)/(2*1.96)</f>
        <v>1.020408163265306E-3</v>
      </c>
      <c r="G747" s="161" t="s">
        <v>578</v>
      </c>
      <c r="H747" s="162">
        <f t="shared" ref="H747:H748" si="462">IF(G747="Beta",C747*(C747*(1-C747)/(F747^2)-1),IF(G747="Lognormal",LN(C747^2/SQRT(F747^2+C747^2)),IF(G747="Gamma",C747^2/F747^2,IF(G747="Normal",C747,0))))</f>
        <v>77.083268400000009</v>
      </c>
      <c r="I747" s="162">
        <f t="shared" ref="I747:I748" si="463">IF(G747="Beta",C747*(1-C747)/(F747^2)-1-H747,IF(G747="Lognormal",SQRT(LN(1+F747^2/C747^2)),IF(G747="Gamma",F747^2/C747,IF(G747="Normal",F747,0))))</f>
        <v>8487.7243316000022</v>
      </c>
      <c r="J747" s="70">
        <f ca="1">IF(F747=0,C747,IF(G747="Beta",_xlfn.BETA.INV(J$293,H747,I747),IF(G747="Lognormal",EXP(NORMINV(J$293,H747,I747)),IF(G747="Gamma",_xlfn.GAMMA.INV(J$293,H747,I747),IF(G747="Normal",_xlfn.NORM.INV(J$293,H747,I747),0)))))</f>
        <v>1.0846488989634917E-2</v>
      </c>
    </row>
    <row r="748" spans="2:28" x14ac:dyDescent="0.3">
      <c r="B748" s="31" t="s">
        <v>1438</v>
      </c>
      <c r="C748" s="183">
        <f>'QoL input'!C31</f>
        <v>8.9999999999999993E-3</v>
      </c>
      <c r="D748" s="183">
        <f>'QoL input'!D31</f>
        <v>7.0000000000000001E-3</v>
      </c>
      <c r="E748" s="183">
        <f>'QoL input'!E31</f>
        <v>1.0999999999999999E-2</v>
      </c>
      <c r="F748" s="156">
        <f t="shared" si="461"/>
        <v>1.020408163265306E-3</v>
      </c>
      <c r="G748" s="161" t="s">
        <v>578</v>
      </c>
      <c r="H748" s="162">
        <f t="shared" si="462"/>
        <v>77.083268400000009</v>
      </c>
      <c r="I748" s="162">
        <f t="shared" si="463"/>
        <v>8487.7243316000022</v>
      </c>
      <c r="J748" s="70">
        <f ca="1">IF(F748=0,C748,IF(G748="Beta",_xlfn.BETA.INV(J$293,H748,I748),IF(G748="Lognormal",EXP(NORMINV(J$293,H748,I748)),IF(G748="Gamma",_xlfn.GAMMA.INV(J$293,H748,I748),IF(G748="Normal",_xlfn.NORM.INV(J$293,H748,I748),0)))))</f>
        <v>1.0846488989634917E-2</v>
      </c>
    </row>
    <row r="749" spans="2:28" x14ac:dyDescent="0.3">
      <c r="B749" s="31" t="s">
        <v>1441</v>
      </c>
      <c r="C749" s="183">
        <f>'QoL input'!C32</f>
        <v>8.9999999999999993E-3</v>
      </c>
      <c r="D749" s="183">
        <f>'QoL input'!D32</f>
        <v>7.0000000000000001E-3</v>
      </c>
      <c r="E749" s="183">
        <f>'QoL input'!E32</f>
        <v>1.0999999999999999E-2</v>
      </c>
      <c r="F749" s="156">
        <f t="shared" si="455"/>
        <v>1.020408163265306E-3</v>
      </c>
      <c r="G749" s="161" t="s">
        <v>578</v>
      </c>
      <c r="H749" s="162">
        <f t="shared" si="456"/>
        <v>77.083268400000009</v>
      </c>
      <c r="I749" s="162">
        <f t="shared" si="457"/>
        <v>8487.7243316000022</v>
      </c>
      <c r="J749" s="70">
        <f t="shared" ref="J749:J753" ca="1" si="464">IF(F749=0,C749,IF(G749="Beta",_xlfn.BETA.INV(J$293,H749,I749),IF(G749="Lognormal",EXP(NORMINV(J$293,H749,I749)),IF(G749="Gamma",_xlfn.GAMMA.INV(J$293,H749,I749),IF(G749="Normal",_xlfn.NORM.INV(J$293,H749,I749),0)))))</f>
        <v>1.0846488989634917E-2</v>
      </c>
    </row>
    <row r="750" spans="2:28" x14ac:dyDescent="0.3">
      <c r="B750" s="31" t="s">
        <v>1442</v>
      </c>
      <c r="C750" s="183">
        <f>'QoL input'!C33</f>
        <v>8.9999999999999993E-3</v>
      </c>
      <c r="D750" s="183">
        <f>'QoL input'!D33</f>
        <v>7.0000000000000001E-3</v>
      </c>
      <c r="E750" s="183">
        <f>'QoL input'!E33</f>
        <v>1.0999999999999999E-2</v>
      </c>
      <c r="F750" s="156">
        <f t="shared" si="455"/>
        <v>1.020408163265306E-3</v>
      </c>
      <c r="G750" s="161" t="s">
        <v>578</v>
      </c>
      <c r="H750" s="162">
        <f t="shared" si="456"/>
        <v>77.083268400000009</v>
      </c>
      <c r="I750" s="162">
        <f t="shared" si="457"/>
        <v>8487.7243316000022</v>
      </c>
      <c r="J750" s="70">
        <f t="shared" ca="1" si="464"/>
        <v>1.0846488989634917E-2</v>
      </c>
    </row>
    <row r="751" spans="2:28" x14ac:dyDescent="0.3">
      <c r="B751" s="151" t="s">
        <v>920</v>
      </c>
      <c r="C751" s="162"/>
      <c r="D751" s="162"/>
      <c r="E751" s="162"/>
      <c r="F751" s="162"/>
      <c r="G751" s="162"/>
      <c r="H751" s="162"/>
      <c r="I751" s="162"/>
      <c r="J751" s="291">
        <f ca="1">RAND()</f>
        <v>0.23207964017767679</v>
      </c>
    </row>
    <row r="752" spans="2:28" x14ac:dyDescent="0.3">
      <c r="B752" s="31" t="s">
        <v>920</v>
      </c>
      <c r="C752" s="183">
        <f>'QoL input'!C35</f>
        <v>8.9999999999999993E-3</v>
      </c>
      <c r="D752" s="183">
        <f>'QoL input'!D35</f>
        <v>7.0000000000000001E-3</v>
      </c>
      <c r="E752" s="183">
        <f>'QoL input'!E35</f>
        <v>1.0999999999999999E-2</v>
      </c>
      <c r="F752" s="156">
        <f t="shared" si="455"/>
        <v>1.020408163265306E-3</v>
      </c>
      <c r="G752" s="161" t="s">
        <v>578</v>
      </c>
      <c r="H752" s="162">
        <f t="shared" si="456"/>
        <v>77.083268400000009</v>
      </c>
      <c r="I752" s="162">
        <f t="shared" si="457"/>
        <v>8487.7243316000022</v>
      </c>
      <c r="J752" s="70">
        <f t="shared" ca="1" si="464"/>
        <v>1.0846488989634917E-2</v>
      </c>
    </row>
    <row r="753" spans="2:12" x14ac:dyDescent="0.3">
      <c r="B753" s="31" t="s">
        <v>980</v>
      </c>
      <c r="C753" s="183">
        <f>'QoL input'!C36</f>
        <v>8.9999999999999993E-3</v>
      </c>
      <c r="D753" s="183">
        <f>'QoL input'!D36</f>
        <v>7.0000000000000001E-3</v>
      </c>
      <c r="E753" s="183">
        <f>'QoL input'!E36</f>
        <v>1.0999999999999999E-2</v>
      </c>
      <c r="F753" s="156">
        <f t="shared" si="455"/>
        <v>1.020408163265306E-3</v>
      </c>
      <c r="G753" s="161" t="s">
        <v>578</v>
      </c>
      <c r="H753" s="162">
        <f t="shared" si="456"/>
        <v>77.083268400000009</v>
      </c>
      <c r="I753" s="162">
        <f t="shared" si="457"/>
        <v>8487.7243316000022</v>
      </c>
      <c r="J753" s="70">
        <f t="shared" ca="1" si="464"/>
        <v>1.0846488989634917E-2</v>
      </c>
    </row>
    <row r="754" spans="2:12" x14ac:dyDescent="0.3">
      <c r="B754" s="31"/>
      <c r="C754" s="169"/>
      <c r="D754" s="169"/>
      <c r="E754" s="169"/>
    </row>
    <row r="755" spans="2:12" x14ac:dyDescent="0.3">
      <c r="B755" s="172" t="s">
        <v>1010</v>
      </c>
      <c r="C755" s="170"/>
      <c r="D755" s="170"/>
      <c r="E755" s="170"/>
      <c r="F755" s="33"/>
      <c r="G755" s="84"/>
      <c r="H755" s="84"/>
      <c r="I755" s="84"/>
      <c r="J755" s="84"/>
    </row>
    <row r="756" spans="2:12" x14ac:dyDescent="0.3">
      <c r="B756" s="19" t="s">
        <v>1012</v>
      </c>
      <c r="C756" s="182"/>
      <c r="D756" s="182"/>
      <c r="E756" s="182"/>
      <c r="F756" s="73"/>
      <c r="G756" s="73"/>
      <c r="H756" s="73"/>
      <c r="I756" s="73"/>
      <c r="J756" s="73"/>
    </row>
    <row r="757" spans="2:12" x14ac:dyDescent="0.3">
      <c r="B757" s="159" t="s">
        <v>1</v>
      </c>
      <c r="C757" s="159" t="s">
        <v>567</v>
      </c>
      <c r="D757" s="159" t="s">
        <v>985</v>
      </c>
      <c r="E757" s="159" t="s">
        <v>986</v>
      </c>
      <c r="F757" s="73" t="s">
        <v>584</v>
      </c>
      <c r="G757" s="73" t="s">
        <v>569</v>
      </c>
      <c r="H757" s="73" t="s">
        <v>581</v>
      </c>
      <c r="I757" s="73" t="s">
        <v>582</v>
      </c>
      <c r="J757" s="73" t="s">
        <v>583</v>
      </c>
    </row>
    <row r="758" spans="2:12" x14ac:dyDescent="0.3">
      <c r="B758" s="150" t="s">
        <v>988</v>
      </c>
      <c r="C758" s="197"/>
      <c r="D758" s="197"/>
      <c r="E758" s="197"/>
      <c r="J758" s="291">
        <f ca="1">RAND()</f>
        <v>0.89639385035049857</v>
      </c>
    </row>
    <row r="759" spans="2:12" x14ac:dyDescent="0.3">
      <c r="B759" s="31" t="s">
        <v>1082</v>
      </c>
      <c r="C759" s="183">
        <f>'QoL input'!O45</f>
        <v>3.1E-2</v>
      </c>
      <c r="D759" s="183">
        <f>'QoL input'!P45</f>
        <v>2.5000000000000001E-2</v>
      </c>
      <c r="E759" s="183">
        <f>'QoL input'!Q45</f>
        <v>3.6999999999999998E-2</v>
      </c>
      <c r="F759" s="156">
        <f>(E759-D759)/(2*1.96)</f>
        <v>3.0612244897959178E-3</v>
      </c>
      <c r="G759" s="161" t="s">
        <v>578</v>
      </c>
      <c r="H759" s="162">
        <f t="shared" ref="H759" si="465">IF(G759="Beta",C759*(C759*(1-C759)/(F759^2)-1),IF(G759="Lognormal",LN(C759^2/SQRT(F759^2+C759^2)),IF(G759="Gamma",C759^2/F759^2,IF(G759="Normal",C759,0))))</f>
        <v>99.339347066666704</v>
      </c>
      <c r="I759" s="162">
        <f t="shared" ref="I759" si="466">IF(G759="Beta",C759*(1-C759)/(F759^2)-1-H759,IF(G759="Lognormal",SQRT(LN(1+F759^2/C759^2)),IF(G759="Gamma",F759^2/C759,IF(G759="Normal",F759,0))))</f>
        <v>3105.1557196000012</v>
      </c>
      <c r="J759" s="70">
        <f ca="1">IF(F759=0,C759,IF(G759="Beta",_xlfn.BETA.INV(J758,H759,I759),IF(G759="Lognormal",EXP(NORMINV(J758,H759,I759)),IF(G759="Gamma",_xlfn.GAMMA.INV(J758,H759,I759),IF(G759="Normal",_xlfn.NORM.INV(J758,H759,I759),0)))))</f>
        <v>3.4913808309777195E-2</v>
      </c>
    </row>
    <row r="760" spans="2:12" x14ac:dyDescent="0.3">
      <c r="B760" s="31" t="s">
        <v>1083</v>
      </c>
      <c r="C760" s="183">
        <f>'QoL input'!O46</f>
        <v>3.1E-2</v>
      </c>
      <c r="D760" s="183">
        <f>'QoL input'!P46</f>
        <v>2.5000000000000001E-2</v>
      </c>
      <c r="E760" s="183">
        <f>'QoL input'!Q46</f>
        <v>3.6999999999999998E-2</v>
      </c>
      <c r="F760" s="156">
        <f t="shared" ref="F760:F781" si="467">(E760-D760)/(2*1.96)</f>
        <v>3.0612244897959178E-3</v>
      </c>
      <c r="G760" s="161" t="s">
        <v>578</v>
      </c>
      <c r="H760" s="162">
        <f t="shared" ref="H760:H781" si="468">IF(G760="Beta",C760*(C760*(1-C760)/(F760^2)-1),IF(G760="Lognormal",LN(C760^2/SQRT(F760^2+C760^2)),IF(G760="Gamma",C760^2/F760^2,IF(G760="Normal",C760,0))))</f>
        <v>99.339347066666704</v>
      </c>
      <c r="I760" s="162">
        <f t="shared" ref="I760:I781" si="469">IF(G760="Beta",C760*(1-C760)/(F760^2)-1-H760,IF(G760="Lognormal",SQRT(LN(1+F760^2/C760^2)),IF(G760="Gamma",F760^2/C760,IF(G760="Normal",F760,0))))</f>
        <v>3105.1557196000012</v>
      </c>
      <c r="J760" s="70">
        <f ca="1">IF(F760=0,C760,IF(G760="Beta",_xlfn.BETA.INV(J758,H760,I760),IF(G760="Lognormal",EXP(NORMINV(J758,H760,I760)),IF(G760="Gamma",_xlfn.GAMMA.INV(J758,H760,I760),IF(G760="Normal",_xlfn.NORM.INV(J758,H760,I760),0)))))</f>
        <v>3.4913808309777195E-2</v>
      </c>
    </row>
    <row r="761" spans="2:12" x14ac:dyDescent="0.3">
      <c r="B761" s="31" t="s">
        <v>1084</v>
      </c>
      <c r="C761" s="183">
        <f>'QoL input'!O47</f>
        <v>3.1E-2</v>
      </c>
      <c r="D761" s="183">
        <f>'QoL input'!P47</f>
        <v>2.5000000000000001E-2</v>
      </c>
      <c r="E761" s="183">
        <f>'QoL input'!Q47</f>
        <v>3.6999999999999998E-2</v>
      </c>
      <c r="F761" s="156">
        <f t="shared" si="467"/>
        <v>3.0612244897959178E-3</v>
      </c>
      <c r="G761" s="161" t="s">
        <v>578</v>
      </c>
      <c r="H761" s="162">
        <f t="shared" si="468"/>
        <v>99.339347066666704</v>
      </c>
      <c r="I761" s="162">
        <f t="shared" si="469"/>
        <v>3105.1557196000012</v>
      </c>
      <c r="J761" s="70">
        <f ca="1">IF(F761=0,C761,IF(G761="Beta",_xlfn.BETA.INV(J758,H761,I761),IF(G761="Lognormal",EXP(NORMINV(J758,H761,I761)),IF(G761="Gamma",_xlfn.GAMMA.INV(J758,H761,I761),IF(G761="Normal",_xlfn.NORM.INV(J758,H761,I761),0)))))</f>
        <v>3.4913808309777195E-2</v>
      </c>
    </row>
    <row r="762" spans="2:12" x14ac:dyDescent="0.3">
      <c r="B762" s="31" t="s">
        <v>1085</v>
      </c>
      <c r="C762" s="183">
        <f>'QoL input'!O48</f>
        <v>3.1E-2</v>
      </c>
      <c r="D762" s="183">
        <f>'QoL input'!P48</f>
        <v>2.5000000000000001E-2</v>
      </c>
      <c r="E762" s="183">
        <f>'QoL input'!Q48</f>
        <v>3.6999999999999998E-2</v>
      </c>
      <c r="F762" s="156">
        <f t="shared" si="467"/>
        <v>3.0612244897959178E-3</v>
      </c>
      <c r="G762" s="161" t="s">
        <v>578</v>
      </c>
      <c r="H762" s="162">
        <f t="shared" si="468"/>
        <v>99.339347066666704</v>
      </c>
      <c r="I762" s="162">
        <f t="shared" si="469"/>
        <v>3105.1557196000012</v>
      </c>
      <c r="J762" s="70">
        <f ca="1">IF(F762=0,C762,IF(G762="Beta",_xlfn.BETA.INV(J758,H762,I762),IF(G762="Lognormal",EXP(NORMINV(J758,H762,I762)),IF(G762="Gamma",_xlfn.GAMMA.INV(J758,H762,I762),IF(G762="Normal",_xlfn.NORM.INV(J758,H762,I762),0)))))</f>
        <v>3.4913808309777195E-2</v>
      </c>
    </row>
    <row r="763" spans="2:12" x14ac:dyDescent="0.3">
      <c r="B763" s="31" t="s">
        <v>1086</v>
      </c>
      <c r="C763" s="183">
        <f>'QoL input'!O49</f>
        <v>3.1E-2</v>
      </c>
      <c r="D763" s="183">
        <f>'QoL input'!P49</f>
        <v>2.5000000000000001E-2</v>
      </c>
      <c r="E763" s="183">
        <f>'QoL input'!Q49</f>
        <v>3.6999999999999998E-2</v>
      </c>
      <c r="F763" s="156">
        <f t="shared" si="467"/>
        <v>3.0612244897959178E-3</v>
      </c>
      <c r="G763" s="161" t="s">
        <v>578</v>
      </c>
      <c r="H763" s="162">
        <f t="shared" si="468"/>
        <v>99.339347066666704</v>
      </c>
      <c r="I763" s="162">
        <f t="shared" si="469"/>
        <v>3105.1557196000012</v>
      </c>
      <c r="J763" s="70">
        <f ca="1">IF(F763=0,C763,IF(G763="Beta",_xlfn.BETA.INV(J758,H763,I763),IF(G763="Lognormal",EXP(NORMINV(J758,H763,I763)),IF(G763="Gamma",_xlfn.GAMMA.INV(J758,H763,I763),IF(G763="Normal",_xlfn.NORM.INV(J758,H763,I763),0)))))</f>
        <v>3.4913808309777195E-2</v>
      </c>
    </row>
    <row r="764" spans="2:12" x14ac:dyDescent="0.3">
      <c r="B764" s="31" t="s">
        <v>1087</v>
      </c>
      <c r="C764" s="183">
        <f>'QoL input'!O50</f>
        <v>3.1E-2</v>
      </c>
      <c r="D764" s="183">
        <f>'QoL input'!P50</f>
        <v>2.5000000000000001E-2</v>
      </c>
      <c r="E764" s="183">
        <f>'QoL input'!Q50</f>
        <v>3.6999999999999998E-2</v>
      </c>
      <c r="F764" s="156">
        <f t="shared" si="467"/>
        <v>3.0612244897959178E-3</v>
      </c>
      <c r="G764" s="161" t="s">
        <v>578</v>
      </c>
      <c r="H764" s="162">
        <f t="shared" si="468"/>
        <v>99.339347066666704</v>
      </c>
      <c r="I764" s="162">
        <f t="shared" si="469"/>
        <v>3105.1557196000012</v>
      </c>
      <c r="J764" s="70">
        <f ca="1">IF(F764=0,C764,IF(G764="Beta",_xlfn.BETA.INV(J758,H764,I764),IF(G764="Lognormal",EXP(NORMINV(J758,H764,I764)),IF(G764="Gamma",_xlfn.GAMMA.INV(J758,H764,I764),IF(G764="Normal",_xlfn.NORM.INV(J758,H764,I764),0)))))</f>
        <v>3.4913808309777195E-2</v>
      </c>
    </row>
    <row r="765" spans="2:12" x14ac:dyDescent="0.3">
      <c r="B765" s="31" t="s">
        <v>1443</v>
      </c>
      <c r="C765" s="183">
        <f>'QoL input'!O51</f>
        <v>3.1E-2</v>
      </c>
      <c r="D765" s="183">
        <f>'QoL input'!P51</f>
        <v>2.5000000000000001E-2</v>
      </c>
      <c r="E765" s="183">
        <f>'QoL input'!Q51</f>
        <v>3.6999999999999998E-2</v>
      </c>
      <c r="F765" s="156">
        <f t="shared" si="467"/>
        <v>3.0612244897959178E-3</v>
      </c>
      <c r="G765" s="161" t="s">
        <v>578</v>
      </c>
      <c r="H765" s="162">
        <f t="shared" si="468"/>
        <v>99.339347066666704</v>
      </c>
      <c r="I765" s="162">
        <f t="shared" si="469"/>
        <v>3105.1557196000012</v>
      </c>
      <c r="J765" s="70">
        <f ca="1">IF(F765=0,C765,IF(G765="Beta",_xlfn.BETA.INV(J758,H765,I765),IF(G765="Lognormal",EXP(NORMINV(J758,H765,I765)),IF(G765="Gamma",_xlfn.GAMMA.INV(J758,H765,I765),IF(G765="Normal",_xlfn.NORM.INV(J758,H765,I765),0)))))</f>
        <v>3.4913808309777195E-2</v>
      </c>
    </row>
    <row r="766" spans="2:12" x14ac:dyDescent="0.3">
      <c r="B766" s="150" t="s">
        <v>1444</v>
      </c>
      <c r="H766" s="141"/>
      <c r="I766" s="141"/>
      <c r="J766" s="291">
        <f ca="1">RAND()</f>
        <v>0.60210127681304315</v>
      </c>
      <c r="L766" s="79" t="s">
        <v>679</v>
      </c>
    </row>
    <row r="767" spans="2:12" x14ac:dyDescent="0.3">
      <c r="B767" s="31" t="s">
        <v>1082</v>
      </c>
      <c r="C767" s="183">
        <f>'QoL input'!O53</f>
        <v>3.1E-2</v>
      </c>
      <c r="D767" s="183">
        <f>'QoL input'!P53</f>
        <v>2.5000000000000001E-2</v>
      </c>
      <c r="E767" s="183">
        <f>'QoL input'!Q53</f>
        <v>3.6999999999999998E-2</v>
      </c>
      <c r="F767" s="156">
        <f>(E767-D767)/(2*1.96)</f>
        <v>3.0612244897959178E-3</v>
      </c>
      <c r="G767" s="161" t="s">
        <v>578</v>
      </c>
      <c r="H767" s="162">
        <f t="shared" ref="H767:H773" si="470">IF(G767="Beta",C767*(C767*(1-C767)/(F767^2)-1),IF(G767="Lognormal",LN(C767^2/SQRT(F767^2+C767^2)),IF(G767="Gamma",C767^2/F767^2,IF(G767="Normal",C767,0))))</f>
        <v>99.339347066666704</v>
      </c>
      <c r="I767" s="162">
        <f t="shared" ref="I767:I773" si="471">IF(G767="Beta",C767*(1-C767)/(F767^2)-1-H767,IF(G767="Lognormal",SQRT(LN(1+F767^2/C767^2)),IF(G767="Gamma",F767^2/C767,IF(G767="Normal",F767,0))))</f>
        <v>3105.1557196000012</v>
      </c>
      <c r="J767" s="70">
        <f ca="1">IF(F767=0,C767,IF(G767="Beta",_xlfn.BETA.INV(J766,H767,I767),IF(G767="Lognormal",EXP(NORMINV(J766,H767,I767)),IF(G767="Gamma",_xlfn.GAMMA.INV(J766,H767,I767),IF(G767="Normal",_xlfn.NORM.INV(J766,H767,I767),0)))))</f>
        <v>3.1700004093948242E-2</v>
      </c>
    </row>
    <row r="768" spans="2:12" x14ac:dyDescent="0.3">
      <c r="B768" s="31" t="s">
        <v>1083</v>
      </c>
      <c r="C768" s="183">
        <f>'QoL input'!O54</f>
        <v>3.1E-2</v>
      </c>
      <c r="D768" s="183">
        <f>'QoL input'!P54</f>
        <v>2.5000000000000001E-2</v>
      </c>
      <c r="E768" s="183">
        <f>'QoL input'!Q54</f>
        <v>3.6999999999999998E-2</v>
      </c>
      <c r="F768" s="156">
        <f t="shared" ref="F768:F773" si="472">(E768-D768)/(2*1.96)</f>
        <v>3.0612244897959178E-3</v>
      </c>
      <c r="G768" s="161" t="s">
        <v>578</v>
      </c>
      <c r="H768" s="162">
        <f t="shared" si="470"/>
        <v>99.339347066666704</v>
      </c>
      <c r="I768" s="162">
        <f t="shared" si="471"/>
        <v>3105.1557196000012</v>
      </c>
      <c r="J768" s="70">
        <f ca="1">IF(F768=0,C768,IF(G768="Beta",_xlfn.BETA.INV(J766,H768,I768),IF(G768="Lognormal",EXP(NORMINV(J766,H768,I768)),IF(G768="Gamma",_xlfn.GAMMA.INV(J766,H768,I768),IF(G768="Normal",_xlfn.NORM.INV(J766,H768,I768),0)))))</f>
        <v>3.1700004093948242E-2</v>
      </c>
    </row>
    <row r="769" spans="1:28" x14ac:dyDescent="0.3">
      <c r="B769" s="31" t="s">
        <v>1084</v>
      </c>
      <c r="C769" s="183">
        <f>'QoL input'!O55</f>
        <v>3.1E-2</v>
      </c>
      <c r="D769" s="183">
        <f>'QoL input'!P55</f>
        <v>2.5000000000000001E-2</v>
      </c>
      <c r="E769" s="183">
        <f>'QoL input'!Q55</f>
        <v>3.6999999999999998E-2</v>
      </c>
      <c r="F769" s="156">
        <f t="shared" si="472"/>
        <v>3.0612244897959178E-3</v>
      </c>
      <c r="G769" s="161" t="s">
        <v>578</v>
      </c>
      <c r="H769" s="162">
        <f t="shared" si="470"/>
        <v>99.339347066666704</v>
      </c>
      <c r="I769" s="162">
        <f t="shared" si="471"/>
        <v>3105.1557196000012</v>
      </c>
      <c r="J769" s="70">
        <f ca="1">IF(F769=0,C769,IF(G769="Beta",_xlfn.BETA.INV(J766,H769,I769),IF(G769="Lognormal",EXP(NORMINV(J766,H769,I769)),IF(G769="Gamma",_xlfn.GAMMA.INV(J766,H769,I769),IF(G769="Normal",_xlfn.NORM.INV(J766,H769,I769),0)))))</f>
        <v>3.1700004093948242E-2</v>
      </c>
    </row>
    <row r="770" spans="1:28" x14ac:dyDescent="0.3">
      <c r="B770" s="31" t="s">
        <v>1085</v>
      </c>
      <c r="C770" s="183">
        <f>'QoL input'!O56</f>
        <v>3.1E-2</v>
      </c>
      <c r="D770" s="183">
        <f>'QoL input'!P56</f>
        <v>2.5000000000000001E-2</v>
      </c>
      <c r="E770" s="183">
        <f>'QoL input'!Q56</f>
        <v>3.6999999999999998E-2</v>
      </c>
      <c r="F770" s="156">
        <f t="shared" si="472"/>
        <v>3.0612244897959178E-3</v>
      </c>
      <c r="G770" s="161" t="s">
        <v>578</v>
      </c>
      <c r="H770" s="162">
        <f t="shared" si="470"/>
        <v>99.339347066666704</v>
      </c>
      <c r="I770" s="162">
        <f t="shared" si="471"/>
        <v>3105.1557196000012</v>
      </c>
      <c r="J770" s="70">
        <f ca="1">IF(F770=0,C770,IF(G770="Beta",_xlfn.BETA.INV(J766,H770,I770),IF(G770="Lognormal",EXP(NORMINV(J766,H770,I770)),IF(G770="Gamma",_xlfn.GAMMA.INV(J766,H770,I770),IF(G770="Normal",_xlfn.NORM.INV(J766,H770,I770),0)))))</f>
        <v>3.1700004093948242E-2</v>
      </c>
      <c r="AB770" s="67"/>
    </row>
    <row r="771" spans="1:28" x14ac:dyDescent="0.3">
      <c r="B771" s="31" t="s">
        <v>1086</v>
      </c>
      <c r="C771" s="183">
        <f>'QoL input'!O57</f>
        <v>3.1E-2</v>
      </c>
      <c r="D771" s="183">
        <f>'QoL input'!P57</f>
        <v>2.5000000000000001E-2</v>
      </c>
      <c r="E771" s="183">
        <f>'QoL input'!Q57</f>
        <v>3.6999999999999998E-2</v>
      </c>
      <c r="F771" s="156">
        <f t="shared" si="472"/>
        <v>3.0612244897959178E-3</v>
      </c>
      <c r="G771" s="161" t="s">
        <v>578</v>
      </c>
      <c r="H771" s="162">
        <f t="shared" si="470"/>
        <v>99.339347066666704</v>
      </c>
      <c r="I771" s="162">
        <f t="shared" si="471"/>
        <v>3105.1557196000012</v>
      </c>
      <c r="J771" s="70">
        <f ca="1">IF(F771=0,C771,IF(G771="Beta",_xlfn.BETA.INV(J766,H771,I771),IF(G771="Lognormal",EXP(NORMINV(J766,H771,I771)),IF(G771="Gamma",_xlfn.GAMMA.INV(J766,H771,I771),IF(G771="Normal",_xlfn.NORM.INV(J766,H771,I771),0)))))</f>
        <v>3.1700004093948242E-2</v>
      </c>
    </row>
    <row r="772" spans="1:28" x14ac:dyDescent="0.3">
      <c r="B772" s="31" t="s">
        <v>1087</v>
      </c>
      <c r="C772" s="183">
        <f>'QoL input'!O58</f>
        <v>3.1E-2</v>
      </c>
      <c r="D772" s="183">
        <f>'QoL input'!P58</f>
        <v>2.5000000000000001E-2</v>
      </c>
      <c r="E772" s="183">
        <f>'QoL input'!Q58</f>
        <v>3.6999999999999998E-2</v>
      </c>
      <c r="F772" s="156">
        <f t="shared" si="472"/>
        <v>3.0612244897959178E-3</v>
      </c>
      <c r="G772" s="161" t="s">
        <v>578</v>
      </c>
      <c r="H772" s="162">
        <f t="shared" si="470"/>
        <v>99.339347066666704</v>
      </c>
      <c r="I772" s="162">
        <f t="shared" si="471"/>
        <v>3105.1557196000012</v>
      </c>
      <c r="J772" s="70">
        <f ca="1">IF(F772=0,C772,IF(G772="Beta",_xlfn.BETA.INV(J766,H772,I772),IF(G772="Lognormal",EXP(NORMINV(J766,H772,I772)),IF(G772="Gamma",_xlfn.GAMMA.INV(J766,H772,I772),IF(G772="Normal",_xlfn.NORM.INV(J766,H772,I772),0)))))</f>
        <v>3.1700004093948242E-2</v>
      </c>
    </row>
    <row r="773" spans="1:28" x14ac:dyDescent="0.3">
      <c r="B773" s="31" t="s">
        <v>1443</v>
      </c>
      <c r="C773" s="183">
        <f>'QoL input'!O59</f>
        <v>3.1E-2</v>
      </c>
      <c r="D773" s="183">
        <f>'QoL input'!P59</f>
        <v>2.5000000000000001E-2</v>
      </c>
      <c r="E773" s="183">
        <f>'QoL input'!Q59</f>
        <v>3.6999999999999998E-2</v>
      </c>
      <c r="F773" s="156">
        <f t="shared" si="472"/>
        <v>3.0612244897959178E-3</v>
      </c>
      <c r="G773" s="161" t="s">
        <v>578</v>
      </c>
      <c r="H773" s="162">
        <f t="shared" si="470"/>
        <v>99.339347066666704</v>
      </c>
      <c r="I773" s="162">
        <f t="shared" si="471"/>
        <v>3105.1557196000012</v>
      </c>
      <c r="J773" s="70">
        <f ca="1">IF(F773=0,C773,IF(G773="Beta",_xlfn.BETA.INV(J766,H773,I773),IF(G773="Lognormal",EXP(NORMINV(J766,H773,I773)),IF(G773="Gamma",_xlfn.GAMMA.INV(J766,H773,I773),IF(G773="Normal",_xlfn.NORM.INV(J766,H773,I773),0)))))</f>
        <v>3.1700004093948242E-2</v>
      </c>
    </row>
    <row r="774" spans="1:28" x14ac:dyDescent="0.3">
      <c r="B774" s="151" t="s">
        <v>227</v>
      </c>
      <c r="H774" s="162"/>
      <c r="I774" s="162"/>
      <c r="J774" s="291">
        <f ca="1">RAND()</f>
        <v>0.45544745599296144</v>
      </c>
    </row>
    <row r="775" spans="1:28" x14ac:dyDescent="0.3">
      <c r="B775" s="31" t="s">
        <v>1437</v>
      </c>
      <c r="C775" s="183">
        <f>'QoL input'!O61</f>
        <v>3.1E-2</v>
      </c>
      <c r="D775" s="183">
        <f>'QoL input'!P61</f>
        <v>2.5000000000000001E-2</v>
      </c>
      <c r="E775" s="183">
        <f>'QoL input'!Q61</f>
        <v>3.6999999999999998E-2</v>
      </c>
      <c r="F775" s="156">
        <f t="shared" ref="F775:F776" si="473">(E775-D775)/(2*1.96)</f>
        <v>3.0612244897959178E-3</v>
      </c>
      <c r="G775" s="161" t="s">
        <v>578</v>
      </c>
      <c r="H775" s="162">
        <f t="shared" ref="H775:H776" si="474">IF(G775="Beta",C775*(C775*(1-C775)/(F775^2)-1),IF(G775="Lognormal",LN(C775^2/SQRT(F775^2+C775^2)),IF(G775="Gamma",C775^2/F775^2,IF(G775="Normal",C775,0))))</f>
        <v>99.339347066666704</v>
      </c>
      <c r="I775" s="162">
        <f t="shared" ref="I775:I776" si="475">IF(G775="Beta",C775*(1-C775)/(F775^2)-1-H775,IF(G775="Lognormal",SQRT(LN(1+F775^2/C775^2)),IF(G775="Gamma",F775^2/C775,IF(G775="Normal",F775,0))))</f>
        <v>3105.1557196000012</v>
      </c>
      <c r="J775" s="70">
        <f ca="1">IF(F775=0,C775,IF(G775="Beta",_xlfn.BETA.INV(J$293,H775,I775),IF(G775="Lognormal",EXP(NORMINV(J$293,H775,I775)),IF(G775="Gamma",_xlfn.GAMMA.INV(J$293,H775,I775),IF(G775="Normal",_xlfn.NORM.INV(J$293,H775,I775),0)))))</f>
        <v>3.6507154695097133E-2</v>
      </c>
    </row>
    <row r="776" spans="1:28" x14ac:dyDescent="0.3">
      <c r="B776" s="31" t="s">
        <v>1438</v>
      </c>
      <c r="C776" s="183">
        <f>'QoL input'!O62</f>
        <v>3.1E-2</v>
      </c>
      <c r="D776" s="183">
        <f>'QoL input'!P62</f>
        <v>2.5000000000000001E-2</v>
      </c>
      <c r="E776" s="183">
        <f>'QoL input'!Q62</f>
        <v>3.6999999999999998E-2</v>
      </c>
      <c r="F776" s="156">
        <f t="shared" si="473"/>
        <v>3.0612244897959178E-3</v>
      </c>
      <c r="G776" s="161" t="s">
        <v>578</v>
      </c>
      <c r="H776" s="162">
        <f t="shared" si="474"/>
        <v>99.339347066666704</v>
      </c>
      <c r="I776" s="162">
        <f t="shared" si="475"/>
        <v>3105.1557196000012</v>
      </c>
      <c r="J776" s="70">
        <f ca="1">IF(F776=0,C776,IF(G776="Beta",_xlfn.BETA.INV(J$293,H776,I776),IF(G776="Lognormal",EXP(NORMINV(J$293,H776,I776)),IF(G776="Gamma",_xlfn.GAMMA.INV(J$293,H776,I776),IF(G776="Normal",_xlfn.NORM.INV(J$293,H776,I776),0)))))</f>
        <v>3.6507154695097133E-2</v>
      </c>
    </row>
    <row r="777" spans="1:28" x14ac:dyDescent="0.3">
      <c r="B777" s="31" t="s">
        <v>1441</v>
      </c>
      <c r="C777" s="183">
        <f>'QoL input'!O63</f>
        <v>3.1E-2</v>
      </c>
      <c r="D777" s="183">
        <f>'QoL input'!P63</f>
        <v>2.5000000000000001E-2</v>
      </c>
      <c r="E777" s="183">
        <f>'QoL input'!Q63</f>
        <v>3.6999999999999998E-2</v>
      </c>
      <c r="F777" s="156">
        <f t="shared" si="467"/>
        <v>3.0612244897959178E-3</v>
      </c>
      <c r="G777" s="161" t="s">
        <v>578</v>
      </c>
      <c r="H777" s="162">
        <f t="shared" si="468"/>
        <v>99.339347066666704</v>
      </c>
      <c r="I777" s="162">
        <f t="shared" si="469"/>
        <v>3105.1557196000012</v>
      </c>
      <c r="J777" s="70">
        <f t="shared" ref="J777:J781" ca="1" si="476">IF(F777=0,C777,IF(G777="Beta",_xlfn.BETA.INV(J$293,H777,I777),IF(G777="Lognormal",EXP(NORMINV(J$293,H777,I777)),IF(G777="Gamma",_xlfn.GAMMA.INV(J$293,H777,I777),IF(G777="Normal",_xlfn.NORM.INV(J$293,H777,I777),0)))))</f>
        <v>3.6507154695097133E-2</v>
      </c>
    </row>
    <row r="778" spans="1:28" x14ac:dyDescent="0.3">
      <c r="B778" s="31" t="s">
        <v>1442</v>
      </c>
      <c r="C778" s="183">
        <f>'QoL input'!O64</f>
        <v>3.1E-2</v>
      </c>
      <c r="D778" s="183">
        <f>'QoL input'!P64</f>
        <v>2.5000000000000001E-2</v>
      </c>
      <c r="E778" s="183">
        <f>'QoL input'!Q64</f>
        <v>3.6999999999999998E-2</v>
      </c>
      <c r="F778" s="156">
        <f t="shared" si="467"/>
        <v>3.0612244897959178E-3</v>
      </c>
      <c r="G778" s="161" t="s">
        <v>578</v>
      </c>
      <c r="H778" s="162">
        <f t="shared" si="468"/>
        <v>99.339347066666704</v>
      </c>
      <c r="I778" s="162">
        <f t="shared" si="469"/>
        <v>3105.1557196000012</v>
      </c>
      <c r="J778" s="70">
        <f t="shared" ca="1" si="476"/>
        <v>3.6507154695097133E-2</v>
      </c>
    </row>
    <row r="779" spans="1:28" x14ac:dyDescent="0.3">
      <c r="B779" s="151" t="s">
        <v>920</v>
      </c>
      <c r="C779" s="162"/>
      <c r="D779" s="162"/>
      <c r="E779" s="162"/>
      <c r="F779" s="162"/>
      <c r="G779" s="162"/>
      <c r="H779" s="162"/>
      <c r="I779" s="162"/>
      <c r="J779" s="291">
        <f ca="1">RAND()</f>
        <v>0.82377165358172943</v>
      </c>
    </row>
    <row r="780" spans="1:28" x14ac:dyDescent="0.3">
      <c r="B780" s="31" t="s">
        <v>920</v>
      </c>
      <c r="C780" s="183">
        <f>'QoL input'!O66</f>
        <v>3.1E-2</v>
      </c>
      <c r="D780" s="183">
        <f>'QoL input'!P66</f>
        <v>2.5000000000000001E-2</v>
      </c>
      <c r="E780" s="183">
        <f>'QoL input'!Q66</f>
        <v>3.6999999999999998E-2</v>
      </c>
      <c r="F780" s="156">
        <f t="shared" si="467"/>
        <v>3.0612244897959178E-3</v>
      </c>
      <c r="G780" s="161" t="s">
        <v>578</v>
      </c>
      <c r="H780" s="162">
        <f t="shared" si="468"/>
        <v>99.339347066666704</v>
      </c>
      <c r="I780" s="162">
        <f t="shared" si="469"/>
        <v>3105.1557196000012</v>
      </c>
      <c r="J780" s="70">
        <f t="shared" ca="1" si="476"/>
        <v>3.6507154695097133E-2</v>
      </c>
    </row>
    <row r="781" spans="1:28" x14ac:dyDescent="0.3">
      <c r="B781" s="31" t="s">
        <v>980</v>
      </c>
      <c r="C781" s="183">
        <f>'QoL input'!O67</f>
        <v>3.1E-2</v>
      </c>
      <c r="D781" s="183">
        <f>'QoL input'!P67</f>
        <v>2.5000000000000001E-2</v>
      </c>
      <c r="E781" s="183">
        <f>'QoL input'!Q67</f>
        <v>3.6999999999999998E-2</v>
      </c>
      <c r="F781" s="156">
        <f t="shared" si="467"/>
        <v>3.0612244897959178E-3</v>
      </c>
      <c r="G781" s="161" t="s">
        <v>578</v>
      </c>
      <c r="H781" s="162">
        <f t="shared" si="468"/>
        <v>99.339347066666704</v>
      </c>
      <c r="I781" s="162">
        <f t="shared" si="469"/>
        <v>3105.1557196000012</v>
      </c>
      <c r="J781" s="70">
        <f t="shared" ca="1" si="476"/>
        <v>3.6507154695097133E-2</v>
      </c>
    </row>
    <row r="782" spans="1:28" s="597" customFormat="1" x14ac:dyDescent="0.3">
      <c r="A782"/>
      <c r="B782" s="31"/>
      <c r="C782" s="593"/>
      <c r="D782" s="593"/>
      <c r="E782" s="593"/>
      <c r="F782" s="594"/>
      <c r="G782" s="574"/>
      <c r="H782" s="595"/>
      <c r="I782" s="595"/>
      <c r="J782" s="596"/>
    </row>
    <row r="783" spans="1:28" x14ac:dyDescent="0.3">
      <c r="B783" s="172" t="s">
        <v>1493</v>
      </c>
      <c r="C783" s="170"/>
      <c r="D783" s="170"/>
      <c r="E783" s="170"/>
      <c r="F783" s="33"/>
      <c r="G783" s="84"/>
      <c r="H783" s="84"/>
      <c r="I783" s="84"/>
      <c r="J783" s="84"/>
      <c r="K783" s="154"/>
      <c r="L783" s="84"/>
      <c r="M783" s="84"/>
      <c r="N783" s="175"/>
      <c r="O783" s="175"/>
      <c r="P783" s="175"/>
      <c r="Q783" s="175"/>
      <c r="R783" s="175"/>
      <c r="S783" s="175"/>
      <c r="T783" s="175"/>
      <c r="U783" s="175"/>
    </row>
    <row r="784" spans="1:28" x14ac:dyDescent="0.3">
      <c r="B784" s="19" t="s">
        <v>1553</v>
      </c>
      <c r="C784" s="182"/>
      <c r="D784" s="182"/>
      <c r="E784" s="182"/>
      <c r="F784" s="73"/>
      <c r="G784" s="73"/>
      <c r="H784" s="73"/>
      <c r="I784" s="73"/>
      <c r="J784" s="73"/>
      <c r="K784" s="196"/>
      <c r="M784" s="19" t="s">
        <v>1552</v>
      </c>
      <c r="N784" s="24"/>
      <c r="O784" s="24"/>
      <c r="P784" s="24"/>
      <c r="Q784" s="24"/>
      <c r="R784" s="24"/>
      <c r="S784" s="24"/>
      <c r="T784" s="24"/>
      <c r="U784" s="24"/>
    </row>
    <row r="785" spans="2:28" x14ac:dyDescent="0.3">
      <c r="B785" s="159" t="s">
        <v>1</v>
      </c>
      <c r="C785" s="159" t="s">
        <v>567</v>
      </c>
      <c r="D785" s="159" t="s">
        <v>985</v>
      </c>
      <c r="E785" s="159" t="s">
        <v>986</v>
      </c>
      <c r="F785" s="73" t="s">
        <v>584</v>
      </c>
      <c r="G785" s="73" t="s">
        <v>569</v>
      </c>
      <c r="H785" s="73" t="s">
        <v>581</v>
      </c>
      <c r="I785" s="73" t="s">
        <v>582</v>
      </c>
      <c r="J785" s="73" t="s">
        <v>583</v>
      </c>
      <c r="M785" s="159" t="s">
        <v>1</v>
      </c>
      <c r="N785" s="159" t="s">
        <v>567</v>
      </c>
      <c r="O785" s="159" t="s">
        <v>985</v>
      </c>
      <c r="P785" s="159" t="s">
        <v>986</v>
      </c>
      <c r="Q785" s="73" t="s">
        <v>584</v>
      </c>
      <c r="R785" s="73" t="s">
        <v>569</v>
      </c>
      <c r="S785" s="73" t="s">
        <v>581</v>
      </c>
      <c r="T785" s="73" t="s">
        <v>582</v>
      </c>
      <c r="U785" s="73" t="s">
        <v>583</v>
      </c>
    </row>
    <row r="786" spans="2:28" x14ac:dyDescent="0.3">
      <c r="B786" s="150" t="s">
        <v>988</v>
      </c>
      <c r="C786" s="197"/>
      <c r="D786" s="197"/>
      <c r="E786" s="197"/>
      <c r="J786" s="291">
        <f ca="1">RAND()</f>
        <v>9.2874020429898896E-2</v>
      </c>
      <c r="M786" s="150" t="s">
        <v>988</v>
      </c>
      <c r="U786" s="291">
        <f>J787</f>
        <v>0</v>
      </c>
    </row>
    <row r="787" spans="2:28" x14ac:dyDescent="0.3">
      <c r="B787" s="31" t="s">
        <v>1082</v>
      </c>
      <c r="C787" s="183">
        <f>'QoL input'!O137</f>
        <v>0</v>
      </c>
      <c r="D787" s="183">
        <f>'QoL input'!P137</f>
        <v>0</v>
      </c>
      <c r="E787" s="183">
        <f>'QoL input'!Q137</f>
        <v>0</v>
      </c>
      <c r="F787" s="156">
        <f>(E787-D787)/(2*1.96)</f>
        <v>0</v>
      </c>
      <c r="G787" s="161" t="s">
        <v>578</v>
      </c>
      <c r="H787" s="162" t="e">
        <f t="shared" ref="H787:H793" si="477">IF(G787="Beta",C787*(C787*(1-C787)/(F787^2)-1),IF(G787="Lognormal",LN(C787^2/SQRT(F787^2+C787^2)),IF(G787="Gamma",C787^2/F787^2,IF(G787="Normal",C787,0))))</f>
        <v>#DIV/0!</v>
      </c>
      <c r="I787" s="162" t="e">
        <f t="shared" ref="I787:I793" si="478">IF(G787="Beta",C787*(1-C787)/(F787^2)-1-H787,IF(G787="Lognormal",SQRT(LN(1+F787^2/C787^2)),IF(G787="Gamma",F787^2/C787,IF(G787="Normal",F787,0))))</f>
        <v>#DIV/0!</v>
      </c>
      <c r="J787" s="70">
        <f>IF(F787=0,C787,IF(G787="Beta",_xlfn.BETA.INV(J786,H787,I787),IF(G787="Lognormal",EXP(NORMINV(J786,H787,I787)),IF(G787="Gamma",_xlfn.GAMMA.INV(J786,H787,I787),IF(G787="Normal",_xlfn.NORM.INV(J786,H787,I787),0)))))</f>
        <v>0</v>
      </c>
      <c r="K787">
        <f>(D787+C787)/2</f>
        <v>0</v>
      </c>
      <c r="M787" s="31" t="s">
        <v>2</v>
      </c>
      <c r="N787" s="183">
        <f>'QoL input'!O193</f>
        <v>0</v>
      </c>
      <c r="O787" s="183">
        <f>'QoL input'!P193</f>
        <v>0</v>
      </c>
      <c r="P787" s="183">
        <f>'QoL input'!Q193</f>
        <v>0</v>
      </c>
      <c r="Q787" s="156">
        <f>(P787-O787)/(2*1.96)</f>
        <v>0</v>
      </c>
      <c r="R787" s="161" t="s">
        <v>578</v>
      </c>
      <c r="S787" s="162" t="e">
        <f t="shared" ref="S787:S793" si="479">IF(R787="Beta",N787*(N787*(1-N787)/(Q787^2)-1),IF(R787="Lognormal",LN(N787^2/SQRT(Q787^2+N787^2)),IF(R787="Gamma",N787^2/Q787^2,IF(R787="Normal",N787,0))))</f>
        <v>#DIV/0!</v>
      </c>
      <c r="T787" s="162" t="e">
        <f t="shared" ref="T787:T793" si="480">IF(R787="Beta",N787*(1-N787)/(Q787^2)-1-S787,IF(R787="Lognormal",SQRT(LN(1+Q787^2/N787^2)),IF(R787="Gamma",Q787^2/N787,IF(R787="Normal",Q787,0))))</f>
        <v>#DIV/0!</v>
      </c>
      <c r="U787" s="70">
        <f>IF(Q787=0,N787,IF(R787="Beta",_xlfn.BETA.INV(U786,S787,T787),IF(R787="Lognormal",EXP(NORMINV(U786,S787,T787)),IF(R787="Gamma",_xlfn.GAMMA.INV(U786,S787,T787),IF(R787="Normal",_xlfn.NORM.INV(U786,S787,T787),0)))))</f>
        <v>0</v>
      </c>
    </row>
    <row r="788" spans="2:28" x14ac:dyDescent="0.3">
      <c r="B788" s="31" t="s">
        <v>1083</v>
      </c>
      <c r="C788" s="183">
        <f>'QoL input'!O138</f>
        <v>0</v>
      </c>
      <c r="D788" s="183">
        <f>'QoL input'!P138</f>
        <v>0</v>
      </c>
      <c r="E788" s="183">
        <f>'QoL input'!Q138</f>
        <v>0</v>
      </c>
      <c r="F788" s="156">
        <f t="shared" ref="F788:F793" si="481">(E788-D788)/(2*1.96)</f>
        <v>0</v>
      </c>
      <c r="G788" s="161" t="s">
        <v>578</v>
      </c>
      <c r="H788" s="162" t="e">
        <f t="shared" si="477"/>
        <v>#DIV/0!</v>
      </c>
      <c r="I788" s="162" t="e">
        <f t="shared" si="478"/>
        <v>#DIV/0!</v>
      </c>
      <c r="J788" s="70">
        <f>IF(F788=0,C788,IF(G788="Beta",_xlfn.BETA.INV(J786,H788,I788),IF(G788="Lognormal",EXP(NORMINV(J786,H788,I788)),IF(G788="Gamma",_xlfn.GAMMA.INV(J786,H788,I788),IF(G788="Normal",_xlfn.NORM.INV(J786,H788,I788),0)))))</f>
        <v>0</v>
      </c>
      <c r="M788" s="31" t="s">
        <v>3</v>
      </c>
      <c r="N788" s="183">
        <f>'QoL input'!O194</f>
        <v>0</v>
      </c>
      <c r="O788" s="183">
        <f>'QoL input'!P194</f>
        <v>0</v>
      </c>
      <c r="P788" s="183">
        <f>'QoL input'!Q194</f>
        <v>0</v>
      </c>
      <c r="Q788" s="156">
        <f t="shared" ref="Q788:Q793" si="482">(P788-O788)/(2*1.96)</f>
        <v>0</v>
      </c>
      <c r="R788" s="161" t="s">
        <v>578</v>
      </c>
      <c r="S788" s="162" t="e">
        <f t="shared" si="479"/>
        <v>#DIV/0!</v>
      </c>
      <c r="T788" s="162" t="e">
        <f t="shared" si="480"/>
        <v>#DIV/0!</v>
      </c>
      <c r="U788" s="70">
        <f>IF(Q788=0,N788,IF(R788="Beta",_xlfn.BETA.INV(U786,S788,T788),IF(R788="Lognormal",EXP(NORMINV(U786,S788,T788)),IF(R788="Gamma",_xlfn.GAMMA.INV(U786,S788,T788),IF(R788="Normal",_xlfn.NORM.INV(U786,S788,T788),0)))))</f>
        <v>0</v>
      </c>
    </row>
    <row r="789" spans="2:28" x14ac:dyDescent="0.3">
      <c r="B789" s="31" t="s">
        <v>1084</v>
      </c>
      <c r="C789" s="183">
        <f>'QoL input'!O139</f>
        <v>0</v>
      </c>
      <c r="D789" s="183">
        <f>'QoL input'!P139</f>
        <v>0</v>
      </c>
      <c r="E789" s="183">
        <f>'QoL input'!Q139</f>
        <v>0</v>
      </c>
      <c r="F789" s="156">
        <f t="shared" si="481"/>
        <v>0</v>
      </c>
      <c r="G789" s="161" t="s">
        <v>578</v>
      </c>
      <c r="H789" s="162" t="e">
        <f t="shared" si="477"/>
        <v>#DIV/0!</v>
      </c>
      <c r="I789" s="162" t="e">
        <f t="shared" si="478"/>
        <v>#DIV/0!</v>
      </c>
      <c r="J789" s="70">
        <f>IF(F789=0,C789,IF(G789="Beta",_xlfn.BETA.INV(J786,H789,I789),IF(G789="Lognormal",EXP(NORMINV(J786,H789,I789)),IF(G789="Gamma",_xlfn.GAMMA.INV(J786,H789,I789),IF(G789="Normal",_xlfn.NORM.INV(J786,H789,I789),0)))))</f>
        <v>0</v>
      </c>
      <c r="M789" s="31" t="s">
        <v>4</v>
      </c>
      <c r="N789" s="183">
        <f>'QoL input'!O195</f>
        <v>0</v>
      </c>
      <c r="O789" s="183">
        <f>'QoL input'!P195</f>
        <v>0</v>
      </c>
      <c r="P789" s="183">
        <f>'QoL input'!Q195</f>
        <v>0</v>
      </c>
      <c r="Q789" s="156">
        <f t="shared" si="482"/>
        <v>0</v>
      </c>
      <c r="R789" s="161" t="s">
        <v>578</v>
      </c>
      <c r="S789" s="162" t="e">
        <f t="shared" si="479"/>
        <v>#DIV/0!</v>
      </c>
      <c r="T789" s="162" t="e">
        <f t="shared" si="480"/>
        <v>#DIV/0!</v>
      </c>
      <c r="U789" s="70">
        <f>IF(Q789=0,N789,IF(R789="Beta",_xlfn.BETA.INV(U786,S789,T789),IF(R789="Lognormal",EXP(NORMINV(U786,S789,T789)),IF(R789="Gamma",_xlfn.GAMMA.INV(U786,S789,T789),IF(R789="Normal",_xlfn.NORM.INV(U786,S789,T789),0)))))</f>
        <v>0</v>
      </c>
    </row>
    <row r="790" spans="2:28" x14ac:dyDescent="0.3">
      <c r="B790" s="31" t="s">
        <v>1085</v>
      </c>
      <c r="C790" s="183">
        <f>'QoL input'!O140</f>
        <v>0</v>
      </c>
      <c r="D790" s="183">
        <f>'QoL input'!P140</f>
        <v>0</v>
      </c>
      <c r="E790" s="183">
        <f>'QoL input'!Q140</f>
        <v>0</v>
      </c>
      <c r="F790" s="156">
        <f t="shared" si="481"/>
        <v>0</v>
      </c>
      <c r="G790" s="161" t="s">
        <v>578</v>
      </c>
      <c r="H790" s="162" t="e">
        <f t="shared" si="477"/>
        <v>#DIV/0!</v>
      </c>
      <c r="I790" s="162" t="e">
        <f t="shared" si="478"/>
        <v>#DIV/0!</v>
      </c>
      <c r="J790" s="70">
        <f>IF(F790=0,C790,IF(G790="Beta",_xlfn.BETA.INV(J786,H790,I790),IF(G790="Lognormal",EXP(NORMINV(J786,H790,I790)),IF(G790="Gamma",_xlfn.GAMMA.INV(J786,H790,I790),IF(G790="Normal",_xlfn.NORM.INV(J786,H790,I790),0)))))</f>
        <v>0</v>
      </c>
      <c r="M790" s="31" t="s">
        <v>5</v>
      </c>
      <c r="N790" s="183">
        <f>'QoL input'!O196</f>
        <v>0</v>
      </c>
      <c r="O790" s="183">
        <f>'QoL input'!P196</f>
        <v>0</v>
      </c>
      <c r="P790" s="183">
        <f>'QoL input'!Q196</f>
        <v>0</v>
      </c>
      <c r="Q790" s="156">
        <f t="shared" si="482"/>
        <v>0</v>
      </c>
      <c r="R790" s="161" t="s">
        <v>578</v>
      </c>
      <c r="S790" s="162" t="e">
        <f t="shared" si="479"/>
        <v>#DIV/0!</v>
      </c>
      <c r="T790" s="162" t="e">
        <f t="shared" si="480"/>
        <v>#DIV/0!</v>
      </c>
      <c r="U790" s="70">
        <f>IF(Q790=0,N790,IF(R790="Beta",_xlfn.BETA.INV(U786,S790,T790),IF(R790="Lognormal",EXP(NORMINV(U786,S790,T790)),IF(R790="Gamma",_xlfn.GAMMA.INV(U786,S790,T790),IF(R790="Normal",_xlfn.NORM.INV(U786,S790,T790),0)))))</f>
        <v>0</v>
      </c>
    </row>
    <row r="791" spans="2:28" x14ac:dyDescent="0.3">
      <c r="B791" s="31" t="s">
        <v>1086</v>
      </c>
      <c r="C791" s="183">
        <f>'QoL input'!O141</f>
        <v>0</v>
      </c>
      <c r="D791" s="183">
        <f>'QoL input'!P141</f>
        <v>0</v>
      </c>
      <c r="E791" s="183">
        <f>'QoL input'!Q141</f>
        <v>0</v>
      </c>
      <c r="F791" s="156">
        <f t="shared" si="481"/>
        <v>0</v>
      </c>
      <c r="G791" s="161" t="s">
        <v>578</v>
      </c>
      <c r="H791" s="162" t="e">
        <f t="shared" si="477"/>
        <v>#DIV/0!</v>
      </c>
      <c r="I791" s="162" t="e">
        <f t="shared" si="478"/>
        <v>#DIV/0!</v>
      </c>
      <c r="J791" s="70">
        <f>IF(F791=0,C791,IF(G791="Beta",_xlfn.BETA.INV(J786,H791,I791),IF(G791="Lognormal",EXP(NORMINV(J786,H791,I791)),IF(G791="Gamma",_xlfn.GAMMA.INV(J786,H791,I791),IF(G791="Normal",_xlfn.NORM.INV(J786,H791,I791),0)))))</f>
        <v>0</v>
      </c>
      <c r="M791" s="31" t="s">
        <v>6</v>
      </c>
      <c r="N791" s="183">
        <f>'QoL input'!O197</f>
        <v>0</v>
      </c>
      <c r="O791" s="183">
        <f>'QoL input'!P197</f>
        <v>0</v>
      </c>
      <c r="P791" s="183">
        <f>'QoL input'!Q197</f>
        <v>0</v>
      </c>
      <c r="Q791" s="156">
        <f t="shared" si="482"/>
        <v>0</v>
      </c>
      <c r="R791" s="161" t="s">
        <v>578</v>
      </c>
      <c r="S791" s="162" t="e">
        <f t="shared" si="479"/>
        <v>#DIV/0!</v>
      </c>
      <c r="T791" s="162" t="e">
        <f t="shared" si="480"/>
        <v>#DIV/0!</v>
      </c>
      <c r="U791" s="70">
        <f>IF(Q791=0,N791,IF(R791="Beta",_xlfn.BETA.INV(U786,S791,T791),IF(R791="Lognormal",EXP(NORMINV(U786,S791,T791)),IF(R791="Gamma",_xlfn.GAMMA.INV(U786,S791,T791),IF(R791="Normal",_xlfn.NORM.INV(U786,S791,T791),0)))))</f>
        <v>0</v>
      </c>
    </row>
    <row r="792" spans="2:28" x14ac:dyDescent="0.3">
      <c r="B792" s="31" t="s">
        <v>1087</v>
      </c>
      <c r="C792" s="183">
        <f>'QoL input'!O142</f>
        <v>0</v>
      </c>
      <c r="D792" s="183">
        <f>'QoL input'!P142</f>
        <v>0</v>
      </c>
      <c r="E792" s="183">
        <f>'QoL input'!Q142</f>
        <v>0</v>
      </c>
      <c r="F792" s="156">
        <f t="shared" si="481"/>
        <v>0</v>
      </c>
      <c r="G792" s="161" t="s">
        <v>578</v>
      </c>
      <c r="H792" s="162" t="e">
        <f t="shared" si="477"/>
        <v>#DIV/0!</v>
      </c>
      <c r="I792" s="162" t="e">
        <f t="shared" si="478"/>
        <v>#DIV/0!</v>
      </c>
      <c r="J792" s="70">
        <f>IF(F792=0,C792,IF(G792="Beta",_xlfn.BETA.INV(J786,H792,I792),IF(G792="Lognormal",EXP(NORMINV(J786,H792,I792)),IF(G792="Gamma",_xlfn.GAMMA.INV(J786,H792,I792),IF(G792="Normal",_xlfn.NORM.INV(J786,H792,I792),0)))))</f>
        <v>0</v>
      </c>
      <c r="M792" s="31" t="s">
        <v>7</v>
      </c>
      <c r="N792" s="183">
        <f>'QoL input'!O198</f>
        <v>0</v>
      </c>
      <c r="O792" s="183">
        <f>'QoL input'!P198</f>
        <v>0</v>
      </c>
      <c r="P792" s="183">
        <f>'QoL input'!Q198</f>
        <v>0</v>
      </c>
      <c r="Q792" s="156">
        <f t="shared" si="482"/>
        <v>0</v>
      </c>
      <c r="R792" s="161" t="s">
        <v>578</v>
      </c>
      <c r="S792" s="162" t="e">
        <f t="shared" si="479"/>
        <v>#DIV/0!</v>
      </c>
      <c r="T792" s="162" t="e">
        <f t="shared" si="480"/>
        <v>#DIV/0!</v>
      </c>
      <c r="U792" s="70">
        <f>IF(Q792=0,N792,IF(R792="Beta",_xlfn.BETA.INV(U786,S792,T792),IF(R792="Lognormal",EXP(NORMINV(U786,S792,T792)),IF(R792="Gamma",_xlfn.GAMMA.INV(U786,S792,T792),IF(R792="Normal",_xlfn.NORM.INV(U786,S792,T792),0)))))</f>
        <v>0</v>
      </c>
    </row>
    <row r="793" spans="2:28" x14ac:dyDescent="0.3">
      <c r="B793" s="31" t="s">
        <v>1443</v>
      </c>
      <c r="C793" s="183">
        <f>'QoL input'!O143</f>
        <v>0</v>
      </c>
      <c r="D793" s="183">
        <f>'QoL input'!P143</f>
        <v>0</v>
      </c>
      <c r="E793" s="183">
        <f>'QoL input'!Q143</f>
        <v>0</v>
      </c>
      <c r="F793" s="156">
        <f t="shared" si="481"/>
        <v>0</v>
      </c>
      <c r="G793" s="161" t="s">
        <v>578</v>
      </c>
      <c r="H793" s="162" t="e">
        <f t="shared" si="477"/>
        <v>#DIV/0!</v>
      </c>
      <c r="I793" s="162" t="e">
        <f t="shared" si="478"/>
        <v>#DIV/0!</v>
      </c>
      <c r="J793" s="70">
        <f>IF(F793=0,C793,IF(G793="Beta",_xlfn.BETA.INV(J786,H793,I793),IF(G793="Lognormal",EXP(NORMINV(J786,H793,I793)),IF(G793="Gamma",_xlfn.GAMMA.INV(J786,H793,I793),IF(G793="Normal",_xlfn.NORM.INV(J786,H793,I793),0)))))</f>
        <v>0</v>
      </c>
      <c r="M793" s="31" t="s">
        <v>11</v>
      </c>
      <c r="N793" s="183">
        <f>'QoL input'!O199</f>
        <v>0</v>
      </c>
      <c r="O793" s="183">
        <f>'QoL input'!P199</f>
        <v>0</v>
      </c>
      <c r="P793" s="183">
        <f>'QoL input'!Q199</f>
        <v>0</v>
      </c>
      <c r="Q793" s="156">
        <f t="shared" si="482"/>
        <v>0</v>
      </c>
      <c r="R793" s="161" t="s">
        <v>578</v>
      </c>
      <c r="S793" s="162" t="e">
        <f t="shared" si="479"/>
        <v>#DIV/0!</v>
      </c>
      <c r="T793" s="162" t="e">
        <f t="shared" si="480"/>
        <v>#DIV/0!</v>
      </c>
      <c r="U793" s="70">
        <f>IF(Q793=0,N793,IF(R793="Beta",_xlfn.BETA.INV(U786,S793,T793),IF(R793="Lognormal",EXP(NORMINV(U786,S793,T793)),IF(R793="Gamma",_xlfn.GAMMA.INV(U786,S793,T793),IF(R793="Normal",_xlfn.NORM.INV(U786,S793,T793),0)))))</f>
        <v>0</v>
      </c>
    </row>
    <row r="794" spans="2:28" x14ac:dyDescent="0.3">
      <c r="B794" s="150" t="s">
        <v>1444</v>
      </c>
      <c r="H794" s="141"/>
      <c r="I794" s="141"/>
      <c r="J794" s="291">
        <f ca="1">RAND()</f>
        <v>0.58062180892943505</v>
      </c>
      <c r="M794" s="150" t="s">
        <v>1444</v>
      </c>
      <c r="S794" s="141"/>
      <c r="T794" s="141"/>
      <c r="U794" s="291">
        <f ca="1">RAND()</f>
        <v>0.82001700240716835</v>
      </c>
    </row>
    <row r="795" spans="2:28" x14ac:dyDescent="0.3">
      <c r="B795" s="31" t="s">
        <v>1082</v>
      </c>
      <c r="C795" s="183">
        <f>'QoL input'!O145</f>
        <v>0</v>
      </c>
      <c r="D795" s="183">
        <f>'QoL input'!P145</f>
        <v>0</v>
      </c>
      <c r="E795" s="183">
        <f>'QoL input'!Q145</f>
        <v>0</v>
      </c>
      <c r="F795" s="156">
        <f>(E795-D795)/(2*1.96)</f>
        <v>0</v>
      </c>
      <c r="G795" s="161" t="s">
        <v>578</v>
      </c>
      <c r="H795" s="162" t="e">
        <f t="shared" ref="H795:H801" si="483">IF(G795="Beta",C795*(C795*(1-C795)/(F795^2)-1),IF(G795="Lognormal",LN(C795^2/SQRT(F795^2+C795^2)),IF(G795="Gamma",C795^2/F795^2,IF(G795="Normal",C795,0))))</f>
        <v>#DIV/0!</v>
      </c>
      <c r="I795" s="162" t="e">
        <f t="shared" ref="I795:I801" si="484">IF(G795="Beta",C795*(1-C795)/(F795^2)-1-H795,IF(G795="Lognormal",SQRT(LN(1+F795^2/C795^2)),IF(G795="Gamma",F795^2/C795,IF(G795="Normal",F795,0))))</f>
        <v>#DIV/0!</v>
      </c>
      <c r="J795" s="70">
        <f>IF(F795=0,C795,IF(G795="Beta",_xlfn.BETA.INV(J794,H795,I795),IF(G795="Lognormal",EXP(NORMINV(J794,H795,I795)),IF(G795="Gamma",_xlfn.GAMMA.INV(J794,H795,I795),IF(G795="Normal",_xlfn.NORM.INV(J794,H795,I795),0)))))</f>
        <v>0</v>
      </c>
      <c r="K795" s="79" t="s">
        <v>679</v>
      </c>
      <c r="M795" s="31" t="s">
        <v>1082</v>
      </c>
      <c r="N795" s="183">
        <f>'QoL input'!O201</f>
        <v>0</v>
      </c>
      <c r="O795" s="183">
        <f>'QoL input'!P201</f>
        <v>0</v>
      </c>
      <c r="P795" s="183">
        <f>'QoL input'!Q201</f>
        <v>0</v>
      </c>
      <c r="Q795" s="156">
        <f>(P795-O795)/(2*1.96)</f>
        <v>0</v>
      </c>
      <c r="R795" s="161" t="s">
        <v>578</v>
      </c>
      <c r="S795" s="162" t="e">
        <f t="shared" ref="S795:S801" si="485">IF(R795="Beta",N795*(N795*(1-N795)/(Q795^2)-1),IF(R795="Lognormal",LN(N795^2/SQRT(Q795^2+N795^2)),IF(R795="Gamma",N795^2/Q795^2,IF(R795="Normal",N795,0))))</f>
        <v>#DIV/0!</v>
      </c>
      <c r="T795" s="162" t="e">
        <f t="shared" ref="T795:T801" si="486">IF(R795="Beta",N795*(1-N795)/(Q795^2)-1-S795,IF(R795="Lognormal",SQRT(LN(1+Q795^2/N795^2)),IF(R795="Gamma",Q795^2/N795,IF(R795="Normal",Q795,0))))</f>
        <v>#DIV/0!</v>
      </c>
      <c r="U795" s="70">
        <f>IF(Q795=0,N795,IF(R795="Beta",_xlfn.BETA.INV(U794,S795,T795),IF(R795="Lognormal",EXP(NORMINV(U794,S795,T795)),IF(R795="Gamma",_xlfn.GAMMA.INV(U794,S795,T795),IF(R795="Normal",_xlfn.NORM.INV(U794,S795,T795),0)))))</f>
        <v>0</v>
      </c>
    </row>
    <row r="796" spans="2:28" x14ac:dyDescent="0.3">
      <c r="B796" s="31" t="s">
        <v>1083</v>
      </c>
      <c r="C796" s="183">
        <f>'QoL input'!O146</f>
        <v>0</v>
      </c>
      <c r="D796" s="183">
        <f>'QoL input'!P146</f>
        <v>0</v>
      </c>
      <c r="E796" s="183">
        <f>'QoL input'!Q146</f>
        <v>0</v>
      </c>
      <c r="F796" s="156">
        <f t="shared" ref="F796:F801" si="487">(E796-D796)/(2*1.96)</f>
        <v>0</v>
      </c>
      <c r="G796" s="161" t="s">
        <v>578</v>
      </c>
      <c r="H796" s="162" t="e">
        <f t="shared" si="483"/>
        <v>#DIV/0!</v>
      </c>
      <c r="I796" s="162" t="e">
        <f t="shared" si="484"/>
        <v>#DIV/0!</v>
      </c>
      <c r="J796" s="70">
        <f>IF(F796=0,C796,IF(G796="Beta",_xlfn.BETA.INV(J794,H796,I796),IF(G796="Lognormal",EXP(NORMINV(J794,H796,I796)),IF(G796="Gamma",_xlfn.GAMMA.INV(J794,H796,I796),IF(G796="Normal",_xlfn.NORM.INV(J794,H796,I796),0)))))</f>
        <v>0</v>
      </c>
      <c r="M796" s="31" t="s">
        <v>1083</v>
      </c>
      <c r="N796" s="183">
        <f>'QoL input'!O202</f>
        <v>0</v>
      </c>
      <c r="O796" s="183">
        <f>'QoL input'!P202</f>
        <v>0</v>
      </c>
      <c r="P796" s="183">
        <f>'QoL input'!Q202</f>
        <v>0</v>
      </c>
      <c r="Q796" s="156">
        <f t="shared" ref="Q796:Q801" si="488">(P796-O796)/(2*1.96)</f>
        <v>0</v>
      </c>
      <c r="R796" s="161" t="s">
        <v>578</v>
      </c>
      <c r="S796" s="162" t="e">
        <f t="shared" si="485"/>
        <v>#DIV/0!</v>
      </c>
      <c r="T796" s="162" t="e">
        <f t="shared" si="486"/>
        <v>#DIV/0!</v>
      </c>
      <c r="U796" s="70">
        <f>IF(Q796=0,N796,IF(R796="Beta",_xlfn.BETA.INV(U794,S796,T796),IF(R796="Lognormal",EXP(NORMINV(U794,S796,T796)),IF(R796="Gamma",_xlfn.GAMMA.INV(U794,S796,T796),IF(R796="Normal",_xlfn.NORM.INV(U794,S796,T796),0)))))</f>
        <v>0</v>
      </c>
    </row>
    <row r="797" spans="2:28" x14ac:dyDescent="0.3">
      <c r="B797" s="31" t="s">
        <v>1084</v>
      </c>
      <c r="C797" s="183">
        <f>'QoL input'!O147</f>
        <v>0</v>
      </c>
      <c r="D797" s="183">
        <f>'QoL input'!P147</f>
        <v>0</v>
      </c>
      <c r="E797" s="183">
        <f>'QoL input'!Q147</f>
        <v>0</v>
      </c>
      <c r="F797" s="156">
        <f t="shared" si="487"/>
        <v>0</v>
      </c>
      <c r="G797" s="161" t="s">
        <v>578</v>
      </c>
      <c r="H797" s="162" t="e">
        <f t="shared" si="483"/>
        <v>#DIV/0!</v>
      </c>
      <c r="I797" s="162" t="e">
        <f t="shared" si="484"/>
        <v>#DIV/0!</v>
      </c>
      <c r="J797" s="70">
        <f>IF(F797=0,C797,IF(G797="Beta",_xlfn.BETA.INV(J794,H797,I797),IF(G797="Lognormal",EXP(NORMINV(J794,H797,I797)),IF(G797="Gamma",_xlfn.GAMMA.INV(J794,H797,I797),IF(G797="Normal",_xlfn.NORM.INV(J794,H797,I797),0)))))</f>
        <v>0</v>
      </c>
      <c r="M797" s="31" t="s">
        <v>1084</v>
      </c>
      <c r="N797" s="183">
        <f>'QoL input'!O203</f>
        <v>0</v>
      </c>
      <c r="O797" s="183">
        <f>'QoL input'!P203</f>
        <v>0</v>
      </c>
      <c r="P797" s="183">
        <f>'QoL input'!Q203</f>
        <v>0</v>
      </c>
      <c r="Q797" s="156">
        <f t="shared" si="488"/>
        <v>0</v>
      </c>
      <c r="R797" s="161" t="s">
        <v>578</v>
      </c>
      <c r="S797" s="162" t="e">
        <f t="shared" si="485"/>
        <v>#DIV/0!</v>
      </c>
      <c r="T797" s="162" t="e">
        <f t="shared" si="486"/>
        <v>#DIV/0!</v>
      </c>
      <c r="U797" s="70">
        <f>IF(Q797=0,N797,IF(R797="Beta",_xlfn.BETA.INV(U794,S797,T797),IF(R797="Lognormal",EXP(NORMINV(U794,S797,T797)),IF(R797="Gamma",_xlfn.GAMMA.INV(U794,S797,T797),IF(R797="Normal",_xlfn.NORM.INV(U794,S797,T797),0)))))</f>
        <v>0</v>
      </c>
    </row>
    <row r="798" spans="2:28" x14ac:dyDescent="0.3">
      <c r="B798" s="31" t="s">
        <v>1085</v>
      </c>
      <c r="C798" s="183">
        <f>'QoL input'!O148</f>
        <v>0</v>
      </c>
      <c r="D798" s="183">
        <f>'QoL input'!P148</f>
        <v>0</v>
      </c>
      <c r="E798" s="183">
        <f>'QoL input'!Q148</f>
        <v>0</v>
      </c>
      <c r="F798" s="156">
        <f t="shared" si="487"/>
        <v>0</v>
      </c>
      <c r="G798" s="161" t="s">
        <v>578</v>
      </c>
      <c r="H798" s="162" t="e">
        <f t="shared" si="483"/>
        <v>#DIV/0!</v>
      </c>
      <c r="I798" s="162" t="e">
        <f t="shared" si="484"/>
        <v>#DIV/0!</v>
      </c>
      <c r="J798" s="70">
        <f>IF(F798=0,C798,IF(G798="Beta",_xlfn.BETA.INV(J794,H798,I798),IF(G798="Lognormal",EXP(NORMINV(J794,H798,I798)),IF(G798="Gamma",_xlfn.GAMMA.INV(J794,H798,I798),IF(G798="Normal",_xlfn.NORM.INV(J794,H798,I798),0)))))</f>
        <v>0</v>
      </c>
      <c r="M798" s="31" t="s">
        <v>1085</v>
      </c>
      <c r="N798" s="183">
        <f>'QoL input'!O204</f>
        <v>0</v>
      </c>
      <c r="O798" s="183">
        <f>'QoL input'!P204</f>
        <v>0</v>
      </c>
      <c r="P798" s="183">
        <f>'QoL input'!Q204</f>
        <v>0</v>
      </c>
      <c r="Q798" s="156">
        <f t="shared" si="488"/>
        <v>0</v>
      </c>
      <c r="R798" s="161" t="s">
        <v>578</v>
      </c>
      <c r="S798" s="162" t="e">
        <f t="shared" si="485"/>
        <v>#DIV/0!</v>
      </c>
      <c r="T798" s="162" t="e">
        <f t="shared" si="486"/>
        <v>#DIV/0!</v>
      </c>
      <c r="U798" s="70">
        <f>IF(Q798=0,N798,IF(R798="Beta",_xlfn.BETA.INV(U794,S798,T798),IF(R798="Lognormal",EXP(NORMINV(U794,S798,T798)),IF(R798="Gamma",_xlfn.GAMMA.INV(U794,S798,T798),IF(R798="Normal",_xlfn.NORM.INV(U794,S798,T798),0)))))</f>
        <v>0</v>
      </c>
      <c r="AB798" s="67"/>
    </row>
    <row r="799" spans="2:28" x14ac:dyDescent="0.3">
      <c r="B799" s="31" t="s">
        <v>1086</v>
      </c>
      <c r="C799" s="183">
        <f>'QoL input'!O149</f>
        <v>0</v>
      </c>
      <c r="D799" s="183">
        <f>'QoL input'!P149</f>
        <v>0</v>
      </c>
      <c r="E799" s="183">
        <f>'QoL input'!Q149</f>
        <v>0</v>
      </c>
      <c r="F799" s="156">
        <f t="shared" si="487"/>
        <v>0</v>
      </c>
      <c r="G799" s="161" t="s">
        <v>578</v>
      </c>
      <c r="H799" s="162" t="e">
        <f t="shared" si="483"/>
        <v>#DIV/0!</v>
      </c>
      <c r="I799" s="162" t="e">
        <f t="shared" si="484"/>
        <v>#DIV/0!</v>
      </c>
      <c r="J799" s="70">
        <f>IF(F799=0,C799,IF(G799="Beta",_xlfn.BETA.INV(J794,H799,I799),IF(G799="Lognormal",EXP(NORMINV(J794,H799,I799)),IF(G799="Gamma",_xlfn.GAMMA.INV(J794,H799,I799),IF(G799="Normal",_xlfn.NORM.INV(J794,H799,I799),0)))))</f>
        <v>0</v>
      </c>
      <c r="M799" s="31" t="s">
        <v>1086</v>
      </c>
      <c r="N799" s="183">
        <f>'QoL input'!O205</f>
        <v>0</v>
      </c>
      <c r="O799" s="183">
        <f>'QoL input'!P205</f>
        <v>0</v>
      </c>
      <c r="P799" s="183">
        <f>'QoL input'!Q205</f>
        <v>0</v>
      </c>
      <c r="Q799" s="156">
        <f t="shared" si="488"/>
        <v>0</v>
      </c>
      <c r="R799" s="161" t="s">
        <v>578</v>
      </c>
      <c r="S799" s="162" t="e">
        <f t="shared" si="485"/>
        <v>#DIV/0!</v>
      </c>
      <c r="T799" s="162" t="e">
        <f t="shared" si="486"/>
        <v>#DIV/0!</v>
      </c>
      <c r="U799" s="70">
        <f>IF(Q799=0,N799,IF(R799="Beta",_xlfn.BETA.INV(U794,S799,T799),IF(R799="Lognormal",EXP(NORMINV(U794,S799,T799)),IF(R799="Gamma",_xlfn.GAMMA.INV(U794,S799,T799),IF(R799="Normal",_xlfn.NORM.INV(U794,S799,T799),0)))))</f>
        <v>0</v>
      </c>
    </row>
    <row r="800" spans="2:28" x14ac:dyDescent="0.3">
      <c r="B800" s="31" t="s">
        <v>1087</v>
      </c>
      <c r="C800" s="183">
        <f>'QoL input'!O150</f>
        <v>0</v>
      </c>
      <c r="D800" s="183">
        <f>'QoL input'!P150</f>
        <v>0</v>
      </c>
      <c r="E800" s="183">
        <f>'QoL input'!Q150</f>
        <v>0</v>
      </c>
      <c r="F800" s="156">
        <f t="shared" si="487"/>
        <v>0</v>
      </c>
      <c r="G800" s="161" t="s">
        <v>578</v>
      </c>
      <c r="H800" s="162" t="e">
        <f t="shared" si="483"/>
        <v>#DIV/0!</v>
      </c>
      <c r="I800" s="162" t="e">
        <f t="shared" si="484"/>
        <v>#DIV/0!</v>
      </c>
      <c r="J800" s="70">
        <f>IF(F800=0,C800,IF(G800="Beta",_xlfn.BETA.INV(J794,H800,I800),IF(G800="Lognormal",EXP(NORMINV(J794,H800,I800)),IF(G800="Gamma",_xlfn.GAMMA.INV(J794,H800,I800),IF(G800="Normal",_xlfn.NORM.INV(J794,H800,I800),0)))))</f>
        <v>0</v>
      </c>
      <c r="M800" s="31" t="s">
        <v>1087</v>
      </c>
      <c r="N800" s="183">
        <f>'QoL input'!O206</f>
        <v>0</v>
      </c>
      <c r="O800" s="183">
        <f>'QoL input'!P206</f>
        <v>0</v>
      </c>
      <c r="P800" s="183">
        <f>'QoL input'!Q206</f>
        <v>0</v>
      </c>
      <c r="Q800" s="156">
        <f t="shared" si="488"/>
        <v>0</v>
      </c>
      <c r="R800" s="161" t="s">
        <v>578</v>
      </c>
      <c r="S800" s="162" t="e">
        <f t="shared" si="485"/>
        <v>#DIV/0!</v>
      </c>
      <c r="T800" s="162" t="e">
        <f t="shared" si="486"/>
        <v>#DIV/0!</v>
      </c>
      <c r="U800" s="70">
        <f>IF(Q800=0,N800,IF(R800="Beta",_xlfn.BETA.INV(U794,S800,T800),IF(R800="Lognormal",EXP(NORMINV(U794,S800,T800)),IF(R800="Gamma",_xlfn.GAMMA.INV(U794,S800,T800),IF(R800="Normal",_xlfn.NORM.INV(U794,S800,T800),0)))))</f>
        <v>0</v>
      </c>
    </row>
    <row r="801" spans="2:21" x14ac:dyDescent="0.3">
      <c r="B801" s="31" t="s">
        <v>1443</v>
      </c>
      <c r="C801" s="183">
        <f>'QoL input'!O151</f>
        <v>0</v>
      </c>
      <c r="D801" s="183">
        <f>'QoL input'!P151</f>
        <v>0</v>
      </c>
      <c r="E801" s="183">
        <f>'QoL input'!Q151</f>
        <v>0</v>
      </c>
      <c r="F801" s="156">
        <f t="shared" si="487"/>
        <v>0</v>
      </c>
      <c r="G801" s="161" t="s">
        <v>578</v>
      </c>
      <c r="H801" s="162" t="e">
        <f t="shared" si="483"/>
        <v>#DIV/0!</v>
      </c>
      <c r="I801" s="162" t="e">
        <f t="shared" si="484"/>
        <v>#DIV/0!</v>
      </c>
      <c r="J801" s="70">
        <f>IF(F801=0,C801,IF(G801="Beta",_xlfn.BETA.INV(J794,H801,I801),IF(G801="Lognormal",EXP(NORMINV(J794,H801,I801)),IF(G801="Gamma",_xlfn.GAMMA.INV(J794,H801,I801),IF(G801="Normal",_xlfn.NORM.INV(J794,H801,I801),0)))))</f>
        <v>0</v>
      </c>
      <c r="M801" s="31" t="s">
        <v>1443</v>
      </c>
      <c r="N801" s="183">
        <f>'QoL input'!O207</f>
        <v>0</v>
      </c>
      <c r="O801" s="183">
        <f>'QoL input'!P207</f>
        <v>0</v>
      </c>
      <c r="P801" s="183">
        <f>'QoL input'!Q207</f>
        <v>0</v>
      </c>
      <c r="Q801" s="156">
        <f t="shared" si="488"/>
        <v>0</v>
      </c>
      <c r="R801" s="161" t="s">
        <v>578</v>
      </c>
      <c r="S801" s="162" t="e">
        <f t="shared" si="485"/>
        <v>#DIV/0!</v>
      </c>
      <c r="T801" s="162" t="e">
        <f t="shared" si="486"/>
        <v>#DIV/0!</v>
      </c>
      <c r="U801" s="70">
        <f>IF(Q801=0,N801,IF(R801="Beta",_xlfn.BETA.INV(U794,S801,T801),IF(R801="Lognormal",EXP(NORMINV(U794,S801,T801)),IF(R801="Gamma",_xlfn.GAMMA.INV(U794,S801,T801),IF(R801="Normal",_xlfn.NORM.INV(U794,S801,T801),0)))))</f>
        <v>0</v>
      </c>
    </row>
    <row r="802" spans="2:21" x14ac:dyDescent="0.3">
      <c r="B802" s="151" t="s">
        <v>227</v>
      </c>
      <c r="H802" s="162"/>
      <c r="I802" s="162"/>
      <c r="J802" s="291">
        <f ca="1">RAND()</f>
        <v>0.35778842697493574</v>
      </c>
      <c r="M802" s="151" t="s">
        <v>227</v>
      </c>
      <c r="S802" s="141"/>
      <c r="T802" s="141"/>
      <c r="U802" s="291">
        <f ca="1">RAND()</f>
        <v>0.67744133280177676</v>
      </c>
    </row>
    <row r="803" spans="2:21" x14ac:dyDescent="0.3">
      <c r="B803" s="31" t="s">
        <v>1437</v>
      </c>
      <c r="C803" s="183">
        <f>'QoL input'!O153</f>
        <v>0</v>
      </c>
      <c r="D803" s="183">
        <f>'QoL input'!P153</f>
        <v>0</v>
      </c>
      <c r="E803" s="183">
        <f>'QoL input'!Q153</f>
        <v>0</v>
      </c>
      <c r="F803" s="156">
        <f t="shared" ref="F803:F806" si="489">(E803-D803)/(2*1.96)</f>
        <v>0</v>
      </c>
      <c r="G803" s="161" t="s">
        <v>578</v>
      </c>
      <c r="H803" s="162" t="e">
        <f t="shared" ref="H803:H806" si="490">IF(G803="Beta",C803*(C803*(1-C803)/(F803^2)-1),IF(G803="Lognormal",LN(C803^2/SQRT(F803^2+C803^2)),IF(G803="Gamma",C803^2/F803^2,IF(G803="Normal",C803,0))))</f>
        <v>#DIV/0!</v>
      </c>
      <c r="I803" s="162" t="e">
        <f t="shared" ref="I803:I806" si="491">IF(G803="Beta",C803*(1-C803)/(F803^2)-1-H803,IF(G803="Lognormal",SQRT(LN(1+F803^2/C803^2)),IF(G803="Gamma",F803^2/C803,IF(G803="Normal",F803,0))))</f>
        <v>#DIV/0!</v>
      </c>
      <c r="J803" s="70">
        <f>IF(F803=0,C803,IF(G803="Beta",_xlfn.BETA.INV(J$293,H803,I803),IF(G803="Lognormal",EXP(NORMINV(J$293,H803,I803)),IF(G803="Gamma",_xlfn.GAMMA.INV(J$293,H803,I803),IF(G803="Normal",_xlfn.NORM.INV(J$293,H803,I803),0)))))</f>
        <v>0</v>
      </c>
      <c r="M803" s="31" t="s">
        <v>227</v>
      </c>
      <c r="N803" s="183">
        <f>'QoL input'!O209</f>
        <v>0</v>
      </c>
      <c r="O803" s="183">
        <f>'QoL input'!P209</f>
        <v>0</v>
      </c>
      <c r="P803" s="183">
        <f>'QoL input'!Q209</f>
        <v>0</v>
      </c>
      <c r="Q803" s="156">
        <f t="shared" ref="Q803:Q806" si="492">(P803-O803)/(2*1.96)</f>
        <v>0</v>
      </c>
      <c r="R803" s="161" t="s">
        <v>578</v>
      </c>
      <c r="S803" s="162" t="e">
        <f t="shared" ref="S803:S806" si="493">IF(R803="Beta",N803*(N803*(1-N803)/(Q803^2)-1),IF(R803="Lognormal",LN(N803^2/SQRT(Q803^2+N803^2)),IF(R803="Gamma",N803^2/Q803^2,IF(R803="Normal",N803,0))))</f>
        <v>#DIV/0!</v>
      </c>
      <c r="T803" s="162" t="e">
        <f t="shared" ref="T803:T806" si="494">IF(R803="Beta",N803*(1-N803)/(Q803^2)-1-S803,IF(R803="Lognormal",SQRT(LN(1+Q803^2/N803^2)),IF(R803="Gamma",Q803^2/N803,IF(R803="Normal",Q803,0))))</f>
        <v>#DIV/0!</v>
      </c>
      <c r="U803" s="70">
        <f>IF(Q803=0,N803,IF(R803="Beta",_xlfn.BETA.INV(U802,S803,T803),IF(R803="Lognormal",EXP(NORMINV(U802,S803,T803)),IF(R803="Gamma",_xlfn.GAMMA.INV(U802,S803,T803),IF(R803="Normal",_xlfn.NORM.INV(U802,S803,T803),0)))))</f>
        <v>0</v>
      </c>
    </row>
    <row r="804" spans="2:21" x14ac:dyDescent="0.3">
      <c r="B804" s="31" t="s">
        <v>1438</v>
      </c>
      <c r="C804" s="183">
        <f>'QoL input'!O154</f>
        <v>0</v>
      </c>
      <c r="D804" s="183">
        <f>'QoL input'!P154</f>
        <v>0</v>
      </c>
      <c r="E804" s="183">
        <f>'QoL input'!Q154</f>
        <v>0</v>
      </c>
      <c r="F804" s="156">
        <f t="shared" si="489"/>
        <v>0</v>
      </c>
      <c r="G804" s="161" t="s">
        <v>578</v>
      </c>
      <c r="H804" s="162" t="e">
        <f t="shared" si="490"/>
        <v>#DIV/0!</v>
      </c>
      <c r="I804" s="162" t="e">
        <f t="shared" si="491"/>
        <v>#DIV/0!</v>
      </c>
      <c r="J804" s="70">
        <f>IF(F804=0,C804,IF(G804="Beta",_xlfn.BETA.INV(J$293,H804,I804),IF(G804="Lognormal",EXP(NORMINV(J$293,H804,I804)),IF(G804="Gamma",_xlfn.GAMMA.INV(J$293,H804,I804),IF(G804="Normal",_xlfn.NORM.INV(J$293,H804,I804),0)))))</f>
        <v>0</v>
      </c>
      <c r="M804" s="31" t="s">
        <v>8</v>
      </c>
      <c r="N804" s="183">
        <f>'QoL input'!O210</f>
        <v>0</v>
      </c>
      <c r="O804" s="183">
        <f>'QoL input'!P210</f>
        <v>0</v>
      </c>
      <c r="P804" s="183">
        <f>'QoL input'!Q210</f>
        <v>0</v>
      </c>
      <c r="Q804" s="156">
        <f t="shared" si="492"/>
        <v>0</v>
      </c>
      <c r="R804" s="161" t="s">
        <v>578</v>
      </c>
      <c r="S804" s="162" t="e">
        <f t="shared" si="493"/>
        <v>#DIV/0!</v>
      </c>
      <c r="T804" s="162" t="e">
        <f t="shared" si="494"/>
        <v>#DIV/0!</v>
      </c>
      <c r="U804" s="70">
        <f>IF(Q804=0,N804,IF(R804="Beta",_xlfn.BETA.INV(U802,S804,T804),IF(R804="Lognormal",EXP(NORMINV(U802,S804,T804)),IF(R804="Gamma",_xlfn.GAMMA.INV(U802,S804,T804),IF(R804="Normal",_xlfn.NORM.INV(U802,S804,T804),0)))))</f>
        <v>0</v>
      </c>
    </row>
    <row r="805" spans="2:21" x14ac:dyDescent="0.3">
      <c r="B805" s="31" t="s">
        <v>1441</v>
      </c>
      <c r="C805" s="183">
        <f>'QoL input'!O155</f>
        <v>0</v>
      </c>
      <c r="D805" s="183">
        <f>'QoL input'!P155</f>
        <v>0</v>
      </c>
      <c r="E805" s="183">
        <f>'QoL input'!Q155</f>
        <v>0</v>
      </c>
      <c r="F805" s="156">
        <f t="shared" si="489"/>
        <v>0</v>
      </c>
      <c r="G805" s="161" t="s">
        <v>578</v>
      </c>
      <c r="H805" s="162" t="e">
        <f t="shared" si="490"/>
        <v>#DIV/0!</v>
      </c>
      <c r="I805" s="162" t="e">
        <f t="shared" si="491"/>
        <v>#DIV/0!</v>
      </c>
      <c r="J805" s="70">
        <f t="shared" ref="J805:J806" si="495">IF(F805=0,C805,IF(G805="Beta",_xlfn.BETA.INV(J$293,H805,I805),IF(G805="Lognormal",EXP(NORMINV(J$293,H805,I805)),IF(G805="Gamma",_xlfn.GAMMA.INV(J$293,H805,I805),IF(G805="Normal",_xlfn.NORM.INV(J$293,H805,I805),0)))))</f>
        <v>0</v>
      </c>
      <c r="M805" s="31" t="s">
        <v>227</v>
      </c>
      <c r="N805" s="183">
        <f>'QoL input'!O211</f>
        <v>0</v>
      </c>
      <c r="O805" s="183">
        <f>'QoL input'!P211</f>
        <v>0</v>
      </c>
      <c r="P805" s="183">
        <f>'QoL input'!Q211</f>
        <v>0</v>
      </c>
      <c r="Q805" s="156">
        <f t="shared" si="492"/>
        <v>0</v>
      </c>
      <c r="R805" s="161" t="s">
        <v>578</v>
      </c>
      <c r="S805" s="162" t="e">
        <f t="shared" si="493"/>
        <v>#DIV/0!</v>
      </c>
      <c r="T805" s="162" t="e">
        <f t="shared" si="494"/>
        <v>#DIV/0!</v>
      </c>
      <c r="U805" s="70">
        <f>IF(Q805=0,N805,IF(R805="Beta",_xlfn.BETA.INV(U802,S805,T805),IF(R805="Lognormal",EXP(NORMINV(U802,S805,T805)),IF(R805="Gamma",_xlfn.GAMMA.INV(U802,S805,T805),IF(R805="Normal",_xlfn.NORM.INV(U802,S805,T805),0)))))</f>
        <v>0</v>
      </c>
    </row>
    <row r="806" spans="2:21" x14ac:dyDescent="0.3">
      <c r="B806" s="31" t="s">
        <v>1442</v>
      </c>
      <c r="C806" s="183">
        <f>'QoL input'!O156</f>
        <v>0</v>
      </c>
      <c r="D806" s="183">
        <f>'QoL input'!P156</f>
        <v>0</v>
      </c>
      <c r="E806" s="183">
        <f>'QoL input'!Q156</f>
        <v>0</v>
      </c>
      <c r="F806" s="156">
        <f t="shared" si="489"/>
        <v>0</v>
      </c>
      <c r="G806" s="161" t="s">
        <v>578</v>
      </c>
      <c r="H806" s="162" t="e">
        <f t="shared" si="490"/>
        <v>#DIV/0!</v>
      </c>
      <c r="I806" s="162" t="e">
        <f t="shared" si="491"/>
        <v>#DIV/0!</v>
      </c>
      <c r="J806" s="70">
        <f t="shared" si="495"/>
        <v>0</v>
      </c>
      <c r="M806" s="31" t="s">
        <v>8</v>
      </c>
      <c r="N806" s="183">
        <f>'QoL input'!O212</f>
        <v>0</v>
      </c>
      <c r="O806" s="183">
        <f>'QoL input'!P212</f>
        <v>0</v>
      </c>
      <c r="P806" s="183">
        <f>'QoL input'!Q212</f>
        <v>0</v>
      </c>
      <c r="Q806" s="156">
        <f t="shared" si="492"/>
        <v>0</v>
      </c>
      <c r="R806" s="161" t="s">
        <v>578</v>
      </c>
      <c r="S806" s="162" t="e">
        <f t="shared" si="493"/>
        <v>#DIV/0!</v>
      </c>
      <c r="T806" s="162" t="e">
        <f t="shared" si="494"/>
        <v>#DIV/0!</v>
      </c>
      <c r="U806" s="70">
        <f>IF(Q806=0,N806,IF(R806="Beta",_xlfn.BETA.INV(U802,S806,T806),IF(R806="Lognormal",EXP(NORMINV(U802,S806,T806)),IF(R806="Gamma",_xlfn.GAMMA.INV(U802,S806,T806),IF(R806="Normal",_xlfn.NORM.INV(U802,S806,T806),0)))))</f>
        <v>0</v>
      </c>
    </row>
    <row r="807" spans="2:21" x14ac:dyDescent="0.3">
      <c r="B807" s="151" t="s">
        <v>920</v>
      </c>
      <c r="C807" s="162"/>
      <c r="D807" s="162"/>
      <c r="E807" s="162"/>
      <c r="F807" s="162"/>
      <c r="G807" s="162"/>
      <c r="H807" s="162"/>
      <c r="I807" s="162"/>
      <c r="J807" s="291">
        <f ca="1">RAND()</f>
        <v>0.39964030828451802</v>
      </c>
      <c r="M807" s="151" t="s">
        <v>920</v>
      </c>
      <c r="N807" s="162"/>
      <c r="O807" s="162"/>
      <c r="P807" s="162"/>
      <c r="Q807" s="162"/>
      <c r="R807" s="162"/>
      <c r="S807" s="141"/>
      <c r="T807" s="141"/>
      <c r="U807" s="291">
        <f ca="1">RAND()</f>
        <v>6.4549890296140999E-2</v>
      </c>
    </row>
    <row r="808" spans="2:21" x14ac:dyDescent="0.3">
      <c r="B808" s="31" t="s">
        <v>920</v>
      </c>
      <c r="C808" s="183">
        <f>'QoL input'!O158</f>
        <v>0</v>
      </c>
      <c r="D808" s="183">
        <f>'QoL input'!P158</f>
        <v>0</v>
      </c>
      <c r="E808" s="183">
        <f>'QoL input'!Q158</f>
        <v>0</v>
      </c>
      <c r="F808" s="156">
        <f t="shared" ref="F808:F809" si="496">(E808-D808)/(2*1.96)</f>
        <v>0</v>
      </c>
      <c r="G808" s="161" t="s">
        <v>578</v>
      </c>
      <c r="H808" s="162" t="e">
        <f t="shared" ref="H808:H809" si="497">IF(G808="Beta",C808*(C808*(1-C808)/(F808^2)-1),IF(G808="Lognormal",LN(C808^2/SQRT(F808^2+C808^2)),IF(G808="Gamma",C808^2/F808^2,IF(G808="Normal",C808,0))))</f>
        <v>#DIV/0!</v>
      </c>
      <c r="I808" s="162" t="e">
        <f t="shared" ref="I808:I809" si="498">IF(G808="Beta",C808*(1-C808)/(F808^2)-1-H808,IF(G808="Lognormal",SQRT(LN(1+F808^2/C808^2)),IF(G808="Gamma",F808^2/C808,IF(G808="Normal",F808,0))))</f>
        <v>#DIV/0!</v>
      </c>
      <c r="J808" s="70">
        <f t="shared" ref="J808:J809" si="499">IF(F808=0,C808,IF(G808="Beta",_xlfn.BETA.INV(J$293,H808,I808),IF(G808="Lognormal",EXP(NORMINV(J$293,H808,I808)),IF(G808="Gamma",_xlfn.GAMMA.INV(J$293,H808,I808),IF(G808="Normal",_xlfn.NORM.INV(J$293,H808,I808),0)))))</f>
        <v>0</v>
      </c>
      <c r="M808" s="31" t="s">
        <v>920</v>
      </c>
      <c r="N808" s="183">
        <f>'QoL input'!O214</f>
        <v>0</v>
      </c>
      <c r="O808" s="183">
        <f>'QoL input'!P214</f>
        <v>0</v>
      </c>
      <c r="P808" s="183">
        <f>'QoL input'!Q214</f>
        <v>0</v>
      </c>
      <c r="Q808" s="156">
        <f t="shared" ref="Q808:Q809" si="500">(P808-O808)/(2*1.96)</f>
        <v>0</v>
      </c>
      <c r="R808" s="161" t="s">
        <v>578</v>
      </c>
      <c r="S808" s="162" t="e">
        <f t="shared" ref="S808:S809" si="501">IF(R808="Beta",N808*(N808*(1-N808)/(Q808^2)-1),IF(R808="Lognormal",LN(N808^2/SQRT(Q808^2+N808^2)),IF(R808="Gamma",N808^2/Q808^2,IF(R808="Normal",N808,0))))</f>
        <v>#DIV/0!</v>
      </c>
      <c r="T808" s="162" t="e">
        <f t="shared" ref="T808:T809" si="502">IF(R808="Beta",N808*(1-N808)/(Q808^2)-1-S808,IF(R808="Lognormal",SQRT(LN(1+Q808^2/N808^2)),IF(R808="Gamma",Q808^2/N808,IF(R808="Normal",Q808,0))))</f>
        <v>#DIV/0!</v>
      </c>
      <c r="U808" s="70">
        <f>IF(Q808=0,N808,IF(R808="Beta",_xlfn.BETA.INV(U807,S808,T808),IF(R808="Lognormal",EXP(NORMINV(U807,S808,T808)),IF(R808="Gamma",_xlfn.GAMMA.INV(U807,S808,T808),IF(R808="Normal",_xlfn.NORM.INV(U807,S808,T808),0)))))</f>
        <v>0</v>
      </c>
    </row>
    <row r="809" spans="2:21" x14ac:dyDescent="0.3">
      <c r="B809" s="31" t="s">
        <v>980</v>
      </c>
      <c r="C809" s="183">
        <f>'QoL input'!O159</f>
        <v>0</v>
      </c>
      <c r="D809" s="183">
        <f>'QoL input'!P159</f>
        <v>0</v>
      </c>
      <c r="E809" s="183">
        <f>'QoL input'!Q159</f>
        <v>0</v>
      </c>
      <c r="F809" s="156">
        <f t="shared" si="496"/>
        <v>0</v>
      </c>
      <c r="G809" s="161" t="s">
        <v>578</v>
      </c>
      <c r="H809" s="162" t="e">
        <f t="shared" si="497"/>
        <v>#DIV/0!</v>
      </c>
      <c r="I809" s="162" t="e">
        <f t="shared" si="498"/>
        <v>#DIV/0!</v>
      </c>
      <c r="J809" s="70">
        <f t="shared" si="499"/>
        <v>0</v>
      </c>
      <c r="M809" s="31" t="s">
        <v>980</v>
      </c>
      <c r="N809" s="183">
        <f>'QoL input'!O215</f>
        <v>0</v>
      </c>
      <c r="O809" s="183">
        <f>'QoL input'!P215</f>
        <v>0</v>
      </c>
      <c r="P809" s="183">
        <f>'QoL input'!Q215</f>
        <v>0</v>
      </c>
      <c r="Q809" s="156">
        <f t="shared" si="500"/>
        <v>0</v>
      </c>
      <c r="R809" s="161" t="s">
        <v>578</v>
      </c>
      <c r="S809" s="162" t="e">
        <f t="shared" si="501"/>
        <v>#DIV/0!</v>
      </c>
      <c r="T809" s="162" t="e">
        <f t="shared" si="502"/>
        <v>#DIV/0!</v>
      </c>
      <c r="U809" s="70">
        <f>IF(Q809=0,N809,IF(R809="Beta",_xlfn.BETA.INV(U807,S809,T809),IF(R809="Lognormal",EXP(NORMINV(U807,S809,T809)),IF(R809="Gamma",_xlfn.GAMMA.INV(U807,S809,T809),IF(R809="Normal",_xlfn.NORM.INV(U807,S809,T809),0)))))</f>
        <v>0</v>
      </c>
    </row>
    <row r="810" spans="2:21" x14ac:dyDescent="0.3">
      <c r="B810" s="31"/>
      <c r="C810" s="169"/>
      <c r="D810" s="169"/>
      <c r="E810" s="169"/>
    </row>
    <row r="811" spans="2:21" ht="15.6" x14ac:dyDescent="0.3">
      <c r="B811" s="625" t="s">
        <v>1514</v>
      </c>
      <c r="C811" s="182"/>
      <c r="D811" s="182"/>
      <c r="E811" s="182"/>
      <c r="F811" s="73"/>
      <c r="G811" s="73"/>
      <c r="H811" s="73"/>
      <c r="I811" s="73"/>
      <c r="J811" s="73"/>
      <c r="M811" s="625" t="s">
        <v>1526</v>
      </c>
      <c r="N811" s="24"/>
      <c r="O811" s="24"/>
      <c r="P811" s="24"/>
      <c r="Q811" s="24"/>
      <c r="R811" s="24"/>
      <c r="S811" s="24"/>
      <c r="T811" s="24"/>
      <c r="U811" s="24"/>
    </row>
    <row r="812" spans="2:21" x14ac:dyDescent="0.3">
      <c r="B812" s="159" t="s">
        <v>1</v>
      </c>
      <c r="C812" s="159" t="s">
        <v>567</v>
      </c>
      <c r="D812" s="159" t="s">
        <v>985</v>
      </c>
      <c r="E812" s="159" t="s">
        <v>986</v>
      </c>
      <c r="F812" s="73" t="s">
        <v>584</v>
      </c>
      <c r="G812" s="73" t="s">
        <v>569</v>
      </c>
      <c r="H812" s="73" t="s">
        <v>581</v>
      </c>
      <c r="I812" s="73" t="s">
        <v>582</v>
      </c>
      <c r="J812" s="73" t="s">
        <v>583</v>
      </c>
      <c r="M812" s="159" t="s">
        <v>1</v>
      </c>
      <c r="N812" s="159" t="s">
        <v>567</v>
      </c>
      <c r="O812" s="159" t="s">
        <v>985</v>
      </c>
      <c r="P812" s="159" t="s">
        <v>986</v>
      </c>
      <c r="Q812" s="73" t="s">
        <v>584</v>
      </c>
      <c r="R812" s="73" t="s">
        <v>569</v>
      </c>
      <c r="S812" s="73" t="s">
        <v>581</v>
      </c>
      <c r="T812" s="73" t="s">
        <v>582</v>
      </c>
      <c r="U812" s="73" t="s">
        <v>583</v>
      </c>
    </row>
    <row r="813" spans="2:21" x14ac:dyDescent="0.3">
      <c r="B813" s="150" t="s">
        <v>988</v>
      </c>
      <c r="C813" s="197"/>
      <c r="D813" s="197"/>
      <c r="E813" s="197"/>
      <c r="J813" s="291">
        <f ca="1">RAND()</f>
        <v>0.27209242603958417</v>
      </c>
      <c r="M813" s="150" t="s">
        <v>988</v>
      </c>
      <c r="U813" s="291">
        <f>J814</f>
        <v>0</v>
      </c>
    </row>
    <row r="814" spans="2:21" x14ac:dyDescent="0.3">
      <c r="B814" s="31" t="s">
        <v>1082</v>
      </c>
      <c r="C814" s="183">
        <f>'QoL input'!O165</f>
        <v>0</v>
      </c>
      <c r="D814" s="183">
        <f>'QoL input'!P165</f>
        <v>0</v>
      </c>
      <c r="E814" s="183">
        <f>'QoL input'!Q165</f>
        <v>0</v>
      </c>
      <c r="F814" s="156">
        <f>(E814-D814)/(2*1.96)</f>
        <v>0</v>
      </c>
      <c r="G814" s="161" t="s">
        <v>578</v>
      </c>
      <c r="H814" s="162" t="e">
        <f t="shared" ref="H814:H820" si="503">IF(G814="Beta",C814*(C814*(1-C814)/(F814^2)-1),IF(G814="Lognormal",LN(C814^2/SQRT(F814^2+C814^2)),IF(G814="Gamma",C814^2/F814^2,IF(G814="Normal",C814,0))))</f>
        <v>#DIV/0!</v>
      </c>
      <c r="I814" s="162" t="e">
        <f t="shared" ref="I814:I820" si="504">IF(G814="Beta",C814*(1-C814)/(F814^2)-1-H814,IF(G814="Lognormal",SQRT(LN(1+F814^2/C814^2)),IF(G814="Gamma",F814^2/C814,IF(G814="Normal",F814,0))))</f>
        <v>#DIV/0!</v>
      </c>
      <c r="J814" s="70">
        <f>IF(F814=0,C814,IF(G814="Beta",_xlfn.BETA.INV(J813,H814,I814),IF(G814="Lognormal",EXP(NORMINV(J813,H814,I814)),IF(G814="Gamma",_xlfn.GAMMA.INV(J813,H814,I814),IF(G814="Normal",_xlfn.NORM.INV(J813,H814,I814),0)))))</f>
        <v>0</v>
      </c>
      <c r="M814" s="31" t="s">
        <v>2</v>
      </c>
      <c r="N814" s="183">
        <f>'QoL input'!O221</f>
        <v>0</v>
      </c>
      <c r="O814" s="183">
        <f>'QoL input'!P221</f>
        <v>0</v>
      </c>
      <c r="P814" s="183">
        <f>'QoL input'!Q221</f>
        <v>0</v>
      </c>
      <c r="Q814" s="156">
        <f>(P814-O814)/(2*1.96)</f>
        <v>0</v>
      </c>
      <c r="R814" s="161" t="s">
        <v>578</v>
      </c>
      <c r="S814" s="162" t="e">
        <f t="shared" ref="S814:S820" si="505">IF(R814="Beta",N814*(N814*(1-N814)/(Q814^2)-1),IF(R814="Lognormal",LN(N814^2/SQRT(Q814^2+N814^2)),IF(R814="Gamma",N814^2/Q814^2,IF(R814="Normal",N814,0))))</f>
        <v>#DIV/0!</v>
      </c>
      <c r="T814" s="162" t="e">
        <f t="shared" ref="T814:T820" si="506">IF(R814="Beta",N814*(1-N814)/(Q814^2)-1-S814,IF(R814="Lognormal",SQRT(LN(1+Q814^2/N814^2)),IF(R814="Gamma",Q814^2/N814,IF(R814="Normal",Q814,0))))</f>
        <v>#DIV/0!</v>
      </c>
      <c r="U814" s="70">
        <f>IF(Q814=0,N814,IF(R814="Beta",_xlfn.BETA.INV(U813,S814,T814),IF(R814="Lognormal",EXP(NORMINV(U813,S814,T814)),IF(R814="Gamma",_xlfn.GAMMA.INV(U813,S814,T814),IF(R814="Normal",_xlfn.NORM.INV(U813,S814,T814),0)))))</f>
        <v>0</v>
      </c>
    </row>
    <row r="815" spans="2:21" x14ac:dyDescent="0.3">
      <c r="B815" s="31" t="s">
        <v>1083</v>
      </c>
      <c r="C815" s="183">
        <f>'QoL input'!O166</f>
        <v>0</v>
      </c>
      <c r="D815" s="183">
        <f>'QoL input'!P166</f>
        <v>0</v>
      </c>
      <c r="E815" s="183">
        <f>'QoL input'!Q166</f>
        <v>0</v>
      </c>
      <c r="F815" s="156">
        <f t="shared" ref="F815:F820" si="507">(E815-D815)/(2*1.96)</f>
        <v>0</v>
      </c>
      <c r="G815" s="161" t="s">
        <v>578</v>
      </c>
      <c r="H815" s="162" t="e">
        <f t="shared" si="503"/>
        <v>#DIV/0!</v>
      </c>
      <c r="I815" s="162" t="e">
        <f t="shared" si="504"/>
        <v>#DIV/0!</v>
      </c>
      <c r="J815" s="70">
        <f>IF(F815=0,C815,IF(G815="Beta",_xlfn.BETA.INV(J813,H815,I815),IF(G815="Lognormal",EXP(NORMINV(J813,H815,I815)),IF(G815="Gamma",_xlfn.GAMMA.INV(J813,H815,I815),IF(G815="Normal",_xlfn.NORM.INV(J813,H815,I815),0)))))</f>
        <v>0</v>
      </c>
      <c r="M815" s="31" t="s">
        <v>3</v>
      </c>
      <c r="N815" s="183">
        <f>'QoL input'!O222</f>
        <v>0</v>
      </c>
      <c r="O815" s="183">
        <f>'QoL input'!P222</f>
        <v>0</v>
      </c>
      <c r="P815" s="183">
        <f>'QoL input'!Q222</f>
        <v>0</v>
      </c>
      <c r="Q815" s="156">
        <f t="shared" ref="Q815:Q820" si="508">(P815-O815)/(2*1.96)</f>
        <v>0</v>
      </c>
      <c r="R815" s="161" t="s">
        <v>578</v>
      </c>
      <c r="S815" s="162" t="e">
        <f t="shared" si="505"/>
        <v>#DIV/0!</v>
      </c>
      <c r="T815" s="162" t="e">
        <f t="shared" si="506"/>
        <v>#DIV/0!</v>
      </c>
      <c r="U815" s="70">
        <f>IF(Q815=0,N815,IF(R815="Beta",_xlfn.BETA.INV(U813,S815,T815),IF(R815="Lognormal",EXP(NORMINV(U813,S815,T815)),IF(R815="Gamma",_xlfn.GAMMA.INV(U813,S815,T815),IF(R815="Normal",_xlfn.NORM.INV(U813,S815,T815),0)))))</f>
        <v>0</v>
      </c>
    </row>
    <row r="816" spans="2:21" x14ac:dyDescent="0.3">
      <c r="B816" s="31" t="s">
        <v>1084</v>
      </c>
      <c r="C816" s="183">
        <f>'QoL input'!O167</f>
        <v>0</v>
      </c>
      <c r="D816" s="183">
        <f>'QoL input'!P167</f>
        <v>0</v>
      </c>
      <c r="E816" s="183">
        <f>'QoL input'!Q167</f>
        <v>0</v>
      </c>
      <c r="F816" s="156">
        <f t="shared" si="507"/>
        <v>0</v>
      </c>
      <c r="G816" s="161" t="s">
        <v>578</v>
      </c>
      <c r="H816" s="162" t="e">
        <f t="shared" si="503"/>
        <v>#DIV/0!</v>
      </c>
      <c r="I816" s="162" t="e">
        <f t="shared" si="504"/>
        <v>#DIV/0!</v>
      </c>
      <c r="J816" s="70">
        <f>IF(F816=0,C816,IF(G816="Beta",_xlfn.BETA.INV(J813,H816,I816),IF(G816="Lognormal",EXP(NORMINV(J813,H816,I816)),IF(G816="Gamma",_xlfn.GAMMA.INV(J813,H816,I816),IF(G816="Normal",_xlfn.NORM.INV(J813,H816,I816),0)))))</f>
        <v>0</v>
      </c>
      <c r="M816" s="31" t="s">
        <v>4</v>
      </c>
      <c r="N816" s="183">
        <f>'QoL input'!O223</f>
        <v>0</v>
      </c>
      <c r="O816" s="183">
        <f>'QoL input'!P223</f>
        <v>0</v>
      </c>
      <c r="P816" s="183">
        <f>'QoL input'!Q223</f>
        <v>0</v>
      </c>
      <c r="Q816" s="156">
        <f t="shared" si="508"/>
        <v>0</v>
      </c>
      <c r="R816" s="161" t="s">
        <v>578</v>
      </c>
      <c r="S816" s="162" t="e">
        <f t="shared" si="505"/>
        <v>#DIV/0!</v>
      </c>
      <c r="T816" s="162" t="e">
        <f t="shared" si="506"/>
        <v>#DIV/0!</v>
      </c>
      <c r="U816" s="70">
        <f>IF(Q816=0,N816,IF(R816="Beta",_xlfn.BETA.INV(U813,S816,T816),IF(R816="Lognormal",EXP(NORMINV(U813,S816,T816)),IF(R816="Gamma",_xlfn.GAMMA.INV(U813,S816,T816),IF(R816="Normal",_xlfn.NORM.INV(U813,S816,T816),0)))))</f>
        <v>0</v>
      </c>
    </row>
    <row r="817" spans="2:28" x14ac:dyDescent="0.3">
      <c r="B817" s="31" t="s">
        <v>1085</v>
      </c>
      <c r="C817" s="183">
        <f>'QoL input'!O168</f>
        <v>0</v>
      </c>
      <c r="D817" s="183">
        <f>'QoL input'!P168</f>
        <v>0</v>
      </c>
      <c r="E817" s="183">
        <f>'QoL input'!Q168</f>
        <v>0</v>
      </c>
      <c r="F817" s="156">
        <f t="shared" si="507"/>
        <v>0</v>
      </c>
      <c r="G817" s="161" t="s">
        <v>578</v>
      </c>
      <c r="H817" s="162" t="e">
        <f t="shared" si="503"/>
        <v>#DIV/0!</v>
      </c>
      <c r="I817" s="162" t="e">
        <f t="shared" si="504"/>
        <v>#DIV/0!</v>
      </c>
      <c r="J817" s="70">
        <f>IF(F817=0,C817,IF(G817="Beta",_xlfn.BETA.INV(J813,H817,I817),IF(G817="Lognormal",EXP(NORMINV(J813,H817,I817)),IF(G817="Gamma",_xlfn.GAMMA.INV(J813,H817,I817),IF(G817="Normal",_xlfn.NORM.INV(J813,H817,I817),0)))))</f>
        <v>0</v>
      </c>
      <c r="M817" s="31" t="s">
        <v>5</v>
      </c>
      <c r="N817" s="183">
        <f>'QoL input'!O224</f>
        <v>0</v>
      </c>
      <c r="O817" s="183">
        <f>'QoL input'!P224</f>
        <v>0</v>
      </c>
      <c r="P817" s="183">
        <f>'QoL input'!Q224</f>
        <v>0</v>
      </c>
      <c r="Q817" s="156">
        <f t="shared" si="508"/>
        <v>0</v>
      </c>
      <c r="R817" s="161" t="s">
        <v>578</v>
      </c>
      <c r="S817" s="162" t="e">
        <f t="shared" si="505"/>
        <v>#DIV/0!</v>
      </c>
      <c r="T817" s="162" t="e">
        <f t="shared" si="506"/>
        <v>#DIV/0!</v>
      </c>
      <c r="U817" s="70">
        <f>IF(Q817=0,N817,IF(R817="Beta",_xlfn.BETA.INV(U813,S817,T817),IF(R817="Lognormal",EXP(NORMINV(U813,S817,T817)),IF(R817="Gamma",_xlfn.GAMMA.INV(U813,S817,T817),IF(R817="Normal",_xlfn.NORM.INV(U813,S817,T817),0)))))</f>
        <v>0</v>
      </c>
    </row>
    <row r="818" spans="2:28" x14ac:dyDescent="0.3">
      <c r="B818" s="31" t="s">
        <v>1086</v>
      </c>
      <c r="C818" s="183">
        <f>'QoL input'!O169</f>
        <v>0</v>
      </c>
      <c r="D818" s="183">
        <f>'QoL input'!P169</f>
        <v>0</v>
      </c>
      <c r="E818" s="183">
        <f>'QoL input'!Q169</f>
        <v>0</v>
      </c>
      <c r="F818" s="156">
        <f t="shared" si="507"/>
        <v>0</v>
      </c>
      <c r="G818" s="161" t="s">
        <v>578</v>
      </c>
      <c r="H818" s="162" t="e">
        <f t="shared" si="503"/>
        <v>#DIV/0!</v>
      </c>
      <c r="I818" s="162" t="e">
        <f t="shared" si="504"/>
        <v>#DIV/0!</v>
      </c>
      <c r="J818" s="70">
        <f>IF(F818=0,C818,IF(G818="Beta",_xlfn.BETA.INV(J813,H818,I818),IF(G818="Lognormal",EXP(NORMINV(J813,H818,I818)),IF(G818="Gamma",_xlfn.GAMMA.INV(J813,H818,I818),IF(G818="Normal",_xlfn.NORM.INV(J813,H818,I818),0)))))</f>
        <v>0</v>
      </c>
      <c r="M818" s="31" t="s">
        <v>6</v>
      </c>
      <c r="N818" s="183">
        <f>'QoL input'!O225</f>
        <v>0</v>
      </c>
      <c r="O818" s="183">
        <f>'QoL input'!P225</f>
        <v>0</v>
      </c>
      <c r="P818" s="183">
        <f>'QoL input'!Q225</f>
        <v>0</v>
      </c>
      <c r="Q818" s="156">
        <f t="shared" si="508"/>
        <v>0</v>
      </c>
      <c r="R818" s="161" t="s">
        <v>578</v>
      </c>
      <c r="S818" s="162" t="e">
        <f t="shared" si="505"/>
        <v>#DIV/0!</v>
      </c>
      <c r="T818" s="162" t="e">
        <f t="shared" si="506"/>
        <v>#DIV/0!</v>
      </c>
      <c r="U818" s="70">
        <f>IF(Q818=0,N818,IF(R818="Beta",_xlfn.BETA.INV(U813,S818,T818),IF(R818="Lognormal",EXP(NORMINV(U813,S818,T818)),IF(R818="Gamma",_xlfn.GAMMA.INV(U813,S818,T818),IF(R818="Normal",_xlfn.NORM.INV(U813,S818,T818),0)))))</f>
        <v>0</v>
      </c>
    </row>
    <row r="819" spans="2:28" x14ac:dyDescent="0.3">
      <c r="B819" s="31" t="s">
        <v>1087</v>
      </c>
      <c r="C819" s="183">
        <f>'QoL input'!O170</f>
        <v>0</v>
      </c>
      <c r="D819" s="183">
        <f>'QoL input'!P170</f>
        <v>0</v>
      </c>
      <c r="E819" s="183">
        <f>'QoL input'!Q170</f>
        <v>0</v>
      </c>
      <c r="F819" s="156">
        <f t="shared" si="507"/>
        <v>0</v>
      </c>
      <c r="G819" s="161" t="s">
        <v>578</v>
      </c>
      <c r="H819" s="162" t="e">
        <f t="shared" si="503"/>
        <v>#DIV/0!</v>
      </c>
      <c r="I819" s="162" t="e">
        <f t="shared" si="504"/>
        <v>#DIV/0!</v>
      </c>
      <c r="J819" s="70">
        <f>IF(F819=0,C819,IF(G819="Beta",_xlfn.BETA.INV(J813,H819,I819),IF(G819="Lognormal",EXP(NORMINV(J813,H819,I819)),IF(G819="Gamma",_xlfn.GAMMA.INV(J813,H819,I819),IF(G819="Normal",_xlfn.NORM.INV(J813,H819,I819),0)))))</f>
        <v>0</v>
      </c>
      <c r="M819" s="31" t="s">
        <v>7</v>
      </c>
      <c r="N819" s="183">
        <f>'QoL input'!O226</f>
        <v>0</v>
      </c>
      <c r="O819" s="183">
        <f>'QoL input'!P226</f>
        <v>0</v>
      </c>
      <c r="P819" s="183">
        <f>'QoL input'!Q226</f>
        <v>0</v>
      </c>
      <c r="Q819" s="156">
        <f t="shared" si="508"/>
        <v>0</v>
      </c>
      <c r="R819" s="161" t="s">
        <v>578</v>
      </c>
      <c r="S819" s="162" t="e">
        <f t="shared" si="505"/>
        <v>#DIV/0!</v>
      </c>
      <c r="T819" s="162" t="e">
        <f t="shared" si="506"/>
        <v>#DIV/0!</v>
      </c>
      <c r="U819" s="70">
        <f>IF(Q819=0,N819,IF(R819="Beta",_xlfn.BETA.INV(U813,S819,T819),IF(R819="Lognormal",EXP(NORMINV(U813,S819,T819)),IF(R819="Gamma",_xlfn.GAMMA.INV(U813,S819,T819),IF(R819="Normal",_xlfn.NORM.INV(U813,S819,T819),0)))))</f>
        <v>0</v>
      </c>
    </row>
    <row r="820" spans="2:28" x14ac:dyDescent="0.3">
      <c r="B820" s="31" t="s">
        <v>1443</v>
      </c>
      <c r="C820" s="183">
        <f>'QoL input'!O171</f>
        <v>0</v>
      </c>
      <c r="D820" s="183">
        <f>'QoL input'!P171</f>
        <v>0</v>
      </c>
      <c r="E820" s="183">
        <f>'QoL input'!Q171</f>
        <v>0</v>
      </c>
      <c r="F820" s="156">
        <f t="shared" si="507"/>
        <v>0</v>
      </c>
      <c r="G820" s="161" t="s">
        <v>578</v>
      </c>
      <c r="H820" s="162" t="e">
        <f t="shared" si="503"/>
        <v>#DIV/0!</v>
      </c>
      <c r="I820" s="162" t="e">
        <f t="shared" si="504"/>
        <v>#DIV/0!</v>
      </c>
      <c r="J820" s="70">
        <f>IF(F820=0,C820,IF(G820="Beta",_xlfn.BETA.INV(J813,H820,I820),IF(G820="Lognormal",EXP(NORMINV(J813,H820,I820)),IF(G820="Gamma",_xlfn.GAMMA.INV(J813,H820,I820),IF(G820="Normal",_xlfn.NORM.INV(J813,H820,I820),0)))))</f>
        <v>0</v>
      </c>
      <c r="M820" s="31" t="s">
        <v>11</v>
      </c>
      <c r="N820" s="183">
        <f>'QoL input'!O227</f>
        <v>0</v>
      </c>
      <c r="O820" s="183">
        <f>'QoL input'!P227</f>
        <v>0</v>
      </c>
      <c r="P820" s="183">
        <f>'QoL input'!Q227</f>
        <v>0</v>
      </c>
      <c r="Q820" s="156">
        <f t="shared" si="508"/>
        <v>0</v>
      </c>
      <c r="R820" s="161" t="s">
        <v>578</v>
      </c>
      <c r="S820" s="162" t="e">
        <f t="shared" si="505"/>
        <v>#DIV/0!</v>
      </c>
      <c r="T820" s="162" t="e">
        <f t="shared" si="506"/>
        <v>#DIV/0!</v>
      </c>
      <c r="U820" s="70">
        <f>IF(Q820=0,N820,IF(R820="Beta",_xlfn.BETA.INV(U813,S820,T820),IF(R820="Lognormal",EXP(NORMINV(U813,S820,T820)),IF(R820="Gamma",_xlfn.GAMMA.INV(U813,S820,T820),IF(R820="Normal",_xlfn.NORM.INV(U813,S820,T820),0)))))</f>
        <v>0</v>
      </c>
    </row>
    <row r="821" spans="2:28" x14ac:dyDescent="0.3">
      <c r="B821" s="150" t="s">
        <v>1444</v>
      </c>
      <c r="H821" s="141"/>
      <c r="I821" s="141"/>
      <c r="J821" s="291">
        <f ca="1">RAND()</f>
        <v>6.6992398756865357E-2</v>
      </c>
      <c r="L821" s="79" t="s">
        <v>679</v>
      </c>
      <c r="M821" s="150" t="s">
        <v>1444</v>
      </c>
      <c r="S821" s="141"/>
      <c r="T821" s="141"/>
      <c r="U821" s="291">
        <f ca="1">RAND()</f>
        <v>8.0560352978111927E-2</v>
      </c>
    </row>
    <row r="822" spans="2:28" x14ac:dyDescent="0.3">
      <c r="B822" s="31" t="s">
        <v>1082</v>
      </c>
      <c r="C822" s="183">
        <f>'QoL input'!O173</f>
        <v>0</v>
      </c>
      <c r="D822" s="183">
        <f>'QoL input'!P173</f>
        <v>0</v>
      </c>
      <c r="E822" s="183">
        <f>'QoL input'!Q173</f>
        <v>0</v>
      </c>
      <c r="F822" s="156">
        <f>(E822-D822)/(2*1.96)</f>
        <v>0</v>
      </c>
      <c r="G822" s="161" t="s">
        <v>578</v>
      </c>
      <c r="H822" s="162" t="e">
        <f t="shared" ref="H822:H828" si="509">IF(G822="Beta",C822*(C822*(1-C822)/(F822^2)-1),IF(G822="Lognormal",LN(C822^2/SQRT(F822^2+C822^2)),IF(G822="Gamma",C822^2/F822^2,IF(G822="Normal",C822,0))))</f>
        <v>#DIV/0!</v>
      </c>
      <c r="I822" s="162" t="e">
        <f t="shared" ref="I822:I828" si="510">IF(G822="Beta",C822*(1-C822)/(F822^2)-1-H822,IF(G822="Lognormal",SQRT(LN(1+F822^2/C822^2)),IF(G822="Gamma",F822^2/C822,IF(G822="Normal",F822,0))))</f>
        <v>#DIV/0!</v>
      </c>
      <c r="J822" s="70">
        <f>IF(F822=0,C822,IF(G822="Beta",_xlfn.BETA.INV(J821,H822,I822),IF(G822="Lognormal",EXP(NORMINV(J821,H822,I822)),IF(G822="Gamma",_xlfn.GAMMA.INV(J821,H822,I822),IF(G822="Normal",_xlfn.NORM.INV(J821,H822,I822),0)))))</f>
        <v>0</v>
      </c>
      <c r="M822" s="31" t="s">
        <v>1082</v>
      </c>
      <c r="N822" s="183">
        <f>'QoL input'!O229</f>
        <v>0</v>
      </c>
      <c r="O822" s="183">
        <f>'QoL input'!P229</f>
        <v>0</v>
      </c>
      <c r="P822" s="183">
        <f>'QoL input'!Q229</f>
        <v>0</v>
      </c>
      <c r="Q822" s="156">
        <f>(P822-O822)/(2*1.96)</f>
        <v>0</v>
      </c>
      <c r="R822" s="161" t="s">
        <v>578</v>
      </c>
      <c r="S822" s="162" t="e">
        <f t="shared" ref="S822:S828" si="511">IF(R822="Beta",N822*(N822*(1-N822)/(Q822^2)-1),IF(R822="Lognormal",LN(N822^2/SQRT(Q822^2+N822^2)),IF(R822="Gamma",N822^2/Q822^2,IF(R822="Normal",N822,0))))</f>
        <v>#DIV/0!</v>
      </c>
      <c r="T822" s="162" t="e">
        <f t="shared" ref="T822:T828" si="512">IF(R822="Beta",N822*(1-N822)/(Q822^2)-1-S822,IF(R822="Lognormal",SQRT(LN(1+Q822^2/N822^2)),IF(R822="Gamma",Q822^2/N822,IF(R822="Normal",Q822,0))))</f>
        <v>#DIV/0!</v>
      </c>
      <c r="U822" s="70">
        <f>IF(Q822=0,N822,IF(R822="Beta",_xlfn.BETA.INV(U821,S822,T822),IF(R822="Lognormal",EXP(NORMINV(U821,S822,T822)),IF(R822="Gamma",_xlfn.GAMMA.INV(U821,S822,T822),IF(R822="Normal",_xlfn.NORM.INV(U821,S822,T822),0)))))</f>
        <v>0</v>
      </c>
    </row>
    <row r="823" spans="2:28" x14ac:dyDescent="0.3">
      <c r="B823" s="31" t="s">
        <v>1083</v>
      </c>
      <c r="C823" s="183">
        <f>'QoL input'!O174</f>
        <v>0</v>
      </c>
      <c r="D823" s="183">
        <f>'QoL input'!P174</f>
        <v>0</v>
      </c>
      <c r="E823" s="183">
        <f>'QoL input'!Q174</f>
        <v>0</v>
      </c>
      <c r="F823" s="156">
        <f t="shared" ref="F823:F828" si="513">(E823-D823)/(2*1.96)</f>
        <v>0</v>
      </c>
      <c r="G823" s="161" t="s">
        <v>578</v>
      </c>
      <c r="H823" s="162" t="e">
        <f t="shared" si="509"/>
        <v>#DIV/0!</v>
      </c>
      <c r="I823" s="162" t="e">
        <f t="shared" si="510"/>
        <v>#DIV/0!</v>
      </c>
      <c r="J823" s="70">
        <f>IF(F823=0,C823,IF(G823="Beta",_xlfn.BETA.INV(J821,H823,I823),IF(G823="Lognormal",EXP(NORMINV(J821,H823,I823)),IF(G823="Gamma",_xlfn.GAMMA.INV(J821,H823,I823),IF(G823="Normal",_xlfn.NORM.INV(J821,H823,I823),0)))))</f>
        <v>0</v>
      </c>
      <c r="M823" s="31" t="s">
        <v>1083</v>
      </c>
      <c r="N823" s="183">
        <f>'QoL input'!O230</f>
        <v>0</v>
      </c>
      <c r="O823" s="183">
        <f>'QoL input'!P230</f>
        <v>0</v>
      </c>
      <c r="P823" s="183">
        <f>'QoL input'!Q230</f>
        <v>0</v>
      </c>
      <c r="Q823" s="156">
        <f t="shared" ref="Q823:Q828" si="514">(P823-O823)/(2*1.96)</f>
        <v>0</v>
      </c>
      <c r="R823" s="161" t="s">
        <v>578</v>
      </c>
      <c r="S823" s="162" t="e">
        <f t="shared" si="511"/>
        <v>#DIV/0!</v>
      </c>
      <c r="T823" s="162" t="e">
        <f t="shared" si="512"/>
        <v>#DIV/0!</v>
      </c>
      <c r="U823" s="70">
        <f>IF(Q823=0,N823,IF(R823="Beta",_xlfn.BETA.INV(U821,S823,T823),IF(R823="Lognormal",EXP(NORMINV(U821,S823,T823)),IF(R823="Gamma",_xlfn.GAMMA.INV(U821,S823,T823),IF(R823="Normal",_xlfn.NORM.INV(U821,S823,T823),0)))))</f>
        <v>0</v>
      </c>
    </row>
    <row r="824" spans="2:28" x14ac:dyDescent="0.3">
      <c r="B824" s="31" t="s">
        <v>1084</v>
      </c>
      <c r="C824" s="183">
        <f>'QoL input'!O175</f>
        <v>0</v>
      </c>
      <c r="D824" s="183">
        <f>'QoL input'!P175</f>
        <v>0</v>
      </c>
      <c r="E824" s="183">
        <f>'QoL input'!Q175</f>
        <v>0</v>
      </c>
      <c r="F824" s="156">
        <f t="shared" si="513"/>
        <v>0</v>
      </c>
      <c r="G824" s="161" t="s">
        <v>578</v>
      </c>
      <c r="H824" s="162" t="e">
        <f t="shared" si="509"/>
        <v>#DIV/0!</v>
      </c>
      <c r="I824" s="162" t="e">
        <f t="shared" si="510"/>
        <v>#DIV/0!</v>
      </c>
      <c r="J824" s="70">
        <f>IF(F824=0,C824,IF(G824="Beta",_xlfn.BETA.INV(J821,H824,I824),IF(G824="Lognormal",EXP(NORMINV(J821,H824,I824)),IF(G824="Gamma",_xlfn.GAMMA.INV(J821,H824,I824),IF(G824="Normal",_xlfn.NORM.INV(J821,H824,I824),0)))))</f>
        <v>0</v>
      </c>
      <c r="M824" s="31" t="s">
        <v>1084</v>
      </c>
      <c r="N824" s="183">
        <f>'QoL input'!O231</f>
        <v>0</v>
      </c>
      <c r="O824" s="183">
        <f>'QoL input'!P231</f>
        <v>0</v>
      </c>
      <c r="P824" s="183">
        <f>'QoL input'!Q231</f>
        <v>0</v>
      </c>
      <c r="Q824" s="156">
        <f t="shared" si="514"/>
        <v>0</v>
      </c>
      <c r="R824" s="161" t="s">
        <v>578</v>
      </c>
      <c r="S824" s="162" t="e">
        <f t="shared" si="511"/>
        <v>#DIV/0!</v>
      </c>
      <c r="T824" s="162" t="e">
        <f t="shared" si="512"/>
        <v>#DIV/0!</v>
      </c>
      <c r="U824" s="70">
        <f>IF(Q824=0,N824,IF(R824="Beta",_xlfn.BETA.INV(U821,S824,T824),IF(R824="Lognormal",EXP(NORMINV(U821,S824,T824)),IF(R824="Gamma",_xlfn.GAMMA.INV(U821,S824,T824),IF(R824="Normal",_xlfn.NORM.INV(U821,S824,T824),0)))))</f>
        <v>0</v>
      </c>
    </row>
    <row r="825" spans="2:28" x14ac:dyDescent="0.3">
      <c r="B825" s="31" t="s">
        <v>1085</v>
      </c>
      <c r="C825" s="183">
        <f>'QoL input'!O176</f>
        <v>0</v>
      </c>
      <c r="D825" s="183">
        <f>'QoL input'!P176</f>
        <v>0</v>
      </c>
      <c r="E825" s="183">
        <f>'QoL input'!Q176</f>
        <v>0</v>
      </c>
      <c r="F825" s="156">
        <f t="shared" si="513"/>
        <v>0</v>
      </c>
      <c r="G825" s="161" t="s">
        <v>578</v>
      </c>
      <c r="H825" s="162" t="e">
        <f t="shared" si="509"/>
        <v>#DIV/0!</v>
      </c>
      <c r="I825" s="162" t="e">
        <f t="shared" si="510"/>
        <v>#DIV/0!</v>
      </c>
      <c r="J825" s="70">
        <f>IF(F825=0,C825,IF(G825="Beta",_xlfn.BETA.INV(J821,H825,I825),IF(G825="Lognormal",EXP(NORMINV(J821,H825,I825)),IF(G825="Gamma",_xlfn.GAMMA.INV(J821,H825,I825),IF(G825="Normal",_xlfn.NORM.INV(J821,H825,I825),0)))))</f>
        <v>0</v>
      </c>
      <c r="M825" s="31" t="s">
        <v>1085</v>
      </c>
      <c r="N825" s="183">
        <f>'QoL input'!O232</f>
        <v>0</v>
      </c>
      <c r="O825" s="183">
        <f>'QoL input'!P232</f>
        <v>0</v>
      </c>
      <c r="P825" s="183">
        <f>'QoL input'!Q232</f>
        <v>0</v>
      </c>
      <c r="Q825" s="156">
        <f t="shared" si="514"/>
        <v>0</v>
      </c>
      <c r="R825" s="161" t="s">
        <v>578</v>
      </c>
      <c r="S825" s="162" t="e">
        <f t="shared" si="511"/>
        <v>#DIV/0!</v>
      </c>
      <c r="T825" s="162" t="e">
        <f t="shared" si="512"/>
        <v>#DIV/0!</v>
      </c>
      <c r="U825" s="70">
        <f>IF(Q825=0,N825,IF(R825="Beta",_xlfn.BETA.INV(U821,S825,T825),IF(R825="Lognormal",EXP(NORMINV(U821,S825,T825)),IF(R825="Gamma",_xlfn.GAMMA.INV(U821,S825,T825),IF(R825="Normal",_xlfn.NORM.INV(U821,S825,T825),0)))))</f>
        <v>0</v>
      </c>
      <c r="AB825" s="67"/>
    </row>
    <row r="826" spans="2:28" x14ac:dyDescent="0.3">
      <c r="B826" s="31" t="s">
        <v>1086</v>
      </c>
      <c r="C826" s="183">
        <f>'QoL input'!O177</f>
        <v>0</v>
      </c>
      <c r="D826" s="183">
        <f>'QoL input'!P177</f>
        <v>0</v>
      </c>
      <c r="E826" s="183">
        <f>'QoL input'!Q177</f>
        <v>0</v>
      </c>
      <c r="F826" s="156">
        <f t="shared" si="513"/>
        <v>0</v>
      </c>
      <c r="G826" s="161" t="s">
        <v>578</v>
      </c>
      <c r="H826" s="162" t="e">
        <f t="shared" si="509"/>
        <v>#DIV/0!</v>
      </c>
      <c r="I826" s="162" t="e">
        <f t="shared" si="510"/>
        <v>#DIV/0!</v>
      </c>
      <c r="J826" s="70">
        <f>IF(F826=0,C826,IF(G826="Beta",_xlfn.BETA.INV(J821,H826,I826),IF(G826="Lognormal",EXP(NORMINV(J821,H826,I826)),IF(G826="Gamma",_xlfn.GAMMA.INV(J821,H826,I826),IF(G826="Normal",_xlfn.NORM.INV(J821,H826,I826),0)))))</f>
        <v>0</v>
      </c>
      <c r="M826" s="31" t="s">
        <v>1086</v>
      </c>
      <c r="N826" s="183">
        <f>'QoL input'!O233</f>
        <v>0</v>
      </c>
      <c r="O826" s="183">
        <f>'QoL input'!P233</f>
        <v>0</v>
      </c>
      <c r="P826" s="183">
        <f>'QoL input'!Q233</f>
        <v>0</v>
      </c>
      <c r="Q826" s="156">
        <f t="shared" si="514"/>
        <v>0</v>
      </c>
      <c r="R826" s="161" t="s">
        <v>578</v>
      </c>
      <c r="S826" s="162" t="e">
        <f t="shared" si="511"/>
        <v>#DIV/0!</v>
      </c>
      <c r="T826" s="162" t="e">
        <f t="shared" si="512"/>
        <v>#DIV/0!</v>
      </c>
      <c r="U826" s="70">
        <f>IF(Q826=0,N826,IF(R826="Beta",_xlfn.BETA.INV(U821,S826,T826),IF(R826="Lognormal",EXP(NORMINV(U821,S826,T826)),IF(R826="Gamma",_xlfn.GAMMA.INV(U821,S826,T826),IF(R826="Normal",_xlfn.NORM.INV(U821,S826,T826),0)))))</f>
        <v>0</v>
      </c>
    </row>
    <row r="827" spans="2:28" x14ac:dyDescent="0.3">
      <c r="B827" s="31" t="s">
        <v>1087</v>
      </c>
      <c r="C827" s="183">
        <f>'QoL input'!O178</f>
        <v>0</v>
      </c>
      <c r="D827" s="183">
        <f>'QoL input'!P178</f>
        <v>0</v>
      </c>
      <c r="E827" s="183">
        <f>'QoL input'!Q178</f>
        <v>0</v>
      </c>
      <c r="F827" s="156">
        <f t="shared" si="513"/>
        <v>0</v>
      </c>
      <c r="G827" s="161" t="s">
        <v>578</v>
      </c>
      <c r="H827" s="162" t="e">
        <f t="shared" si="509"/>
        <v>#DIV/0!</v>
      </c>
      <c r="I827" s="162" t="e">
        <f t="shared" si="510"/>
        <v>#DIV/0!</v>
      </c>
      <c r="J827" s="70">
        <f>IF(F827=0,C827,IF(G827="Beta",_xlfn.BETA.INV(J821,H827,I827),IF(G827="Lognormal",EXP(NORMINV(J821,H827,I827)),IF(G827="Gamma",_xlfn.GAMMA.INV(J821,H827,I827),IF(G827="Normal",_xlfn.NORM.INV(J821,H827,I827),0)))))</f>
        <v>0</v>
      </c>
      <c r="M827" s="31" t="s">
        <v>1087</v>
      </c>
      <c r="N827" s="183">
        <f>'QoL input'!O234</f>
        <v>0</v>
      </c>
      <c r="O827" s="183">
        <f>'QoL input'!P234</f>
        <v>0</v>
      </c>
      <c r="P827" s="183">
        <f>'QoL input'!Q234</f>
        <v>0</v>
      </c>
      <c r="Q827" s="156">
        <f t="shared" si="514"/>
        <v>0</v>
      </c>
      <c r="R827" s="161" t="s">
        <v>578</v>
      </c>
      <c r="S827" s="162" t="e">
        <f t="shared" si="511"/>
        <v>#DIV/0!</v>
      </c>
      <c r="T827" s="162" t="e">
        <f t="shared" si="512"/>
        <v>#DIV/0!</v>
      </c>
      <c r="U827" s="70">
        <f>IF(Q827=0,N827,IF(R827="Beta",_xlfn.BETA.INV(U821,S827,T827),IF(R827="Lognormal",EXP(NORMINV(U821,S827,T827)),IF(R827="Gamma",_xlfn.GAMMA.INV(U821,S827,T827),IF(R827="Normal",_xlfn.NORM.INV(U821,S827,T827),0)))))</f>
        <v>0</v>
      </c>
    </row>
    <row r="828" spans="2:28" x14ac:dyDescent="0.3">
      <c r="B828" s="31" t="s">
        <v>1443</v>
      </c>
      <c r="C828" s="183">
        <f>'QoL input'!O179</f>
        <v>0</v>
      </c>
      <c r="D828" s="183">
        <f>'QoL input'!P179</f>
        <v>0</v>
      </c>
      <c r="E828" s="183">
        <f>'QoL input'!Q179</f>
        <v>0</v>
      </c>
      <c r="F828" s="156">
        <f t="shared" si="513"/>
        <v>0</v>
      </c>
      <c r="G828" s="161" t="s">
        <v>578</v>
      </c>
      <c r="H828" s="162" t="e">
        <f t="shared" si="509"/>
        <v>#DIV/0!</v>
      </c>
      <c r="I828" s="162" t="e">
        <f t="shared" si="510"/>
        <v>#DIV/0!</v>
      </c>
      <c r="J828" s="70">
        <f>IF(F828=0,C828,IF(G828="Beta",_xlfn.BETA.INV(J821,H828,I828),IF(G828="Lognormal",EXP(NORMINV(J821,H828,I828)),IF(G828="Gamma",_xlfn.GAMMA.INV(J821,H828,I828),IF(G828="Normal",_xlfn.NORM.INV(J821,H828,I828),0)))))</f>
        <v>0</v>
      </c>
      <c r="M828" s="31" t="s">
        <v>1443</v>
      </c>
      <c r="N828" s="183">
        <f>'QoL input'!O235</f>
        <v>0</v>
      </c>
      <c r="O828" s="183">
        <f>'QoL input'!P235</f>
        <v>0</v>
      </c>
      <c r="P828" s="183">
        <f>'QoL input'!Q235</f>
        <v>0</v>
      </c>
      <c r="Q828" s="156">
        <f t="shared" si="514"/>
        <v>0</v>
      </c>
      <c r="R828" s="161" t="s">
        <v>578</v>
      </c>
      <c r="S828" s="162" t="e">
        <f t="shared" si="511"/>
        <v>#DIV/0!</v>
      </c>
      <c r="T828" s="162" t="e">
        <f t="shared" si="512"/>
        <v>#DIV/0!</v>
      </c>
      <c r="U828" s="70">
        <f>IF(Q828=0,N828,IF(R828="Beta",_xlfn.BETA.INV(U821,S828,T828),IF(R828="Lognormal",EXP(NORMINV(U821,S828,T828)),IF(R828="Gamma",_xlfn.GAMMA.INV(U821,S828,T828),IF(R828="Normal",_xlfn.NORM.INV(U821,S828,T828),0)))))</f>
        <v>0</v>
      </c>
    </row>
    <row r="829" spans="2:28" x14ac:dyDescent="0.3">
      <c r="B829" s="151" t="s">
        <v>227</v>
      </c>
      <c r="H829" s="162"/>
      <c r="I829" s="162"/>
      <c r="J829" s="291">
        <f ca="1">RAND()</f>
        <v>0.22684276778411661</v>
      </c>
      <c r="M829" s="151" t="s">
        <v>227</v>
      </c>
      <c r="S829" s="141"/>
      <c r="T829" s="141"/>
      <c r="U829" s="291">
        <f ca="1">RAND()</f>
        <v>0.54015659042101927</v>
      </c>
    </row>
    <row r="830" spans="2:28" x14ac:dyDescent="0.3">
      <c r="B830" s="31" t="s">
        <v>1437</v>
      </c>
      <c r="C830" s="183">
        <f>'QoL input'!O181</f>
        <v>0</v>
      </c>
      <c r="D830" s="183">
        <f>'QoL input'!P181</f>
        <v>0</v>
      </c>
      <c r="E830" s="183">
        <f>'QoL input'!Q181</f>
        <v>0</v>
      </c>
      <c r="F830" s="156">
        <f t="shared" ref="F830:F833" si="515">(E830-D830)/(2*1.96)</f>
        <v>0</v>
      </c>
      <c r="G830" s="161" t="s">
        <v>578</v>
      </c>
      <c r="H830" s="162" t="e">
        <f t="shared" ref="H830:H833" si="516">IF(G830="Beta",C830*(C830*(1-C830)/(F830^2)-1),IF(G830="Lognormal",LN(C830^2/SQRT(F830^2+C830^2)),IF(G830="Gamma",C830^2/F830^2,IF(G830="Normal",C830,0))))</f>
        <v>#DIV/0!</v>
      </c>
      <c r="I830" s="162" t="e">
        <f t="shared" ref="I830:I833" si="517">IF(G830="Beta",C830*(1-C830)/(F830^2)-1-H830,IF(G830="Lognormal",SQRT(LN(1+F830^2/C830^2)),IF(G830="Gamma",F830^2/C830,IF(G830="Normal",F830,0))))</f>
        <v>#DIV/0!</v>
      </c>
      <c r="J830" s="70">
        <f>IF(F830=0,C830,IF(G830="Beta",_xlfn.BETA.INV(J$293,H830,I830),IF(G830="Lognormal",EXP(NORMINV(J$293,H830,I830)),IF(G830="Gamma",_xlfn.GAMMA.INV(J$293,H830,I830),IF(G830="Normal",_xlfn.NORM.INV(J$293,H830,I830),0)))))</f>
        <v>0</v>
      </c>
      <c r="M830" s="31" t="s">
        <v>227</v>
      </c>
      <c r="N830" s="183">
        <f>'QoL input'!O237</f>
        <v>0</v>
      </c>
      <c r="O830" s="183">
        <f>'QoL input'!P237</f>
        <v>0</v>
      </c>
      <c r="P830" s="183">
        <f>'QoL input'!Q237</f>
        <v>0</v>
      </c>
      <c r="Q830" s="156">
        <f t="shared" ref="Q830:Q833" si="518">(P830-O830)/(2*1.96)</f>
        <v>0</v>
      </c>
      <c r="R830" s="161" t="s">
        <v>578</v>
      </c>
      <c r="S830" s="162" t="e">
        <f t="shared" ref="S830:S833" si="519">IF(R830="Beta",N830*(N830*(1-N830)/(Q830^2)-1),IF(R830="Lognormal",LN(N830^2/SQRT(Q830^2+N830^2)),IF(R830="Gamma",N830^2/Q830^2,IF(R830="Normal",N830,0))))</f>
        <v>#DIV/0!</v>
      </c>
      <c r="T830" s="162" t="e">
        <f t="shared" ref="T830:T833" si="520">IF(R830="Beta",N830*(1-N830)/(Q830^2)-1-S830,IF(R830="Lognormal",SQRT(LN(1+Q830^2/N830^2)),IF(R830="Gamma",Q830^2/N830,IF(R830="Normal",Q830,0))))</f>
        <v>#DIV/0!</v>
      </c>
      <c r="U830" s="70">
        <f>IF(Q830=0,N830,IF(R830="Beta",_xlfn.BETA.INV(U829,S830,T830),IF(R830="Lognormal",EXP(NORMINV(U829,S830,T830)),IF(R830="Gamma",_xlfn.GAMMA.INV(U829,S830,T830),IF(R830="Normal",_xlfn.NORM.INV(U829,S830,T830),0)))))</f>
        <v>0</v>
      </c>
    </row>
    <row r="831" spans="2:28" x14ac:dyDescent="0.3">
      <c r="B831" s="31" t="s">
        <v>1438</v>
      </c>
      <c r="C831" s="183">
        <f>'QoL input'!O182</f>
        <v>0</v>
      </c>
      <c r="D831" s="183">
        <f>'QoL input'!P182</f>
        <v>0</v>
      </c>
      <c r="E831" s="183">
        <f>'QoL input'!Q182</f>
        <v>0</v>
      </c>
      <c r="F831" s="156">
        <f t="shared" si="515"/>
        <v>0</v>
      </c>
      <c r="G831" s="161" t="s">
        <v>578</v>
      </c>
      <c r="H831" s="162" t="e">
        <f t="shared" si="516"/>
        <v>#DIV/0!</v>
      </c>
      <c r="I831" s="162" t="e">
        <f t="shared" si="517"/>
        <v>#DIV/0!</v>
      </c>
      <c r="J831" s="70">
        <f>IF(F831=0,C831,IF(G831="Beta",_xlfn.BETA.INV(J$293,H831,I831),IF(G831="Lognormal",EXP(NORMINV(J$293,H831,I831)),IF(G831="Gamma",_xlfn.GAMMA.INV(J$293,H831,I831),IF(G831="Normal",_xlfn.NORM.INV(J$293,H831,I831),0)))))</f>
        <v>0</v>
      </c>
      <c r="M831" s="31" t="s">
        <v>8</v>
      </c>
      <c r="N831" s="183">
        <f>'QoL input'!O238</f>
        <v>0</v>
      </c>
      <c r="O831" s="183">
        <f>'QoL input'!P238</f>
        <v>0</v>
      </c>
      <c r="P831" s="183">
        <f>'QoL input'!Q238</f>
        <v>0</v>
      </c>
      <c r="Q831" s="156">
        <f t="shared" si="518"/>
        <v>0</v>
      </c>
      <c r="R831" s="161" t="s">
        <v>578</v>
      </c>
      <c r="S831" s="162" t="e">
        <f t="shared" si="519"/>
        <v>#DIV/0!</v>
      </c>
      <c r="T831" s="162" t="e">
        <f t="shared" si="520"/>
        <v>#DIV/0!</v>
      </c>
      <c r="U831" s="70">
        <f>IF(Q831=0,N831,IF(R831="Beta",_xlfn.BETA.INV(U829,S831,T831),IF(R831="Lognormal",EXP(NORMINV(U829,S831,T831)),IF(R831="Gamma",_xlfn.GAMMA.INV(U829,S831,T831),IF(R831="Normal",_xlfn.NORM.INV(U829,S831,T831),0)))))</f>
        <v>0</v>
      </c>
    </row>
    <row r="832" spans="2:28" x14ac:dyDescent="0.3">
      <c r="B832" s="31" t="s">
        <v>1441</v>
      </c>
      <c r="C832" s="183">
        <f>'QoL input'!O183</f>
        <v>0</v>
      </c>
      <c r="D832" s="183">
        <f>'QoL input'!P183</f>
        <v>0</v>
      </c>
      <c r="E832" s="183">
        <f>'QoL input'!Q183</f>
        <v>0</v>
      </c>
      <c r="F832" s="156">
        <f t="shared" si="515"/>
        <v>0</v>
      </c>
      <c r="G832" s="161" t="s">
        <v>578</v>
      </c>
      <c r="H832" s="162" t="e">
        <f t="shared" si="516"/>
        <v>#DIV/0!</v>
      </c>
      <c r="I832" s="162" t="e">
        <f t="shared" si="517"/>
        <v>#DIV/0!</v>
      </c>
      <c r="J832" s="70">
        <f t="shared" ref="J832:J833" si="521">IF(F832=0,C832,IF(G832="Beta",_xlfn.BETA.INV(J$293,H832,I832),IF(G832="Lognormal",EXP(NORMINV(J$293,H832,I832)),IF(G832="Gamma",_xlfn.GAMMA.INV(J$293,H832,I832),IF(G832="Normal",_xlfn.NORM.INV(J$293,H832,I832),0)))))</f>
        <v>0</v>
      </c>
      <c r="M832" s="31" t="s">
        <v>227</v>
      </c>
      <c r="N832" s="183">
        <f>'QoL input'!O239</f>
        <v>0</v>
      </c>
      <c r="O832" s="183">
        <f>'QoL input'!P239</f>
        <v>0</v>
      </c>
      <c r="P832" s="183">
        <f>'QoL input'!Q239</f>
        <v>0</v>
      </c>
      <c r="Q832" s="156">
        <f t="shared" si="518"/>
        <v>0</v>
      </c>
      <c r="R832" s="161" t="s">
        <v>578</v>
      </c>
      <c r="S832" s="162" t="e">
        <f t="shared" si="519"/>
        <v>#DIV/0!</v>
      </c>
      <c r="T832" s="162" t="e">
        <f t="shared" si="520"/>
        <v>#DIV/0!</v>
      </c>
      <c r="U832" s="70">
        <f>IF(Q832=0,N832,IF(R832="Beta",_xlfn.BETA.INV(U829,S832,T832),IF(R832="Lognormal",EXP(NORMINV(U829,S832,T832)),IF(R832="Gamma",_xlfn.GAMMA.INV(U829,S832,T832),IF(R832="Normal",_xlfn.NORM.INV(U829,S832,T832),0)))))</f>
        <v>0</v>
      </c>
    </row>
    <row r="833" spans="2:21" x14ac:dyDescent="0.3">
      <c r="B833" s="31" t="s">
        <v>1442</v>
      </c>
      <c r="C833" s="183">
        <f>'QoL input'!O184</f>
        <v>0</v>
      </c>
      <c r="D833" s="183">
        <f>'QoL input'!P184</f>
        <v>0</v>
      </c>
      <c r="E833" s="183">
        <f>'QoL input'!Q184</f>
        <v>0</v>
      </c>
      <c r="F833" s="156">
        <f t="shared" si="515"/>
        <v>0</v>
      </c>
      <c r="G833" s="161" t="s">
        <v>578</v>
      </c>
      <c r="H833" s="162" t="e">
        <f t="shared" si="516"/>
        <v>#DIV/0!</v>
      </c>
      <c r="I833" s="162" t="e">
        <f t="shared" si="517"/>
        <v>#DIV/0!</v>
      </c>
      <c r="J833" s="70">
        <f t="shared" si="521"/>
        <v>0</v>
      </c>
      <c r="M833" s="31" t="s">
        <v>8</v>
      </c>
      <c r="N833" s="183">
        <f>'QoL input'!O240</f>
        <v>0</v>
      </c>
      <c r="O833" s="183">
        <f>'QoL input'!P240</f>
        <v>0</v>
      </c>
      <c r="P833" s="183">
        <f>'QoL input'!Q240</f>
        <v>0</v>
      </c>
      <c r="Q833" s="156">
        <f t="shared" si="518"/>
        <v>0</v>
      </c>
      <c r="R833" s="161" t="s">
        <v>578</v>
      </c>
      <c r="S833" s="162" t="e">
        <f t="shared" si="519"/>
        <v>#DIV/0!</v>
      </c>
      <c r="T833" s="162" t="e">
        <f t="shared" si="520"/>
        <v>#DIV/0!</v>
      </c>
      <c r="U833" s="70">
        <f>IF(Q833=0,N833,IF(R833="Beta",_xlfn.BETA.INV(U829,S833,T833),IF(R833="Lognormal",EXP(NORMINV(U829,S833,T833)),IF(R833="Gamma",_xlfn.GAMMA.INV(U829,S833,T833),IF(R833="Normal",_xlfn.NORM.INV(U829,S833,T833),0)))))</f>
        <v>0</v>
      </c>
    </row>
    <row r="834" spans="2:21" x14ac:dyDescent="0.3">
      <c r="B834" s="151" t="s">
        <v>920</v>
      </c>
      <c r="C834" s="162"/>
      <c r="D834" s="162"/>
      <c r="E834" s="162"/>
      <c r="F834" s="162"/>
      <c r="G834" s="162"/>
      <c r="H834" s="162"/>
      <c r="I834" s="162"/>
      <c r="J834" s="291">
        <f ca="1">RAND()</f>
        <v>0.99711067607225534</v>
      </c>
      <c r="M834" s="151" t="s">
        <v>920</v>
      </c>
      <c r="N834" s="162"/>
      <c r="O834" s="162"/>
      <c r="P834" s="162"/>
      <c r="Q834" s="162"/>
      <c r="R834" s="162"/>
      <c r="S834" s="141"/>
      <c r="T834" s="141"/>
      <c r="U834" s="291">
        <f ca="1">RAND()</f>
        <v>0.84909972255279953</v>
      </c>
    </row>
    <row r="835" spans="2:21" x14ac:dyDescent="0.3">
      <c r="B835" s="31" t="s">
        <v>920</v>
      </c>
      <c r="C835" s="183">
        <f>'QoL input'!O186</f>
        <v>0</v>
      </c>
      <c r="D835" s="183">
        <f>'QoL input'!P186</f>
        <v>0</v>
      </c>
      <c r="E835" s="183">
        <f>'QoL input'!Q186</f>
        <v>0</v>
      </c>
      <c r="F835" s="156">
        <f t="shared" ref="F835:F836" si="522">(E835-D835)/(2*1.96)</f>
        <v>0</v>
      </c>
      <c r="G835" s="161" t="s">
        <v>578</v>
      </c>
      <c r="H835" s="162" t="e">
        <f t="shared" ref="H835:H836" si="523">IF(G835="Beta",C835*(C835*(1-C835)/(F835^2)-1),IF(G835="Lognormal",LN(C835^2/SQRT(F835^2+C835^2)),IF(G835="Gamma",C835^2/F835^2,IF(G835="Normal",C835,0))))</f>
        <v>#DIV/0!</v>
      </c>
      <c r="I835" s="162" t="e">
        <f t="shared" ref="I835:I836" si="524">IF(G835="Beta",C835*(1-C835)/(F835^2)-1-H835,IF(G835="Lognormal",SQRT(LN(1+F835^2/C835^2)),IF(G835="Gamma",F835^2/C835,IF(G835="Normal",F835,0))))</f>
        <v>#DIV/0!</v>
      </c>
      <c r="J835" s="70">
        <f t="shared" ref="J835:J836" si="525">IF(F835=0,C835,IF(G835="Beta",_xlfn.BETA.INV(J$293,H835,I835),IF(G835="Lognormal",EXP(NORMINV(J$293,H835,I835)),IF(G835="Gamma",_xlfn.GAMMA.INV(J$293,H835,I835),IF(G835="Normal",_xlfn.NORM.INV(J$293,H835,I835),0)))))</f>
        <v>0</v>
      </c>
      <c r="M835" s="31" t="s">
        <v>920</v>
      </c>
      <c r="N835" s="183">
        <f>'QoL input'!O242</f>
        <v>0</v>
      </c>
      <c r="O835" s="183">
        <f>'QoL input'!P242</f>
        <v>0</v>
      </c>
      <c r="P835" s="183">
        <f>'QoL input'!Q242</f>
        <v>0</v>
      </c>
      <c r="Q835" s="156">
        <f t="shared" ref="Q835:Q836" si="526">(P835-O835)/(2*1.96)</f>
        <v>0</v>
      </c>
      <c r="R835" s="161" t="s">
        <v>578</v>
      </c>
      <c r="S835" s="162" t="e">
        <f t="shared" ref="S835:S836" si="527">IF(R835="Beta",N835*(N835*(1-N835)/(Q835^2)-1),IF(R835="Lognormal",LN(N835^2/SQRT(Q835^2+N835^2)),IF(R835="Gamma",N835^2/Q835^2,IF(R835="Normal",N835,0))))</f>
        <v>#DIV/0!</v>
      </c>
      <c r="T835" s="162" t="e">
        <f t="shared" ref="T835:T836" si="528">IF(R835="Beta",N835*(1-N835)/(Q835^2)-1-S835,IF(R835="Lognormal",SQRT(LN(1+Q835^2/N835^2)),IF(R835="Gamma",Q835^2/N835,IF(R835="Normal",Q835,0))))</f>
        <v>#DIV/0!</v>
      </c>
      <c r="U835" s="70">
        <f>IF(Q835=0,N835,IF(R835="Beta",_xlfn.BETA.INV(U834,S835,T835),IF(R835="Lognormal",EXP(NORMINV(U834,S835,T835)),IF(R835="Gamma",_xlfn.GAMMA.INV(U834,S835,T835),IF(R835="Normal",_xlfn.NORM.INV(U834,S835,T835),0)))))</f>
        <v>0</v>
      </c>
    </row>
    <row r="836" spans="2:21" x14ac:dyDescent="0.3">
      <c r="B836" s="31" t="s">
        <v>980</v>
      </c>
      <c r="C836" s="183">
        <f>'QoL input'!O187</f>
        <v>0</v>
      </c>
      <c r="D836" s="183">
        <f>'QoL input'!P187</f>
        <v>0</v>
      </c>
      <c r="E836" s="183">
        <f>'QoL input'!Q187</f>
        <v>0</v>
      </c>
      <c r="F836" s="156">
        <f t="shared" si="522"/>
        <v>0</v>
      </c>
      <c r="G836" s="161" t="s">
        <v>578</v>
      </c>
      <c r="H836" s="162" t="e">
        <f t="shared" si="523"/>
        <v>#DIV/0!</v>
      </c>
      <c r="I836" s="162" t="e">
        <f t="shared" si="524"/>
        <v>#DIV/0!</v>
      </c>
      <c r="J836" s="70">
        <f t="shared" si="525"/>
        <v>0</v>
      </c>
      <c r="M836" s="31" t="s">
        <v>980</v>
      </c>
      <c r="N836" s="183">
        <f>'QoL input'!O243</f>
        <v>0</v>
      </c>
      <c r="O836" s="183">
        <f>'QoL input'!P243</f>
        <v>0</v>
      </c>
      <c r="P836" s="183">
        <f>'QoL input'!Q243</f>
        <v>0</v>
      </c>
      <c r="Q836" s="156">
        <f t="shared" si="526"/>
        <v>0</v>
      </c>
      <c r="R836" s="161" t="s">
        <v>578</v>
      </c>
      <c r="S836" s="162" t="e">
        <f t="shared" si="527"/>
        <v>#DIV/0!</v>
      </c>
      <c r="T836" s="162" t="e">
        <f t="shared" si="528"/>
        <v>#DIV/0!</v>
      </c>
      <c r="U836" s="70">
        <f>IF(Q836=0,N836,IF(R836="Beta",_xlfn.BETA.INV(U834,S836,T836),IF(R836="Lognormal",EXP(NORMINV(U834,S836,T836)),IF(R836="Gamma",_xlfn.GAMMA.INV(U834,S836,T836),IF(R836="Normal",_xlfn.NORM.INV(U834,S836,T836),0)))))</f>
        <v>0</v>
      </c>
    </row>
    <row r="837" spans="2:21" s="296" customFormat="1" ht="15" customHeight="1" x14ac:dyDescent="0.3">
      <c r="B837" s="31"/>
      <c r="C837" s="382"/>
      <c r="D837" s="382"/>
      <c r="E837" s="382"/>
      <c r="F837" s="459"/>
      <c r="G837" s="11"/>
      <c r="H837" s="141"/>
      <c r="I837" s="141"/>
      <c r="J837" s="194"/>
    </row>
    <row r="838" spans="2:21" x14ac:dyDescent="0.3">
      <c r="B838" s="32" t="s">
        <v>547</v>
      </c>
      <c r="C838" s="184"/>
      <c r="D838" s="184"/>
      <c r="E838" s="184"/>
      <c r="F838" s="84"/>
      <c r="G838" s="84"/>
      <c r="H838" s="84"/>
      <c r="I838" s="84"/>
      <c r="J838" s="84"/>
    </row>
    <row r="839" spans="2:21" x14ac:dyDescent="0.3">
      <c r="B839" s="74" t="s">
        <v>585</v>
      </c>
      <c r="C839" s="171"/>
      <c r="D839" s="171"/>
      <c r="E839" s="171"/>
      <c r="F839" s="34"/>
      <c r="G839" s="73"/>
      <c r="H839" s="73"/>
      <c r="I839" s="73"/>
      <c r="J839" s="73"/>
    </row>
    <row r="840" spans="2:21" x14ac:dyDescent="0.3">
      <c r="B840" s="73" t="s">
        <v>253</v>
      </c>
      <c r="C840" s="159" t="s">
        <v>567</v>
      </c>
      <c r="D840" s="159" t="s">
        <v>985</v>
      </c>
      <c r="E840" s="159" t="s">
        <v>986</v>
      </c>
      <c r="F840" s="73" t="s">
        <v>584</v>
      </c>
      <c r="G840" s="73" t="s">
        <v>569</v>
      </c>
      <c r="H840" s="73" t="s">
        <v>581</v>
      </c>
      <c r="I840" s="73" t="s">
        <v>582</v>
      </c>
      <c r="J840" s="73" t="s">
        <v>583</v>
      </c>
    </row>
    <row r="841" spans="2:21" x14ac:dyDescent="0.3">
      <c r="B841" s="75" t="s">
        <v>538</v>
      </c>
      <c r="C841" s="197">
        <f>'Life table (HE)'!C4</f>
        <v>0.84709999999999996</v>
      </c>
      <c r="D841" s="197"/>
      <c r="E841" s="197"/>
      <c r="F841">
        <v>1E-4</v>
      </c>
      <c r="G841" s="160" t="s">
        <v>578</v>
      </c>
      <c r="H841" s="70">
        <f>IF(G841="Beta",C841*(C841*(1-C841)/(F841^2)-1),IF(G841="Lognormal",LN(C841^2/SQRT(F841^2+C841^2)),IF(G841="Gamma",C841^2/F841^2,IF(G841="Normal",C841,0))))</f>
        <v>10971773.041800002</v>
      </c>
      <c r="I841" s="162">
        <f>IF(G841="Beta",C841*(1-C841)/(F841^2)-1-H841,IF(G841="Lognormal",SQRT(LN(1+F841^2/C841^2)),IF(G841="Gamma",F841^2/C841,IF(G841="Normal",F841,0))))</f>
        <v>1980384.9582000002</v>
      </c>
      <c r="J841" s="70">
        <f ca="1">IF(F841=0,C841,IF(G841="Beta",_xlfn.BETA.INV($K$841,H841,I841),IF(G841="Lognormal",EXP(NORMINV($K$841,H841,I841)),IF(G841="Gamma",_xlfn.GAMMA.INV($K$841,H841,I841),IF(G841="Normal",_xlfn.NORM.INV($K$841,H841,I841),0)))))</f>
        <v>0.84673779044053077</v>
      </c>
      <c r="K841" s="415">
        <f ca="1">RAND()</f>
        <v>1.4733927330823349E-4</v>
      </c>
    </row>
    <row r="842" spans="2:21" x14ac:dyDescent="0.3">
      <c r="B842" s="76" t="s">
        <v>539</v>
      </c>
      <c r="C842" s="197">
        <f>'Life table (HE)'!C5</f>
        <v>0.84709999999999996</v>
      </c>
      <c r="D842" s="169"/>
      <c r="E842" s="169"/>
      <c r="F842">
        <v>1E-4</v>
      </c>
      <c r="G842" s="160" t="s">
        <v>578</v>
      </c>
      <c r="H842" s="162">
        <f t="shared" ref="H842:H862" si="529">IF(G842="Beta",C842*(C842*(1-C842)/(F842^2)-1),IF(G842="Lognormal",LN(C842^2/SQRT(F842^2+C842^2)),IF(G842="Gamma",C842^2/F842^2,IF(G842="Normal",C842,0))))</f>
        <v>10971773.041800002</v>
      </c>
      <c r="I842" s="162">
        <f t="shared" ref="I842:I862" si="530">IF(G842="Beta",C842*(1-C842)/(F842^2)-1-H842,IF(G842="Lognormal",SQRT(LN(1+F842^2/C842^2)),IF(G842="Gamma",F842^2/C842,IF(G842="Normal",F842,0))))</f>
        <v>1980384.9582000002</v>
      </c>
      <c r="J842" s="70">
        <f ca="1">IF(F842=0,C842,IF(G842="Beta",_xlfn.BETA.INV($K$841,H842,I842),IF(G842="Lognormal",EXP(NORMINV($K$841,H842,I842)),IF(G842="Gamma",_xlfn.GAMMA.INV($K$841,H842,I842),IF(G842="Normal",_xlfn.NORM.INV($K$841,H842,I842),0)))))</f>
        <v>0.84673779044053077</v>
      </c>
    </row>
    <row r="843" spans="2:21" ht="15" customHeight="1" x14ac:dyDescent="0.3">
      <c r="B843" s="76" t="s">
        <v>14</v>
      </c>
      <c r="C843" s="197">
        <f>'Life table (HE)'!C6</f>
        <v>0.81699999999999995</v>
      </c>
      <c r="D843" s="169"/>
      <c r="E843" s="169"/>
      <c r="F843">
        <v>1E-4</v>
      </c>
      <c r="G843" s="160" t="s">
        <v>578</v>
      </c>
      <c r="H843" s="162">
        <f t="shared" si="529"/>
        <v>12215047.883000003</v>
      </c>
      <c r="I843" s="162">
        <f t="shared" si="530"/>
        <v>2736051.1170000006</v>
      </c>
      <c r="J843" s="70">
        <f t="shared" ref="J843:J862" ca="1" si="531">IF(F843=0,C843,IF(G843="Beta",_xlfn.BETA.INV($K$841,H843,I843),IF(G843="Lognormal",EXP(NORMINV($K$841,H843,I843)),IF(G843="Gamma",_xlfn.GAMMA.INV($K$841,H843,I843),IF(G843="Normal",_xlfn.NORM.INV($K$841,H843,I843),0)))))</f>
        <v>0.81663783559471426</v>
      </c>
    </row>
    <row r="844" spans="2:21" x14ac:dyDescent="0.3">
      <c r="B844" s="76" t="s">
        <v>15</v>
      </c>
      <c r="C844" s="197">
        <f>'Life table (HE)'!C7</f>
        <v>0.81699999999999995</v>
      </c>
      <c r="D844" s="169"/>
      <c r="E844" s="169"/>
      <c r="F844">
        <v>1E-4</v>
      </c>
      <c r="G844" s="160" t="s">
        <v>578</v>
      </c>
      <c r="H844" s="162">
        <f t="shared" si="529"/>
        <v>12215047.883000003</v>
      </c>
      <c r="I844" s="162">
        <f t="shared" si="530"/>
        <v>2736051.1170000006</v>
      </c>
      <c r="J844" s="70">
        <f t="shared" ca="1" si="531"/>
        <v>0.81663783559471426</v>
      </c>
    </row>
    <row r="845" spans="2:21" x14ac:dyDescent="0.3">
      <c r="B845" s="75" t="s">
        <v>16</v>
      </c>
      <c r="C845" s="197">
        <f>'Life table (HE)'!C8</f>
        <v>0.78948000000000007</v>
      </c>
      <c r="F845">
        <v>1E-4</v>
      </c>
      <c r="G845" s="160" t="s">
        <v>578</v>
      </c>
      <c r="H845" s="162">
        <f t="shared" si="529"/>
        <v>13121261.779780798</v>
      </c>
      <c r="I845" s="162">
        <f t="shared" si="530"/>
        <v>3498870.1802191976</v>
      </c>
      <c r="J845" s="70">
        <f t="shared" ca="1" si="531"/>
        <v>0.78911786613456703</v>
      </c>
    </row>
    <row r="846" spans="2:21" x14ac:dyDescent="0.3">
      <c r="B846" s="76" t="s">
        <v>17</v>
      </c>
      <c r="C846" s="197">
        <f>'Life table (HE)'!C9</f>
        <v>0.76195999999999997</v>
      </c>
      <c r="F846">
        <v>1E-4</v>
      </c>
      <c r="G846" s="160" t="s">
        <v>578</v>
      </c>
      <c r="H846" s="162">
        <f t="shared" si="529"/>
        <v>13820197.960286399</v>
      </c>
      <c r="I846" s="162">
        <f t="shared" si="530"/>
        <v>4317496.8797136005</v>
      </c>
      <c r="J846" s="70">
        <f t="shared" ca="1" si="531"/>
        <v>0.76159789013501156</v>
      </c>
    </row>
    <row r="847" spans="2:21" x14ac:dyDescent="0.3">
      <c r="B847" s="75" t="s">
        <v>18</v>
      </c>
      <c r="C847" s="197">
        <f>'Life table (HE)'!C10</f>
        <v>0.70004</v>
      </c>
      <c r="F847">
        <v>1E-4</v>
      </c>
      <c r="G847" s="160" t="s">
        <v>578</v>
      </c>
      <c r="H847" s="162">
        <f t="shared" si="529"/>
        <v>14699719.123953599</v>
      </c>
      <c r="I847" s="162">
        <f t="shared" si="530"/>
        <v>6298679.7160464004</v>
      </c>
      <c r="J847" s="70">
        <f t="shared" ca="1" si="531"/>
        <v>0.69967792980290777</v>
      </c>
    </row>
    <row r="848" spans="2:21" x14ac:dyDescent="0.3">
      <c r="B848" s="75" t="s">
        <v>19</v>
      </c>
      <c r="C848" s="197">
        <f>'Life table (HE)'!C11</f>
        <v>0.70004</v>
      </c>
      <c r="F848">
        <v>1E-4</v>
      </c>
      <c r="G848" s="160" t="s">
        <v>578</v>
      </c>
      <c r="H848" s="162">
        <f t="shared" si="529"/>
        <v>14699719.123953599</v>
      </c>
      <c r="I848" s="162">
        <f t="shared" si="530"/>
        <v>6298679.7160464004</v>
      </c>
      <c r="J848" s="70">
        <f t="shared" ca="1" si="531"/>
        <v>0.69967792980290777</v>
      </c>
    </row>
    <row r="849" spans="2:10" x14ac:dyDescent="0.3">
      <c r="B849" s="75" t="s">
        <v>20</v>
      </c>
      <c r="C849" s="197">
        <f>'Life table (HE)'!C12</f>
        <v>0.70004</v>
      </c>
      <c r="F849">
        <v>1E-4</v>
      </c>
      <c r="G849" s="160" t="s">
        <v>578</v>
      </c>
      <c r="H849" s="162">
        <f t="shared" si="529"/>
        <v>14699719.123953599</v>
      </c>
      <c r="I849" s="162">
        <f t="shared" si="530"/>
        <v>6298679.7160464004</v>
      </c>
      <c r="J849" s="70">
        <f ca="1">IF(F849=0,C849,IF(G849="Beta",_xlfn.BETA.INV($K$841,H849,I849),IF(G849="Lognormal",EXP(NORMINV($K$841,H849,I849)),IF(G849="Gamma",_xlfn.GAMMA.INV($K$841,H849,I849),IF(G849="Normal",_xlfn.NORM.INV($K$841,H849,I849),0)))))</f>
        <v>0.69967792980290777</v>
      </c>
    </row>
    <row r="850" spans="2:10" x14ac:dyDescent="0.3">
      <c r="B850" s="75" t="s">
        <v>21</v>
      </c>
      <c r="C850" s="197">
        <f>'Life table (HE)'!C13</f>
        <v>0.70004</v>
      </c>
      <c r="F850">
        <v>1E-4</v>
      </c>
      <c r="G850" s="160" t="s">
        <v>578</v>
      </c>
      <c r="H850" s="162">
        <f t="shared" si="529"/>
        <v>14699719.123953599</v>
      </c>
      <c r="I850" s="162">
        <f t="shared" si="530"/>
        <v>6298679.7160464004</v>
      </c>
      <c r="J850" s="70">
        <f t="shared" ca="1" si="531"/>
        <v>0.69967792980290777</v>
      </c>
    </row>
    <row r="851" spans="2:10" x14ac:dyDescent="0.3">
      <c r="B851" s="75" t="s">
        <v>22</v>
      </c>
      <c r="C851" s="197">
        <f>'Life table (HE)'!C14</f>
        <v>0.60802</v>
      </c>
      <c r="F851">
        <v>1E-4</v>
      </c>
      <c r="G851" s="160" t="s">
        <v>578</v>
      </c>
      <c r="H851" s="162">
        <f t="shared" si="529"/>
        <v>14491042.175019201</v>
      </c>
      <c r="I851" s="162">
        <f t="shared" si="530"/>
        <v>9342124.7849808</v>
      </c>
      <c r="J851" s="70">
        <f t="shared" ca="1" si="531"/>
        <v>0.60765797009824662</v>
      </c>
    </row>
    <row r="852" spans="2:10" x14ac:dyDescent="0.3">
      <c r="B852" s="75" t="s">
        <v>23</v>
      </c>
      <c r="C852" s="197">
        <f>'Life table (HE)'!C15</f>
        <v>0.60802</v>
      </c>
      <c r="F852">
        <v>1E-4</v>
      </c>
      <c r="G852" s="160" t="s">
        <v>578</v>
      </c>
      <c r="H852" s="162">
        <f t="shared" si="529"/>
        <v>14491042.175019201</v>
      </c>
      <c r="I852" s="162">
        <f t="shared" si="530"/>
        <v>9342124.7849808</v>
      </c>
      <c r="J852" s="70">
        <f t="shared" ca="1" si="531"/>
        <v>0.60765797009824662</v>
      </c>
    </row>
    <row r="853" spans="2:10" x14ac:dyDescent="0.3">
      <c r="B853" s="75" t="s">
        <v>24</v>
      </c>
      <c r="C853" s="197">
        <f>'Life table (HE)'!C16</f>
        <v>0.60802</v>
      </c>
      <c r="F853">
        <v>1E-4</v>
      </c>
      <c r="G853" s="160" t="s">
        <v>578</v>
      </c>
      <c r="H853" s="162">
        <f t="shared" si="529"/>
        <v>14491042.175019201</v>
      </c>
      <c r="I853" s="162">
        <f t="shared" si="530"/>
        <v>9342124.7849808</v>
      </c>
      <c r="J853" s="70">
        <f t="shared" ca="1" si="531"/>
        <v>0.60765797009824662</v>
      </c>
    </row>
    <row r="854" spans="2:10" x14ac:dyDescent="0.3">
      <c r="B854" s="75" t="s">
        <v>25</v>
      </c>
      <c r="C854" s="197">
        <f>'Life table (HE)'!C17</f>
        <v>0.60802</v>
      </c>
      <c r="F854">
        <v>1E-4</v>
      </c>
      <c r="G854" s="160" t="s">
        <v>578</v>
      </c>
      <c r="H854" s="162">
        <f t="shared" si="529"/>
        <v>14491042.175019201</v>
      </c>
      <c r="I854" s="162">
        <f t="shared" si="530"/>
        <v>9342124.7849808</v>
      </c>
      <c r="J854" s="70">
        <f t="shared" ca="1" si="531"/>
        <v>0.60765797009824662</v>
      </c>
    </row>
    <row r="855" spans="2:10" x14ac:dyDescent="0.3">
      <c r="B855" s="75" t="s">
        <v>26</v>
      </c>
      <c r="C855" s="197">
        <f>'Life table (HE)'!C18</f>
        <v>0.52288000000000001</v>
      </c>
      <c r="F855">
        <v>1E-4</v>
      </c>
      <c r="G855" s="160" t="s">
        <v>578</v>
      </c>
      <c r="H855" s="162">
        <f t="shared" si="529"/>
        <v>13044627.0019328</v>
      </c>
      <c r="I855" s="162">
        <f t="shared" si="530"/>
        <v>11903022.558067199</v>
      </c>
      <c r="J855" s="70">
        <f t="shared" ca="1" si="531"/>
        <v>0.52251799926922549</v>
      </c>
    </row>
    <row r="856" spans="2:10" x14ac:dyDescent="0.3">
      <c r="B856" s="75" t="s">
        <v>27</v>
      </c>
      <c r="C856" s="197">
        <f>'Life table (HE)'!C19</f>
        <v>0.52288000000000001</v>
      </c>
      <c r="F856">
        <v>1E-4</v>
      </c>
      <c r="G856" s="160" t="s">
        <v>578</v>
      </c>
      <c r="H856" s="162">
        <f t="shared" si="529"/>
        <v>13044627.0019328</v>
      </c>
      <c r="I856" s="162">
        <f t="shared" si="530"/>
        <v>11903022.558067199</v>
      </c>
      <c r="J856" s="70">
        <f t="shared" ca="1" si="531"/>
        <v>0.52251799926922549</v>
      </c>
    </row>
    <row r="857" spans="2:10" x14ac:dyDescent="0.3">
      <c r="B857" s="75" t="s">
        <v>28</v>
      </c>
      <c r="C857" s="197">
        <f>'Life table (HE)'!C20</f>
        <v>0.52288000000000001</v>
      </c>
      <c r="F857">
        <v>1E-4</v>
      </c>
      <c r="G857" s="160" t="s">
        <v>578</v>
      </c>
      <c r="H857" s="162">
        <f t="shared" si="529"/>
        <v>13044627.0019328</v>
      </c>
      <c r="I857" s="162">
        <f t="shared" si="530"/>
        <v>11903022.558067199</v>
      </c>
      <c r="J857" s="70">
        <f t="shared" ca="1" si="531"/>
        <v>0.52251799926922549</v>
      </c>
    </row>
    <row r="858" spans="2:10" x14ac:dyDescent="0.3">
      <c r="B858" s="75" t="s">
        <v>29</v>
      </c>
      <c r="C858" s="197">
        <f>'Life table (HE)'!C21</f>
        <v>0.52288000000000001</v>
      </c>
      <c r="F858">
        <v>1E-4</v>
      </c>
      <c r="G858" s="160" t="s">
        <v>578</v>
      </c>
      <c r="H858" s="162">
        <f t="shared" si="529"/>
        <v>13044627.0019328</v>
      </c>
      <c r="I858" s="162">
        <f t="shared" si="530"/>
        <v>11903022.558067199</v>
      </c>
      <c r="J858" s="70">
        <f t="shared" ca="1" si="531"/>
        <v>0.52251799926922549</v>
      </c>
    </row>
    <row r="859" spans="2:10" x14ac:dyDescent="0.3">
      <c r="B859" s="75" t="s">
        <v>30</v>
      </c>
      <c r="C859" s="197">
        <f>'Life table (HE)'!C22</f>
        <v>0.52288000000000001</v>
      </c>
      <c r="F859">
        <v>1E-4</v>
      </c>
      <c r="G859" s="160" t="s">
        <v>578</v>
      </c>
      <c r="H859" s="162">
        <f t="shared" si="529"/>
        <v>13044627.0019328</v>
      </c>
      <c r="I859" s="162">
        <f t="shared" si="530"/>
        <v>11903022.558067199</v>
      </c>
      <c r="J859" s="70">
        <f t="shared" ca="1" si="531"/>
        <v>0.52251799926922549</v>
      </c>
    </row>
    <row r="860" spans="2:10" x14ac:dyDescent="0.3">
      <c r="B860" s="75" t="s">
        <v>31</v>
      </c>
      <c r="C860" s="197">
        <f>'Life table (HE)'!C23</f>
        <v>0.52288000000000001</v>
      </c>
      <c r="F860">
        <v>1E-4</v>
      </c>
      <c r="G860" s="160" t="s">
        <v>578</v>
      </c>
      <c r="H860" s="162">
        <f t="shared" si="529"/>
        <v>13044627.0019328</v>
      </c>
      <c r="I860" s="162">
        <f t="shared" si="530"/>
        <v>11903022.558067199</v>
      </c>
      <c r="J860" s="70">
        <f t="shared" ca="1" si="531"/>
        <v>0.52251799926922549</v>
      </c>
    </row>
    <row r="861" spans="2:10" x14ac:dyDescent="0.3">
      <c r="B861" s="75" t="s">
        <v>32</v>
      </c>
      <c r="C861" s="197">
        <f>'Life table (HE)'!C24</f>
        <v>0.52288000000000001</v>
      </c>
      <c r="F861">
        <v>1E-4</v>
      </c>
      <c r="G861" s="160" t="s">
        <v>578</v>
      </c>
      <c r="H861" s="162">
        <f t="shared" si="529"/>
        <v>13044627.0019328</v>
      </c>
      <c r="I861" s="162">
        <f t="shared" si="530"/>
        <v>11903022.558067199</v>
      </c>
      <c r="J861" s="70">
        <f t="shared" ca="1" si="531"/>
        <v>0.52251799926922549</v>
      </c>
    </row>
    <row r="862" spans="2:10" x14ac:dyDescent="0.3">
      <c r="B862" s="75" t="s">
        <v>33</v>
      </c>
      <c r="C862" s="197">
        <f>'Life table (HE)'!C25</f>
        <v>0.52288000000000001</v>
      </c>
      <c r="F862">
        <v>1E-4</v>
      </c>
      <c r="G862" s="160" t="s">
        <v>578</v>
      </c>
      <c r="H862" s="162">
        <f t="shared" si="529"/>
        <v>13044627.0019328</v>
      </c>
      <c r="I862" s="162">
        <f t="shared" si="530"/>
        <v>11903022.558067199</v>
      </c>
      <c r="J862" s="70">
        <f t="shared" ca="1" si="531"/>
        <v>0.52251799926922549</v>
      </c>
    </row>
    <row r="863" spans="2:10" x14ac:dyDescent="0.3">
      <c r="H863" s="162"/>
      <c r="I863" s="162"/>
      <c r="J863" s="70"/>
    </row>
    <row r="865" spans="2:10" ht="15.6" x14ac:dyDescent="0.3">
      <c r="B865" s="85" t="s">
        <v>654</v>
      </c>
      <c r="C865" s="189"/>
      <c r="D865" s="189"/>
      <c r="E865" s="189"/>
      <c r="F865" s="189"/>
      <c r="G865" s="189"/>
      <c r="H865" s="189"/>
      <c r="I865" s="189"/>
      <c r="J865" s="86"/>
    </row>
    <row r="866" spans="2:10" x14ac:dyDescent="0.3">
      <c r="B866" s="553" t="s">
        <v>655</v>
      </c>
      <c r="J866" s="87"/>
    </row>
    <row r="867" spans="2:10" x14ac:dyDescent="0.3">
      <c r="B867" s="554" t="s">
        <v>656</v>
      </c>
      <c r="H867" t="b">
        <v>1</v>
      </c>
      <c r="I867">
        <f>IF(H867=TRUE,1,0)</f>
        <v>1</v>
      </c>
      <c r="J867" s="87"/>
    </row>
    <row r="868" spans="2:10" x14ac:dyDescent="0.3">
      <c r="B868" s="88" t="s">
        <v>653</v>
      </c>
      <c r="J868" s="87"/>
    </row>
    <row r="869" spans="2:10" x14ac:dyDescent="0.3">
      <c r="B869" s="198" t="s">
        <v>234</v>
      </c>
      <c r="H869" s="106" t="b">
        <v>1</v>
      </c>
      <c r="I869">
        <f>IF(H869=TRUE,1,0)</f>
        <v>1</v>
      </c>
      <c r="J869" s="87"/>
    </row>
    <row r="870" spans="2:10" x14ac:dyDescent="0.3">
      <c r="B870" s="198" t="s">
        <v>235</v>
      </c>
      <c r="H870" t="b">
        <v>1</v>
      </c>
      <c r="I870">
        <f t="shared" ref="I870:I890" si="532">IF(H870=TRUE,1,0)</f>
        <v>1</v>
      </c>
      <c r="J870" s="87"/>
    </row>
    <row r="871" spans="2:10" x14ac:dyDescent="0.3">
      <c r="B871" s="198" t="s">
        <v>534</v>
      </c>
      <c r="H871" t="b">
        <v>1</v>
      </c>
      <c r="I871">
        <f t="shared" si="532"/>
        <v>1</v>
      </c>
      <c r="J871" s="87"/>
    </row>
    <row r="872" spans="2:10" x14ac:dyDescent="0.3">
      <c r="B872" s="88" t="s">
        <v>652</v>
      </c>
      <c r="J872" s="87"/>
    </row>
    <row r="873" spans="2:10" x14ac:dyDescent="0.3">
      <c r="B873" s="198" t="s">
        <v>555</v>
      </c>
      <c r="H873" t="b">
        <v>1</v>
      </c>
      <c r="I873">
        <f t="shared" si="532"/>
        <v>1</v>
      </c>
      <c r="J873" s="87"/>
    </row>
    <row r="874" spans="2:10" x14ac:dyDescent="0.3">
      <c r="B874" s="554" t="s">
        <v>557</v>
      </c>
      <c r="H874" t="b">
        <v>1</v>
      </c>
      <c r="I874">
        <f t="shared" si="532"/>
        <v>1</v>
      </c>
      <c r="J874" s="87"/>
    </row>
    <row r="875" spans="2:10" x14ac:dyDescent="0.3">
      <c r="B875" s="554" t="s">
        <v>556</v>
      </c>
      <c r="H875" t="b">
        <v>1</v>
      </c>
      <c r="I875">
        <f t="shared" si="532"/>
        <v>1</v>
      </c>
      <c r="J875" s="87"/>
    </row>
    <row r="876" spans="2:10" x14ac:dyDescent="0.3">
      <c r="B876" s="88" t="s">
        <v>1496</v>
      </c>
      <c r="C876" s="22"/>
      <c r="D876" s="22"/>
      <c r="E876" s="22"/>
      <c r="J876" s="87"/>
    </row>
    <row r="877" spans="2:10" x14ac:dyDescent="0.3">
      <c r="B877" s="198" t="s">
        <v>555</v>
      </c>
      <c r="C877" s="22"/>
      <c r="D877" s="22"/>
      <c r="E877" s="22"/>
      <c r="H877" t="b">
        <v>1</v>
      </c>
      <c r="I877">
        <f t="shared" si="532"/>
        <v>1</v>
      </c>
      <c r="J877" s="87"/>
    </row>
    <row r="878" spans="2:10" x14ac:dyDescent="0.3">
      <c r="B878" s="554" t="s">
        <v>557</v>
      </c>
      <c r="C878" s="22"/>
      <c r="D878" s="22"/>
      <c r="E878" s="22"/>
      <c r="H878" t="b">
        <v>1</v>
      </c>
      <c r="I878">
        <f t="shared" si="532"/>
        <v>1</v>
      </c>
      <c r="J878" s="87"/>
    </row>
    <row r="879" spans="2:10" x14ac:dyDescent="0.3">
      <c r="B879" s="554" t="s">
        <v>556</v>
      </c>
      <c r="C879" s="22"/>
      <c r="D879" s="22"/>
      <c r="E879" s="22"/>
      <c r="H879" t="b">
        <v>1</v>
      </c>
      <c r="I879">
        <f t="shared" si="532"/>
        <v>1</v>
      </c>
      <c r="J879" s="87"/>
    </row>
    <row r="880" spans="2:10" x14ac:dyDescent="0.3">
      <c r="B880" s="88" t="s">
        <v>1493</v>
      </c>
      <c r="C880" s="22"/>
      <c r="D880" s="22"/>
      <c r="E880" s="22"/>
      <c r="J880" s="87"/>
    </row>
    <row r="881" spans="2:10" x14ac:dyDescent="0.3">
      <c r="B881" s="198" t="s">
        <v>1529</v>
      </c>
      <c r="C881" s="22"/>
      <c r="D881" s="22"/>
      <c r="E881" s="22"/>
      <c r="H881" t="b">
        <v>1</v>
      </c>
      <c r="I881">
        <f t="shared" ref="I881:I884" si="533">IF(H881=TRUE,1,0)</f>
        <v>1</v>
      </c>
      <c r="J881" s="87"/>
    </row>
    <row r="882" spans="2:10" x14ac:dyDescent="0.3">
      <c r="B882" s="198" t="s">
        <v>1530</v>
      </c>
      <c r="C882" s="22"/>
      <c r="D882" s="22"/>
      <c r="E882" s="22"/>
      <c r="H882" t="b">
        <v>1</v>
      </c>
      <c r="I882">
        <f t="shared" si="533"/>
        <v>1</v>
      </c>
      <c r="J882" s="87"/>
    </row>
    <row r="883" spans="2:10" x14ac:dyDescent="0.3">
      <c r="B883" s="198" t="s">
        <v>1531</v>
      </c>
      <c r="C883" s="22"/>
      <c r="D883" s="22"/>
      <c r="E883" s="22"/>
      <c r="H883" t="b">
        <v>1</v>
      </c>
      <c r="I883">
        <f t="shared" si="533"/>
        <v>1</v>
      </c>
      <c r="J883" s="87"/>
    </row>
    <row r="884" spans="2:10" x14ac:dyDescent="0.3">
      <c r="B884" s="198" t="s">
        <v>1532</v>
      </c>
      <c r="C884" s="22"/>
      <c r="D884" s="22"/>
      <c r="E884" s="22"/>
      <c r="H884" t="b">
        <v>1</v>
      </c>
      <c r="I884">
        <f t="shared" si="533"/>
        <v>1</v>
      </c>
      <c r="J884" s="87"/>
    </row>
    <row r="885" spans="2:10" x14ac:dyDescent="0.3">
      <c r="B885" s="88" t="s">
        <v>1015</v>
      </c>
      <c r="J885" s="87"/>
    </row>
    <row r="886" spans="2:10" x14ac:dyDescent="0.3">
      <c r="B886" s="198" t="s">
        <v>536</v>
      </c>
      <c r="H886" s="106" t="b">
        <v>1</v>
      </c>
      <c r="I886">
        <f t="shared" si="532"/>
        <v>1</v>
      </c>
      <c r="J886" s="87"/>
    </row>
    <row r="887" spans="2:10" x14ac:dyDescent="0.3">
      <c r="B887" s="198" t="s">
        <v>911</v>
      </c>
      <c r="H887" t="b">
        <v>1</v>
      </c>
      <c r="I887">
        <f t="shared" si="532"/>
        <v>1</v>
      </c>
      <c r="J887" s="87"/>
    </row>
    <row r="888" spans="2:10" x14ac:dyDescent="0.3">
      <c r="B888" s="88" t="s">
        <v>1014</v>
      </c>
      <c r="J888" s="87"/>
    </row>
    <row r="889" spans="2:10" x14ac:dyDescent="0.3">
      <c r="B889" s="198" t="s">
        <v>536</v>
      </c>
      <c r="H889" t="b">
        <v>1</v>
      </c>
      <c r="I889">
        <f t="shared" si="532"/>
        <v>1</v>
      </c>
      <c r="J889" s="87"/>
    </row>
    <row r="890" spans="2:10" x14ac:dyDescent="0.3">
      <c r="B890" s="198" t="s">
        <v>911</v>
      </c>
      <c r="C890" s="31"/>
      <c r="D890" s="31"/>
      <c r="E890" s="31"/>
      <c r="F890" s="179"/>
      <c r="H890" t="b">
        <v>1</v>
      </c>
      <c r="I890">
        <f t="shared" si="532"/>
        <v>1</v>
      </c>
      <c r="J890" s="87"/>
    </row>
    <row r="891" spans="2:10" x14ac:dyDescent="0.3">
      <c r="B891" s="88" t="s">
        <v>1016</v>
      </c>
      <c r="C891" s="31"/>
      <c r="D891" s="31"/>
      <c r="E891" s="31"/>
      <c r="F891" s="179"/>
      <c r="J891" s="87"/>
    </row>
    <row r="892" spans="2:10" x14ac:dyDescent="0.3">
      <c r="B892" s="198" t="s">
        <v>991</v>
      </c>
      <c r="C892" s="31"/>
      <c r="D892" s="31"/>
      <c r="E892" s="31"/>
      <c r="F892" s="179"/>
      <c r="H892" t="b">
        <v>1</v>
      </c>
      <c r="I892">
        <f>IF(H892=TRUE,1,0)</f>
        <v>1</v>
      </c>
      <c r="J892" s="87"/>
    </row>
    <row r="893" spans="2:10" x14ac:dyDescent="0.3">
      <c r="B893" s="198" t="s">
        <v>1017</v>
      </c>
      <c r="C893" s="31"/>
      <c r="D893" s="31"/>
      <c r="E893" s="31"/>
      <c r="F893" s="179"/>
      <c r="H893" t="b">
        <v>1</v>
      </c>
      <c r="I893">
        <f>IF(H893=TRUE,1,0)</f>
        <v>1</v>
      </c>
      <c r="J893" s="87"/>
    </row>
    <row r="894" spans="2:10" x14ac:dyDescent="0.3">
      <c r="B894" s="198" t="s">
        <v>1491</v>
      </c>
      <c r="C894" s="31"/>
      <c r="D894" s="31"/>
      <c r="E894" s="31"/>
      <c r="F894" s="179"/>
      <c r="H894" t="b">
        <v>1</v>
      </c>
      <c r="I894">
        <f>IF(H894=TRUE,1,0)</f>
        <v>1</v>
      </c>
      <c r="J894" s="87"/>
    </row>
    <row r="895" spans="2:10" x14ac:dyDescent="0.3">
      <c r="B895" s="88" t="s">
        <v>1494</v>
      </c>
      <c r="C895" s="31"/>
      <c r="D895" s="31"/>
      <c r="E895" s="31"/>
      <c r="F895" s="179"/>
      <c r="J895" s="87"/>
    </row>
    <row r="896" spans="2:10" x14ac:dyDescent="0.3">
      <c r="B896" s="198" t="s">
        <v>1540</v>
      </c>
      <c r="C896" s="31"/>
      <c r="D896" s="31"/>
      <c r="E896" s="31"/>
      <c r="F896" s="179"/>
      <c r="H896" t="b">
        <v>1</v>
      </c>
      <c r="I896">
        <f>IF(H896=TRUE,1,0)</f>
        <v>1</v>
      </c>
      <c r="J896" s="87"/>
    </row>
    <row r="897" spans="2:10" x14ac:dyDescent="0.3">
      <c r="B897" s="198" t="s">
        <v>1541</v>
      </c>
      <c r="C897" s="31"/>
      <c r="D897" s="31"/>
      <c r="E897" s="31"/>
      <c r="F897" s="179"/>
      <c r="H897" t="b">
        <v>1</v>
      </c>
      <c r="I897">
        <f>IF(H897=TRUE,1,0)</f>
        <v>1</v>
      </c>
      <c r="J897" s="87"/>
    </row>
    <row r="898" spans="2:10" x14ac:dyDescent="0.3">
      <c r="B898" s="198" t="s">
        <v>1542</v>
      </c>
      <c r="C898" s="31"/>
      <c r="D898" s="31"/>
      <c r="E898" s="31"/>
      <c r="F898" s="179"/>
      <c r="H898" t="b">
        <v>1</v>
      </c>
      <c r="I898">
        <f t="shared" ref="I898:I899" si="534">IF(H898=TRUE,1,0)</f>
        <v>1</v>
      </c>
      <c r="J898" s="87"/>
    </row>
    <row r="899" spans="2:10" x14ac:dyDescent="0.3">
      <c r="B899" s="198" t="s">
        <v>1543</v>
      </c>
      <c r="C899" s="31"/>
      <c r="D899" s="31"/>
      <c r="E899" s="31"/>
      <c r="F899" s="179"/>
      <c r="H899" t="b">
        <v>1</v>
      </c>
      <c r="I899">
        <f t="shared" si="534"/>
        <v>1</v>
      </c>
      <c r="J899" s="87"/>
    </row>
    <row r="900" spans="2:10" x14ac:dyDescent="0.3">
      <c r="B900" s="88" t="s">
        <v>966</v>
      </c>
      <c r="C900" s="31"/>
      <c r="D900" s="31"/>
      <c r="E900" s="31"/>
      <c r="F900" s="179"/>
      <c r="J900" s="87"/>
    </row>
    <row r="901" spans="2:10" x14ac:dyDescent="0.3">
      <c r="B901" s="198" t="s">
        <v>1498</v>
      </c>
      <c r="C901" s="31"/>
      <c r="D901" s="31"/>
      <c r="E901" s="31"/>
      <c r="F901" s="179"/>
      <c r="H901" t="b">
        <v>1</v>
      </c>
      <c r="I901">
        <f>IF(H901=TRUE,1,0)</f>
        <v>1</v>
      </c>
      <c r="J901" s="87"/>
    </row>
    <row r="902" spans="2:10" x14ac:dyDescent="0.3">
      <c r="B902" s="198" t="s">
        <v>1499</v>
      </c>
      <c r="C902" s="31"/>
      <c r="D902" s="31"/>
      <c r="E902" s="31"/>
      <c r="F902" s="179"/>
      <c r="H902" t="b">
        <v>1</v>
      </c>
      <c r="I902">
        <f>IF(H902=TRUE,1,0)</f>
        <v>1</v>
      </c>
      <c r="J902" s="87"/>
    </row>
    <row r="903" spans="2:10" x14ac:dyDescent="0.3">
      <c r="B903" s="198" t="s">
        <v>1004</v>
      </c>
      <c r="C903" s="31"/>
      <c r="D903" s="31"/>
      <c r="E903" s="31"/>
      <c r="F903" s="179"/>
      <c r="H903" t="b">
        <v>1</v>
      </c>
      <c r="I903">
        <f>IF(H903=TRUE,1,0)</f>
        <v>1</v>
      </c>
      <c r="J903" s="87"/>
    </row>
    <row r="904" spans="2:10" x14ac:dyDescent="0.3">
      <c r="B904" s="198" t="s">
        <v>1376</v>
      </c>
      <c r="C904" s="31"/>
      <c r="D904" s="31"/>
      <c r="E904" s="31"/>
      <c r="F904" s="179"/>
      <c r="H904" t="b">
        <v>1</v>
      </c>
      <c r="I904">
        <f>IF(H904=TRUE,1,0)</f>
        <v>1</v>
      </c>
      <c r="J904" s="87"/>
    </row>
    <row r="905" spans="2:10" x14ac:dyDescent="0.3">
      <c r="B905" s="198" t="s">
        <v>1005</v>
      </c>
      <c r="C905" s="31"/>
      <c r="D905" s="31"/>
      <c r="E905" s="31"/>
      <c r="F905" s="179"/>
      <c r="H905" t="b">
        <v>1</v>
      </c>
      <c r="I905">
        <f>IF(H905=TRUE,1,0)</f>
        <v>1</v>
      </c>
      <c r="J905" s="87"/>
    </row>
    <row r="906" spans="2:10" x14ac:dyDescent="0.3">
      <c r="B906" s="88" t="s">
        <v>10</v>
      </c>
      <c r="C906" s="31"/>
      <c r="D906" s="31"/>
      <c r="E906" s="31"/>
      <c r="F906" s="179"/>
      <c r="J906" s="87"/>
    </row>
    <row r="907" spans="2:10" x14ac:dyDescent="0.3">
      <c r="B907" s="198" t="s">
        <v>1022</v>
      </c>
      <c r="C907" s="31"/>
      <c r="D907" s="31"/>
      <c r="E907" s="31"/>
      <c r="F907" s="179"/>
      <c r="H907" t="b">
        <v>1</v>
      </c>
      <c r="I907">
        <f>IF(H907=TRUE,1,0)</f>
        <v>1</v>
      </c>
      <c r="J907" s="87"/>
    </row>
    <row r="908" spans="2:10" x14ac:dyDescent="0.3">
      <c r="B908" s="198" t="s">
        <v>1023</v>
      </c>
      <c r="C908" s="31"/>
      <c r="D908" s="31"/>
      <c r="E908" s="31"/>
      <c r="F908" s="179"/>
      <c r="H908" t="b">
        <v>1</v>
      </c>
      <c r="I908">
        <f>IF(H908=TRUE,1,0)</f>
        <v>1</v>
      </c>
      <c r="J908" s="87"/>
    </row>
    <row r="909" spans="2:10" x14ac:dyDescent="0.3">
      <c r="B909" s="198" t="s">
        <v>1018</v>
      </c>
      <c r="C909" s="31"/>
      <c r="D909" s="31"/>
      <c r="E909" s="31"/>
      <c r="F909" s="179"/>
      <c r="H909" t="b">
        <v>1</v>
      </c>
      <c r="I909">
        <f t="shared" ref="I909:I910" si="535">IF(H909=TRUE,1,0)</f>
        <v>1</v>
      </c>
      <c r="J909" s="87"/>
    </row>
    <row r="910" spans="2:10" x14ac:dyDescent="0.3">
      <c r="B910" s="198" t="s">
        <v>1495</v>
      </c>
      <c r="C910" s="31"/>
      <c r="D910" s="31"/>
      <c r="E910" s="31"/>
      <c r="F910" s="179"/>
      <c r="H910" t="b">
        <v>1</v>
      </c>
      <c r="I910">
        <f t="shared" si="535"/>
        <v>1</v>
      </c>
      <c r="J910" s="87"/>
    </row>
    <row r="911" spans="2:10" x14ac:dyDescent="0.3">
      <c r="B911" s="198" t="s">
        <v>1019</v>
      </c>
      <c r="C911" s="31"/>
      <c r="D911" s="31"/>
      <c r="E911" s="31"/>
      <c r="F911" s="179"/>
      <c r="H911" t="b">
        <v>1</v>
      </c>
      <c r="I911">
        <f>IF(H911=TRUE,1,0)</f>
        <v>1</v>
      </c>
      <c r="J911" s="87"/>
    </row>
    <row r="912" spans="2:10" x14ac:dyDescent="0.3">
      <c r="B912" s="198" t="s">
        <v>1020</v>
      </c>
      <c r="C912" s="31"/>
      <c r="D912" s="31"/>
      <c r="E912" s="31"/>
      <c r="F912" s="179"/>
      <c r="H912" t="b">
        <v>1</v>
      </c>
      <c r="I912">
        <f>IF(H912=TRUE,1,0)</f>
        <v>1</v>
      </c>
      <c r="J912" s="87"/>
    </row>
    <row r="913" spans="2:10" x14ac:dyDescent="0.3">
      <c r="B913" s="198" t="s">
        <v>1021</v>
      </c>
      <c r="C913" s="31"/>
      <c r="D913" s="31"/>
      <c r="E913" s="31"/>
      <c r="F913" s="179"/>
      <c r="H913" t="b">
        <v>1</v>
      </c>
      <c r="I913">
        <f>IF(H913=TRUE,1,0)</f>
        <v>1</v>
      </c>
      <c r="J913" s="87"/>
    </row>
    <row r="914" spans="2:10" x14ac:dyDescent="0.3">
      <c r="B914" s="89" t="s">
        <v>548</v>
      </c>
      <c r="C914" s="31"/>
      <c r="D914" s="31"/>
      <c r="E914" s="31"/>
      <c r="F914" s="179"/>
      <c r="J914" s="87"/>
    </row>
    <row r="915" spans="2:10" x14ac:dyDescent="0.3">
      <c r="B915" s="555" t="s">
        <v>549</v>
      </c>
      <c r="C915" s="31"/>
      <c r="D915" s="31"/>
      <c r="E915" s="31"/>
      <c r="F915" s="179"/>
      <c r="H915" t="b">
        <v>1</v>
      </c>
      <c r="I915">
        <f t="shared" ref="I915:I923" si="536">IF(H915=TRUE,1,0)</f>
        <v>1</v>
      </c>
      <c r="J915" s="87"/>
    </row>
    <row r="916" spans="2:10" x14ac:dyDescent="0.3">
      <c r="B916" s="555" t="s">
        <v>550</v>
      </c>
      <c r="C916" s="31"/>
      <c r="D916" s="31"/>
      <c r="E916" s="31"/>
      <c r="F916" s="179"/>
      <c r="H916" t="b">
        <v>1</v>
      </c>
      <c r="I916">
        <f t="shared" si="536"/>
        <v>1</v>
      </c>
      <c r="J916" s="87"/>
    </row>
    <row r="917" spans="2:10" x14ac:dyDescent="0.3">
      <c r="B917" s="592" t="s">
        <v>1515</v>
      </c>
      <c r="C917" s="31"/>
      <c r="D917" s="31"/>
      <c r="E917" s="31"/>
      <c r="F917" s="179"/>
      <c r="J917" s="87"/>
    </row>
    <row r="918" spans="2:10" x14ac:dyDescent="0.3">
      <c r="B918" s="555" t="s">
        <v>1516</v>
      </c>
      <c r="C918" s="31"/>
      <c r="D918" s="31"/>
      <c r="E918" s="31"/>
      <c r="F918" s="179"/>
      <c r="H918" t="b">
        <v>1</v>
      </c>
      <c r="I918">
        <f t="shared" si="536"/>
        <v>1</v>
      </c>
      <c r="J918" s="87"/>
    </row>
    <row r="919" spans="2:10" x14ac:dyDescent="0.3">
      <c r="B919" s="555" t="s">
        <v>1518</v>
      </c>
      <c r="C919" s="31"/>
      <c r="D919" s="31"/>
      <c r="E919" s="31"/>
      <c r="F919" s="179"/>
      <c r="H919" t="b">
        <v>1</v>
      </c>
      <c r="I919">
        <f t="shared" si="536"/>
        <v>1</v>
      </c>
      <c r="J919" s="87"/>
    </row>
    <row r="920" spans="2:10" x14ac:dyDescent="0.3">
      <c r="B920" s="555" t="s">
        <v>1519</v>
      </c>
      <c r="C920" s="31"/>
      <c r="D920" s="31"/>
      <c r="E920" s="31"/>
      <c r="F920" s="179"/>
      <c r="H920" t="b">
        <v>1</v>
      </c>
      <c r="I920">
        <f t="shared" si="536"/>
        <v>1</v>
      </c>
      <c r="J920" s="87"/>
    </row>
    <row r="921" spans="2:10" x14ac:dyDescent="0.3">
      <c r="B921" s="555" t="s">
        <v>1517</v>
      </c>
      <c r="C921" s="31"/>
      <c r="D921" s="31"/>
      <c r="E921" s="31"/>
      <c r="F921" s="179"/>
      <c r="H921" t="b">
        <v>1</v>
      </c>
      <c r="I921">
        <f t="shared" si="536"/>
        <v>1</v>
      </c>
      <c r="J921" s="87"/>
    </row>
    <row r="922" spans="2:10" x14ac:dyDescent="0.3">
      <c r="B922" s="89" t="s">
        <v>547</v>
      </c>
      <c r="J922" s="87"/>
    </row>
    <row r="923" spans="2:10" x14ac:dyDescent="0.3">
      <c r="B923" s="556" t="s">
        <v>585</v>
      </c>
      <c r="C923" s="190"/>
      <c r="D923" s="190"/>
      <c r="E923" s="190"/>
      <c r="F923" s="190"/>
      <c r="G923" s="190"/>
      <c r="H923" s="190" t="b">
        <v>1</v>
      </c>
      <c r="I923" s="190">
        <f t="shared" si="536"/>
        <v>1</v>
      </c>
      <c r="J923" s="90"/>
    </row>
  </sheetData>
  <mergeCells count="6">
    <mergeCell ref="B725:F725"/>
    <mergeCell ref="B16:F16"/>
    <mergeCell ref="S158:U158"/>
    <mergeCell ref="B127:F127"/>
    <mergeCell ref="S213:U213"/>
    <mergeCell ref="S241:U241"/>
  </mergeCells>
  <dataValidations count="2">
    <dataValidation allowBlank="1" showDropDown="1" showInputMessage="1" showErrorMessage="1" sqref="B873 B131 N304:P304 N276:P276 B877 M131 B881:B884" xr:uid="{00000000-0002-0000-1000-000000000000}"/>
    <dataValidation type="list" allowBlank="1" showInputMessage="1" showErrorMessage="1" sqref="G299:G300 G327:G328 G841:G862 G839 G755:G756 G726:G728 G96:G97 R416:R422 AC728:AC737 G205:G208 G383:G385 AC268 R357 R716:R724 F584:F585 R555 G555 G183:G185 R726 G342:G348 G42:G43 R210:R211 G370:G376 R383:R385 G155:G156 G69:G70 R178:R185 R155:R156 R233:R236 R582:R595 G210:G211 AC716:AC726 G523:G525 G551:G553 G314:G320 G123:G125 R162:R168 G178:G181 R189:R195 AL183:AL195 AC193:AC195 G350:G353 R278:R284 R306:R312 G597:G603 G378:G381 R299:R300 R327:R328 R238:R239 R561:R567 AC586:AC595 G752:G753 G266:G268 R604:R623 G610:G611 AC604:AC623 AC632:AC651 R245:R259 R632:R651 R660:R679 G666:G669 AC660:AC679 AC688:AC707 R688:R707 G582:G583 R362:R368 R370:R376 R378:R381 G731:G737 G739:G745 G747:G750 G787:G793 G835:G837 G780:G783 G701:G707 G709:G715 AL204:AL212 R835:R836 G355:G357 R462:R465 G278:G284 G286:G292 G294:G297 G20:G35 G37:G40 G47:G62 G64:G67 G75:G89 G91:G94 G102:G116 G118:G121 G162:G168 G170:G176 R437:R438 G134:G148 G150:G153 R217:R231 G322:G325 G362:G368 G510:G516 G795:G801 G538:G544 G518:G521 G569:G575 G546:G549 G681:G687 G577:G580 G589:G595 G605:G608 G617:G623 G625:G631 G694:G697 G661:G664 G645:G651 G653:G659 G689:G692 G673:G679 G561:G567 G530:G536 G502:G508 G306:G312 R134:R148 R150:R153 R170:R176 R197:R203 R205:R208 R314:R320 R569:R575 R577:R580 R286:R292 R294:R297 R322:R325 G717:G720 G722:G724 G410:G411 G389:G395 G397:G403 G432:G435 G405:G408 G416:G422 G424:G430 G446:G452 G467:G469 G454:G460 G482:G488 G462:G465 G490:G493 G474:G480 R497 G495:G497 R405:R408 G437:G439 R446:R452 R467:R468 R454:R460 G334:G340 G803:G806 G811 G759:G765 G767:G773 G775:G778 G808:G809 G814:G820 G822:G828 G830:G833 R787:R793 R795:R801 R803:R806 R808:R809 R814:R820 R822:R828 R830:R833 AC204:AC212 G189:G203 G233:G236 G238:G239 G217:G231 R424:R430 G261:G264 G245:G259 R410:R411 R389:R395 R397:R403 R432:R435 R266:R268 R261:R264 G633:G636 G638:G639" xr:uid="{00000000-0002-0000-1000-000001000000}">
      <formula1>Distribution</formula1>
    </dataValidation>
  </dataValidations>
  <hyperlinks>
    <hyperlink ref="L20" location="'BoD Lists'!A1" display="'BoD Lists'!A1" xr:uid="{00000000-0004-0000-1000-000000000000}"/>
    <hyperlink ref="L101" location="'BoD Lists'!A1" display="'BoD Lists'!A1" xr:uid="{00000000-0004-0000-1000-000001000000}"/>
    <hyperlink ref="K133" location="'VE input'!A1" display="VE input sheet" xr:uid="{00000000-0004-0000-1000-000002000000}"/>
    <hyperlink ref="K161" location="'VE input'!A1" display="VE input sheet" xr:uid="{00000000-0004-0000-1000-000003000000}"/>
    <hyperlink ref="K188" location="'VE input'!A1" display="VE input sheet" xr:uid="{00000000-0004-0000-1000-000004000000}"/>
    <hyperlink ref="V133" location="'VE input'!A1" display="VE input sheet" xr:uid="{00000000-0004-0000-1000-000005000000}"/>
    <hyperlink ref="V161" location="'VE input'!A1" display="VE input sheet" xr:uid="{00000000-0004-0000-1000-000006000000}"/>
    <hyperlink ref="V188" location="'VE input'!A1" display="VE input sheet" xr:uid="{00000000-0004-0000-1000-000007000000}"/>
    <hyperlink ref="L47" location="'BoD Lists'!A1" display="'BoD Lists'!A1" xr:uid="{00000000-0004-0000-1000-000008000000}"/>
    <hyperlink ref="L28" location="'BoD Lists'!A1" display="'BoD Lists'!A1" xr:uid="{00000000-0004-0000-1000-000009000000}"/>
    <hyperlink ref="L55" location="'BoD Lists'!A1" display="'BoD Lists'!A1" xr:uid="{00000000-0004-0000-1000-00000A000000}"/>
    <hyperlink ref="L109" location="'BoD Lists'!A1" display="'BoD Lists'!A1" xr:uid="{00000000-0004-0000-1000-00000B000000}"/>
    <hyperlink ref="L82" location="'BoD Lists'!A1" display="'BoD Lists'!A1" xr:uid="{00000000-0004-0000-1000-00000C000000}"/>
    <hyperlink ref="L141" location="'BoD Lists'!A1" display="'BoD Lists'!A1" xr:uid="{00000000-0004-0000-1000-00000D000000}"/>
    <hyperlink ref="L169" location="'BoD Lists'!A1" display="'BoD Lists'!A1" xr:uid="{00000000-0004-0000-1000-00000E000000}"/>
    <hyperlink ref="L196" location="'BoD Lists'!A1" display="'BoD Lists'!A1" xr:uid="{00000000-0004-0000-1000-00000F000000}"/>
    <hyperlink ref="L285" location="'BoD Lists'!A1" display="'BoD Lists'!A1" xr:uid="{00000000-0004-0000-1000-000010000000}"/>
    <hyperlink ref="L313" location="'BoD Lists'!A1" display="'BoD Lists'!A1" xr:uid="{00000000-0004-0000-1000-000011000000}"/>
    <hyperlink ref="L341" location="'BoD Lists'!A1" display="'BoD Lists'!A1" xr:uid="{00000000-0004-0000-1000-000012000000}"/>
    <hyperlink ref="L369" location="'BoD Lists'!A1" display="'BoD Lists'!A1" xr:uid="{00000000-0004-0000-1000-000013000000}"/>
    <hyperlink ref="L509" location="'BoD Lists'!A1" display="'BoD Lists'!A1" xr:uid="{00000000-0004-0000-1000-000014000000}"/>
    <hyperlink ref="L537" location="'BoD Lists'!A1" display="'BoD Lists'!A1" xr:uid="{00000000-0004-0000-1000-000015000000}"/>
    <hyperlink ref="L568" location="'BoD Lists'!A1" display="'BoD Lists'!A1" xr:uid="{00000000-0004-0000-1000-000016000000}"/>
    <hyperlink ref="L596" location="'BoD Lists'!A1" display="'BoD Lists'!A1" xr:uid="{00000000-0004-0000-1000-000017000000}"/>
    <hyperlink ref="L624" location="'BoD Lists'!A1" display="'BoD Lists'!A1" xr:uid="{00000000-0004-0000-1000-000018000000}"/>
    <hyperlink ref="L652" location="'BoD Lists'!A1" display="'BoD Lists'!A1" xr:uid="{00000000-0004-0000-1000-000019000000}"/>
    <hyperlink ref="L680" location="'BoD Lists'!A1" display="'BoD Lists'!A1" xr:uid="{00000000-0004-0000-1000-00001A000000}"/>
    <hyperlink ref="L708" location="'BoD Lists'!A1" display="'BoD Lists'!A1" xr:uid="{00000000-0004-0000-1000-00001B000000}"/>
    <hyperlink ref="L738" location="'BoD Lists'!A1" display="'BoD Lists'!A1" xr:uid="{00000000-0004-0000-1000-00001C000000}"/>
    <hyperlink ref="L766" location="'BoD Lists'!A1" display="'BoD Lists'!A1" xr:uid="{00000000-0004-0000-1000-00001D000000}"/>
    <hyperlink ref="L453" location="'BoD Lists'!A1" display="'BoD Lists'!A1" xr:uid="{00000000-0004-0000-1000-00001E000000}"/>
    <hyperlink ref="L481" location="'BoD Lists'!A1" display="'BoD Lists'!A1" xr:uid="{00000000-0004-0000-1000-00001F000000}"/>
    <hyperlink ref="L821" location="'BoD Lists'!A1" display="'BoD Lists'!A1" xr:uid="{00000000-0004-0000-1000-000020000000}"/>
    <hyperlink ref="K795" location="'BoD Lists'!A1" display="'BoD Lists'!A1" xr:uid="{00000000-0004-0000-1000-000021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Check Box 4">
              <controlPr defaultSize="0" autoFill="0" autoLine="0" autoPict="0" altText="">
                <anchor moveWithCells="1">
                  <from>
                    <xdr:col>0</xdr:col>
                    <xdr:colOff>327660</xdr:colOff>
                    <xdr:row>17</xdr:row>
                    <xdr:rowOff>83820</xdr:rowOff>
                  </from>
                  <to>
                    <xdr:col>0</xdr:col>
                    <xdr:colOff>632460</xdr:colOff>
                    <xdr:row>18</xdr:row>
                    <xdr:rowOff>175260</xdr:rowOff>
                  </to>
                </anchor>
              </controlPr>
            </control>
          </mc:Choice>
        </mc:AlternateContent>
        <mc:AlternateContent xmlns:mc="http://schemas.openxmlformats.org/markup-compatibility/2006">
          <mc:Choice Requires="x14">
            <control shapeId="7173" r:id="rId5" name="Check Box 5">
              <controlPr defaultSize="0" autoFill="0" autoLine="0" autoPict="0" altText="">
                <anchor moveWithCells="1">
                  <from>
                    <xdr:col>0</xdr:col>
                    <xdr:colOff>342900</xdr:colOff>
                    <xdr:row>71</xdr:row>
                    <xdr:rowOff>30480</xdr:rowOff>
                  </from>
                  <to>
                    <xdr:col>0</xdr:col>
                    <xdr:colOff>647700</xdr:colOff>
                    <xdr:row>72</xdr:row>
                    <xdr:rowOff>114300</xdr:rowOff>
                  </to>
                </anchor>
              </controlPr>
            </control>
          </mc:Choice>
        </mc:AlternateContent>
        <mc:AlternateContent xmlns:mc="http://schemas.openxmlformats.org/markup-compatibility/2006">
          <mc:Choice Requires="x14">
            <control shapeId="7175" r:id="rId6" name="Check Box 7">
              <controlPr defaultSize="0" autoFill="0" autoLine="0" autoPict="0" altText="">
                <anchor moveWithCells="1">
                  <from>
                    <xdr:col>0</xdr:col>
                    <xdr:colOff>381000</xdr:colOff>
                    <xdr:row>98</xdr:row>
                    <xdr:rowOff>22860</xdr:rowOff>
                  </from>
                  <to>
                    <xdr:col>0</xdr:col>
                    <xdr:colOff>685800</xdr:colOff>
                    <xdr:row>99</xdr:row>
                    <xdr:rowOff>106680</xdr:rowOff>
                  </to>
                </anchor>
              </controlPr>
            </control>
          </mc:Choice>
        </mc:AlternateContent>
        <mc:AlternateContent xmlns:mc="http://schemas.openxmlformats.org/markup-compatibility/2006">
          <mc:Choice Requires="x14">
            <control shapeId="7176" r:id="rId7" name="Check Box 8">
              <controlPr defaultSize="0" autoFill="0" autoLine="0" autoPict="0" altText="">
                <anchor moveWithCells="1">
                  <from>
                    <xdr:col>0</xdr:col>
                    <xdr:colOff>274320</xdr:colOff>
                    <xdr:row>128</xdr:row>
                    <xdr:rowOff>22860</xdr:rowOff>
                  </from>
                  <to>
                    <xdr:col>0</xdr:col>
                    <xdr:colOff>579120</xdr:colOff>
                    <xdr:row>129</xdr:row>
                    <xdr:rowOff>121920</xdr:rowOff>
                  </to>
                </anchor>
              </controlPr>
            </control>
          </mc:Choice>
        </mc:AlternateContent>
        <mc:AlternateContent xmlns:mc="http://schemas.openxmlformats.org/markup-compatibility/2006">
          <mc:Choice Requires="x14">
            <control shapeId="7177" r:id="rId8" name="Check Box 9">
              <controlPr defaultSize="0" autoFill="0" autoLine="0" autoPict="0" altText="">
                <anchor moveWithCells="1">
                  <from>
                    <xdr:col>0</xdr:col>
                    <xdr:colOff>327660</xdr:colOff>
                    <xdr:row>157</xdr:row>
                    <xdr:rowOff>0</xdr:rowOff>
                  </from>
                  <to>
                    <xdr:col>0</xdr:col>
                    <xdr:colOff>632460</xdr:colOff>
                    <xdr:row>158</xdr:row>
                    <xdr:rowOff>106680</xdr:rowOff>
                  </to>
                </anchor>
              </controlPr>
            </control>
          </mc:Choice>
        </mc:AlternateContent>
        <mc:AlternateContent xmlns:mc="http://schemas.openxmlformats.org/markup-compatibility/2006">
          <mc:Choice Requires="x14">
            <control shapeId="7180" r:id="rId9" name="Check Box 12">
              <controlPr defaultSize="0" autoFill="0" autoLine="0" autoPict="0" altText="">
                <anchor moveWithCells="1">
                  <from>
                    <xdr:col>0</xdr:col>
                    <xdr:colOff>236220</xdr:colOff>
                    <xdr:row>185</xdr:row>
                    <xdr:rowOff>76200</xdr:rowOff>
                  </from>
                  <to>
                    <xdr:col>0</xdr:col>
                    <xdr:colOff>541020</xdr:colOff>
                    <xdr:row>186</xdr:row>
                    <xdr:rowOff>175260</xdr:rowOff>
                  </to>
                </anchor>
              </controlPr>
            </control>
          </mc:Choice>
        </mc:AlternateContent>
        <mc:AlternateContent xmlns:mc="http://schemas.openxmlformats.org/markup-compatibility/2006">
          <mc:Choice Requires="x14">
            <control shapeId="7182" r:id="rId10" name="Check Box 14">
              <controlPr defaultSize="0" autoFill="0" autoLine="0" autoPict="0" altText="">
                <anchor moveWithCells="1">
                  <from>
                    <xdr:col>0</xdr:col>
                    <xdr:colOff>342900</xdr:colOff>
                    <xdr:row>273</xdr:row>
                    <xdr:rowOff>38100</xdr:rowOff>
                  </from>
                  <to>
                    <xdr:col>0</xdr:col>
                    <xdr:colOff>647700</xdr:colOff>
                    <xdr:row>274</xdr:row>
                    <xdr:rowOff>144780</xdr:rowOff>
                  </to>
                </anchor>
              </controlPr>
            </control>
          </mc:Choice>
        </mc:AlternateContent>
        <mc:AlternateContent xmlns:mc="http://schemas.openxmlformats.org/markup-compatibility/2006">
          <mc:Choice Requires="x14">
            <control shapeId="7183" r:id="rId11" name="Check Box 15">
              <controlPr defaultSize="0" autoFill="0" autoLine="0" autoPict="0" altText="">
                <anchor moveWithCells="1">
                  <from>
                    <xdr:col>11</xdr:col>
                    <xdr:colOff>350520</xdr:colOff>
                    <xdr:row>273</xdr:row>
                    <xdr:rowOff>38100</xdr:rowOff>
                  </from>
                  <to>
                    <xdr:col>11</xdr:col>
                    <xdr:colOff>655320</xdr:colOff>
                    <xdr:row>274</xdr:row>
                    <xdr:rowOff>144780</xdr:rowOff>
                  </to>
                </anchor>
              </controlPr>
            </control>
          </mc:Choice>
        </mc:AlternateContent>
        <mc:AlternateContent xmlns:mc="http://schemas.openxmlformats.org/markup-compatibility/2006">
          <mc:Choice Requires="x14">
            <control shapeId="7184" r:id="rId12" name="Check Box 16">
              <controlPr defaultSize="0" autoFill="0" autoLine="0" autoPict="0" altText="">
                <anchor moveWithCells="1">
                  <from>
                    <xdr:col>0</xdr:col>
                    <xdr:colOff>297180</xdr:colOff>
                    <xdr:row>301</xdr:row>
                    <xdr:rowOff>22860</xdr:rowOff>
                  </from>
                  <to>
                    <xdr:col>0</xdr:col>
                    <xdr:colOff>601980</xdr:colOff>
                    <xdr:row>302</xdr:row>
                    <xdr:rowOff>121920</xdr:rowOff>
                  </to>
                </anchor>
              </controlPr>
            </control>
          </mc:Choice>
        </mc:AlternateContent>
        <mc:AlternateContent xmlns:mc="http://schemas.openxmlformats.org/markup-compatibility/2006">
          <mc:Choice Requires="x14">
            <control shapeId="7185" r:id="rId13" name="Check Box 17">
              <controlPr defaultSize="0" autoFill="0" autoLine="0" autoPict="0" altText="">
                <anchor moveWithCells="1">
                  <from>
                    <xdr:col>11</xdr:col>
                    <xdr:colOff>251460</xdr:colOff>
                    <xdr:row>302</xdr:row>
                    <xdr:rowOff>22860</xdr:rowOff>
                  </from>
                  <to>
                    <xdr:col>11</xdr:col>
                    <xdr:colOff>556260</xdr:colOff>
                    <xdr:row>303</xdr:row>
                    <xdr:rowOff>121920</xdr:rowOff>
                  </to>
                </anchor>
              </controlPr>
            </control>
          </mc:Choice>
        </mc:AlternateContent>
        <mc:AlternateContent xmlns:mc="http://schemas.openxmlformats.org/markup-compatibility/2006">
          <mc:Choice Requires="x14">
            <control shapeId="7191" r:id="rId14" name="Check Box 23">
              <controlPr defaultSize="0" autoFill="0" autoLine="0" autoPict="0" altText="">
                <anchor moveWithCells="1">
                  <from>
                    <xdr:col>0</xdr:col>
                    <xdr:colOff>213360</xdr:colOff>
                    <xdr:row>585</xdr:row>
                    <xdr:rowOff>83820</xdr:rowOff>
                  </from>
                  <to>
                    <xdr:col>0</xdr:col>
                    <xdr:colOff>518160</xdr:colOff>
                    <xdr:row>586</xdr:row>
                    <xdr:rowOff>175260</xdr:rowOff>
                  </to>
                </anchor>
              </controlPr>
            </control>
          </mc:Choice>
        </mc:AlternateContent>
        <mc:AlternateContent xmlns:mc="http://schemas.openxmlformats.org/markup-compatibility/2006">
          <mc:Choice Requires="x14">
            <control shapeId="7194" r:id="rId15" name="Check Box 26">
              <controlPr defaultSize="0" autoFill="0" autoLine="0" autoPict="0" altText="">
                <anchor moveWithCells="1">
                  <from>
                    <xdr:col>0</xdr:col>
                    <xdr:colOff>160020</xdr:colOff>
                    <xdr:row>526</xdr:row>
                    <xdr:rowOff>76200</xdr:rowOff>
                  </from>
                  <to>
                    <xdr:col>0</xdr:col>
                    <xdr:colOff>464820</xdr:colOff>
                    <xdr:row>527</xdr:row>
                    <xdr:rowOff>175260</xdr:rowOff>
                  </to>
                </anchor>
              </controlPr>
            </control>
          </mc:Choice>
        </mc:AlternateContent>
        <mc:AlternateContent xmlns:mc="http://schemas.openxmlformats.org/markup-compatibility/2006">
          <mc:Choice Requires="x14">
            <control shapeId="7195" r:id="rId16" name="Check Box 27">
              <controlPr defaultSize="0" autoFill="0" autoLine="0" autoPict="0" altText="">
                <anchor moveWithCells="1">
                  <from>
                    <xdr:col>11</xdr:col>
                    <xdr:colOff>297180</xdr:colOff>
                    <xdr:row>358</xdr:row>
                    <xdr:rowOff>38100</xdr:rowOff>
                  </from>
                  <to>
                    <xdr:col>11</xdr:col>
                    <xdr:colOff>601980</xdr:colOff>
                    <xdr:row>359</xdr:row>
                    <xdr:rowOff>137160</xdr:rowOff>
                  </to>
                </anchor>
              </controlPr>
            </control>
          </mc:Choice>
        </mc:AlternateContent>
        <mc:AlternateContent xmlns:mc="http://schemas.openxmlformats.org/markup-compatibility/2006">
          <mc:Choice Requires="x14">
            <control shapeId="7196" r:id="rId17" name="Check Box 28">
              <controlPr defaultSize="0" autoFill="0" autoLine="0" autoPict="0" altText="">
                <anchor moveWithCells="1">
                  <from>
                    <xdr:col>0</xdr:col>
                    <xdr:colOff>236220</xdr:colOff>
                    <xdr:row>557</xdr:row>
                    <xdr:rowOff>38100</xdr:rowOff>
                  </from>
                  <to>
                    <xdr:col>0</xdr:col>
                    <xdr:colOff>556260</xdr:colOff>
                    <xdr:row>558</xdr:row>
                    <xdr:rowOff>137160</xdr:rowOff>
                  </to>
                </anchor>
              </controlPr>
            </control>
          </mc:Choice>
        </mc:AlternateContent>
        <mc:AlternateContent xmlns:mc="http://schemas.openxmlformats.org/markup-compatibility/2006">
          <mc:Choice Requires="x14">
            <control shapeId="7197" r:id="rId18" name="Check Box 29">
              <controlPr defaultSize="0" autoFill="0" autoLine="0" autoPict="0" altText="">
                <anchor moveWithCells="1">
                  <from>
                    <xdr:col>0</xdr:col>
                    <xdr:colOff>160020</xdr:colOff>
                    <xdr:row>641</xdr:row>
                    <xdr:rowOff>45720</xdr:rowOff>
                  </from>
                  <to>
                    <xdr:col>0</xdr:col>
                    <xdr:colOff>464820</xdr:colOff>
                    <xdr:row>642</xdr:row>
                    <xdr:rowOff>152400</xdr:rowOff>
                  </to>
                </anchor>
              </controlPr>
            </control>
          </mc:Choice>
        </mc:AlternateContent>
        <mc:AlternateContent xmlns:mc="http://schemas.openxmlformats.org/markup-compatibility/2006">
          <mc:Choice Requires="x14">
            <control shapeId="7198" r:id="rId19" name="Check Box 30">
              <controlPr defaultSize="0" autoFill="0" autoLine="0" autoPict="0" altText="">
                <anchor moveWithCells="1">
                  <from>
                    <xdr:col>0</xdr:col>
                    <xdr:colOff>342900</xdr:colOff>
                    <xdr:row>727</xdr:row>
                    <xdr:rowOff>68580</xdr:rowOff>
                  </from>
                  <to>
                    <xdr:col>0</xdr:col>
                    <xdr:colOff>647700</xdr:colOff>
                    <xdr:row>728</xdr:row>
                    <xdr:rowOff>175260</xdr:rowOff>
                  </to>
                </anchor>
              </controlPr>
            </control>
          </mc:Choice>
        </mc:AlternateContent>
        <mc:AlternateContent xmlns:mc="http://schemas.openxmlformats.org/markup-compatibility/2006">
          <mc:Choice Requires="x14">
            <control shapeId="7199" r:id="rId20" name="Check Box 31">
              <controlPr defaultSize="0" autoFill="0" autoLine="0" autoPict="0" altText="">
                <anchor moveWithCells="1">
                  <from>
                    <xdr:col>0</xdr:col>
                    <xdr:colOff>213360</xdr:colOff>
                    <xdr:row>755</xdr:row>
                    <xdr:rowOff>60960</xdr:rowOff>
                  </from>
                  <to>
                    <xdr:col>0</xdr:col>
                    <xdr:colOff>518160</xdr:colOff>
                    <xdr:row>756</xdr:row>
                    <xdr:rowOff>175260</xdr:rowOff>
                  </to>
                </anchor>
              </controlPr>
            </control>
          </mc:Choice>
        </mc:AlternateContent>
        <mc:AlternateContent xmlns:mc="http://schemas.openxmlformats.org/markup-compatibility/2006">
          <mc:Choice Requires="x14">
            <control shapeId="7200" r:id="rId21" name="Check Box 32">
              <controlPr defaultSize="0" autoFill="0" autoLine="0" autoPict="0" altText="">
                <anchor moveWithCells="1">
                  <from>
                    <xdr:col>0</xdr:col>
                    <xdr:colOff>312420</xdr:colOff>
                    <xdr:row>837</xdr:row>
                    <xdr:rowOff>22860</xdr:rowOff>
                  </from>
                  <to>
                    <xdr:col>0</xdr:col>
                    <xdr:colOff>617220</xdr:colOff>
                    <xdr:row>838</xdr:row>
                    <xdr:rowOff>121920</xdr:rowOff>
                  </to>
                </anchor>
              </controlPr>
            </control>
          </mc:Choice>
        </mc:AlternateContent>
        <mc:AlternateContent xmlns:mc="http://schemas.openxmlformats.org/markup-compatibility/2006">
          <mc:Choice Requires="x14">
            <control shapeId="7201" r:id="rId22" name="Check Box 33">
              <controlPr defaultSize="0" autoFill="0" autoLine="0" autoPict="0" macro="[0]!clearcheck" altText="">
                <anchor moveWithCells="1">
                  <from>
                    <xdr:col>0</xdr:col>
                    <xdr:colOff>381000</xdr:colOff>
                    <xdr:row>12</xdr:row>
                    <xdr:rowOff>68580</xdr:rowOff>
                  </from>
                  <to>
                    <xdr:col>1</xdr:col>
                    <xdr:colOff>647700</xdr:colOff>
                    <xdr:row>13</xdr:row>
                    <xdr:rowOff>152400</xdr:rowOff>
                  </to>
                </anchor>
              </controlPr>
            </control>
          </mc:Choice>
        </mc:AlternateContent>
        <mc:AlternateContent xmlns:mc="http://schemas.openxmlformats.org/markup-compatibility/2006">
          <mc:Choice Requires="x14">
            <control shapeId="7202" r:id="rId23" name="Button 34">
              <controlPr defaultSize="0" print="0" autoFill="0" autoPict="0" macro="[0]!MCsimulation">
                <anchor moveWithCells="1" sizeWithCells="1">
                  <from>
                    <xdr:col>2</xdr:col>
                    <xdr:colOff>251460</xdr:colOff>
                    <xdr:row>11</xdr:row>
                    <xdr:rowOff>106680</xdr:rowOff>
                  </from>
                  <to>
                    <xdr:col>5</xdr:col>
                    <xdr:colOff>731520</xdr:colOff>
                    <xdr:row>14</xdr:row>
                    <xdr:rowOff>99060</xdr:rowOff>
                  </to>
                </anchor>
              </controlPr>
            </control>
          </mc:Choice>
        </mc:AlternateContent>
        <mc:AlternateContent xmlns:mc="http://schemas.openxmlformats.org/markup-compatibility/2006">
          <mc:Choice Requires="x14">
            <control shapeId="7206" r:id="rId24" name="Button 38">
              <controlPr defaultSize="0" print="0" autoFill="0" autoPict="0" macro="[0]!MCsimulation">
                <anchor moveWithCells="1" sizeWithCells="1">
                  <from>
                    <xdr:col>11</xdr:col>
                    <xdr:colOff>251460</xdr:colOff>
                    <xdr:row>864</xdr:row>
                    <xdr:rowOff>106680</xdr:rowOff>
                  </from>
                  <to>
                    <xdr:col>12</xdr:col>
                    <xdr:colOff>914400</xdr:colOff>
                    <xdr:row>867</xdr:row>
                    <xdr:rowOff>76200</xdr:rowOff>
                  </to>
                </anchor>
              </controlPr>
            </control>
          </mc:Choice>
        </mc:AlternateContent>
        <mc:AlternateContent xmlns:mc="http://schemas.openxmlformats.org/markup-compatibility/2006">
          <mc:Choice Requires="x14">
            <control shapeId="7207" r:id="rId25" name="Check Box 39">
              <controlPr defaultSize="0" autoFill="0" autoLine="0" autoPict="0" altText="">
                <anchor moveWithCells="1">
                  <from>
                    <xdr:col>6</xdr:col>
                    <xdr:colOff>327660</xdr:colOff>
                    <xdr:row>865</xdr:row>
                    <xdr:rowOff>175260</xdr:rowOff>
                  </from>
                  <to>
                    <xdr:col>6</xdr:col>
                    <xdr:colOff>632460</xdr:colOff>
                    <xdr:row>867</xdr:row>
                    <xdr:rowOff>76200</xdr:rowOff>
                  </to>
                </anchor>
              </controlPr>
            </control>
          </mc:Choice>
        </mc:AlternateContent>
        <mc:AlternateContent xmlns:mc="http://schemas.openxmlformats.org/markup-compatibility/2006">
          <mc:Choice Requires="x14">
            <control shapeId="7208" r:id="rId26" name="Check Box 40">
              <controlPr defaultSize="0" autoFill="0" autoLine="0" autoPict="0" altText="">
                <anchor moveWithCells="1">
                  <from>
                    <xdr:col>0</xdr:col>
                    <xdr:colOff>251460</xdr:colOff>
                    <xdr:row>330</xdr:row>
                    <xdr:rowOff>22860</xdr:rowOff>
                  </from>
                  <to>
                    <xdr:col>0</xdr:col>
                    <xdr:colOff>556260</xdr:colOff>
                    <xdr:row>331</xdr:row>
                    <xdr:rowOff>121920</xdr:rowOff>
                  </to>
                </anchor>
              </controlPr>
            </control>
          </mc:Choice>
        </mc:AlternateContent>
        <mc:AlternateContent xmlns:mc="http://schemas.openxmlformats.org/markup-compatibility/2006">
          <mc:Choice Requires="x14">
            <control shapeId="7209" r:id="rId27" name="Check Box 41">
              <controlPr defaultSize="0" autoFill="0" autoLine="0" autoPict="0" altText="">
                <anchor moveWithCells="1">
                  <from>
                    <xdr:col>0</xdr:col>
                    <xdr:colOff>297180</xdr:colOff>
                    <xdr:row>358</xdr:row>
                    <xdr:rowOff>38100</xdr:rowOff>
                  </from>
                  <to>
                    <xdr:col>0</xdr:col>
                    <xdr:colOff>601980</xdr:colOff>
                    <xdr:row>359</xdr:row>
                    <xdr:rowOff>137160</xdr:rowOff>
                  </to>
                </anchor>
              </controlPr>
            </control>
          </mc:Choice>
        </mc:AlternateContent>
        <mc:AlternateContent xmlns:mc="http://schemas.openxmlformats.org/markup-compatibility/2006">
          <mc:Choice Requires="x14">
            <control shapeId="7210" r:id="rId28" name="Check Box 42">
              <controlPr defaultSize="0" autoFill="0" autoLine="0" autoPict="0" altText="">
                <anchor moveWithCells="1">
                  <from>
                    <xdr:col>11</xdr:col>
                    <xdr:colOff>236220</xdr:colOff>
                    <xdr:row>558</xdr:row>
                    <xdr:rowOff>0</xdr:rowOff>
                  </from>
                  <to>
                    <xdr:col>11</xdr:col>
                    <xdr:colOff>556260</xdr:colOff>
                    <xdr:row>559</xdr:row>
                    <xdr:rowOff>99060</xdr:rowOff>
                  </to>
                </anchor>
              </controlPr>
            </control>
          </mc:Choice>
        </mc:AlternateContent>
        <mc:AlternateContent xmlns:mc="http://schemas.openxmlformats.org/markup-compatibility/2006">
          <mc:Choice Requires="x14">
            <control shapeId="7211" r:id="rId29" name="Check Box 43">
              <controlPr defaultSize="0" autoFill="0" autoLine="0" autoPict="0" altText="">
                <anchor moveWithCells="1">
                  <from>
                    <xdr:col>0</xdr:col>
                    <xdr:colOff>160020</xdr:colOff>
                    <xdr:row>669</xdr:row>
                    <xdr:rowOff>45720</xdr:rowOff>
                  </from>
                  <to>
                    <xdr:col>0</xdr:col>
                    <xdr:colOff>464820</xdr:colOff>
                    <xdr:row>671</xdr:row>
                    <xdr:rowOff>152400</xdr:rowOff>
                  </to>
                </anchor>
              </controlPr>
            </control>
          </mc:Choice>
        </mc:AlternateContent>
        <mc:AlternateContent xmlns:mc="http://schemas.openxmlformats.org/markup-compatibility/2006">
          <mc:Choice Requires="x14">
            <control shapeId="7212" r:id="rId30" name="Check Box 44">
              <controlPr defaultSize="0" autoFill="0" autoLine="0" autoPict="0" altText="">
                <anchor moveWithCells="1">
                  <from>
                    <xdr:col>0</xdr:col>
                    <xdr:colOff>160020</xdr:colOff>
                    <xdr:row>697</xdr:row>
                    <xdr:rowOff>45720</xdr:rowOff>
                  </from>
                  <to>
                    <xdr:col>0</xdr:col>
                    <xdr:colOff>464820</xdr:colOff>
                    <xdr:row>698</xdr:row>
                    <xdr:rowOff>152400</xdr:rowOff>
                  </to>
                </anchor>
              </controlPr>
            </control>
          </mc:Choice>
        </mc:AlternateContent>
        <mc:AlternateContent xmlns:mc="http://schemas.openxmlformats.org/markup-compatibility/2006">
          <mc:Choice Requires="x14">
            <control shapeId="7214" r:id="rId31" name="Check Box 46">
              <controlPr defaultSize="0" autoFill="0" autoLine="0" autoPict="0" altText="">
                <anchor moveWithCells="1">
                  <from>
                    <xdr:col>0</xdr:col>
                    <xdr:colOff>297180</xdr:colOff>
                    <xdr:row>44</xdr:row>
                    <xdr:rowOff>22860</xdr:rowOff>
                  </from>
                  <to>
                    <xdr:col>0</xdr:col>
                    <xdr:colOff>601980</xdr:colOff>
                    <xdr:row>45</xdr:row>
                    <xdr:rowOff>106680</xdr:rowOff>
                  </to>
                </anchor>
              </controlPr>
            </control>
          </mc:Choice>
        </mc:AlternateContent>
        <mc:AlternateContent xmlns:mc="http://schemas.openxmlformats.org/markup-compatibility/2006">
          <mc:Choice Requires="x14">
            <control shapeId="7220" r:id="rId32" name="Check Box 52">
              <controlPr defaultSize="0" autoFill="0" autoLine="0" autoPict="0" altText="">
                <anchor moveWithCells="1">
                  <from>
                    <xdr:col>0</xdr:col>
                    <xdr:colOff>160020</xdr:colOff>
                    <xdr:row>498</xdr:row>
                    <xdr:rowOff>76200</xdr:rowOff>
                  </from>
                  <to>
                    <xdr:col>0</xdr:col>
                    <xdr:colOff>464820</xdr:colOff>
                    <xdr:row>499</xdr:row>
                    <xdr:rowOff>175260</xdr:rowOff>
                  </to>
                </anchor>
              </controlPr>
            </control>
          </mc:Choice>
        </mc:AlternateContent>
        <mc:AlternateContent xmlns:mc="http://schemas.openxmlformats.org/markup-compatibility/2006">
          <mc:Choice Requires="x14">
            <control shapeId="7222" r:id="rId33" name="Check Box 54">
              <controlPr defaultSize="0" autoFill="0" autoLine="0" autoPict="0" altText="">
                <anchor moveWithCells="1">
                  <from>
                    <xdr:col>0</xdr:col>
                    <xdr:colOff>160020</xdr:colOff>
                    <xdr:row>613</xdr:row>
                    <xdr:rowOff>45720</xdr:rowOff>
                  </from>
                  <to>
                    <xdr:col>0</xdr:col>
                    <xdr:colOff>464820</xdr:colOff>
                    <xdr:row>614</xdr:row>
                    <xdr:rowOff>152400</xdr:rowOff>
                  </to>
                </anchor>
              </controlPr>
            </control>
          </mc:Choice>
        </mc:AlternateContent>
        <mc:AlternateContent xmlns:mc="http://schemas.openxmlformats.org/markup-compatibility/2006">
          <mc:Choice Requires="x14">
            <control shapeId="7224" r:id="rId34" name="Check Box 56">
              <controlPr defaultSize="0" autoFill="0" autoLine="0" autoPict="0" altText="">
                <anchor moveWithCells="1">
                  <from>
                    <xdr:col>11</xdr:col>
                    <xdr:colOff>327660</xdr:colOff>
                    <xdr:row>157</xdr:row>
                    <xdr:rowOff>0</xdr:rowOff>
                  </from>
                  <to>
                    <xdr:col>11</xdr:col>
                    <xdr:colOff>632460</xdr:colOff>
                    <xdr:row>158</xdr:row>
                    <xdr:rowOff>106680</xdr:rowOff>
                  </to>
                </anchor>
              </controlPr>
            </control>
          </mc:Choice>
        </mc:AlternateContent>
        <mc:AlternateContent xmlns:mc="http://schemas.openxmlformats.org/markup-compatibility/2006">
          <mc:Choice Requires="x14">
            <control shapeId="7225" r:id="rId35" name="Check Box 57">
              <controlPr defaultSize="0" autoFill="0" autoLine="0" autoPict="0" macro="[0]!CheckBox57_Click" altText="">
                <anchor moveWithCells="1">
                  <from>
                    <xdr:col>11</xdr:col>
                    <xdr:colOff>327660</xdr:colOff>
                    <xdr:row>185</xdr:row>
                    <xdr:rowOff>0</xdr:rowOff>
                  </from>
                  <to>
                    <xdr:col>11</xdr:col>
                    <xdr:colOff>632460</xdr:colOff>
                    <xdr:row>186</xdr:row>
                    <xdr:rowOff>106680</xdr:rowOff>
                  </to>
                </anchor>
              </controlPr>
            </control>
          </mc:Choice>
        </mc:AlternateContent>
        <mc:AlternateContent xmlns:mc="http://schemas.openxmlformats.org/markup-compatibility/2006">
          <mc:Choice Requires="x14">
            <control shapeId="7226" r:id="rId36" name="Check Box 58">
              <controlPr defaultSize="0" autoFill="0" autoLine="0" autoPict="0" altText="">
                <anchor moveWithCells="1">
                  <from>
                    <xdr:col>11</xdr:col>
                    <xdr:colOff>83820</xdr:colOff>
                    <xdr:row>129</xdr:row>
                    <xdr:rowOff>60960</xdr:rowOff>
                  </from>
                  <to>
                    <xdr:col>11</xdr:col>
                    <xdr:colOff>388620</xdr:colOff>
                    <xdr:row>130</xdr:row>
                    <xdr:rowOff>160020</xdr:rowOff>
                  </to>
                </anchor>
              </controlPr>
            </control>
          </mc:Choice>
        </mc:AlternateContent>
        <mc:AlternateContent xmlns:mc="http://schemas.openxmlformats.org/markup-compatibility/2006">
          <mc:Choice Requires="x14">
            <control shapeId="7227" r:id="rId37" name="Check Box 59">
              <controlPr defaultSize="0" autoFill="0" autoLine="0" autoPict="0" altText="">
                <anchor moveWithCells="1">
                  <from>
                    <xdr:col>0</xdr:col>
                    <xdr:colOff>274320</xdr:colOff>
                    <xdr:row>213</xdr:row>
                    <xdr:rowOff>22860</xdr:rowOff>
                  </from>
                  <to>
                    <xdr:col>0</xdr:col>
                    <xdr:colOff>579120</xdr:colOff>
                    <xdr:row>214</xdr:row>
                    <xdr:rowOff>121920</xdr:rowOff>
                  </to>
                </anchor>
              </controlPr>
            </control>
          </mc:Choice>
        </mc:AlternateContent>
        <mc:AlternateContent xmlns:mc="http://schemas.openxmlformats.org/markup-compatibility/2006">
          <mc:Choice Requires="x14">
            <control shapeId="7228" r:id="rId38" name="Check Box 60">
              <controlPr defaultSize="0" autoFill="0" autoLine="0" autoPict="0" altText="">
                <anchor moveWithCells="1">
                  <from>
                    <xdr:col>0</xdr:col>
                    <xdr:colOff>312420</xdr:colOff>
                    <xdr:row>241</xdr:row>
                    <xdr:rowOff>45720</xdr:rowOff>
                  </from>
                  <to>
                    <xdr:col>0</xdr:col>
                    <xdr:colOff>571500</xdr:colOff>
                    <xdr:row>242</xdr:row>
                    <xdr:rowOff>160020</xdr:rowOff>
                  </to>
                </anchor>
              </controlPr>
            </control>
          </mc:Choice>
        </mc:AlternateContent>
        <mc:AlternateContent xmlns:mc="http://schemas.openxmlformats.org/markup-compatibility/2006">
          <mc:Choice Requires="x14">
            <control shapeId="7229" r:id="rId39" name="Check Box 61">
              <controlPr defaultSize="0" autoFill="0" autoLine="0" autoPict="0" altText="">
                <anchor moveWithCells="1">
                  <from>
                    <xdr:col>0</xdr:col>
                    <xdr:colOff>274320</xdr:colOff>
                    <xdr:row>385</xdr:row>
                    <xdr:rowOff>22860</xdr:rowOff>
                  </from>
                  <to>
                    <xdr:col>0</xdr:col>
                    <xdr:colOff>579120</xdr:colOff>
                    <xdr:row>386</xdr:row>
                    <xdr:rowOff>121920</xdr:rowOff>
                  </to>
                </anchor>
              </controlPr>
            </control>
          </mc:Choice>
        </mc:AlternateContent>
        <mc:AlternateContent xmlns:mc="http://schemas.openxmlformats.org/markup-compatibility/2006">
          <mc:Choice Requires="x14">
            <control shapeId="7230" r:id="rId40" name="Check Box 62">
              <controlPr defaultSize="0" autoFill="0" autoLine="0" autoPict="0" altText="">
                <anchor moveWithCells="1">
                  <from>
                    <xdr:col>0</xdr:col>
                    <xdr:colOff>304800</xdr:colOff>
                    <xdr:row>412</xdr:row>
                    <xdr:rowOff>83820</xdr:rowOff>
                  </from>
                  <to>
                    <xdr:col>0</xdr:col>
                    <xdr:colOff>594360</xdr:colOff>
                    <xdr:row>414</xdr:row>
                    <xdr:rowOff>0</xdr:rowOff>
                  </to>
                </anchor>
              </controlPr>
            </control>
          </mc:Choice>
        </mc:AlternateContent>
        <mc:AlternateContent xmlns:mc="http://schemas.openxmlformats.org/markup-compatibility/2006">
          <mc:Choice Requires="x14">
            <control shapeId="7231" r:id="rId41" name="Check Box 63">
              <controlPr defaultSize="0" autoFill="0" autoLine="0" autoPict="0" altText="">
                <anchor moveWithCells="1">
                  <from>
                    <xdr:col>0</xdr:col>
                    <xdr:colOff>160020</xdr:colOff>
                    <xdr:row>470</xdr:row>
                    <xdr:rowOff>76200</xdr:rowOff>
                  </from>
                  <to>
                    <xdr:col>0</xdr:col>
                    <xdr:colOff>464820</xdr:colOff>
                    <xdr:row>471</xdr:row>
                    <xdr:rowOff>175260</xdr:rowOff>
                  </to>
                </anchor>
              </controlPr>
            </control>
          </mc:Choice>
        </mc:AlternateContent>
        <mc:AlternateContent xmlns:mc="http://schemas.openxmlformats.org/markup-compatibility/2006">
          <mc:Choice Requires="x14">
            <control shapeId="7232" r:id="rId42" name="Check Box 64">
              <controlPr defaultSize="0" autoFill="0" autoLine="0" autoPict="0" altText="">
                <anchor moveWithCells="1">
                  <from>
                    <xdr:col>0</xdr:col>
                    <xdr:colOff>160020</xdr:colOff>
                    <xdr:row>442</xdr:row>
                    <xdr:rowOff>76200</xdr:rowOff>
                  </from>
                  <to>
                    <xdr:col>0</xdr:col>
                    <xdr:colOff>464820</xdr:colOff>
                    <xdr:row>443</xdr:row>
                    <xdr:rowOff>175260</xdr:rowOff>
                  </to>
                </anchor>
              </controlPr>
            </control>
          </mc:Choice>
        </mc:AlternateContent>
        <mc:AlternateContent xmlns:mc="http://schemas.openxmlformats.org/markup-compatibility/2006">
          <mc:Choice Requires="x14">
            <control shapeId="7236" r:id="rId43" name="Check Box 68">
              <controlPr defaultSize="0" autoFill="0" autoLine="0" autoPict="0" altText="">
                <anchor moveWithCells="1">
                  <from>
                    <xdr:col>11</xdr:col>
                    <xdr:colOff>38100</xdr:colOff>
                    <xdr:row>441</xdr:row>
                    <xdr:rowOff>152400</xdr:rowOff>
                  </from>
                  <to>
                    <xdr:col>11</xdr:col>
                    <xdr:colOff>342900</xdr:colOff>
                    <xdr:row>443</xdr:row>
                    <xdr:rowOff>60960</xdr:rowOff>
                  </to>
                </anchor>
              </controlPr>
            </control>
          </mc:Choice>
        </mc:AlternateContent>
        <mc:AlternateContent xmlns:mc="http://schemas.openxmlformats.org/markup-compatibility/2006">
          <mc:Choice Requires="x14">
            <control shapeId="7238" r:id="rId44" name="Check Box 70">
              <controlPr defaultSize="0" autoFill="0" autoLine="0" autoPict="0" altText="">
                <anchor moveWithCells="1">
                  <from>
                    <xdr:col>0</xdr:col>
                    <xdr:colOff>213360</xdr:colOff>
                    <xdr:row>783</xdr:row>
                    <xdr:rowOff>60960</xdr:rowOff>
                  </from>
                  <to>
                    <xdr:col>0</xdr:col>
                    <xdr:colOff>518160</xdr:colOff>
                    <xdr:row>784</xdr:row>
                    <xdr:rowOff>175260</xdr:rowOff>
                  </to>
                </anchor>
              </controlPr>
            </control>
          </mc:Choice>
        </mc:AlternateContent>
        <mc:AlternateContent xmlns:mc="http://schemas.openxmlformats.org/markup-compatibility/2006">
          <mc:Choice Requires="x14">
            <control shapeId="7239" r:id="rId45" name="Check Box 71">
              <controlPr defaultSize="0" autoFill="0" autoLine="0" autoPict="0" altText="">
                <anchor moveWithCells="1">
                  <from>
                    <xdr:col>0</xdr:col>
                    <xdr:colOff>213360</xdr:colOff>
                    <xdr:row>810</xdr:row>
                    <xdr:rowOff>60960</xdr:rowOff>
                  </from>
                  <to>
                    <xdr:col>0</xdr:col>
                    <xdr:colOff>518160</xdr:colOff>
                    <xdr:row>811</xdr:row>
                    <xdr:rowOff>160020</xdr:rowOff>
                  </to>
                </anchor>
              </controlPr>
            </control>
          </mc:Choice>
        </mc:AlternateContent>
        <mc:AlternateContent xmlns:mc="http://schemas.openxmlformats.org/markup-compatibility/2006">
          <mc:Choice Requires="x14">
            <control shapeId="7244" r:id="rId46" name="Check Box 76">
              <controlPr defaultSize="0" autoFill="0" autoLine="0" autoPict="0" altText="">
                <anchor moveWithCells="1">
                  <from>
                    <xdr:col>10</xdr:col>
                    <xdr:colOff>731520</xdr:colOff>
                    <xdr:row>783</xdr:row>
                    <xdr:rowOff>144780</xdr:rowOff>
                  </from>
                  <to>
                    <xdr:col>11</xdr:col>
                    <xdr:colOff>83820</xdr:colOff>
                    <xdr:row>785</xdr:row>
                    <xdr:rowOff>68580</xdr:rowOff>
                  </to>
                </anchor>
              </controlPr>
            </control>
          </mc:Choice>
        </mc:AlternateContent>
        <mc:AlternateContent xmlns:mc="http://schemas.openxmlformats.org/markup-compatibility/2006">
          <mc:Choice Requires="x14">
            <control shapeId="7248" r:id="rId47" name="Check Box 80">
              <controlPr defaultSize="0" autoFill="0" autoLine="0" autoPict="0" altText="">
                <anchor moveWithCells="1">
                  <from>
                    <xdr:col>10</xdr:col>
                    <xdr:colOff>861060</xdr:colOff>
                    <xdr:row>212</xdr:row>
                    <xdr:rowOff>60960</xdr:rowOff>
                  </from>
                  <to>
                    <xdr:col>11</xdr:col>
                    <xdr:colOff>213360</xdr:colOff>
                    <xdr:row>213</xdr:row>
                    <xdr:rowOff>160020</xdr:rowOff>
                  </to>
                </anchor>
              </controlPr>
            </control>
          </mc:Choice>
        </mc:AlternateContent>
        <mc:AlternateContent xmlns:mc="http://schemas.openxmlformats.org/markup-compatibility/2006">
          <mc:Choice Requires="x14">
            <control shapeId="7250" r:id="rId48" name="Check Box 82">
              <controlPr defaultSize="0" autoFill="0" autoLine="0" autoPict="0" altText="">
                <anchor moveWithCells="1">
                  <from>
                    <xdr:col>10</xdr:col>
                    <xdr:colOff>906780</xdr:colOff>
                    <xdr:row>241</xdr:row>
                    <xdr:rowOff>182880</xdr:rowOff>
                  </from>
                  <to>
                    <xdr:col>11</xdr:col>
                    <xdr:colOff>259080</xdr:colOff>
                    <xdr:row>243</xdr:row>
                    <xdr:rowOff>99060</xdr:rowOff>
                  </to>
                </anchor>
              </controlPr>
            </control>
          </mc:Choice>
        </mc:AlternateContent>
        <mc:AlternateContent xmlns:mc="http://schemas.openxmlformats.org/markup-compatibility/2006">
          <mc:Choice Requires="x14">
            <control shapeId="7253" r:id="rId49" name="Check Box 85">
              <controlPr defaultSize="0" autoFill="0" autoLine="0" autoPict="0" altText="">
                <anchor moveWithCells="1">
                  <from>
                    <xdr:col>11</xdr:col>
                    <xdr:colOff>60960</xdr:colOff>
                    <xdr:row>385</xdr:row>
                    <xdr:rowOff>121920</xdr:rowOff>
                  </from>
                  <to>
                    <xdr:col>11</xdr:col>
                    <xdr:colOff>365760</xdr:colOff>
                    <xdr:row>387</xdr:row>
                    <xdr:rowOff>38100</xdr:rowOff>
                  </to>
                </anchor>
              </controlPr>
            </control>
          </mc:Choice>
        </mc:AlternateContent>
        <mc:AlternateContent xmlns:mc="http://schemas.openxmlformats.org/markup-compatibility/2006">
          <mc:Choice Requires="x14">
            <control shapeId="7254" r:id="rId50" name="Check Box 86">
              <controlPr defaultSize="0" autoFill="0" autoLine="0" autoPict="0" altText="">
                <anchor moveWithCells="1">
                  <from>
                    <xdr:col>11</xdr:col>
                    <xdr:colOff>7620</xdr:colOff>
                    <xdr:row>412</xdr:row>
                    <xdr:rowOff>68580</xdr:rowOff>
                  </from>
                  <to>
                    <xdr:col>11</xdr:col>
                    <xdr:colOff>312420</xdr:colOff>
                    <xdr:row>413</xdr:row>
                    <xdr:rowOff>175260</xdr:rowOff>
                  </to>
                </anchor>
              </controlPr>
            </control>
          </mc:Choice>
        </mc:AlternateContent>
        <mc:AlternateContent xmlns:mc="http://schemas.openxmlformats.org/markup-compatibility/2006">
          <mc:Choice Requires="x14">
            <control shapeId="7255" r:id="rId51" name="Check Box 87">
              <controlPr defaultSize="0" autoFill="0" autoLine="0" autoPict="0" altText="">
                <anchor moveWithCells="1">
                  <from>
                    <xdr:col>10</xdr:col>
                    <xdr:colOff>792480</xdr:colOff>
                    <xdr:row>810</xdr:row>
                    <xdr:rowOff>60960</xdr:rowOff>
                  </from>
                  <to>
                    <xdr:col>11</xdr:col>
                    <xdr:colOff>144780</xdr:colOff>
                    <xdr:row>811</xdr:row>
                    <xdr:rowOff>160020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rgb="FF00FFCC"/>
  </sheetPr>
  <dimension ref="B1:AK1025"/>
  <sheetViews>
    <sheetView topLeftCell="A38" zoomScale="85" zoomScaleNormal="85" workbookViewId="0">
      <selection activeCell="G9" sqref="G9:T1008"/>
    </sheetView>
  </sheetViews>
  <sheetFormatPr defaultColWidth="9.109375" defaultRowHeight="14.4" x14ac:dyDescent="0.3"/>
  <cols>
    <col min="2" max="2" width="31" customWidth="1"/>
    <col min="3" max="3" width="14.44140625" customWidth="1"/>
    <col min="4" max="4" width="13.88671875" customWidth="1"/>
    <col min="5" max="5" width="14.44140625" bestFit="1" customWidth="1"/>
    <col min="6" max="6" width="42.88671875" customWidth="1"/>
    <col min="7" max="7" width="10.88671875" bestFit="1" customWidth="1"/>
    <col min="8" max="8" width="12.109375" bestFit="1" customWidth="1"/>
    <col min="9" max="9" width="19.109375" customWidth="1"/>
    <col min="10" max="10" width="21.6640625" bestFit="1" customWidth="1"/>
    <col min="11" max="11" width="20.88671875" bestFit="1" customWidth="1"/>
    <col min="12" max="12" width="11.33203125" bestFit="1" customWidth="1"/>
    <col min="13" max="13" width="12.33203125" customWidth="1"/>
    <col min="14" max="14" width="12" customWidth="1"/>
    <col min="15" max="15" width="15.33203125" bestFit="1" customWidth="1"/>
    <col min="16" max="16" width="13.109375" bestFit="1" customWidth="1"/>
    <col min="17" max="17" width="14.33203125" bestFit="1" customWidth="1"/>
    <col min="18" max="18" width="11.33203125" bestFit="1" customWidth="1"/>
    <col min="19" max="19" width="12" customWidth="1"/>
    <col min="20" max="20" width="9.5546875" bestFit="1" customWidth="1"/>
    <col min="22" max="23" width="16" bestFit="1" customWidth="1"/>
    <col min="24" max="24" width="16" customWidth="1"/>
    <col min="25" max="25" width="14.6640625" bestFit="1" customWidth="1"/>
    <col min="26" max="26" width="18" bestFit="1" customWidth="1"/>
    <col min="27" max="28" width="18" customWidth="1"/>
    <col min="29" max="29" width="17.44140625" bestFit="1" customWidth="1"/>
    <col min="30" max="30" width="8.33203125" customWidth="1"/>
    <col min="31" max="31" width="18" bestFit="1" customWidth="1"/>
    <col min="32" max="32" width="17.44140625" bestFit="1" customWidth="1"/>
    <col min="33" max="33" width="18" bestFit="1" customWidth="1"/>
    <col min="34" max="34" width="17.44140625" bestFit="1" customWidth="1"/>
    <col min="35" max="35" width="10.88671875" customWidth="1"/>
  </cols>
  <sheetData>
    <row r="1" spans="2:37" x14ac:dyDescent="0.3">
      <c r="E1" s="704"/>
      <c r="G1" t="s">
        <v>583</v>
      </c>
      <c r="V1" t="s">
        <v>667</v>
      </c>
      <c r="Y1" s="52" t="s">
        <v>675</v>
      </c>
      <c r="Z1">
        <v>50000</v>
      </c>
    </row>
    <row r="2" spans="2:37" x14ac:dyDescent="0.3">
      <c r="B2" s="98" t="s">
        <v>661</v>
      </c>
      <c r="C2" s="98"/>
      <c r="D2" s="98"/>
      <c r="E2" s="98"/>
      <c r="Y2" t="s">
        <v>723</v>
      </c>
    </row>
    <row r="3" spans="2:37" x14ac:dyDescent="0.3">
      <c r="B3" s="185"/>
      <c r="C3" s="97" t="s">
        <v>573</v>
      </c>
      <c r="D3" s="97" t="s">
        <v>662</v>
      </c>
      <c r="E3" s="97" t="s">
        <v>663</v>
      </c>
      <c r="I3" s="26" t="s">
        <v>914</v>
      </c>
      <c r="O3" s="26" t="s">
        <v>902</v>
      </c>
      <c r="V3" s="52" t="s">
        <v>674</v>
      </c>
      <c r="X3" s="52"/>
      <c r="Y3" t="s">
        <v>917</v>
      </c>
      <c r="AA3" t="s">
        <v>916</v>
      </c>
    </row>
    <row r="4" spans="2:37" x14ac:dyDescent="0.3">
      <c r="B4" s="97" t="s">
        <v>664</v>
      </c>
      <c r="C4" s="107">
        <f>AVERAGE($H$9:$H$1008)</f>
        <v>1181.8516743998321</v>
      </c>
      <c r="D4" s="107">
        <f>_xlfn.PERCENTILE.INC($H$9:$H$1008,0.025)</f>
        <v>952.52755819995059</v>
      </c>
      <c r="E4" s="107">
        <f>_xlfn.PERCENTILE.INC($H$9:$H$1008,0.975)</f>
        <v>1453.1640972858174</v>
      </c>
      <c r="H4" t="s">
        <v>659</v>
      </c>
      <c r="I4" t="s">
        <v>658</v>
      </c>
      <c r="J4" s="163" t="s">
        <v>671</v>
      </c>
      <c r="K4" s="163" t="s">
        <v>672</v>
      </c>
      <c r="L4" s="163" t="s">
        <v>670</v>
      </c>
      <c r="M4" s="163" t="s">
        <v>669</v>
      </c>
      <c r="N4" s="363" t="s">
        <v>236</v>
      </c>
      <c r="O4" t="s">
        <v>658</v>
      </c>
      <c r="P4" s="163" t="s">
        <v>671</v>
      </c>
      <c r="Q4" s="163" t="s">
        <v>672</v>
      </c>
      <c r="R4" s="163" t="s">
        <v>670</v>
      </c>
      <c r="S4" s="163" t="s">
        <v>669</v>
      </c>
      <c r="T4" s="363" t="s">
        <v>236</v>
      </c>
      <c r="W4" s="52"/>
      <c r="X4" s="52"/>
      <c r="Y4" s="52" t="s">
        <v>565</v>
      </c>
      <c r="Z4" s="52" t="s">
        <v>566</v>
      </c>
      <c r="AA4" s="52" t="s">
        <v>565</v>
      </c>
      <c r="AB4" s="52" t="s">
        <v>566</v>
      </c>
      <c r="AC4" s="364"/>
      <c r="AD4" s="52"/>
      <c r="AE4" s="52"/>
      <c r="AF4" s="52"/>
      <c r="AJ4" s="52"/>
      <c r="AK4" s="52"/>
    </row>
    <row r="5" spans="2:37" x14ac:dyDescent="0.3">
      <c r="B5" s="97" t="s">
        <v>912</v>
      </c>
      <c r="C5" s="107">
        <f>AVERAGE($I$9:$I$1008)</f>
        <v>1241002.4983108076</v>
      </c>
      <c r="D5" s="107">
        <f>_xlfn.PERCENTILE.INC($I$9:$I$1008,0.025)</f>
        <v>356007.42933826882</v>
      </c>
      <c r="E5" s="107">
        <f>_xlfn.PERCENTILE.INC($I$9:$I$1008,0.975)</f>
        <v>2285707.1595140519</v>
      </c>
      <c r="G5" t="s">
        <v>657</v>
      </c>
      <c r="H5" s="29">
        <f ca="1">-Results!E49</f>
        <v>227.74429772229996</v>
      </c>
      <c r="I5" s="30">
        <f ca="1">Results!E54/I7</f>
        <v>364935.29214576905</v>
      </c>
      <c r="J5" s="365">
        <f ca="1">IF(AND(I5&lt;0,$H$5&gt;0),1,0)</f>
        <v>0</v>
      </c>
      <c r="K5" s="365">
        <f ca="1">IF(AND(I5&gt;0,$H$5&lt;0),1,0)</f>
        <v>0</v>
      </c>
      <c r="L5">
        <f ca="1">IF(AND(I5&lt;0,$H$5&lt;0),1,0)</f>
        <v>0</v>
      </c>
      <c r="M5" s="365">
        <f ca="1">IF(AND(I5&gt;0,$H$5&gt;0),1,0)</f>
        <v>1</v>
      </c>
      <c r="N5" s="365">
        <f ca="1">IF(OR(H5&gt;0,H5&lt;0),I5/H5,"")</f>
        <v>1602.3904694674418</v>
      </c>
      <c r="O5" s="30">
        <f ca="1">Results!E55/I7</f>
        <v>-198058.04182840596</v>
      </c>
      <c r="P5" s="365">
        <f ca="1">IF(AND(O5&lt;0,$H$5&gt;0),1,0)</f>
        <v>1</v>
      </c>
      <c r="Q5" s="365">
        <f ca="1">IF(AND(O5&gt;0,$H$5&lt;0),1,0)</f>
        <v>0</v>
      </c>
      <c r="R5">
        <f ca="1">IF(AND(O5&lt;0,$H$5&lt;0),1,0)</f>
        <v>0</v>
      </c>
      <c r="S5" s="365">
        <f ca="1">IF(AND(O5&gt;0,$H$5&gt;0),1,0)</f>
        <v>0</v>
      </c>
      <c r="T5" s="365">
        <f ca="1">IF(OR(H5&gt;0,H5&lt;0),O5/H5,"")</f>
        <v>-869.65093663907248</v>
      </c>
      <c r="W5" s="366"/>
      <c r="X5" s="366"/>
      <c r="Y5">
        <f>AVERAGE(Y9:Y1008)</f>
        <v>0</v>
      </c>
      <c r="Z5">
        <f>AVERAGE(Z9:Z1008)</f>
        <v>1</v>
      </c>
      <c r="AA5">
        <f>AVERAGE(AA9:AA1008)</f>
        <v>0</v>
      </c>
      <c r="AB5">
        <f>AVERAGE(AB9:AB1008)</f>
        <v>1</v>
      </c>
      <c r="AJ5" s="364"/>
    </row>
    <row r="6" spans="2:37" x14ac:dyDescent="0.3">
      <c r="B6" s="97" t="s">
        <v>913</v>
      </c>
      <c r="C6" s="107">
        <f>AVERAGE($O$9:$O$1008)</f>
        <v>-3416926.9431466796</v>
      </c>
      <c r="D6" s="107">
        <f>_xlfn.PERCENTILE.INC($O$9:$O$1008,0.025)</f>
        <v>-4962252.1108542942</v>
      </c>
      <c r="E6" s="107">
        <f>_xlfn.PERCENTILE.INC($O$9:$O$1008,0.975)</f>
        <v>-1797303.5762474237</v>
      </c>
      <c r="H6" s="29"/>
      <c r="O6" s="30"/>
      <c r="AH6" s="367"/>
    </row>
    <row r="7" spans="2:37" x14ac:dyDescent="0.3">
      <c r="B7" s="25"/>
      <c r="C7" s="25"/>
      <c r="D7" s="727"/>
      <c r="E7" s="727"/>
      <c r="H7" s="29"/>
      <c r="I7" s="55">
        <f>'General input'!C16</f>
        <v>12.7589308811644</v>
      </c>
      <c r="O7" s="30"/>
      <c r="Y7" t="s">
        <v>917</v>
      </c>
      <c r="AA7" t="s">
        <v>916</v>
      </c>
      <c r="AE7" t="s">
        <v>914</v>
      </c>
      <c r="AG7" t="s">
        <v>902</v>
      </c>
    </row>
    <row r="8" spans="2:37" x14ac:dyDescent="0.3">
      <c r="B8" s="98" t="s">
        <v>668</v>
      </c>
      <c r="C8" s="98"/>
      <c r="D8" s="98"/>
      <c r="E8" s="98"/>
      <c r="F8" s="27"/>
      <c r="G8" t="s">
        <v>660</v>
      </c>
      <c r="H8" t="s">
        <v>659</v>
      </c>
      <c r="I8" t="s">
        <v>658</v>
      </c>
      <c r="J8" s="163" t="s">
        <v>671</v>
      </c>
      <c r="K8" s="163" t="s">
        <v>672</v>
      </c>
      <c r="L8" s="163" t="s">
        <v>670</v>
      </c>
      <c r="M8" s="163" t="s">
        <v>669</v>
      </c>
      <c r="N8" s="363" t="s">
        <v>236</v>
      </c>
      <c r="O8" t="s">
        <v>658</v>
      </c>
      <c r="P8" s="163" t="s">
        <v>671</v>
      </c>
      <c r="Q8" s="163" t="s">
        <v>672</v>
      </c>
      <c r="R8" s="163" t="s">
        <v>670</v>
      </c>
      <c r="S8" s="163" t="s">
        <v>669</v>
      </c>
      <c r="T8" s="363" t="s">
        <v>236</v>
      </c>
      <c r="V8" s="163" t="s">
        <v>915</v>
      </c>
      <c r="W8" s="52" t="s">
        <v>916</v>
      </c>
      <c r="X8" s="52"/>
      <c r="Y8" s="52" t="s">
        <v>565</v>
      </c>
      <c r="Z8" s="52" t="s">
        <v>566</v>
      </c>
      <c r="AA8" s="52" t="s">
        <v>565</v>
      </c>
      <c r="AB8" s="52" t="s">
        <v>566</v>
      </c>
      <c r="AC8" s="52"/>
      <c r="AD8" s="52" t="s">
        <v>673</v>
      </c>
      <c r="AE8" s="52" t="s">
        <v>565</v>
      </c>
      <c r="AF8" s="52" t="s">
        <v>566</v>
      </c>
      <c r="AG8" s="52" t="s">
        <v>565</v>
      </c>
      <c r="AH8" s="52" t="s">
        <v>566</v>
      </c>
      <c r="AJ8" s="52"/>
      <c r="AK8" s="52"/>
    </row>
    <row r="9" spans="2:37" ht="27.6" x14ac:dyDescent="0.3">
      <c r="B9" s="185"/>
      <c r="C9" s="95" t="s">
        <v>671</v>
      </c>
      <c r="D9" s="95" t="s">
        <v>672</v>
      </c>
      <c r="E9" s="95" t="s">
        <v>670</v>
      </c>
      <c r="F9" s="28"/>
      <c r="G9">
        <v>1</v>
      </c>
      <c r="H9" s="109">
        <v>1156.5728919061003</v>
      </c>
      <c r="I9" s="109">
        <v>1266081.0034585046</v>
      </c>
      <c r="J9">
        <v>0</v>
      </c>
      <c r="K9">
        <v>0</v>
      </c>
      <c r="L9">
        <v>0</v>
      </c>
      <c r="M9">
        <v>1</v>
      </c>
      <c r="N9" s="109">
        <v>1094.6832770496017</v>
      </c>
      <c r="O9" s="109">
        <v>-3436984.4518509838</v>
      </c>
      <c r="P9">
        <v>1</v>
      </c>
      <c r="Q9">
        <v>0</v>
      </c>
      <c r="R9">
        <v>0</v>
      </c>
      <c r="S9">
        <v>0</v>
      </c>
      <c r="T9" s="109">
        <v>-2971.69722367142</v>
      </c>
      <c r="V9" s="368">
        <f t="shared" ref="V9:V72" si="0">H9*WTPinput-I9</f>
        <v>56562563.591846503</v>
      </c>
      <c r="W9" s="30">
        <f t="shared" ref="W9:W72" si="1">H9*WTPinput-O9</f>
        <v>61265629.047155991</v>
      </c>
      <c r="X9" s="30"/>
      <c r="Y9">
        <f>IF(V9&lt;0,1,0)</f>
        <v>0</v>
      </c>
      <c r="Z9">
        <f>IF(V9&gt;0,1,0)</f>
        <v>1</v>
      </c>
      <c r="AA9">
        <f>IF(W9&lt;0,1,0)</f>
        <v>0</v>
      </c>
      <c r="AB9">
        <f>IF(W9&gt;0,1,0)</f>
        <v>1</v>
      </c>
      <c r="AD9">
        <v>0</v>
      </c>
      <c r="AE9">
        <v>0.94899999999999995</v>
      </c>
      <c r="AF9">
        <v>5.0999999999999997E-2</v>
      </c>
      <c r="AG9">
        <v>4.0000000000000001E-3</v>
      </c>
      <c r="AH9">
        <v>0.996</v>
      </c>
    </row>
    <row r="10" spans="2:37" x14ac:dyDescent="0.3">
      <c r="B10" s="110" t="s">
        <v>914</v>
      </c>
      <c r="C10" s="108">
        <f>SUM($J$9:$J$1008)/COUNT($J$9:$J$1008)</f>
        <v>2E-3</v>
      </c>
      <c r="D10" s="108">
        <f>SUM($K$9:$K$1008)/COUNT($K$9:$K$1008)</f>
        <v>0</v>
      </c>
      <c r="E10" s="108">
        <f>SUM($L$9:$L$1008)/COUNT($L$9:$L$1008)</f>
        <v>0</v>
      </c>
      <c r="F10" s="28"/>
      <c r="G10">
        <v>2</v>
      </c>
      <c r="H10" s="109">
        <v>1298.9282901681872</v>
      </c>
      <c r="I10" s="109">
        <v>893720.81730741623</v>
      </c>
      <c r="J10">
        <v>0</v>
      </c>
      <c r="K10">
        <v>0</v>
      </c>
      <c r="L10">
        <v>0</v>
      </c>
      <c r="M10">
        <v>1</v>
      </c>
      <c r="N10" s="109">
        <v>688.0447705020697</v>
      </c>
      <c r="O10" s="109">
        <v>-3746294.8151926226</v>
      </c>
      <c r="P10">
        <v>1</v>
      </c>
      <c r="Q10">
        <v>0</v>
      </c>
      <c r="R10">
        <v>0</v>
      </c>
      <c r="S10">
        <v>0</v>
      </c>
      <c r="T10" s="109">
        <v>-2884.1429073097997</v>
      </c>
      <c r="V10" s="368">
        <f t="shared" si="0"/>
        <v>64052693.691101946</v>
      </c>
      <c r="W10" s="30">
        <f t="shared" si="1"/>
        <v>68692709.323601976</v>
      </c>
      <c r="X10" s="30"/>
      <c r="Y10">
        <f t="shared" ref="Y10:Y73" si="2">IF(V10&lt;0,1,0)</f>
        <v>0</v>
      </c>
      <c r="Z10">
        <f t="shared" ref="Z10:Z73" si="3">IF(V10&gt;0,1,0)</f>
        <v>1</v>
      </c>
      <c r="AA10">
        <f t="shared" ref="AA10:AA73" si="4">IF(W10&lt;0,1,0)</f>
        <v>0</v>
      </c>
      <c r="AB10">
        <f t="shared" ref="AB10:AB73" si="5">IF(W10&gt;0,1,0)</f>
        <v>1</v>
      </c>
      <c r="AD10">
        <v>100</v>
      </c>
      <c r="AE10">
        <v>0.92300000000000004</v>
      </c>
      <c r="AF10">
        <v>7.6999999999999999E-2</v>
      </c>
      <c r="AG10">
        <v>2E-3</v>
      </c>
      <c r="AH10">
        <v>0.998</v>
      </c>
    </row>
    <row r="11" spans="2:37" x14ac:dyDescent="0.3">
      <c r="B11" s="97" t="s">
        <v>902</v>
      </c>
      <c r="C11" s="108">
        <f>SUM($P$9:$P$1008)/COUNT($P$9:$P$1008)</f>
        <v>1</v>
      </c>
      <c r="D11" s="108">
        <f>SUM($Q$9:$Q$1008)/COUNT($Q$9:$Q$1008)</f>
        <v>0</v>
      </c>
      <c r="E11" s="108">
        <f>SUM($R$9:$R$1008)/COUNT($R$9:$R$1008)</f>
        <v>0</v>
      </c>
      <c r="F11" s="28"/>
      <c r="G11">
        <v>3</v>
      </c>
      <c r="H11" s="109">
        <v>1206.8141011694825</v>
      </c>
      <c r="I11" s="109">
        <v>924594.75869058247</v>
      </c>
      <c r="J11">
        <v>0</v>
      </c>
      <c r="K11">
        <v>0</v>
      </c>
      <c r="L11">
        <v>0</v>
      </c>
      <c r="M11">
        <v>1</v>
      </c>
      <c r="N11" s="109">
        <v>766.14514016250655</v>
      </c>
      <c r="O11" s="109">
        <v>-3673826.7367724478</v>
      </c>
      <c r="P11">
        <v>1</v>
      </c>
      <c r="Q11">
        <v>0</v>
      </c>
      <c r="R11">
        <v>0</v>
      </c>
      <c r="S11">
        <v>0</v>
      </c>
      <c r="T11" s="109">
        <v>-3044.235838156239</v>
      </c>
      <c r="V11" s="368">
        <f t="shared" si="0"/>
        <v>59416110.299783543</v>
      </c>
      <c r="W11" s="30">
        <f t="shared" si="1"/>
        <v>64014531.795246571</v>
      </c>
      <c r="X11" s="30"/>
      <c r="Y11">
        <f t="shared" si="2"/>
        <v>0</v>
      </c>
      <c r="Z11">
        <f t="shared" si="3"/>
        <v>1</v>
      </c>
      <c r="AA11">
        <f t="shared" si="4"/>
        <v>0</v>
      </c>
      <c r="AB11">
        <f t="shared" si="5"/>
        <v>1</v>
      </c>
      <c r="AD11">
        <v>200</v>
      </c>
      <c r="AE11">
        <v>0.88600000000000001</v>
      </c>
      <c r="AF11">
        <v>0.114</v>
      </c>
      <c r="AG11">
        <v>2E-3</v>
      </c>
      <c r="AH11">
        <v>0.998</v>
      </c>
    </row>
    <row r="12" spans="2:37" x14ac:dyDescent="0.3">
      <c r="B12" s="25"/>
      <c r="C12" s="25"/>
      <c r="D12" s="25"/>
      <c r="E12" s="25"/>
      <c r="F12" s="28"/>
      <c r="G12">
        <v>4</v>
      </c>
      <c r="H12" s="109">
        <v>1076.6073389818921</v>
      </c>
      <c r="I12" s="109">
        <v>1447380.2815408164</v>
      </c>
      <c r="J12">
        <v>0</v>
      </c>
      <c r="K12">
        <v>0</v>
      </c>
      <c r="L12">
        <v>0</v>
      </c>
      <c r="M12">
        <v>1</v>
      </c>
      <c r="N12" s="109">
        <v>1344.3901310477324</v>
      </c>
      <c r="O12" s="109">
        <v>-2514244.3294371869</v>
      </c>
      <c r="P12">
        <v>1</v>
      </c>
      <c r="Q12">
        <v>0</v>
      </c>
      <c r="R12">
        <v>0</v>
      </c>
      <c r="S12">
        <v>0</v>
      </c>
      <c r="T12" s="109">
        <v>-2335.3401360005732</v>
      </c>
      <c r="V12" s="368">
        <f t="shared" si="0"/>
        <v>52382986.66755379</v>
      </c>
      <c r="W12" s="30">
        <f t="shared" si="1"/>
        <v>56344611.278531797</v>
      </c>
      <c r="X12" s="30"/>
      <c r="Y12">
        <f t="shared" si="2"/>
        <v>0</v>
      </c>
      <c r="Z12">
        <f t="shared" si="3"/>
        <v>1</v>
      </c>
      <c r="AA12">
        <f t="shared" si="4"/>
        <v>0</v>
      </c>
      <c r="AB12">
        <f t="shared" si="5"/>
        <v>1</v>
      </c>
      <c r="AD12">
        <v>300</v>
      </c>
      <c r="AE12">
        <v>0.84599999999999997</v>
      </c>
      <c r="AF12">
        <v>0.154</v>
      </c>
      <c r="AG12">
        <v>1E-3</v>
      </c>
      <c r="AH12">
        <v>0.999</v>
      </c>
    </row>
    <row r="13" spans="2:37" x14ac:dyDescent="0.3">
      <c r="B13" s="98" t="s">
        <v>665</v>
      </c>
      <c r="C13" s="98"/>
      <c r="D13" s="98"/>
      <c r="E13" s="98"/>
      <c r="F13" s="28"/>
      <c r="G13">
        <v>5</v>
      </c>
      <c r="H13" s="109">
        <v>1212.0307269469413</v>
      </c>
      <c r="I13" s="109">
        <v>1434959.1414071252</v>
      </c>
      <c r="J13">
        <v>0</v>
      </c>
      <c r="K13">
        <v>0</v>
      </c>
      <c r="L13">
        <v>0</v>
      </c>
      <c r="M13">
        <v>1</v>
      </c>
      <c r="N13" s="109">
        <v>1183.9296723291266</v>
      </c>
      <c r="O13" s="109">
        <v>-3088803.1150197871</v>
      </c>
      <c r="P13">
        <v>1</v>
      </c>
      <c r="Q13">
        <v>0</v>
      </c>
      <c r="R13">
        <v>0</v>
      </c>
      <c r="S13">
        <v>0</v>
      </c>
      <c r="T13" s="109">
        <v>-2548.4528125787397</v>
      </c>
      <c r="V13" s="368">
        <f t="shared" si="0"/>
        <v>59166577.205939941</v>
      </c>
      <c r="W13" s="30">
        <f t="shared" si="1"/>
        <v>63690339.462366849</v>
      </c>
      <c r="X13" s="30"/>
      <c r="Y13">
        <f t="shared" si="2"/>
        <v>0</v>
      </c>
      <c r="Z13">
        <f t="shared" si="3"/>
        <v>1</v>
      </c>
      <c r="AA13">
        <f t="shared" si="4"/>
        <v>0</v>
      </c>
      <c r="AB13">
        <f t="shared" si="5"/>
        <v>1</v>
      </c>
      <c r="AD13">
        <v>400</v>
      </c>
      <c r="AE13">
        <v>0.78700000000000003</v>
      </c>
      <c r="AF13">
        <v>0.21299999999999999</v>
      </c>
      <c r="AG13">
        <v>1E-3</v>
      </c>
      <c r="AH13">
        <v>0.999</v>
      </c>
    </row>
    <row r="14" spans="2:37" x14ac:dyDescent="0.3">
      <c r="B14" s="185"/>
      <c r="C14" s="97" t="s">
        <v>573</v>
      </c>
      <c r="D14" s="97" t="s">
        <v>662</v>
      </c>
      <c r="E14" s="97" t="s">
        <v>663</v>
      </c>
      <c r="F14" s="28"/>
      <c r="G14">
        <v>6</v>
      </c>
      <c r="H14" s="109">
        <v>1226.3816994368171</v>
      </c>
      <c r="I14" s="109">
        <v>1228592.6994884168</v>
      </c>
      <c r="J14">
        <v>0</v>
      </c>
      <c r="K14">
        <v>0</v>
      </c>
      <c r="L14">
        <v>0</v>
      </c>
      <c r="M14">
        <v>1</v>
      </c>
      <c r="N14" s="109">
        <v>1001.8028645181308</v>
      </c>
      <c r="O14" s="109">
        <v>-3680678.824355504</v>
      </c>
      <c r="P14">
        <v>1</v>
      </c>
      <c r="Q14">
        <v>0</v>
      </c>
      <c r="R14">
        <v>0</v>
      </c>
      <c r="S14">
        <v>0</v>
      </c>
      <c r="T14" s="109">
        <v>-3001.2506106750916</v>
      </c>
      <c r="V14" s="368">
        <f t="shared" si="0"/>
        <v>60090492.272352442</v>
      </c>
      <c r="W14" s="30">
        <f t="shared" si="1"/>
        <v>64999763.796196364</v>
      </c>
      <c r="X14" s="30"/>
      <c r="Y14">
        <f t="shared" si="2"/>
        <v>0</v>
      </c>
      <c r="Z14">
        <f t="shared" si="3"/>
        <v>1</v>
      </c>
      <c r="AA14">
        <f t="shared" si="4"/>
        <v>0</v>
      </c>
      <c r="AB14">
        <f t="shared" si="5"/>
        <v>1</v>
      </c>
      <c r="AD14">
        <v>500</v>
      </c>
      <c r="AE14">
        <v>0.70699999999999996</v>
      </c>
      <c r="AF14">
        <v>0.29299999999999998</v>
      </c>
      <c r="AG14">
        <v>1E-3</v>
      </c>
      <c r="AH14">
        <v>0.999</v>
      </c>
    </row>
    <row r="15" spans="2:37" x14ac:dyDescent="0.3">
      <c r="B15" s="110" t="s">
        <v>914</v>
      </c>
      <c r="C15" s="96">
        <f>IF(SUM(C10:E10)&lt;0.05,C5/C4,"NA")</f>
        <v>1050.0492787650476</v>
      </c>
      <c r="D15" s="96">
        <f>IF(SUM(C10:E10)&lt;0.05,_xlfn.PERCENTILE.INC(N9:N1008,0.025),"NA")</f>
        <v>305.50406368343113</v>
      </c>
      <c r="E15" s="96">
        <f>IF(SUM(C10:E10)&lt;0.05,_xlfn.PERCENTILE.INC(N9:N1008,0.975),"NA")</f>
        <v>2050.2402078993664</v>
      </c>
      <c r="F15" s="28"/>
      <c r="G15">
        <v>7</v>
      </c>
      <c r="H15" s="109">
        <v>1173.3110936793382</v>
      </c>
      <c r="I15" s="109">
        <v>688454.46786800574</v>
      </c>
      <c r="J15">
        <v>0</v>
      </c>
      <c r="K15">
        <v>0</v>
      </c>
      <c r="L15">
        <v>0</v>
      </c>
      <c r="M15">
        <v>1</v>
      </c>
      <c r="N15" s="109">
        <v>586.76208856860762</v>
      </c>
      <c r="O15" s="109">
        <v>-4438940.3905050782</v>
      </c>
      <c r="P15">
        <v>1</v>
      </c>
      <c r="Q15">
        <v>0</v>
      </c>
      <c r="R15">
        <v>0</v>
      </c>
      <c r="S15">
        <v>0</v>
      </c>
      <c r="T15" s="109">
        <v>-3783.2595416661293</v>
      </c>
      <c r="V15" s="368">
        <f t="shared" si="0"/>
        <v>57977100.216098905</v>
      </c>
      <c r="W15" s="30">
        <f t="shared" si="1"/>
        <v>63104495.074471988</v>
      </c>
      <c r="X15" s="30"/>
      <c r="Y15">
        <f t="shared" si="2"/>
        <v>0</v>
      </c>
      <c r="Z15">
        <f t="shared" si="3"/>
        <v>1</v>
      </c>
      <c r="AA15">
        <f t="shared" si="4"/>
        <v>0</v>
      </c>
      <c r="AB15">
        <f t="shared" si="5"/>
        <v>1</v>
      </c>
      <c r="AD15">
        <v>600</v>
      </c>
      <c r="AE15">
        <v>0.63700000000000001</v>
      </c>
      <c r="AF15">
        <v>0.36299999999999999</v>
      </c>
      <c r="AG15">
        <v>0</v>
      </c>
      <c r="AH15">
        <v>1</v>
      </c>
    </row>
    <row r="16" spans="2:37" x14ac:dyDescent="0.3">
      <c r="B16" s="97" t="s">
        <v>902</v>
      </c>
      <c r="C16" s="96" t="str">
        <f>IF(SUM(C11:E11)&lt;0.05,C6/C4,"NA")</f>
        <v>NA</v>
      </c>
      <c r="D16" s="96" t="str">
        <f>IF(SUM(C11:E11)&lt;0.05,_xlfn.PERCENTILE.INC(T9:T1008,0.025),"NA")</f>
        <v>NA</v>
      </c>
      <c r="E16" s="96" t="str">
        <f>IF(SUM(C11:E11)&lt;0.05,_xlfn.PERCENTILE.INC(T9:T1008,0.975),"NA")</f>
        <v>NA</v>
      </c>
      <c r="F16" s="28"/>
      <c r="G16">
        <v>8</v>
      </c>
      <c r="H16" s="109">
        <v>1084.3534772163111</v>
      </c>
      <c r="I16" s="109">
        <v>2142475.9558534832</v>
      </c>
      <c r="J16">
        <v>0</v>
      </c>
      <c r="K16">
        <v>0</v>
      </c>
      <c r="L16">
        <v>0</v>
      </c>
      <c r="M16">
        <v>1</v>
      </c>
      <c r="N16" s="109">
        <v>1975.8095499942715</v>
      </c>
      <c r="O16" s="109">
        <v>-1612224.2064383586</v>
      </c>
      <c r="P16">
        <v>1</v>
      </c>
      <c r="Q16">
        <v>0</v>
      </c>
      <c r="R16">
        <v>0</v>
      </c>
      <c r="S16">
        <v>0</v>
      </c>
      <c r="T16" s="109">
        <v>-1486.8068764598481</v>
      </c>
      <c r="V16" s="368">
        <f t="shared" si="0"/>
        <v>52075197.90496207</v>
      </c>
      <c r="W16" s="30">
        <f t="shared" si="1"/>
        <v>55829898.06725391</v>
      </c>
      <c r="X16" s="30"/>
      <c r="Y16">
        <f t="shared" si="2"/>
        <v>0</v>
      </c>
      <c r="Z16">
        <f t="shared" si="3"/>
        <v>1</v>
      </c>
      <c r="AA16">
        <f t="shared" si="4"/>
        <v>0</v>
      </c>
      <c r="AB16">
        <f t="shared" si="5"/>
        <v>1</v>
      </c>
      <c r="AD16">
        <v>700</v>
      </c>
      <c r="AE16">
        <v>0.55400000000000005</v>
      </c>
      <c r="AF16">
        <v>0.44600000000000001</v>
      </c>
      <c r="AG16">
        <v>0</v>
      </c>
      <c r="AH16">
        <v>1</v>
      </c>
    </row>
    <row r="17" spans="2:34" x14ac:dyDescent="0.3">
      <c r="F17" s="28"/>
      <c r="G17">
        <v>9</v>
      </c>
      <c r="H17" s="109">
        <v>1191.0507321214245</v>
      </c>
      <c r="I17" s="109">
        <v>1542881.3873986611</v>
      </c>
      <c r="J17">
        <v>0</v>
      </c>
      <c r="K17">
        <v>0</v>
      </c>
      <c r="L17">
        <v>0</v>
      </c>
      <c r="M17">
        <v>1</v>
      </c>
      <c r="N17" s="109">
        <v>1295.3951882894005</v>
      </c>
      <c r="O17" s="109">
        <v>-3332801.8178269896</v>
      </c>
      <c r="P17">
        <v>1</v>
      </c>
      <c r="Q17">
        <v>0</v>
      </c>
      <c r="R17">
        <v>0</v>
      </c>
      <c r="S17">
        <v>0</v>
      </c>
      <c r="T17" s="109">
        <v>-2798.203072249335</v>
      </c>
      <c r="V17" s="368">
        <f t="shared" si="0"/>
        <v>58009655.218672566</v>
      </c>
      <c r="W17" s="30">
        <f t="shared" si="1"/>
        <v>62885338.423898213</v>
      </c>
      <c r="X17" s="30"/>
      <c r="Y17">
        <f t="shared" si="2"/>
        <v>0</v>
      </c>
      <c r="Z17">
        <f t="shared" si="3"/>
        <v>1</v>
      </c>
      <c r="AA17">
        <f t="shared" si="4"/>
        <v>0</v>
      </c>
      <c r="AB17">
        <f t="shared" si="5"/>
        <v>1</v>
      </c>
      <c r="AD17">
        <v>800</v>
      </c>
      <c r="AE17">
        <v>0.45700000000000002</v>
      </c>
      <c r="AF17">
        <v>0.54300000000000004</v>
      </c>
      <c r="AG17">
        <v>0</v>
      </c>
      <c r="AH17">
        <v>1</v>
      </c>
    </row>
    <row r="18" spans="2:34" x14ac:dyDescent="0.3">
      <c r="F18" s="28"/>
      <c r="G18">
        <v>10</v>
      </c>
      <c r="H18" s="109">
        <v>1125.4637932506084</v>
      </c>
      <c r="I18" s="109">
        <v>-95286.126110097175</v>
      </c>
      <c r="J18">
        <v>1</v>
      </c>
      <c r="K18">
        <v>0</v>
      </c>
      <c r="L18">
        <v>0</v>
      </c>
      <c r="M18">
        <v>0</v>
      </c>
      <c r="N18" s="109">
        <v>-84.663875178861218</v>
      </c>
      <c r="O18" s="109">
        <v>-4046147.6119307918</v>
      </c>
      <c r="P18">
        <v>1</v>
      </c>
      <c r="Q18">
        <v>0</v>
      </c>
      <c r="R18">
        <v>0</v>
      </c>
      <c r="S18">
        <v>0</v>
      </c>
      <c r="T18" s="109">
        <v>-3595.093539388371</v>
      </c>
      <c r="V18" s="368">
        <f t="shared" si="0"/>
        <v>56368475.788640521</v>
      </c>
      <c r="W18" s="30">
        <f t="shared" si="1"/>
        <v>60319337.274461217</v>
      </c>
      <c r="X18" s="30"/>
      <c r="Y18">
        <f t="shared" si="2"/>
        <v>0</v>
      </c>
      <c r="Z18">
        <f t="shared" si="3"/>
        <v>1</v>
      </c>
      <c r="AA18">
        <f t="shared" si="4"/>
        <v>0</v>
      </c>
      <c r="AB18">
        <f t="shared" si="5"/>
        <v>1</v>
      </c>
      <c r="AD18">
        <v>900</v>
      </c>
      <c r="AE18">
        <v>0.374</v>
      </c>
      <c r="AF18">
        <v>0.626</v>
      </c>
      <c r="AG18">
        <v>0</v>
      </c>
      <c r="AH18">
        <v>1</v>
      </c>
    </row>
    <row r="19" spans="2:34" x14ac:dyDescent="0.3">
      <c r="F19" s="28"/>
      <c r="G19">
        <v>11</v>
      </c>
      <c r="H19" s="109">
        <v>1184.7510231812703</v>
      </c>
      <c r="I19" s="109">
        <v>651102.71720568556</v>
      </c>
      <c r="J19">
        <v>0</v>
      </c>
      <c r="K19">
        <v>0</v>
      </c>
      <c r="L19">
        <v>0</v>
      </c>
      <c r="M19">
        <v>1</v>
      </c>
      <c r="N19" s="109">
        <v>549.56923814875233</v>
      </c>
      <c r="O19" s="109">
        <v>-4266058.2921191314</v>
      </c>
      <c r="P19">
        <v>1</v>
      </c>
      <c r="Q19">
        <v>0</v>
      </c>
      <c r="R19">
        <v>0</v>
      </c>
      <c r="S19">
        <v>0</v>
      </c>
      <c r="T19" s="109">
        <v>-3600.8057462267429</v>
      </c>
      <c r="V19" s="368">
        <f t="shared" si="0"/>
        <v>58586448.441857822</v>
      </c>
      <c r="W19" s="30">
        <f t="shared" si="1"/>
        <v>63503609.451182641</v>
      </c>
      <c r="X19" s="30"/>
      <c r="Y19">
        <f t="shared" si="2"/>
        <v>0</v>
      </c>
      <c r="Z19">
        <f t="shared" si="3"/>
        <v>1</v>
      </c>
      <c r="AA19">
        <f t="shared" si="4"/>
        <v>0</v>
      </c>
      <c r="AB19">
        <f t="shared" si="5"/>
        <v>1</v>
      </c>
      <c r="AD19">
        <v>1000</v>
      </c>
      <c r="AE19">
        <v>0.29299999999999998</v>
      </c>
      <c r="AF19">
        <v>0.70699999999999996</v>
      </c>
      <c r="AG19">
        <v>0</v>
      </c>
      <c r="AH19">
        <v>1</v>
      </c>
    </row>
    <row r="20" spans="2:34" x14ac:dyDescent="0.3">
      <c r="B20" s="23" t="s">
        <v>666</v>
      </c>
      <c r="F20" s="28"/>
      <c r="G20">
        <v>12</v>
      </c>
      <c r="H20" s="109">
        <v>1057.0878524597938</v>
      </c>
      <c r="I20" s="109">
        <v>1125149.0447327776</v>
      </c>
      <c r="J20">
        <v>0</v>
      </c>
      <c r="K20">
        <v>0</v>
      </c>
      <c r="L20">
        <v>0</v>
      </c>
      <c r="M20">
        <v>1</v>
      </c>
      <c r="N20" s="109">
        <v>1064.385558981317</v>
      </c>
      <c r="O20" s="109">
        <v>-2958910.9498929232</v>
      </c>
      <c r="P20">
        <v>1</v>
      </c>
      <c r="Q20">
        <v>0</v>
      </c>
      <c r="R20">
        <v>0</v>
      </c>
      <c r="S20">
        <v>0</v>
      </c>
      <c r="T20" s="109">
        <v>-2799.115459521814</v>
      </c>
      <c r="V20" s="368">
        <f t="shared" si="0"/>
        <v>51729243.578256913</v>
      </c>
      <c r="W20" s="30">
        <f t="shared" si="1"/>
        <v>55813303.572882615</v>
      </c>
      <c r="X20" s="30"/>
      <c r="Y20">
        <f t="shared" si="2"/>
        <v>0</v>
      </c>
      <c r="Z20">
        <f t="shared" si="3"/>
        <v>1</v>
      </c>
      <c r="AA20">
        <f t="shared" si="4"/>
        <v>0</v>
      </c>
      <c r="AB20">
        <f t="shared" si="5"/>
        <v>1</v>
      </c>
      <c r="AD20">
        <v>1500</v>
      </c>
      <c r="AE20">
        <v>7.0999999999999994E-2</v>
      </c>
      <c r="AF20">
        <v>0.92900000000000005</v>
      </c>
      <c r="AG20">
        <v>0</v>
      </c>
      <c r="AH20">
        <v>1</v>
      </c>
    </row>
    <row r="21" spans="2:34" x14ac:dyDescent="0.3">
      <c r="F21" s="28"/>
      <c r="G21">
        <v>13</v>
      </c>
      <c r="H21" s="109">
        <v>1003.08852272488</v>
      </c>
      <c r="I21" s="369">
        <v>1959545.3870908862</v>
      </c>
      <c r="J21">
        <v>0</v>
      </c>
      <c r="K21">
        <v>0</v>
      </c>
      <c r="L21">
        <v>0</v>
      </c>
      <c r="M21">
        <v>1</v>
      </c>
      <c r="N21" s="109">
        <v>1953.5119211291549</v>
      </c>
      <c r="O21" s="109">
        <v>-2013041.7350517225</v>
      </c>
      <c r="P21">
        <v>1</v>
      </c>
      <c r="Q21">
        <v>0</v>
      </c>
      <c r="R21">
        <v>0</v>
      </c>
      <c r="S21">
        <v>0</v>
      </c>
      <c r="T21" s="109">
        <v>-2006.8435531325936</v>
      </c>
      <c r="V21" s="368">
        <f t="shared" si="0"/>
        <v>48194880.749153115</v>
      </c>
      <c r="W21" s="30">
        <f t="shared" si="1"/>
        <v>52167467.87129572</v>
      </c>
      <c r="X21" s="30"/>
      <c r="Y21">
        <f t="shared" si="2"/>
        <v>0</v>
      </c>
      <c r="Z21">
        <f t="shared" si="3"/>
        <v>1</v>
      </c>
      <c r="AA21">
        <f t="shared" si="4"/>
        <v>0</v>
      </c>
      <c r="AB21">
        <f t="shared" si="5"/>
        <v>1</v>
      </c>
      <c r="AD21">
        <v>2000</v>
      </c>
      <c r="AE21">
        <v>1.2999999999999999E-2</v>
      </c>
      <c r="AF21">
        <v>0.98699999999999999</v>
      </c>
      <c r="AG21">
        <v>0</v>
      </c>
      <c r="AH21">
        <v>1</v>
      </c>
    </row>
    <row r="22" spans="2:34" x14ac:dyDescent="0.3">
      <c r="F22" s="28"/>
      <c r="G22">
        <v>14</v>
      </c>
      <c r="H22" s="109">
        <v>1308.8321850564826</v>
      </c>
      <c r="I22" s="370">
        <v>1419773.8818415718</v>
      </c>
      <c r="J22">
        <v>0</v>
      </c>
      <c r="K22">
        <v>0</v>
      </c>
      <c r="L22">
        <v>0</v>
      </c>
      <c r="M22">
        <v>1</v>
      </c>
      <c r="N22" s="109">
        <v>1084.7638819183694</v>
      </c>
      <c r="O22" s="109">
        <v>-3925518.4198141452</v>
      </c>
      <c r="P22">
        <v>1</v>
      </c>
      <c r="Q22">
        <v>0</v>
      </c>
      <c r="R22">
        <v>0</v>
      </c>
      <c r="S22">
        <v>0</v>
      </c>
      <c r="T22" s="109">
        <v>-2999.2526655697575</v>
      </c>
      <c r="V22" s="368">
        <f t="shared" si="0"/>
        <v>64021835.370982558</v>
      </c>
      <c r="W22" s="30">
        <f t="shared" si="1"/>
        <v>69367127.672638267</v>
      </c>
      <c r="X22" s="30"/>
      <c r="Y22">
        <f t="shared" si="2"/>
        <v>0</v>
      </c>
      <c r="Z22">
        <f t="shared" si="3"/>
        <v>1</v>
      </c>
      <c r="AA22">
        <f t="shared" si="4"/>
        <v>0</v>
      </c>
      <c r="AB22">
        <f t="shared" si="5"/>
        <v>1</v>
      </c>
      <c r="AD22">
        <v>2500</v>
      </c>
      <c r="AE22">
        <v>2E-3</v>
      </c>
      <c r="AF22">
        <v>0.998</v>
      </c>
      <c r="AG22">
        <v>0</v>
      </c>
      <c r="AH22">
        <v>1</v>
      </c>
    </row>
    <row r="23" spans="2:34" x14ac:dyDescent="0.3">
      <c r="F23" s="28"/>
      <c r="G23">
        <v>15</v>
      </c>
      <c r="H23" s="109">
        <v>1072.4175304042656</v>
      </c>
      <c r="I23" s="109">
        <v>1139077.6058685891</v>
      </c>
      <c r="J23">
        <v>0</v>
      </c>
      <c r="K23">
        <v>0</v>
      </c>
      <c r="L23">
        <v>0</v>
      </c>
      <c r="M23">
        <v>1</v>
      </c>
      <c r="N23" s="109">
        <v>1062.1586961928858</v>
      </c>
      <c r="O23" s="109">
        <v>-2933420.2726431787</v>
      </c>
      <c r="P23">
        <v>1</v>
      </c>
      <c r="Q23">
        <v>0</v>
      </c>
      <c r="R23">
        <v>0</v>
      </c>
      <c r="S23">
        <v>0</v>
      </c>
      <c r="T23" s="109">
        <v>-2735.334130110105</v>
      </c>
      <c r="V23" s="368">
        <f t="shared" si="0"/>
        <v>52481798.914344683</v>
      </c>
      <c r="W23" s="30">
        <f t="shared" si="1"/>
        <v>56554296.792856455</v>
      </c>
      <c r="X23" s="30"/>
      <c r="Y23">
        <f t="shared" si="2"/>
        <v>0</v>
      </c>
      <c r="Z23">
        <f t="shared" si="3"/>
        <v>1</v>
      </c>
      <c r="AA23">
        <f t="shared" si="4"/>
        <v>0</v>
      </c>
      <c r="AB23">
        <f t="shared" si="5"/>
        <v>1</v>
      </c>
      <c r="AD23">
        <v>3000</v>
      </c>
      <c r="AE23">
        <v>0</v>
      </c>
      <c r="AF23">
        <v>1</v>
      </c>
      <c r="AG23">
        <v>0</v>
      </c>
      <c r="AH23">
        <v>1</v>
      </c>
    </row>
    <row r="24" spans="2:34" x14ac:dyDescent="0.3">
      <c r="F24" s="28"/>
      <c r="G24">
        <v>16</v>
      </c>
      <c r="H24" s="109">
        <v>1363.90946464218</v>
      </c>
      <c r="I24" s="109">
        <v>1898574.5281631891</v>
      </c>
      <c r="J24">
        <v>0</v>
      </c>
      <c r="K24">
        <v>0</v>
      </c>
      <c r="L24">
        <v>0</v>
      </c>
      <c r="M24">
        <v>1</v>
      </c>
      <c r="N24" s="109">
        <v>1392.0092039696183</v>
      </c>
      <c r="O24" s="109">
        <v>-3465181.211190348</v>
      </c>
      <c r="P24">
        <v>1</v>
      </c>
      <c r="Q24">
        <v>0</v>
      </c>
      <c r="R24">
        <v>0</v>
      </c>
      <c r="S24">
        <v>0</v>
      </c>
      <c r="T24" s="109">
        <v>-2540.6240670816333</v>
      </c>
      <c r="V24" s="368">
        <f t="shared" si="0"/>
        <v>66296898.703945808</v>
      </c>
      <c r="W24" s="30">
        <f t="shared" si="1"/>
        <v>71660654.443299338</v>
      </c>
      <c r="X24" s="30"/>
      <c r="Y24">
        <f t="shared" si="2"/>
        <v>0</v>
      </c>
      <c r="Z24">
        <f t="shared" si="3"/>
        <v>1</v>
      </c>
      <c r="AA24">
        <f t="shared" si="4"/>
        <v>0</v>
      </c>
      <c r="AB24">
        <f t="shared" si="5"/>
        <v>1</v>
      </c>
      <c r="AD24">
        <v>3500</v>
      </c>
      <c r="AE24">
        <v>0</v>
      </c>
      <c r="AF24">
        <v>1</v>
      </c>
      <c r="AG24">
        <v>0</v>
      </c>
      <c r="AH24">
        <v>1</v>
      </c>
    </row>
    <row r="25" spans="2:34" x14ac:dyDescent="0.3">
      <c r="F25" s="28"/>
      <c r="G25">
        <v>17</v>
      </c>
      <c r="H25" s="109">
        <v>1124.1272478664832</v>
      </c>
      <c r="I25" s="109">
        <v>1504048.6361907278</v>
      </c>
      <c r="J25">
        <v>0</v>
      </c>
      <c r="K25">
        <v>0</v>
      </c>
      <c r="L25">
        <v>0</v>
      </c>
      <c r="M25">
        <v>1</v>
      </c>
      <c r="N25" s="109">
        <v>1337.9700910598062</v>
      </c>
      <c r="O25" s="109">
        <v>-3890347.3153193207</v>
      </c>
      <c r="P25">
        <v>1</v>
      </c>
      <c r="Q25">
        <v>0</v>
      </c>
      <c r="R25">
        <v>0</v>
      </c>
      <c r="S25">
        <v>0</v>
      </c>
      <c r="T25" s="109">
        <v>-3460.7712985366506</v>
      </c>
      <c r="V25" s="368">
        <f t="shared" si="0"/>
        <v>54702313.757133432</v>
      </c>
      <c r="W25" s="30">
        <f t="shared" si="1"/>
        <v>60096709.708643481</v>
      </c>
      <c r="X25" s="30"/>
      <c r="Y25">
        <f t="shared" si="2"/>
        <v>0</v>
      </c>
      <c r="Z25">
        <f t="shared" si="3"/>
        <v>1</v>
      </c>
      <c r="AA25">
        <f t="shared" si="4"/>
        <v>0</v>
      </c>
      <c r="AB25">
        <f t="shared" si="5"/>
        <v>1</v>
      </c>
      <c r="AD25">
        <v>4000</v>
      </c>
      <c r="AE25">
        <v>0</v>
      </c>
      <c r="AF25">
        <v>1</v>
      </c>
      <c r="AG25">
        <v>0</v>
      </c>
      <c r="AH25">
        <v>1</v>
      </c>
    </row>
    <row r="26" spans="2:34" x14ac:dyDescent="0.3">
      <c r="F26" s="28"/>
      <c r="G26">
        <v>18</v>
      </c>
      <c r="H26" s="109">
        <v>1104.7183613861635</v>
      </c>
      <c r="I26" s="370">
        <v>1158027.5066984484</v>
      </c>
      <c r="J26">
        <v>0</v>
      </c>
      <c r="K26">
        <v>0</v>
      </c>
      <c r="L26">
        <v>0</v>
      </c>
      <c r="M26">
        <v>1</v>
      </c>
      <c r="N26" s="109">
        <v>1048.2558697090853</v>
      </c>
      <c r="O26" s="109">
        <v>-3797126.6304322165</v>
      </c>
      <c r="P26">
        <v>1</v>
      </c>
      <c r="Q26">
        <v>0</v>
      </c>
      <c r="R26">
        <v>0</v>
      </c>
      <c r="S26">
        <v>0</v>
      </c>
      <c r="T26" s="109">
        <v>-3437.1897518456285</v>
      </c>
      <c r="V26" s="368">
        <f t="shared" si="0"/>
        <v>54077890.562609717</v>
      </c>
      <c r="W26" s="30">
        <f t="shared" si="1"/>
        <v>59033044.699740387</v>
      </c>
      <c r="X26" s="30"/>
      <c r="Y26">
        <f t="shared" si="2"/>
        <v>0</v>
      </c>
      <c r="Z26">
        <f t="shared" si="3"/>
        <v>1</v>
      </c>
      <c r="AA26">
        <f t="shared" si="4"/>
        <v>0</v>
      </c>
      <c r="AB26">
        <f t="shared" si="5"/>
        <v>1</v>
      </c>
      <c r="AD26">
        <v>4500</v>
      </c>
      <c r="AE26">
        <v>0</v>
      </c>
      <c r="AF26">
        <v>1</v>
      </c>
      <c r="AG26">
        <v>0</v>
      </c>
      <c r="AH26">
        <v>1</v>
      </c>
    </row>
    <row r="27" spans="2:34" x14ac:dyDescent="0.3">
      <c r="F27" s="28"/>
      <c r="G27">
        <v>19</v>
      </c>
      <c r="H27" s="109">
        <v>1379.0588361885748</v>
      </c>
      <c r="I27" s="370">
        <v>735330.35036606318</v>
      </c>
      <c r="J27">
        <v>0</v>
      </c>
      <c r="K27">
        <v>0</v>
      </c>
      <c r="L27">
        <v>0</v>
      </c>
      <c r="M27">
        <v>1</v>
      </c>
      <c r="N27" s="109">
        <v>533.21173184920804</v>
      </c>
      <c r="O27" s="109">
        <v>-5649531.617666007</v>
      </c>
      <c r="P27">
        <v>1</v>
      </c>
      <c r="Q27">
        <v>0</v>
      </c>
      <c r="R27">
        <v>0</v>
      </c>
      <c r="S27">
        <v>0</v>
      </c>
      <c r="T27" s="109">
        <v>-4096.6574227391993</v>
      </c>
      <c r="V27" s="368">
        <f t="shared" si="0"/>
        <v>68217611.459062681</v>
      </c>
      <c r="W27" s="30">
        <f t="shared" si="1"/>
        <v>74602473.427094743</v>
      </c>
      <c r="X27" s="30"/>
      <c r="Y27">
        <f t="shared" si="2"/>
        <v>0</v>
      </c>
      <c r="Z27">
        <f t="shared" si="3"/>
        <v>1</v>
      </c>
      <c r="AA27">
        <f t="shared" si="4"/>
        <v>0</v>
      </c>
      <c r="AB27">
        <f t="shared" si="5"/>
        <v>1</v>
      </c>
      <c r="AD27">
        <v>5000</v>
      </c>
      <c r="AE27">
        <v>0</v>
      </c>
      <c r="AF27">
        <v>1</v>
      </c>
      <c r="AG27">
        <v>0</v>
      </c>
      <c r="AH27">
        <v>1</v>
      </c>
    </row>
    <row r="28" spans="2:34" x14ac:dyDescent="0.3">
      <c r="F28" s="28"/>
      <c r="G28">
        <v>20</v>
      </c>
      <c r="H28" s="109">
        <v>1059.1867989903549</v>
      </c>
      <c r="I28" s="370">
        <v>1597340.5755680325</v>
      </c>
      <c r="J28">
        <v>0</v>
      </c>
      <c r="K28">
        <v>0</v>
      </c>
      <c r="L28">
        <v>0</v>
      </c>
      <c r="M28">
        <v>1</v>
      </c>
      <c r="N28" s="109">
        <v>1508.0820277317091</v>
      </c>
      <c r="O28" s="109">
        <v>-3174939.7795703979</v>
      </c>
      <c r="P28">
        <v>1</v>
      </c>
      <c r="Q28">
        <v>0</v>
      </c>
      <c r="R28">
        <v>0</v>
      </c>
      <c r="S28">
        <v>0</v>
      </c>
      <c r="T28" s="109">
        <v>-2997.5258213157822</v>
      </c>
      <c r="V28" s="368">
        <f t="shared" si="0"/>
        <v>51361999.373949707</v>
      </c>
      <c r="W28" s="30">
        <f t="shared" si="1"/>
        <v>56134279.729088143</v>
      </c>
      <c r="X28" s="30"/>
      <c r="Y28">
        <f t="shared" si="2"/>
        <v>0</v>
      </c>
      <c r="Z28">
        <f t="shared" si="3"/>
        <v>1</v>
      </c>
      <c r="AA28">
        <f t="shared" si="4"/>
        <v>0</v>
      </c>
      <c r="AB28">
        <f t="shared" si="5"/>
        <v>1</v>
      </c>
      <c r="AD28">
        <v>5500</v>
      </c>
      <c r="AE28">
        <v>0</v>
      </c>
      <c r="AF28">
        <v>1</v>
      </c>
      <c r="AG28">
        <v>0</v>
      </c>
      <c r="AH28">
        <v>1</v>
      </c>
    </row>
    <row r="29" spans="2:34" x14ac:dyDescent="0.3">
      <c r="F29" s="28"/>
      <c r="G29">
        <v>21</v>
      </c>
      <c r="H29" s="109">
        <v>1155.3708435586523</v>
      </c>
      <c r="I29" s="370">
        <v>617355.89772371377</v>
      </c>
      <c r="J29">
        <v>0</v>
      </c>
      <c r="K29">
        <v>0</v>
      </c>
      <c r="L29">
        <v>0</v>
      </c>
      <c r="M29">
        <v>1</v>
      </c>
      <c r="N29" s="109">
        <v>534.33570802444592</v>
      </c>
      <c r="O29" s="109">
        <v>-3655983.5202352987</v>
      </c>
      <c r="P29">
        <v>1</v>
      </c>
      <c r="Q29">
        <v>0</v>
      </c>
      <c r="R29">
        <v>0</v>
      </c>
      <c r="S29">
        <v>0</v>
      </c>
      <c r="T29" s="109">
        <v>-3164.337702148101</v>
      </c>
      <c r="V29" s="368">
        <f t="shared" si="0"/>
        <v>57151186.280208901</v>
      </c>
      <c r="W29" s="30">
        <f t="shared" si="1"/>
        <v>61424525.698167913</v>
      </c>
      <c r="X29" s="30"/>
      <c r="Y29">
        <f t="shared" si="2"/>
        <v>0</v>
      </c>
      <c r="Z29">
        <f t="shared" si="3"/>
        <v>1</v>
      </c>
      <c r="AA29">
        <f t="shared" si="4"/>
        <v>0</v>
      </c>
      <c r="AB29">
        <f t="shared" si="5"/>
        <v>1</v>
      </c>
      <c r="AD29">
        <v>6000</v>
      </c>
      <c r="AE29">
        <v>0</v>
      </c>
      <c r="AF29">
        <v>1</v>
      </c>
      <c r="AG29">
        <v>0</v>
      </c>
      <c r="AH29">
        <v>1</v>
      </c>
    </row>
    <row r="30" spans="2:34" x14ac:dyDescent="0.3">
      <c r="F30" s="28"/>
      <c r="G30">
        <v>22</v>
      </c>
      <c r="H30" s="109">
        <v>1152.797623702405</v>
      </c>
      <c r="I30" s="370">
        <v>1316147.477970216</v>
      </c>
      <c r="J30">
        <v>0</v>
      </c>
      <c r="K30">
        <v>0</v>
      </c>
      <c r="L30">
        <v>0</v>
      </c>
      <c r="M30">
        <v>1</v>
      </c>
      <c r="N30" s="109">
        <v>1141.6986389538047</v>
      </c>
      <c r="O30" s="109">
        <v>-3956394.9248203319</v>
      </c>
      <c r="P30">
        <v>1</v>
      </c>
      <c r="Q30">
        <v>0</v>
      </c>
      <c r="R30">
        <v>0</v>
      </c>
      <c r="S30">
        <v>0</v>
      </c>
      <c r="T30" s="109">
        <v>-3431.994344431158</v>
      </c>
      <c r="V30" s="368">
        <f t="shared" si="0"/>
        <v>56323733.707150035</v>
      </c>
      <c r="W30" s="30">
        <f t="shared" si="1"/>
        <v>61596276.109940581</v>
      </c>
      <c r="X30" s="30"/>
      <c r="Y30">
        <f t="shared" si="2"/>
        <v>0</v>
      </c>
      <c r="Z30">
        <f t="shared" si="3"/>
        <v>1</v>
      </c>
      <c r="AA30">
        <f t="shared" si="4"/>
        <v>0</v>
      </c>
      <c r="AB30">
        <f t="shared" si="5"/>
        <v>1</v>
      </c>
      <c r="AD30">
        <v>6500</v>
      </c>
      <c r="AE30">
        <v>0</v>
      </c>
      <c r="AF30">
        <v>1</v>
      </c>
      <c r="AG30">
        <v>0</v>
      </c>
      <c r="AH30">
        <v>1</v>
      </c>
    </row>
    <row r="31" spans="2:34" x14ac:dyDescent="0.3">
      <c r="F31" s="28"/>
      <c r="G31">
        <v>23</v>
      </c>
      <c r="H31" s="109">
        <v>1089.8550371464662</v>
      </c>
      <c r="I31" s="370">
        <v>1002426.2173546719</v>
      </c>
      <c r="J31">
        <v>0</v>
      </c>
      <c r="K31">
        <v>0</v>
      </c>
      <c r="L31">
        <v>0</v>
      </c>
      <c r="M31">
        <v>1</v>
      </c>
      <c r="N31" s="109">
        <v>919.77940477230209</v>
      </c>
      <c r="O31" s="109">
        <v>-3432046.0798876095</v>
      </c>
      <c r="P31">
        <v>1</v>
      </c>
      <c r="Q31">
        <v>0</v>
      </c>
      <c r="R31">
        <v>0</v>
      </c>
      <c r="S31">
        <v>0</v>
      </c>
      <c r="T31" s="109">
        <v>-3149.0849359871104</v>
      </c>
      <c r="V31" s="368">
        <f t="shared" si="0"/>
        <v>53490325.639968641</v>
      </c>
      <c r="W31" s="30">
        <f t="shared" si="1"/>
        <v>57924797.937210917</v>
      </c>
      <c r="X31" s="30"/>
      <c r="Y31">
        <f t="shared" si="2"/>
        <v>0</v>
      </c>
      <c r="Z31">
        <f t="shared" si="3"/>
        <v>1</v>
      </c>
      <c r="AA31">
        <f t="shared" si="4"/>
        <v>0</v>
      </c>
      <c r="AB31">
        <f t="shared" si="5"/>
        <v>1</v>
      </c>
      <c r="AD31">
        <v>7000</v>
      </c>
      <c r="AE31">
        <v>0</v>
      </c>
      <c r="AF31">
        <v>1</v>
      </c>
      <c r="AG31">
        <v>0</v>
      </c>
      <c r="AH31">
        <v>1</v>
      </c>
    </row>
    <row r="32" spans="2:34" x14ac:dyDescent="0.3">
      <c r="F32" s="28"/>
      <c r="G32">
        <v>24</v>
      </c>
      <c r="H32" s="109">
        <v>1214.1264901344548</v>
      </c>
      <c r="I32" s="370">
        <v>1381937.3150673849</v>
      </c>
      <c r="J32">
        <v>0</v>
      </c>
      <c r="K32">
        <v>0</v>
      </c>
      <c r="L32">
        <v>0</v>
      </c>
      <c r="M32">
        <v>1</v>
      </c>
      <c r="N32" s="109">
        <v>1138.2152735291579</v>
      </c>
      <c r="O32" s="109">
        <v>-3589360.0877222661</v>
      </c>
      <c r="P32">
        <v>1</v>
      </c>
      <c r="Q32">
        <v>0</v>
      </c>
      <c r="R32">
        <v>0</v>
      </c>
      <c r="S32">
        <v>0</v>
      </c>
      <c r="T32" s="109">
        <v>-2956.3312528703441</v>
      </c>
      <c r="V32" s="368">
        <f t="shared" si="0"/>
        <v>59324387.191655353</v>
      </c>
      <c r="W32" s="30">
        <f t="shared" si="1"/>
        <v>64295684.594445005</v>
      </c>
      <c r="X32" s="30"/>
      <c r="Y32">
        <f t="shared" si="2"/>
        <v>0</v>
      </c>
      <c r="Z32">
        <f t="shared" si="3"/>
        <v>1</v>
      </c>
      <c r="AA32">
        <f t="shared" si="4"/>
        <v>0</v>
      </c>
      <c r="AB32">
        <f t="shared" si="5"/>
        <v>1</v>
      </c>
      <c r="AD32">
        <v>7500</v>
      </c>
      <c r="AE32">
        <v>0</v>
      </c>
      <c r="AF32">
        <v>1</v>
      </c>
      <c r="AG32">
        <v>0</v>
      </c>
      <c r="AH32">
        <v>1</v>
      </c>
    </row>
    <row r="33" spans="2:34" x14ac:dyDescent="0.3">
      <c r="F33" s="28"/>
      <c r="G33">
        <v>25</v>
      </c>
      <c r="H33" s="109">
        <v>1310.8414801018953</v>
      </c>
      <c r="I33" s="370">
        <v>1332180.8268427239</v>
      </c>
      <c r="J33">
        <v>0</v>
      </c>
      <c r="K33">
        <v>0</v>
      </c>
      <c r="L33">
        <v>0</v>
      </c>
      <c r="M33">
        <v>1</v>
      </c>
      <c r="N33" s="109">
        <v>1016.2791207516334</v>
      </c>
      <c r="O33" s="109">
        <v>-3636390.2873187205</v>
      </c>
      <c r="P33">
        <v>1</v>
      </c>
      <c r="Q33">
        <v>0</v>
      </c>
      <c r="R33">
        <v>0</v>
      </c>
      <c r="S33">
        <v>0</v>
      </c>
      <c r="T33" s="109">
        <v>-2774.0885091888103</v>
      </c>
      <c r="V33" s="368">
        <f t="shared" si="0"/>
        <v>64209893.178252041</v>
      </c>
      <c r="W33" s="30">
        <f t="shared" si="1"/>
        <v>69178464.292413488</v>
      </c>
      <c r="X33" s="30"/>
      <c r="Y33">
        <f t="shared" si="2"/>
        <v>0</v>
      </c>
      <c r="Z33">
        <f t="shared" si="3"/>
        <v>1</v>
      </c>
      <c r="AA33">
        <f t="shared" si="4"/>
        <v>0</v>
      </c>
      <c r="AB33">
        <f t="shared" si="5"/>
        <v>1</v>
      </c>
      <c r="AD33">
        <v>8000</v>
      </c>
      <c r="AE33">
        <v>0</v>
      </c>
      <c r="AF33">
        <v>1</v>
      </c>
      <c r="AG33">
        <v>0</v>
      </c>
      <c r="AH33">
        <v>1</v>
      </c>
    </row>
    <row r="34" spans="2:34" x14ac:dyDescent="0.3">
      <c r="F34" s="28"/>
      <c r="G34">
        <v>26</v>
      </c>
      <c r="H34" s="109">
        <v>1062.6970388316186</v>
      </c>
      <c r="I34" s="370">
        <v>1025819.3067012614</v>
      </c>
      <c r="J34">
        <v>0</v>
      </c>
      <c r="K34">
        <v>0</v>
      </c>
      <c r="L34">
        <v>0</v>
      </c>
      <c r="M34">
        <v>1</v>
      </c>
      <c r="N34" s="109">
        <v>965.29798166097999</v>
      </c>
      <c r="O34" s="109">
        <v>-3261026.9807782858</v>
      </c>
      <c r="P34">
        <v>1</v>
      </c>
      <c r="Q34">
        <v>0</v>
      </c>
      <c r="R34">
        <v>0</v>
      </c>
      <c r="S34">
        <v>0</v>
      </c>
      <c r="T34" s="109">
        <v>-3068.632791490244</v>
      </c>
      <c r="V34" s="368">
        <f t="shared" si="0"/>
        <v>52109032.634879671</v>
      </c>
      <c r="W34" s="30">
        <f t="shared" si="1"/>
        <v>56395878.922359213</v>
      </c>
      <c r="X34" s="30"/>
      <c r="Y34">
        <f t="shared" si="2"/>
        <v>0</v>
      </c>
      <c r="Z34">
        <f t="shared" si="3"/>
        <v>1</v>
      </c>
      <c r="AA34">
        <f t="shared" si="4"/>
        <v>0</v>
      </c>
      <c r="AB34">
        <f t="shared" si="5"/>
        <v>1</v>
      </c>
      <c r="AD34">
        <v>8500</v>
      </c>
      <c r="AE34">
        <v>0</v>
      </c>
      <c r="AF34">
        <v>1</v>
      </c>
      <c r="AG34">
        <v>0</v>
      </c>
      <c r="AH34">
        <v>1</v>
      </c>
    </row>
    <row r="35" spans="2:34" x14ac:dyDescent="0.3">
      <c r="F35" s="28"/>
      <c r="G35">
        <v>27</v>
      </c>
      <c r="H35" s="109">
        <v>1149.7023140654273</v>
      </c>
      <c r="I35" s="370">
        <v>1049630.3507780402</v>
      </c>
      <c r="J35">
        <v>0</v>
      </c>
      <c r="K35">
        <v>0</v>
      </c>
      <c r="L35">
        <v>0</v>
      </c>
      <c r="M35">
        <v>1</v>
      </c>
      <c r="N35" s="109">
        <v>912.95837012493632</v>
      </c>
      <c r="O35" s="109">
        <v>-3634334.190517108</v>
      </c>
      <c r="P35" s="365">
        <v>1</v>
      </c>
      <c r="Q35" s="365">
        <v>0</v>
      </c>
      <c r="R35" s="365">
        <v>0</v>
      </c>
      <c r="S35" s="365">
        <v>0</v>
      </c>
      <c r="T35" s="109">
        <v>-3161.108876667256</v>
      </c>
      <c r="V35" s="368">
        <f t="shared" si="0"/>
        <v>56435485.352493323</v>
      </c>
      <c r="W35" s="30">
        <f t="shared" si="1"/>
        <v>61119449.893788472</v>
      </c>
      <c r="X35" s="30"/>
      <c r="Y35">
        <f t="shared" si="2"/>
        <v>0</v>
      </c>
      <c r="Z35">
        <f t="shared" si="3"/>
        <v>1</v>
      </c>
      <c r="AA35">
        <f t="shared" si="4"/>
        <v>0</v>
      </c>
      <c r="AB35">
        <f t="shared" si="5"/>
        <v>1</v>
      </c>
      <c r="AD35">
        <v>9000</v>
      </c>
      <c r="AE35">
        <v>0</v>
      </c>
      <c r="AF35">
        <v>1</v>
      </c>
      <c r="AG35">
        <v>0</v>
      </c>
      <c r="AH35">
        <v>1</v>
      </c>
    </row>
    <row r="36" spans="2:34" x14ac:dyDescent="0.3">
      <c r="F36" s="28"/>
      <c r="G36">
        <v>28</v>
      </c>
      <c r="H36" s="109">
        <v>1134.8634373898676</v>
      </c>
      <c r="I36" s="370">
        <v>482838.18448562827</v>
      </c>
      <c r="J36">
        <v>0</v>
      </c>
      <c r="K36">
        <v>0</v>
      </c>
      <c r="L36">
        <v>0</v>
      </c>
      <c r="M36">
        <v>1</v>
      </c>
      <c r="N36" s="109">
        <v>425.45928309765037</v>
      </c>
      <c r="O36" s="109">
        <v>-4153006.8958019065</v>
      </c>
      <c r="P36" s="365">
        <v>1</v>
      </c>
      <c r="Q36" s="365">
        <v>0</v>
      </c>
      <c r="R36" s="365">
        <v>0</v>
      </c>
      <c r="S36" s="365">
        <v>0</v>
      </c>
      <c r="T36" s="109">
        <v>-3659.4772189979321</v>
      </c>
      <c r="V36" s="368">
        <f t="shared" si="0"/>
        <v>56260333.685007751</v>
      </c>
      <c r="W36" s="30">
        <f t="shared" si="1"/>
        <v>60896178.765295289</v>
      </c>
      <c r="X36" s="30"/>
      <c r="Y36">
        <f t="shared" si="2"/>
        <v>0</v>
      </c>
      <c r="Z36">
        <f t="shared" si="3"/>
        <v>1</v>
      </c>
      <c r="AA36">
        <f t="shared" si="4"/>
        <v>0</v>
      </c>
      <c r="AB36">
        <f t="shared" si="5"/>
        <v>1</v>
      </c>
      <c r="AD36">
        <v>9500</v>
      </c>
      <c r="AE36">
        <v>0</v>
      </c>
      <c r="AF36">
        <v>1</v>
      </c>
      <c r="AG36">
        <v>0</v>
      </c>
      <c r="AH36">
        <v>1</v>
      </c>
    </row>
    <row r="37" spans="2:34" x14ac:dyDescent="0.3">
      <c r="F37" s="28"/>
      <c r="G37">
        <v>29</v>
      </c>
      <c r="H37" s="109">
        <v>1000.857236993259</v>
      </c>
      <c r="I37" s="370">
        <v>1103161.8155157843</v>
      </c>
      <c r="J37">
        <v>0</v>
      </c>
      <c r="K37">
        <v>0</v>
      </c>
      <c r="L37">
        <v>0</v>
      </c>
      <c r="M37">
        <v>1</v>
      </c>
      <c r="N37" s="109">
        <v>1102.2169543679029</v>
      </c>
      <c r="O37" s="109">
        <v>-3421026.9300510315</v>
      </c>
      <c r="P37" s="365">
        <v>1</v>
      </c>
      <c r="Q37" s="365">
        <v>0</v>
      </c>
      <c r="R37" s="365">
        <v>0</v>
      </c>
      <c r="S37" s="365">
        <v>0</v>
      </c>
      <c r="T37" s="109">
        <v>-3418.0968110180861</v>
      </c>
      <c r="V37" s="368">
        <f t="shared" si="0"/>
        <v>48939700.034147166</v>
      </c>
      <c r="W37" s="30">
        <f t="shared" si="1"/>
        <v>53463888.779713981</v>
      </c>
      <c r="X37" s="30"/>
      <c r="Y37">
        <f t="shared" si="2"/>
        <v>0</v>
      </c>
      <c r="Z37">
        <f t="shared" si="3"/>
        <v>1</v>
      </c>
      <c r="AA37">
        <f t="shared" si="4"/>
        <v>0</v>
      </c>
      <c r="AB37">
        <f t="shared" si="5"/>
        <v>1</v>
      </c>
      <c r="AD37">
        <v>10000</v>
      </c>
      <c r="AE37">
        <v>0</v>
      </c>
      <c r="AF37">
        <v>1</v>
      </c>
      <c r="AG37">
        <v>0</v>
      </c>
      <c r="AH37">
        <v>1</v>
      </c>
    </row>
    <row r="38" spans="2:34" x14ac:dyDescent="0.3">
      <c r="F38" s="28"/>
      <c r="G38">
        <v>30</v>
      </c>
      <c r="H38" s="109">
        <v>1105.4740916863884</v>
      </c>
      <c r="I38" s="370">
        <v>549044.01245548634</v>
      </c>
      <c r="J38">
        <v>0</v>
      </c>
      <c r="K38">
        <v>0</v>
      </c>
      <c r="L38">
        <v>0</v>
      </c>
      <c r="M38">
        <v>1</v>
      </c>
      <c r="N38" s="109">
        <v>496.65932162908115</v>
      </c>
      <c r="O38" s="109">
        <v>-3310376.0234623593</v>
      </c>
      <c r="P38" s="365">
        <v>1</v>
      </c>
      <c r="Q38" s="365">
        <v>0</v>
      </c>
      <c r="R38" s="365">
        <v>0</v>
      </c>
      <c r="S38" s="365">
        <v>0</v>
      </c>
      <c r="T38" s="109">
        <v>-2994.5306256905737</v>
      </c>
      <c r="V38" s="368">
        <f t="shared" si="0"/>
        <v>54724660.571863934</v>
      </c>
      <c r="W38" s="30">
        <f t="shared" si="1"/>
        <v>58584080.607781783</v>
      </c>
      <c r="X38" s="30"/>
      <c r="Y38">
        <f t="shared" si="2"/>
        <v>0</v>
      </c>
      <c r="Z38">
        <f t="shared" si="3"/>
        <v>1</v>
      </c>
      <c r="AA38">
        <f t="shared" si="4"/>
        <v>0</v>
      </c>
      <c r="AB38">
        <f t="shared" si="5"/>
        <v>1</v>
      </c>
      <c r="AD38">
        <v>10500</v>
      </c>
      <c r="AE38">
        <v>0</v>
      </c>
      <c r="AF38">
        <v>1</v>
      </c>
      <c r="AG38">
        <v>0</v>
      </c>
      <c r="AH38">
        <v>1</v>
      </c>
    </row>
    <row r="39" spans="2:34" x14ac:dyDescent="0.3">
      <c r="F39" s="28"/>
      <c r="G39">
        <v>31</v>
      </c>
      <c r="H39" s="109">
        <v>1137.2825361662181</v>
      </c>
      <c r="I39" s="370">
        <v>1856659.1564243371</v>
      </c>
      <c r="J39">
        <v>0</v>
      </c>
      <c r="K39">
        <v>0</v>
      </c>
      <c r="L39">
        <v>0</v>
      </c>
      <c r="M39">
        <v>1</v>
      </c>
      <c r="N39" s="109">
        <v>1632.539933905201</v>
      </c>
      <c r="O39" s="109">
        <v>-2827770.0666738609</v>
      </c>
      <c r="P39" s="365">
        <v>1</v>
      </c>
      <c r="Q39" s="365">
        <v>0</v>
      </c>
      <c r="R39" s="365">
        <v>0</v>
      </c>
      <c r="S39" s="365">
        <v>0</v>
      </c>
      <c r="T39" s="109">
        <v>-2486.4270546229259</v>
      </c>
      <c r="V39" s="368">
        <f t="shared" si="0"/>
        <v>55007467.651886567</v>
      </c>
      <c r="W39" s="30">
        <f t="shared" si="1"/>
        <v>59691896.874984764</v>
      </c>
      <c r="X39" s="30"/>
      <c r="Y39">
        <f t="shared" si="2"/>
        <v>0</v>
      </c>
      <c r="Z39">
        <f t="shared" si="3"/>
        <v>1</v>
      </c>
      <c r="AA39">
        <f t="shared" si="4"/>
        <v>0</v>
      </c>
      <c r="AB39">
        <f t="shared" si="5"/>
        <v>1</v>
      </c>
      <c r="AD39">
        <v>11000</v>
      </c>
      <c r="AE39">
        <v>0</v>
      </c>
      <c r="AF39">
        <v>1</v>
      </c>
      <c r="AG39">
        <v>0</v>
      </c>
      <c r="AH39">
        <v>1</v>
      </c>
    </row>
    <row r="40" spans="2:34" x14ac:dyDescent="0.3">
      <c r="F40" s="28"/>
      <c r="G40">
        <v>32</v>
      </c>
      <c r="H40" s="109">
        <v>1076.2399670847008</v>
      </c>
      <c r="I40" s="370">
        <v>338213.46767720167</v>
      </c>
      <c r="J40">
        <v>0</v>
      </c>
      <c r="K40">
        <v>0</v>
      </c>
      <c r="L40">
        <v>0</v>
      </c>
      <c r="M40">
        <v>1</v>
      </c>
      <c r="N40" s="109">
        <v>314.25469971473757</v>
      </c>
      <c r="O40" s="109">
        <v>-3535814.7066627326</v>
      </c>
      <c r="P40" s="365">
        <v>1</v>
      </c>
      <c r="Q40" s="365">
        <v>0</v>
      </c>
      <c r="R40" s="365">
        <v>0</v>
      </c>
      <c r="S40" s="365">
        <v>0</v>
      </c>
      <c r="T40" s="109">
        <v>-3285.3404582627454</v>
      </c>
      <c r="V40" s="368">
        <f t="shared" si="0"/>
        <v>53473784.88655784</v>
      </c>
      <c r="W40" s="30">
        <f t="shared" si="1"/>
        <v>57347813.060897768</v>
      </c>
      <c r="X40" s="30"/>
      <c r="Y40">
        <f t="shared" si="2"/>
        <v>0</v>
      </c>
      <c r="Z40">
        <f t="shared" si="3"/>
        <v>1</v>
      </c>
      <c r="AA40">
        <f t="shared" si="4"/>
        <v>0</v>
      </c>
      <c r="AB40">
        <f t="shared" si="5"/>
        <v>1</v>
      </c>
      <c r="AD40">
        <v>11500</v>
      </c>
      <c r="AE40">
        <v>0</v>
      </c>
      <c r="AF40">
        <v>1</v>
      </c>
      <c r="AG40">
        <v>0</v>
      </c>
      <c r="AH40">
        <v>1</v>
      </c>
    </row>
    <row r="41" spans="2:34" x14ac:dyDescent="0.3">
      <c r="F41" s="28"/>
      <c r="G41">
        <v>33</v>
      </c>
      <c r="H41" s="109">
        <v>966.3870011621766</v>
      </c>
      <c r="I41" s="370">
        <v>578449.91737415723</v>
      </c>
      <c r="J41">
        <v>0</v>
      </c>
      <c r="K41">
        <v>0</v>
      </c>
      <c r="L41">
        <v>0</v>
      </c>
      <c r="M41">
        <v>1</v>
      </c>
      <c r="N41" s="109">
        <v>598.56963791784619</v>
      </c>
      <c r="O41" s="109">
        <v>-2614313.3809847543</v>
      </c>
      <c r="P41" s="365">
        <v>1</v>
      </c>
      <c r="Q41" s="365">
        <v>0</v>
      </c>
      <c r="R41" s="365">
        <v>0</v>
      </c>
      <c r="S41" s="365">
        <v>0</v>
      </c>
      <c r="T41" s="109">
        <v>-2705.2447703050457</v>
      </c>
      <c r="V41" s="368">
        <f t="shared" si="0"/>
        <v>47740900.140734673</v>
      </c>
      <c r="W41" s="30">
        <f t="shared" si="1"/>
        <v>50933663.439093582</v>
      </c>
      <c r="X41" s="30"/>
      <c r="Y41">
        <f t="shared" si="2"/>
        <v>0</v>
      </c>
      <c r="Z41">
        <f t="shared" si="3"/>
        <v>1</v>
      </c>
      <c r="AA41">
        <f t="shared" si="4"/>
        <v>0</v>
      </c>
      <c r="AB41">
        <f t="shared" si="5"/>
        <v>1</v>
      </c>
      <c r="AD41">
        <v>12000</v>
      </c>
      <c r="AE41">
        <v>0</v>
      </c>
      <c r="AF41">
        <v>1</v>
      </c>
      <c r="AG41">
        <v>0</v>
      </c>
      <c r="AH41">
        <v>1</v>
      </c>
    </row>
    <row r="42" spans="2:34" x14ac:dyDescent="0.3">
      <c r="F42" s="28"/>
      <c r="G42">
        <v>34</v>
      </c>
      <c r="H42" s="109">
        <v>1208.2244742172479</v>
      </c>
      <c r="I42" s="370">
        <v>1597115.6072862493</v>
      </c>
      <c r="J42">
        <v>0</v>
      </c>
      <c r="K42">
        <v>0</v>
      </c>
      <c r="L42">
        <v>0</v>
      </c>
      <c r="M42">
        <v>1</v>
      </c>
      <c r="N42" s="109">
        <v>1321.8699350722436</v>
      </c>
      <c r="O42" s="109">
        <v>-3605984.3418236994</v>
      </c>
      <c r="P42" s="365">
        <v>1</v>
      </c>
      <c r="Q42" s="365">
        <v>0</v>
      </c>
      <c r="R42" s="365">
        <v>0</v>
      </c>
      <c r="S42" s="365">
        <v>0</v>
      </c>
      <c r="T42" s="109">
        <v>-2984.531780950595</v>
      </c>
      <c r="V42" s="368">
        <f t="shared" si="0"/>
        <v>58814108.103576146</v>
      </c>
      <c r="W42" s="30">
        <f t="shared" si="1"/>
        <v>64017208.052686095</v>
      </c>
      <c r="X42" s="30"/>
      <c r="Y42">
        <f t="shared" si="2"/>
        <v>0</v>
      </c>
      <c r="Z42">
        <f t="shared" si="3"/>
        <v>1</v>
      </c>
      <c r="AA42">
        <f t="shared" si="4"/>
        <v>0</v>
      </c>
      <c r="AB42">
        <f t="shared" si="5"/>
        <v>1</v>
      </c>
      <c r="AD42">
        <v>12500</v>
      </c>
      <c r="AE42">
        <v>0</v>
      </c>
      <c r="AF42">
        <v>1</v>
      </c>
      <c r="AG42">
        <v>0</v>
      </c>
      <c r="AH42">
        <v>1</v>
      </c>
    </row>
    <row r="43" spans="2:34" x14ac:dyDescent="0.3">
      <c r="F43" s="28"/>
      <c r="G43">
        <v>35</v>
      </c>
      <c r="H43" s="109">
        <v>1284.3931501732586</v>
      </c>
      <c r="I43" s="370">
        <v>972216.81192863011</v>
      </c>
      <c r="J43">
        <v>0</v>
      </c>
      <c r="K43">
        <v>0</v>
      </c>
      <c r="L43">
        <v>0</v>
      </c>
      <c r="M43">
        <v>1</v>
      </c>
      <c r="N43" s="109">
        <v>756.94643170393942</v>
      </c>
      <c r="O43" s="109">
        <v>-4124151.9915971141</v>
      </c>
      <c r="P43" s="365">
        <v>1</v>
      </c>
      <c r="Q43" s="365">
        <v>0</v>
      </c>
      <c r="R43" s="365">
        <v>0</v>
      </c>
      <c r="S43" s="365">
        <v>0</v>
      </c>
      <c r="T43" s="109">
        <v>-3210.9732063276615</v>
      </c>
      <c r="V43" s="368">
        <f t="shared" si="0"/>
        <v>63247440.696734302</v>
      </c>
      <c r="W43" s="30">
        <f t="shared" si="1"/>
        <v>68343809.50026004</v>
      </c>
      <c r="X43" s="30"/>
      <c r="Y43">
        <f t="shared" si="2"/>
        <v>0</v>
      </c>
      <c r="Z43">
        <f t="shared" si="3"/>
        <v>1</v>
      </c>
      <c r="AA43">
        <f t="shared" si="4"/>
        <v>0</v>
      </c>
      <c r="AB43">
        <f t="shared" si="5"/>
        <v>1</v>
      </c>
      <c r="AD43">
        <v>13000</v>
      </c>
      <c r="AE43">
        <v>0</v>
      </c>
      <c r="AF43">
        <v>1</v>
      </c>
      <c r="AG43">
        <v>0</v>
      </c>
      <c r="AH43">
        <v>1</v>
      </c>
    </row>
    <row r="44" spans="2:34" x14ac:dyDescent="0.3">
      <c r="F44" s="28"/>
      <c r="G44">
        <v>36</v>
      </c>
      <c r="H44" s="109">
        <v>1179.8822726443686</v>
      </c>
      <c r="I44" s="370">
        <v>1233079.9977128846</v>
      </c>
      <c r="J44">
        <v>0</v>
      </c>
      <c r="K44">
        <v>0</v>
      </c>
      <c r="L44">
        <v>0</v>
      </c>
      <c r="M44">
        <v>1</v>
      </c>
      <c r="N44" s="109">
        <v>1045.0873161686618</v>
      </c>
      <c r="O44" s="109">
        <v>-4256295.1240184363</v>
      </c>
      <c r="P44" s="365">
        <v>1</v>
      </c>
      <c r="Q44" s="365">
        <v>0</v>
      </c>
      <c r="R44" s="365">
        <v>0</v>
      </c>
      <c r="S44" s="365">
        <v>0</v>
      </c>
      <c r="T44" s="109">
        <v>-3607.3896715806809</v>
      </c>
      <c r="V44" s="368">
        <f t="shared" si="0"/>
        <v>57761033.634505548</v>
      </c>
      <c r="W44" s="30">
        <f t="shared" si="1"/>
        <v>63250408.756236874</v>
      </c>
      <c r="X44" s="30"/>
      <c r="Y44">
        <f t="shared" si="2"/>
        <v>0</v>
      </c>
      <c r="Z44">
        <f t="shared" si="3"/>
        <v>1</v>
      </c>
      <c r="AA44">
        <f t="shared" si="4"/>
        <v>0</v>
      </c>
      <c r="AB44">
        <f t="shared" si="5"/>
        <v>1</v>
      </c>
      <c r="AD44">
        <v>13500</v>
      </c>
      <c r="AE44">
        <v>0</v>
      </c>
      <c r="AF44">
        <v>1</v>
      </c>
      <c r="AG44">
        <v>0</v>
      </c>
      <c r="AH44">
        <v>1</v>
      </c>
    </row>
    <row r="45" spans="2:34" x14ac:dyDescent="0.3">
      <c r="B45" s="23"/>
      <c r="F45" s="28"/>
      <c r="G45">
        <v>37</v>
      </c>
      <c r="H45" s="109">
        <v>1111.782406299877</v>
      </c>
      <c r="I45" s="370">
        <v>522265.83969372406</v>
      </c>
      <c r="J45">
        <v>0</v>
      </c>
      <c r="K45">
        <v>0</v>
      </c>
      <c r="L45">
        <v>0</v>
      </c>
      <c r="M45">
        <v>1</v>
      </c>
      <c r="N45" s="109">
        <v>469.75544561087003</v>
      </c>
      <c r="O45" s="109">
        <v>-3838198.2729106783</v>
      </c>
      <c r="P45" s="365">
        <v>1</v>
      </c>
      <c r="Q45" s="365">
        <v>0</v>
      </c>
      <c r="R45" s="365">
        <v>0</v>
      </c>
      <c r="S45" s="365">
        <v>0</v>
      </c>
      <c r="T45" s="109">
        <v>-3452.2926888945703</v>
      </c>
      <c r="V45" s="368">
        <f t="shared" si="0"/>
        <v>55066854.475300126</v>
      </c>
      <c r="W45" s="30">
        <f t="shared" si="1"/>
        <v>59427318.587904528</v>
      </c>
      <c r="X45" s="30"/>
      <c r="Y45">
        <f t="shared" si="2"/>
        <v>0</v>
      </c>
      <c r="Z45">
        <f t="shared" si="3"/>
        <v>1</v>
      </c>
      <c r="AA45">
        <f t="shared" si="4"/>
        <v>0</v>
      </c>
      <c r="AB45">
        <f t="shared" si="5"/>
        <v>1</v>
      </c>
      <c r="AD45">
        <v>14000</v>
      </c>
      <c r="AE45">
        <v>0</v>
      </c>
      <c r="AF45">
        <v>1</v>
      </c>
      <c r="AG45">
        <v>0</v>
      </c>
      <c r="AH45">
        <v>1</v>
      </c>
    </row>
    <row r="46" spans="2:34" x14ac:dyDescent="0.3">
      <c r="F46" s="28"/>
      <c r="G46">
        <v>38</v>
      </c>
      <c r="H46" s="109">
        <v>1379.9163775265988</v>
      </c>
      <c r="I46" s="370">
        <v>1683353.8751362157</v>
      </c>
      <c r="J46">
        <v>0</v>
      </c>
      <c r="K46">
        <v>0</v>
      </c>
      <c r="L46">
        <v>0</v>
      </c>
      <c r="M46">
        <v>1</v>
      </c>
      <c r="N46" s="109">
        <v>1219.8955694355241</v>
      </c>
      <c r="O46" s="109">
        <v>-3080639.9075931562</v>
      </c>
      <c r="P46" s="365">
        <v>1</v>
      </c>
      <c r="Q46" s="365">
        <v>0</v>
      </c>
      <c r="R46" s="365">
        <v>0</v>
      </c>
      <c r="S46" s="365">
        <v>0</v>
      </c>
      <c r="T46" s="109">
        <v>-2232.4830386570106</v>
      </c>
      <c r="V46" s="368">
        <f t="shared" si="0"/>
        <v>67312465.001193732</v>
      </c>
      <c r="W46" s="30">
        <f t="shared" si="1"/>
        <v>72076458.783923104</v>
      </c>
      <c r="X46" s="30"/>
      <c r="Y46">
        <f t="shared" si="2"/>
        <v>0</v>
      </c>
      <c r="Z46">
        <f t="shared" si="3"/>
        <v>1</v>
      </c>
      <c r="AA46">
        <f t="shared" si="4"/>
        <v>0</v>
      </c>
      <c r="AB46">
        <f t="shared" si="5"/>
        <v>1</v>
      </c>
      <c r="AD46">
        <v>14500</v>
      </c>
      <c r="AE46">
        <v>0</v>
      </c>
      <c r="AF46">
        <v>1</v>
      </c>
      <c r="AG46">
        <v>0</v>
      </c>
      <c r="AH46">
        <v>1</v>
      </c>
    </row>
    <row r="47" spans="2:34" x14ac:dyDescent="0.3">
      <c r="F47" s="28"/>
      <c r="G47">
        <v>39</v>
      </c>
      <c r="H47" s="109">
        <v>1046.6962684035971</v>
      </c>
      <c r="I47" s="370">
        <v>878478.04730562121</v>
      </c>
      <c r="J47">
        <v>0</v>
      </c>
      <c r="K47">
        <v>0</v>
      </c>
      <c r="L47">
        <v>0</v>
      </c>
      <c r="M47">
        <v>1</v>
      </c>
      <c r="N47" s="109">
        <v>839.28649965042928</v>
      </c>
      <c r="O47" s="109">
        <v>-2987531.026142518</v>
      </c>
      <c r="P47" s="365">
        <v>1</v>
      </c>
      <c r="Q47" s="365">
        <v>0</v>
      </c>
      <c r="R47" s="365">
        <v>0</v>
      </c>
      <c r="S47" s="365">
        <v>0</v>
      </c>
      <c r="T47" s="109">
        <v>-2854.2482822634388</v>
      </c>
      <c r="V47" s="368">
        <f t="shared" si="0"/>
        <v>51456335.37287423</v>
      </c>
      <c r="W47" s="30">
        <f t="shared" si="1"/>
        <v>55322344.446322367</v>
      </c>
      <c r="X47" s="30"/>
      <c r="Y47">
        <f t="shared" si="2"/>
        <v>0</v>
      </c>
      <c r="Z47">
        <f t="shared" si="3"/>
        <v>1</v>
      </c>
      <c r="AA47">
        <f t="shared" si="4"/>
        <v>0</v>
      </c>
      <c r="AB47">
        <f t="shared" si="5"/>
        <v>1</v>
      </c>
      <c r="AD47">
        <v>15000</v>
      </c>
      <c r="AE47">
        <v>0</v>
      </c>
      <c r="AF47">
        <v>1</v>
      </c>
      <c r="AG47">
        <v>0</v>
      </c>
      <c r="AH47">
        <v>1</v>
      </c>
    </row>
    <row r="48" spans="2:34" x14ac:dyDescent="0.3">
      <c r="F48" s="28"/>
      <c r="G48">
        <v>40</v>
      </c>
      <c r="H48" s="109">
        <v>1178.8360651277399</v>
      </c>
      <c r="I48" s="370">
        <v>1264862.5963030746</v>
      </c>
      <c r="J48">
        <v>0</v>
      </c>
      <c r="K48">
        <v>0</v>
      </c>
      <c r="L48">
        <v>0</v>
      </c>
      <c r="M48">
        <v>1</v>
      </c>
      <c r="N48" s="109">
        <v>1072.9758222709388</v>
      </c>
      <c r="O48" s="109">
        <v>-3197534.0122456485</v>
      </c>
      <c r="P48" s="365">
        <v>1</v>
      </c>
      <c r="Q48" s="365">
        <v>0</v>
      </c>
      <c r="R48" s="365">
        <v>0</v>
      </c>
      <c r="S48" s="365">
        <v>0</v>
      </c>
      <c r="T48" s="109">
        <v>-2712.4501080641444</v>
      </c>
      <c r="V48" s="368">
        <f t="shared" si="0"/>
        <v>57676940.66008392</v>
      </c>
      <c r="W48" s="30">
        <f t="shared" si="1"/>
        <v>62139337.268632643</v>
      </c>
      <c r="X48" s="30"/>
      <c r="Y48">
        <f t="shared" si="2"/>
        <v>0</v>
      </c>
      <c r="Z48">
        <f t="shared" si="3"/>
        <v>1</v>
      </c>
      <c r="AA48">
        <f t="shared" si="4"/>
        <v>0</v>
      </c>
      <c r="AB48">
        <f t="shared" si="5"/>
        <v>1</v>
      </c>
      <c r="AD48">
        <v>15500</v>
      </c>
      <c r="AE48">
        <v>0</v>
      </c>
      <c r="AF48">
        <v>1</v>
      </c>
      <c r="AG48">
        <v>0</v>
      </c>
      <c r="AH48">
        <v>1</v>
      </c>
    </row>
    <row r="49" spans="6:34" x14ac:dyDescent="0.3">
      <c r="F49" s="28"/>
      <c r="G49">
        <v>41</v>
      </c>
      <c r="H49" s="109">
        <v>1053.0448847890657</v>
      </c>
      <c r="I49" s="370">
        <v>1331612.1661266517</v>
      </c>
      <c r="J49">
        <v>0</v>
      </c>
      <c r="K49">
        <v>0</v>
      </c>
      <c r="L49">
        <v>0</v>
      </c>
      <c r="M49">
        <v>1</v>
      </c>
      <c r="N49" s="109">
        <v>1264.5350500832503</v>
      </c>
      <c r="O49" s="109">
        <v>-2295425.7354210834</v>
      </c>
      <c r="P49" s="365">
        <v>1</v>
      </c>
      <c r="Q49" s="365">
        <v>0</v>
      </c>
      <c r="R49" s="365">
        <v>0</v>
      </c>
      <c r="S49" s="365">
        <v>0</v>
      </c>
      <c r="T49" s="109">
        <v>-2179.7985713409334</v>
      </c>
      <c r="V49" s="368">
        <f t="shared" si="0"/>
        <v>51320632.073326632</v>
      </c>
      <c r="W49" s="30">
        <f t="shared" si="1"/>
        <v>54947669.97487437</v>
      </c>
      <c r="X49" s="30"/>
      <c r="Y49">
        <f t="shared" si="2"/>
        <v>0</v>
      </c>
      <c r="Z49">
        <f t="shared" si="3"/>
        <v>1</v>
      </c>
      <c r="AA49">
        <f t="shared" si="4"/>
        <v>0</v>
      </c>
      <c r="AB49">
        <f t="shared" si="5"/>
        <v>1</v>
      </c>
      <c r="AD49">
        <v>16000</v>
      </c>
      <c r="AE49">
        <v>0</v>
      </c>
      <c r="AF49">
        <v>1</v>
      </c>
      <c r="AG49">
        <v>0</v>
      </c>
      <c r="AH49">
        <v>1</v>
      </c>
    </row>
    <row r="50" spans="6:34" x14ac:dyDescent="0.3">
      <c r="F50" s="28"/>
      <c r="G50">
        <v>42</v>
      </c>
      <c r="H50" s="109">
        <v>950.82328174523718</v>
      </c>
      <c r="I50" s="370">
        <v>1394225.0862580445</v>
      </c>
      <c r="J50">
        <v>0</v>
      </c>
      <c r="K50">
        <v>0</v>
      </c>
      <c r="L50">
        <v>0</v>
      </c>
      <c r="M50">
        <v>1</v>
      </c>
      <c r="N50" s="109">
        <v>1466.334610253698</v>
      </c>
      <c r="O50" s="109">
        <v>-2246293.2522665067</v>
      </c>
      <c r="P50" s="365">
        <v>1</v>
      </c>
      <c r="Q50" s="365">
        <v>0</v>
      </c>
      <c r="R50" s="365">
        <v>0</v>
      </c>
      <c r="S50" s="365">
        <v>0</v>
      </c>
      <c r="T50" s="109">
        <v>-2362.4718655851934</v>
      </c>
      <c r="V50" s="368">
        <f t="shared" si="0"/>
        <v>46146939.001003809</v>
      </c>
      <c r="W50" s="30">
        <f t="shared" si="1"/>
        <v>49787457.339528359</v>
      </c>
      <c r="X50" s="30"/>
      <c r="Y50">
        <f t="shared" si="2"/>
        <v>0</v>
      </c>
      <c r="Z50">
        <f t="shared" si="3"/>
        <v>1</v>
      </c>
      <c r="AA50">
        <f t="shared" si="4"/>
        <v>0</v>
      </c>
      <c r="AB50">
        <f t="shared" si="5"/>
        <v>1</v>
      </c>
      <c r="AD50">
        <v>16500</v>
      </c>
      <c r="AE50">
        <v>0</v>
      </c>
      <c r="AF50">
        <v>1</v>
      </c>
      <c r="AG50">
        <v>0</v>
      </c>
      <c r="AH50">
        <v>1</v>
      </c>
    </row>
    <row r="51" spans="6:34" x14ac:dyDescent="0.3">
      <c r="F51" s="28"/>
      <c r="G51">
        <v>43</v>
      </c>
      <c r="H51" s="109">
        <v>1291.1904857251357</v>
      </c>
      <c r="I51" s="370">
        <v>1155942.0587607636</v>
      </c>
      <c r="J51">
        <v>0</v>
      </c>
      <c r="K51">
        <v>0</v>
      </c>
      <c r="L51">
        <v>0</v>
      </c>
      <c r="M51">
        <v>1</v>
      </c>
      <c r="N51" s="109">
        <v>895.25292475461811</v>
      </c>
      <c r="O51" s="109">
        <v>-4289134.2380770557</v>
      </c>
      <c r="P51" s="365">
        <v>1</v>
      </c>
      <c r="Q51" s="365">
        <v>0</v>
      </c>
      <c r="R51" s="365">
        <v>0</v>
      </c>
      <c r="S51" s="365">
        <v>0</v>
      </c>
      <c r="T51" s="109">
        <v>-3321.8446739624692</v>
      </c>
      <c r="V51" s="368">
        <f t="shared" si="0"/>
        <v>63403582.22749602</v>
      </c>
      <c r="W51" s="30">
        <f t="shared" si="1"/>
        <v>68848658.524333835</v>
      </c>
      <c r="X51" s="30"/>
      <c r="Y51">
        <f t="shared" si="2"/>
        <v>0</v>
      </c>
      <c r="Z51">
        <f t="shared" si="3"/>
        <v>1</v>
      </c>
      <c r="AA51">
        <f t="shared" si="4"/>
        <v>0</v>
      </c>
      <c r="AB51">
        <f t="shared" si="5"/>
        <v>1</v>
      </c>
      <c r="AD51">
        <v>17000</v>
      </c>
      <c r="AE51">
        <v>0</v>
      </c>
      <c r="AF51">
        <v>1</v>
      </c>
      <c r="AG51">
        <v>0</v>
      </c>
      <c r="AH51">
        <v>1</v>
      </c>
    </row>
    <row r="52" spans="6:34" x14ac:dyDescent="0.3">
      <c r="F52" s="28"/>
      <c r="G52">
        <v>44</v>
      </c>
      <c r="H52" s="109">
        <v>1364.4667503945966</v>
      </c>
      <c r="I52" s="370">
        <v>874039.78945331485</v>
      </c>
      <c r="J52">
        <v>0</v>
      </c>
      <c r="K52">
        <v>0</v>
      </c>
      <c r="L52">
        <v>0</v>
      </c>
      <c r="M52">
        <v>1</v>
      </c>
      <c r="N52" s="109">
        <v>640.57243549580608</v>
      </c>
      <c r="O52" s="109">
        <v>-4962006.9839284532</v>
      </c>
      <c r="P52" s="365">
        <v>1</v>
      </c>
      <c r="Q52" s="365">
        <v>0</v>
      </c>
      <c r="R52" s="365">
        <v>0</v>
      </c>
      <c r="S52" s="365">
        <v>0</v>
      </c>
      <c r="T52" s="109">
        <v>-3636.5906186379893</v>
      </c>
      <c r="V52" s="368">
        <f t="shared" si="0"/>
        <v>67349297.73027651</v>
      </c>
      <c r="W52" s="30">
        <f t="shared" si="1"/>
        <v>73185344.50365828</v>
      </c>
      <c r="X52" s="30"/>
      <c r="Y52">
        <f t="shared" si="2"/>
        <v>0</v>
      </c>
      <c r="Z52">
        <f t="shared" si="3"/>
        <v>1</v>
      </c>
      <c r="AA52">
        <f t="shared" si="4"/>
        <v>0</v>
      </c>
      <c r="AB52">
        <f t="shared" si="5"/>
        <v>1</v>
      </c>
      <c r="AD52">
        <v>17500</v>
      </c>
      <c r="AE52">
        <v>0</v>
      </c>
      <c r="AF52">
        <v>1</v>
      </c>
      <c r="AG52">
        <v>0</v>
      </c>
      <c r="AH52">
        <v>1</v>
      </c>
    </row>
    <row r="53" spans="6:34" x14ac:dyDescent="0.3">
      <c r="F53" s="28"/>
      <c r="G53">
        <v>45</v>
      </c>
      <c r="H53" s="109">
        <v>1239.8710781485206</v>
      </c>
      <c r="I53" s="370">
        <v>733241.34046366147</v>
      </c>
      <c r="J53">
        <v>0</v>
      </c>
      <c r="K53">
        <v>0</v>
      </c>
      <c r="L53">
        <v>0</v>
      </c>
      <c r="M53">
        <v>1</v>
      </c>
      <c r="N53" s="109">
        <v>591.38514752565959</v>
      </c>
      <c r="O53" s="109">
        <v>-3833980.9706644053</v>
      </c>
      <c r="P53" s="365">
        <v>1</v>
      </c>
      <c r="Q53" s="365">
        <v>0</v>
      </c>
      <c r="R53" s="365">
        <v>0</v>
      </c>
      <c r="S53" s="365">
        <v>0</v>
      </c>
      <c r="T53" s="109">
        <v>-3092.2416356300746</v>
      </c>
      <c r="V53" s="368">
        <f t="shared" si="0"/>
        <v>61260312.566962369</v>
      </c>
      <c r="W53" s="30">
        <f t="shared" si="1"/>
        <v>65827534.878090434</v>
      </c>
      <c r="X53" s="30"/>
      <c r="Y53">
        <f t="shared" si="2"/>
        <v>0</v>
      </c>
      <c r="Z53">
        <f t="shared" si="3"/>
        <v>1</v>
      </c>
      <c r="AA53">
        <f t="shared" si="4"/>
        <v>0</v>
      </c>
      <c r="AB53">
        <f t="shared" si="5"/>
        <v>1</v>
      </c>
      <c r="AD53">
        <v>18000</v>
      </c>
      <c r="AE53">
        <v>0</v>
      </c>
      <c r="AF53">
        <v>1</v>
      </c>
      <c r="AG53">
        <v>0</v>
      </c>
      <c r="AH53">
        <v>1</v>
      </c>
    </row>
    <row r="54" spans="6:34" x14ac:dyDescent="0.3">
      <c r="F54" s="28"/>
      <c r="G54">
        <v>46</v>
      </c>
      <c r="H54" s="109">
        <v>1225.6180008160518</v>
      </c>
      <c r="I54" s="370">
        <v>1246963.1820653905</v>
      </c>
      <c r="J54">
        <v>0</v>
      </c>
      <c r="K54">
        <v>0</v>
      </c>
      <c r="L54">
        <v>0</v>
      </c>
      <c r="M54">
        <v>1</v>
      </c>
      <c r="N54" s="109">
        <v>1017.4158516235291</v>
      </c>
      <c r="O54" s="109">
        <v>-4050829.5168126277</v>
      </c>
      <c r="P54" s="365">
        <v>1</v>
      </c>
      <c r="Q54" s="365">
        <v>0</v>
      </c>
      <c r="R54" s="365">
        <v>0</v>
      </c>
      <c r="S54" s="365">
        <v>0</v>
      </c>
      <c r="T54" s="109">
        <v>-3305.1321978915685</v>
      </c>
      <c r="V54" s="368">
        <f t="shared" si="0"/>
        <v>60033936.8587372</v>
      </c>
      <c r="W54" s="30">
        <f t="shared" si="1"/>
        <v>65331729.557615221</v>
      </c>
      <c r="X54" s="30"/>
      <c r="Y54">
        <f t="shared" si="2"/>
        <v>0</v>
      </c>
      <c r="Z54">
        <f t="shared" si="3"/>
        <v>1</v>
      </c>
      <c r="AA54">
        <f t="shared" si="4"/>
        <v>0</v>
      </c>
      <c r="AB54">
        <f t="shared" si="5"/>
        <v>1</v>
      </c>
      <c r="AD54">
        <v>18500</v>
      </c>
      <c r="AE54">
        <v>0</v>
      </c>
      <c r="AF54">
        <v>1</v>
      </c>
      <c r="AG54">
        <v>0</v>
      </c>
      <c r="AH54">
        <v>1</v>
      </c>
    </row>
    <row r="55" spans="6:34" x14ac:dyDescent="0.3">
      <c r="F55" s="28"/>
      <c r="G55">
        <v>47</v>
      </c>
      <c r="H55" s="109">
        <v>1153.6836931241633</v>
      </c>
      <c r="I55" s="370">
        <v>243658.45972955626</v>
      </c>
      <c r="J55">
        <v>0</v>
      </c>
      <c r="K55">
        <v>0</v>
      </c>
      <c r="L55">
        <v>0</v>
      </c>
      <c r="M55">
        <v>1</v>
      </c>
      <c r="N55" s="109">
        <v>211.20040196609847</v>
      </c>
      <c r="O55" s="109">
        <v>-4106125.4627810232</v>
      </c>
      <c r="P55" s="365">
        <v>1</v>
      </c>
      <c r="Q55" s="365">
        <v>0</v>
      </c>
      <c r="R55" s="365">
        <v>0</v>
      </c>
      <c r="S55" s="365">
        <v>0</v>
      </c>
      <c r="T55" s="109">
        <v>-3559.1431925865909</v>
      </c>
      <c r="V55" s="368">
        <f t="shared" si="0"/>
        <v>57440526.196478605</v>
      </c>
      <c r="W55" s="30">
        <f t="shared" si="1"/>
        <v>61790310.118989184</v>
      </c>
      <c r="X55" s="30"/>
      <c r="Y55">
        <f t="shared" si="2"/>
        <v>0</v>
      </c>
      <c r="Z55">
        <f t="shared" si="3"/>
        <v>1</v>
      </c>
      <c r="AA55">
        <f t="shared" si="4"/>
        <v>0</v>
      </c>
      <c r="AB55">
        <f t="shared" si="5"/>
        <v>1</v>
      </c>
      <c r="AD55">
        <v>19000</v>
      </c>
      <c r="AE55">
        <v>0</v>
      </c>
      <c r="AF55">
        <v>1</v>
      </c>
      <c r="AG55">
        <v>0</v>
      </c>
      <c r="AH55">
        <v>1</v>
      </c>
    </row>
    <row r="56" spans="6:34" x14ac:dyDescent="0.3">
      <c r="F56" s="28"/>
      <c r="G56">
        <v>48</v>
      </c>
      <c r="H56" s="109">
        <v>1033.1328296035208</v>
      </c>
      <c r="I56" s="370">
        <v>1110749.0561163037</v>
      </c>
      <c r="J56">
        <v>0</v>
      </c>
      <c r="K56">
        <v>0</v>
      </c>
      <c r="L56">
        <v>0</v>
      </c>
      <c r="M56">
        <v>1</v>
      </c>
      <c r="N56" s="109">
        <v>1075.1270546136543</v>
      </c>
      <c r="O56" s="109">
        <v>-3122470.5793588166</v>
      </c>
      <c r="P56" s="365">
        <v>1</v>
      </c>
      <c r="Q56" s="365">
        <v>0</v>
      </c>
      <c r="R56" s="365">
        <v>0</v>
      </c>
      <c r="S56" s="365">
        <v>0</v>
      </c>
      <c r="T56" s="109">
        <v>-3022.3321628034105</v>
      </c>
      <c r="V56" s="368">
        <f t="shared" si="0"/>
        <v>50545892.424059734</v>
      </c>
      <c r="W56" s="30">
        <f t="shared" si="1"/>
        <v>54779112.059534855</v>
      </c>
      <c r="X56" s="30"/>
      <c r="Y56">
        <f t="shared" si="2"/>
        <v>0</v>
      </c>
      <c r="Z56">
        <f t="shared" si="3"/>
        <v>1</v>
      </c>
      <c r="AA56">
        <f t="shared" si="4"/>
        <v>0</v>
      </c>
      <c r="AB56">
        <f t="shared" si="5"/>
        <v>1</v>
      </c>
      <c r="AD56">
        <v>19500</v>
      </c>
      <c r="AE56">
        <v>0</v>
      </c>
      <c r="AF56">
        <v>1</v>
      </c>
      <c r="AG56">
        <v>0</v>
      </c>
      <c r="AH56">
        <v>1</v>
      </c>
    </row>
    <row r="57" spans="6:34" x14ac:dyDescent="0.3">
      <c r="F57" s="28"/>
      <c r="G57">
        <v>49</v>
      </c>
      <c r="H57" s="109">
        <v>1179.7006454859511</v>
      </c>
      <c r="I57" s="370">
        <v>1043987.6643209967</v>
      </c>
      <c r="J57">
        <v>0</v>
      </c>
      <c r="K57">
        <v>0</v>
      </c>
      <c r="L57">
        <v>0</v>
      </c>
      <c r="M57">
        <v>1</v>
      </c>
      <c r="N57" s="109">
        <v>884.95981443745802</v>
      </c>
      <c r="O57" s="109">
        <v>-4055291.0988880997</v>
      </c>
      <c r="P57" s="365">
        <v>1</v>
      </c>
      <c r="Q57" s="365">
        <v>0</v>
      </c>
      <c r="R57" s="365">
        <v>0</v>
      </c>
      <c r="S57" s="365">
        <v>0</v>
      </c>
      <c r="T57" s="109">
        <v>-3437.5594473101387</v>
      </c>
      <c r="V57" s="368">
        <f t="shared" si="0"/>
        <v>57941044.60997656</v>
      </c>
      <c r="W57" s="30">
        <f t="shared" si="1"/>
        <v>63040323.373185657</v>
      </c>
      <c r="X57" s="30"/>
      <c r="Y57">
        <f t="shared" si="2"/>
        <v>0</v>
      </c>
      <c r="Z57">
        <f t="shared" si="3"/>
        <v>1</v>
      </c>
      <c r="AA57">
        <f t="shared" si="4"/>
        <v>0</v>
      </c>
      <c r="AB57">
        <f t="shared" si="5"/>
        <v>1</v>
      </c>
      <c r="AD57">
        <v>20000</v>
      </c>
      <c r="AE57">
        <v>0</v>
      </c>
      <c r="AF57">
        <v>1</v>
      </c>
      <c r="AG57">
        <v>0</v>
      </c>
      <c r="AH57">
        <v>1</v>
      </c>
    </row>
    <row r="58" spans="6:34" x14ac:dyDescent="0.3">
      <c r="F58" s="28"/>
      <c r="G58">
        <v>50</v>
      </c>
      <c r="H58" s="109">
        <v>1393.0800153721793</v>
      </c>
      <c r="I58" s="370">
        <v>921804.13883760606</v>
      </c>
      <c r="J58">
        <v>0</v>
      </c>
      <c r="K58">
        <v>0</v>
      </c>
      <c r="L58">
        <v>0</v>
      </c>
      <c r="M58">
        <v>1</v>
      </c>
      <c r="N58" s="109">
        <v>661.70222002024354</v>
      </c>
      <c r="O58" s="109">
        <v>-4357651.033285886</v>
      </c>
      <c r="P58" s="365">
        <v>1</v>
      </c>
      <c r="Q58" s="365">
        <v>0</v>
      </c>
      <c r="R58" s="365">
        <v>0</v>
      </c>
      <c r="S58" s="365">
        <v>0</v>
      </c>
      <c r="T58" s="109">
        <v>-3128.0694469812511</v>
      </c>
      <c r="V58" s="368">
        <f t="shared" si="0"/>
        <v>68732196.629771367</v>
      </c>
      <c r="W58" s="30">
        <f t="shared" si="1"/>
        <v>74011651.801894858</v>
      </c>
      <c r="X58" s="30"/>
      <c r="Y58">
        <f t="shared" si="2"/>
        <v>0</v>
      </c>
      <c r="Z58">
        <f t="shared" si="3"/>
        <v>1</v>
      </c>
      <c r="AA58">
        <f t="shared" si="4"/>
        <v>0</v>
      </c>
      <c r="AB58">
        <f t="shared" si="5"/>
        <v>1</v>
      </c>
      <c r="AD58">
        <v>20500</v>
      </c>
      <c r="AE58">
        <v>0</v>
      </c>
      <c r="AF58">
        <v>1</v>
      </c>
      <c r="AG58">
        <v>0</v>
      </c>
      <c r="AH58">
        <v>1</v>
      </c>
    </row>
    <row r="59" spans="6:34" x14ac:dyDescent="0.3">
      <c r="F59" s="28"/>
      <c r="G59">
        <v>51</v>
      </c>
      <c r="H59" s="109">
        <v>1207.3887741839862</v>
      </c>
      <c r="I59" s="370">
        <v>1217118.8313379027</v>
      </c>
      <c r="J59">
        <v>0</v>
      </c>
      <c r="K59">
        <v>0</v>
      </c>
      <c r="L59">
        <v>0</v>
      </c>
      <c r="M59">
        <v>1</v>
      </c>
      <c r="N59" s="109">
        <v>1008.0587606593349</v>
      </c>
      <c r="O59" s="109">
        <v>-3641249.3995467066</v>
      </c>
      <c r="P59" s="365">
        <v>1</v>
      </c>
      <c r="Q59" s="365">
        <v>0</v>
      </c>
      <c r="R59" s="365">
        <v>0</v>
      </c>
      <c r="S59" s="365">
        <v>0</v>
      </c>
      <c r="T59" s="109">
        <v>-3015.8052463322306</v>
      </c>
      <c r="V59" s="368">
        <f t="shared" si="0"/>
        <v>59152319.87786141</v>
      </c>
      <c r="W59" s="30">
        <f t="shared" si="1"/>
        <v>64010688.108746015</v>
      </c>
      <c r="X59" s="30"/>
      <c r="Y59">
        <f t="shared" si="2"/>
        <v>0</v>
      </c>
      <c r="Z59">
        <f t="shared" si="3"/>
        <v>1</v>
      </c>
      <c r="AA59">
        <f t="shared" si="4"/>
        <v>0</v>
      </c>
      <c r="AB59">
        <f t="shared" si="5"/>
        <v>1</v>
      </c>
      <c r="AD59">
        <v>21000</v>
      </c>
      <c r="AE59">
        <v>0</v>
      </c>
      <c r="AF59">
        <v>1</v>
      </c>
      <c r="AG59">
        <v>0</v>
      </c>
      <c r="AH59">
        <v>1</v>
      </c>
    </row>
    <row r="60" spans="6:34" x14ac:dyDescent="0.3">
      <c r="F60" s="28"/>
      <c r="G60">
        <v>52</v>
      </c>
      <c r="H60" s="109">
        <v>1059.2456124160672</v>
      </c>
      <c r="I60" s="370">
        <v>1304800.3002379423</v>
      </c>
      <c r="J60">
        <v>0</v>
      </c>
      <c r="K60">
        <v>0</v>
      </c>
      <c r="L60">
        <v>0</v>
      </c>
      <c r="M60">
        <v>1</v>
      </c>
      <c r="N60" s="109">
        <v>1231.8203492594901</v>
      </c>
      <c r="O60" s="109">
        <v>-3388888.0158802113</v>
      </c>
      <c r="P60" s="365">
        <v>1</v>
      </c>
      <c r="Q60" s="365">
        <v>0</v>
      </c>
      <c r="R60" s="365">
        <v>0</v>
      </c>
      <c r="S60" s="365">
        <v>0</v>
      </c>
      <c r="T60" s="109">
        <v>-3199.3410934697085</v>
      </c>
      <c r="V60" s="368">
        <f t="shared" si="0"/>
        <v>51657480.320565417</v>
      </c>
      <c r="W60" s="30">
        <f t="shared" si="1"/>
        <v>56351168.636683568</v>
      </c>
      <c r="X60" s="30"/>
      <c r="Y60">
        <f t="shared" si="2"/>
        <v>0</v>
      </c>
      <c r="Z60">
        <f t="shared" si="3"/>
        <v>1</v>
      </c>
      <c r="AA60">
        <f t="shared" si="4"/>
        <v>0</v>
      </c>
      <c r="AB60">
        <f t="shared" si="5"/>
        <v>1</v>
      </c>
      <c r="AD60">
        <v>21500</v>
      </c>
      <c r="AE60">
        <v>0</v>
      </c>
      <c r="AF60">
        <v>1</v>
      </c>
      <c r="AG60">
        <v>0</v>
      </c>
      <c r="AH60">
        <v>1</v>
      </c>
    </row>
    <row r="61" spans="6:34" x14ac:dyDescent="0.3">
      <c r="F61" s="28"/>
      <c r="G61">
        <v>53</v>
      </c>
      <c r="H61" s="109">
        <v>1136.1993852357482</v>
      </c>
      <c r="I61" s="370">
        <v>1108674.7824480273</v>
      </c>
      <c r="J61">
        <v>0</v>
      </c>
      <c r="K61">
        <v>0</v>
      </c>
      <c r="L61">
        <v>0</v>
      </c>
      <c r="M61">
        <v>1</v>
      </c>
      <c r="N61" s="109">
        <v>975.77484801929381</v>
      </c>
      <c r="O61" s="109">
        <v>-3027078.1757818218</v>
      </c>
      <c r="P61" s="365">
        <v>1</v>
      </c>
      <c r="Q61" s="365">
        <v>0</v>
      </c>
      <c r="R61" s="365">
        <v>0</v>
      </c>
      <c r="S61" s="365">
        <v>0</v>
      </c>
      <c r="T61" s="109">
        <v>-2664.2138828069674</v>
      </c>
      <c r="V61" s="368">
        <f t="shared" si="0"/>
        <v>55701294.479339376</v>
      </c>
      <c r="W61" s="30">
        <f t="shared" si="1"/>
        <v>59837047.437569231</v>
      </c>
      <c r="X61" s="30"/>
      <c r="Y61">
        <f t="shared" si="2"/>
        <v>0</v>
      </c>
      <c r="Z61">
        <f t="shared" si="3"/>
        <v>1</v>
      </c>
      <c r="AA61">
        <f t="shared" si="4"/>
        <v>0</v>
      </c>
      <c r="AB61">
        <f t="shared" si="5"/>
        <v>1</v>
      </c>
      <c r="AD61">
        <v>22000</v>
      </c>
      <c r="AE61">
        <v>0</v>
      </c>
      <c r="AF61">
        <v>1</v>
      </c>
      <c r="AG61">
        <v>0</v>
      </c>
      <c r="AH61">
        <v>1</v>
      </c>
    </row>
    <row r="62" spans="6:34" x14ac:dyDescent="0.3">
      <c r="F62" s="28"/>
      <c r="G62">
        <v>54</v>
      </c>
      <c r="H62" s="109">
        <v>1387.940623845614</v>
      </c>
      <c r="I62" s="370">
        <v>308832.49029810407</v>
      </c>
      <c r="J62">
        <v>0</v>
      </c>
      <c r="K62">
        <v>0</v>
      </c>
      <c r="L62">
        <v>0</v>
      </c>
      <c r="M62">
        <v>1</v>
      </c>
      <c r="N62" s="109">
        <v>222.51131279839007</v>
      </c>
      <c r="O62" s="109">
        <v>-4233539.8811279191</v>
      </c>
      <c r="P62" s="365">
        <v>1</v>
      </c>
      <c r="Q62" s="365">
        <v>0</v>
      </c>
      <c r="R62" s="365">
        <v>0</v>
      </c>
      <c r="S62" s="365">
        <v>0</v>
      </c>
      <c r="T62" s="109">
        <v>-3050.2312623416892</v>
      </c>
      <c r="V62" s="368">
        <f t="shared" si="0"/>
        <v>69088198.701982588</v>
      </c>
      <c r="W62" s="30">
        <f t="shared" si="1"/>
        <v>73630571.073408619</v>
      </c>
      <c r="X62" s="30"/>
      <c r="Y62">
        <f t="shared" si="2"/>
        <v>0</v>
      </c>
      <c r="Z62">
        <f t="shared" si="3"/>
        <v>1</v>
      </c>
      <c r="AA62">
        <f t="shared" si="4"/>
        <v>0</v>
      </c>
      <c r="AB62">
        <f t="shared" si="5"/>
        <v>1</v>
      </c>
      <c r="AD62">
        <v>22500</v>
      </c>
      <c r="AE62">
        <v>0</v>
      </c>
      <c r="AF62">
        <v>1</v>
      </c>
      <c r="AG62">
        <v>0</v>
      </c>
      <c r="AH62">
        <v>1</v>
      </c>
    </row>
    <row r="63" spans="6:34" x14ac:dyDescent="0.3">
      <c r="F63" s="28"/>
      <c r="G63">
        <v>55</v>
      </c>
      <c r="H63" s="109">
        <v>1119.2251322994925</v>
      </c>
      <c r="I63" s="370">
        <v>1326384.9978662753</v>
      </c>
      <c r="J63">
        <v>0</v>
      </c>
      <c r="K63">
        <v>0</v>
      </c>
      <c r="L63">
        <v>0</v>
      </c>
      <c r="M63">
        <v>1</v>
      </c>
      <c r="N63" s="109">
        <v>1185.092221027207</v>
      </c>
      <c r="O63" s="109">
        <v>-3310483.564130404</v>
      </c>
      <c r="P63" s="365">
        <v>1</v>
      </c>
      <c r="Q63" s="365">
        <v>0</v>
      </c>
      <c r="R63" s="365">
        <v>0</v>
      </c>
      <c r="S63" s="365">
        <v>0</v>
      </c>
      <c r="T63" s="109">
        <v>-2957.8352635174338</v>
      </c>
      <c r="V63" s="368">
        <f t="shared" si="0"/>
        <v>54634871.617108352</v>
      </c>
      <c r="W63" s="30">
        <f t="shared" si="1"/>
        <v>59271740.179105029</v>
      </c>
      <c r="X63" s="30"/>
      <c r="Y63">
        <f t="shared" si="2"/>
        <v>0</v>
      </c>
      <c r="Z63">
        <f t="shared" si="3"/>
        <v>1</v>
      </c>
      <c r="AA63">
        <f t="shared" si="4"/>
        <v>0</v>
      </c>
      <c r="AB63">
        <f t="shared" si="5"/>
        <v>1</v>
      </c>
      <c r="AD63">
        <v>23000</v>
      </c>
      <c r="AE63">
        <v>0</v>
      </c>
      <c r="AF63">
        <v>1</v>
      </c>
      <c r="AG63">
        <v>0</v>
      </c>
      <c r="AH63">
        <v>1</v>
      </c>
    </row>
    <row r="64" spans="6:34" x14ac:dyDescent="0.3">
      <c r="F64" s="28"/>
      <c r="G64">
        <v>56</v>
      </c>
      <c r="H64" s="109">
        <v>1110.0961363973984</v>
      </c>
      <c r="I64" s="370">
        <v>1169178.0417599084</v>
      </c>
      <c r="J64">
        <v>0</v>
      </c>
      <c r="K64">
        <v>0</v>
      </c>
      <c r="L64">
        <v>0</v>
      </c>
      <c r="M64">
        <v>1</v>
      </c>
      <c r="N64" s="109">
        <v>1053.2223322155223</v>
      </c>
      <c r="O64" s="109">
        <v>-3410368.7129531447</v>
      </c>
      <c r="P64" s="365">
        <v>1</v>
      </c>
      <c r="Q64" s="365">
        <v>0</v>
      </c>
      <c r="R64" s="365">
        <v>0</v>
      </c>
      <c r="S64" s="365">
        <v>0</v>
      </c>
      <c r="T64" s="109">
        <v>-3072.1381699614185</v>
      </c>
      <c r="V64" s="368">
        <f t="shared" si="0"/>
        <v>54335628.778110012</v>
      </c>
      <c r="W64" s="30">
        <f t="shared" si="1"/>
        <v>58915175.532823063</v>
      </c>
      <c r="X64" s="30"/>
      <c r="Y64">
        <f t="shared" si="2"/>
        <v>0</v>
      </c>
      <c r="Z64">
        <f t="shared" si="3"/>
        <v>1</v>
      </c>
      <c r="AA64">
        <f t="shared" si="4"/>
        <v>0</v>
      </c>
      <c r="AB64">
        <f t="shared" si="5"/>
        <v>1</v>
      </c>
      <c r="AD64">
        <v>23500</v>
      </c>
      <c r="AE64">
        <v>0</v>
      </c>
      <c r="AF64">
        <v>1</v>
      </c>
      <c r="AG64">
        <v>0</v>
      </c>
      <c r="AH64">
        <v>1</v>
      </c>
    </row>
    <row r="65" spans="2:34" x14ac:dyDescent="0.3">
      <c r="F65" s="28"/>
      <c r="G65">
        <v>57</v>
      </c>
      <c r="H65" s="109">
        <v>995.27465838802163</v>
      </c>
      <c r="I65" s="370">
        <v>847647.51464000694</v>
      </c>
      <c r="J65">
        <v>0</v>
      </c>
      <c r="K65">
        <v>0</v>
      </c>
      <c r="L65">
        <v>0</v>
      </c>
      <c r="M65">
        <v>1</v>
      </c>
      <c r="N65" s="109">
        <v>851.67195557142361</v>
      </c>
      <c r="O65" s="109">
        <v>-3522921.0597962835</v>
      </c>
      <c r="P65" s="365">
        <v>1</v>
      </c>
      <c r="Q65" s="365">
        <v>0</v>
      </c>
      <c r="R65" s="365">
        <v>0</v>
      </c>
      <c r="S65" s="365">
        <v>0</v>
      </c>
      <c r="T65" s="109">
        <v>-3539.6471015368943</v>
      </c>
      <c r="V65" s="368">
        <f t="shared" si="0"/>
        <v>48916085.404761076</v>
      </c>
      <c r="W65" s="30">
        <f t="shared" si="1"/>
        <v>53286653.979197361</v>
      </c>
      <c r="X65" s="30"/>
      <c r="Y65">
        <f t="shared" si="2"/>
        <v>0</v>
      </c>
      <c r="Z65">
        <f t="shared" si="3"/>
        <v>1</v>
      </c>
      <c r="AA65">
        <f t="shared" si="4"/>
        <v>0</v>
      </c>
      <c r="AB65">
        <f t="shared" si="5"/>
        <v>1</v>
      </c>
      <c r="AD65">
        <v>24000</v>
      </c>
      <c r="AE65">
        <v>0</v>
      </c>
      <c r="AF65">
        <v>1</v>
      </c>
      <c r="AG65">
        <v>0</v>
      </c>
      <c r="AH65">
        <v>1</v>
      </c>
    </row>
    <row r="66" spans="2:34" x14ac:dyDescent="0.3">
      <c r="B66" s="204" t="s">
        <v>1573</v>
      </c>
      <c r="C66" s="715">
        <v>0</v>
      </c>
      <c r="D66" s="715">
        <v>100000</v>
      </c>
      <c r="F66" s="28"/>
      <c r="G66">
        <v>58</v>
      </c>
      <c r="H66" s="109">
        <v>1086.1434445921914</v>
      </c>
      <c r="I66" s="370">
        <v>853402.78136791976</v>
      </c>
      <c r="J66">
        <v>0</v>
      </c>
      <c r="K66">
        <v>0</v>
      </c>
      <c r="L66">
        <v>0</v>
      </c>
      <c r="M66">
        <v>1</v>
      </c>
      <c r="N66" s="109">
        <v>785.71830048501783</v>
      </c>
      <c r="O66" s="109">
        <v>-3454214.3544428707</v>
      </c>
      <c r="P66" s="365">
        <v>1</v>
      </c>
      <c r="Q66" s="365">
        <v>0</v>
      </c>
      <c r="R66" s="365">
        <v>0</v>
      </c>
      <c r="S66" s="365">
        <v>0</v>
      </c>
      <c r="T66" s="109">
        <v>-3180.2561361863272</v>
      </c>
      <c r="V66" s="368">
        <f t="shared" si="0"/>
        <v>53453769.448241651</v>
      </c>
      <c r="W66" s="30">
        <f t="shared" si="1"/>
        <v>57761386.584052444</v>
      </c>
      <c r="X66" s="30"/>
      <c r="Y66">
        <f t="shared" si="2"/>
        <v>0</v>
      </c>
      <c r="Z66">
        <f t="shared" si="3"/>
        <v>1</v>
      </c>
      <c r="AA66">
        <f t="shared" si="4"/>
        <v>0</v>
      </c>
      <c r="AB66">
        <f t="shared" si="5"/>
        <v>1</v>
      </c>
      <c r="AD66">
        <v>24500</v>
      </c>
      <c r="AE66">
        <v>0</v>
      </c>
      <c r="AF66">
        <v>1</v>
      </c>
      <c r="AG66">
        <v>0</v>
      </c>
      <c r="AH66">
        <v>1</v>
      </c>
    </row>
    <row r="67" spans="2:34" x14ac:dyDescent="0.3">
      <c r="C67" s="715">
        <v>0</v>
      </c>
      <c r="D67" s="715">
        <f>D66*C68</f>
        <v>117500000</v>
      </c>
      <c r="F67" s="28"/>
      <c r="G67">
        <v>59</v>
      </c>
      <c r="H67" s="109">
        <v>1401.1362315809747</v>
      </c>
      <c r="I67" s="370">
        <v>1989520.6086448873</v>
      </c>
      <c r="J67">
        <v>0</v>
      </c>
      <c r="K67">
        <v>0</v>
      </c>
      <c r="L67">
        <v>0</v>
      </c>
      <c r="M67">
        <v>1</v>
      </c>
      <c r="N67" s="109">
        <v>1419.933739348106</v>
      </c>
      <c r="O67" s="109">
        <v>-3437425.6069604545</v>
      </c>
      <c r="P67" s="365">
        <v>1</v>
      </c>
      <c r="Q67" s="365">
        <v>0</v>
      </c>
      <c r="R67" s="365">
        <v>0</v>
      </c>
      <c r="S67" s="365">
        <v>0</v>
      </c>
      <c r="T67" s="109">
        <v>-2453.3129109664296</v>
      </c>
      <c r="V67" s="368">
        <f t="shared" si="0"/>
        <v>68067290.97040385</v>
      </c>
      <c r="W67" s="30">
        <f t="shared" si="1"/>
        <v>73494237.186009198</v>
      </c>
      <c r="X67" s="30"/>
      <c r="Y67">
        <f t="shared" si="2"/>
        <v>0</v>
      </c>
      <c r="Z67">
        <f t="shared" si="3"/>
        <v>1</v>
      </c>
      <c r="AA67">
        <f t="shared" si="4"/>
        <v>0</v>
      </c>
      <c r="AB67">
        <f t="shared" si="5"/>
        <v>1</v>
      </c>
      <c r="AD67">
        <v>25000</v>
      </c>
      <c r="AE67">
        <v>0</v>
      </c>
      <c r="AF67">
        <v>1</v>
      </c>
      <c r="AG67">
        <v>0</v>
      </c>
      <c r="AH67">
        <v>1</v>
      </c>
    </row>
    <row r="68" spans="2:34" x14ac:dyDescent="0.3">
      <c r="B68" s="204"/>
      <c r="C68" s="715">
        <v>1175</v>
      </c>
      <c r="D68" s="715">
        <f>C68+1E-100</f>
        <v>1175</v>
      </c>
      <c r="F68" s="28"/>
      <c r="G68">
        <v>60</v>
      </c>
      <c r="H68" s="109">
        <v>1311.7451405879256</v>
      </c>
      <c r="I68" s="370">
        <v>1504191.2099782561</v>
      </c>
      <c r="J68">
        <v>0</v>
      </c>
      <c r="K68">
        <v>0</v>
      </c>
      <c r="L68">
        <v>0</v>
      </c>
      <c r="M68">
        <v>1</v>
      </c>
      <c r="N68" s="109">
        <v>1146.7099541181269</v>
      </c>
      <c r="O68" s="109">
        <v>-4115691.7464531418</v>
      </c>
      <c r="P68" s="365">
        <v>1</v>
      </c>
      <c r="Q68" s="365">
        <v>0</v>
      </c>
      <c r="R68" s="365">
        <v>0</v>
      </c>
      <c r="S68" s="365">
        <v>0</v>
      </c>
      <c r="T68" s="109">
        <v>-3137.5696536664768</v>
      </c>
      <c r="V68" s="368">
        <f t="shared" si="0"/>
        <v>64083065.819418028</v>
      </c>
      <c r="W68" s="30">
        <f t="shared" si="1"/>
        <v>69702948.775849417</v>
      </c>
      <c r="X68" s="30"/>
      <c r="Y68">
        <f t="shared" si="2"/>
        <v>0</v>
      </c>
      <c r="Z68">
        <f t="shared" si="3"/>
        <v>1</v>
      </c>
      <c r="AA68">
        <f t="shared" si="4"/>
        <v>0</v>
      </c>
      <c r="AB68">
        <f t="shared" si="5"/>
        <v>1</v>
      </c>
      <c r="AD68">
        <v>25500</v>
      </c>
      <c r="AE68">
        <v>0</v>
      </c>
      <c r="AF68">
        <v>1</v>
      </c>
      <c r="AG68">
        <v>0</v>
      </c>
      <c r="AH68">
        <v>1</v>
      </c>
    </row>
    <row r="69" spans="2:34" x14ac:dyDescent="0.3">
      <c r="B69" s="204"/>
      <c r="C69" s="716">
        <v>0</v>
      </c>
      <c r="D69" s="734">
        <v>100000</v>
      </c>
      <c r="F69" s="28"/>
      <c r="G69">
        <v>61</v>
      </c>
      <c r="H69" s="109">
        <v>1100.4886046916363</v>
      </c>
      <c r="I69" s="370">
        <v>708673.97855327383</v>
      </c>
      <c r="J69">
        <v>0</v>
      </c>
      <c r="K69">
        <v>0</v>
      </c>
      <c r="L69">
        <v>0</v>
      </c>
      <c r="M69">
        <v>1</v>
      </c>
      <c r="N69" s="109">
        <v>643.96303199509157</v>
      </c>
      <c r="O69" s="109">
        <v>-3318315.2979097338</v>
      </c>
      <c r="P69" s="365">
        <v>1</v>
      </c>
      <c r="Q69" s="365">
        <v>0</v>
      </c>
      <c r="R69" s="365">
        <v>0</v>
      </c>
      <c r="S69" s="365">
        <v>0</v>
      </c>
      <c r="T69" s="109">
        <v>-3015.3109116832211</v>
      </c>
      <c r="V69" s="368">
        <f t="shared" si="0"/>
        <v>54315756.25602854</v>
      </c>
      <c r="W69" s="30">
        <f t="shared" si="1"/>
        <v>58342745.53249155</v>
      </c>
      <c r="X69" s="30"/>
      <c r="Y69">
        <f t="shared" si="2"/>
        <v>0</v>
      </c>
      <c r="Z69">
        <f t="shared" si="3"/>
        <v>1</v>
      </c>
      <c r="AA69">
        <f t="shared" si="4"/>
        <v>0</v>
      </c>
      <c r="AB69">
        <f t="shared" si="5"/>
        <v>1</v>
      </c>
      <c r="AD69">
        <v>26000</v>
      </c>
      <c r="AE69">
        <v>0</v>
      </c>
      <c r="AF69">
        <v>1</v>
      </c>
      <c r="AG69">
        <v>0</v>
      </c>
      <c r="AH69">
        <v>1</v>
      </c>
    </row>
    <row r="70" spans="2:34" x14ac:dyDescent="0.3">
      <c r="B70" s="204"/>
      <c r="C70" s="716">
        <v>0</v>
      </c>
      <c r="D70" s="732">
        <f>D69*C71</f>
        <v>471400000</v>
      </c>
      <c r="E70" s="149"/>
      <c r="F70" s="28"/>
      <c r="G70">
        <v>62</v>
      </c>
      <c r="H70" s="109">
        <v>1230.0119452833969</v>
      </c>
      <c r="I70" s="370">
        <v>1656097.4733981842</v>
      </c>
      <c r="J70">
        <v>0</v>
      </c>
      <c r="K70">
        <v>0</v>
      </c>
      <c r="L70">
        <v>0</v>
      </c>
      <c r="M70">
        <v>1</v>
      </c>
      <c r="N70" s="109">
        <v>1346.4076342905892</v>
      </c>
      <c r="O70" s="109">
        <v>-2532795.1081525967</v>
      </c>
      <c r="P70" s="365">
        <v>1</v>
      </c>
      <c r="Q70" s="365">
        <v>0</v>
      </c>
      <c r="R70" s="365">
        <v>0</v>
      </c>
      <c r="S70" s="365">
        <v>0</v>
      </c>
      <c r="T70" s="109">
        <v>-2059.163016964877</v>
      </c>
      <c r="V70" s="368">
        <f t="shared" si="0"/>
        <v>59844499.790771663</v>
      </c>
      <c r="W70" s="30">
        <f t="shared" si="1"/>
        <v>64033392.372322448</v>
      </c>
      <c r="X70" s="30"/>
      <c r="Y70">
        <f t="shared" si="2"/>
        <v>0</v>
      </c>
      <c r="Z70">
        <f t="shared" si="3"/>
        <v>1</v>
      </c>
      <c r="AA70">
        <f t="shared" si="4"/>
        <v>0</v>
      </c>
      <c r="AB70">
        <f t="shared" si="5"/>
        <v>1</v>
      </c>
      <c r="AD70">
        <v>26500</v>
      </c>
      <c r="AE70">
        <v>0</v>
      </c>
      <c r="AF70">
        <v>1</v>
      </c>
      <c r="AG70">
        <v>0</v>
      </c>
      <c r="AH70">
        <v>1</v>
      </c>
    </row>
    <row r="71" spans="2:34" x14ac:dyDescent="0.3">
      <c r="B71" s="204" t="s">
        <v>1572</v>
      </c>
      <c r="C71" s="717">
        <v>4714</v>
      </c>
      <c r="D71" s="717">
        <f>C71+1E-100</f>
        <v>4714</v>
      </c>
      <c r="F71" s="28"/>
      <c r="G71">
        <v>63</v>
      </c>
      <c r="H71" s="109">
        <v>947.15322003660549</v>
      </c>
      <c r="I71" s="370">
        <v>807717.90376068873</v>
      </c>
      <c r="J71">
        <v>0</v>
      </c>
      <c r="K71">
        <v>0</v>
      </c>
      <c r="L71">
        <v>0</v>
      </c>
      <c r="M71">
        <v>1</v>
      </c>
      <c r="N71" s="109">
        <v>852.7848363641441</v>
      </c>
      <c r="O71" s="109">
        <v>-3630798.5164404716</v>
      </c>
      <c r="P71" s="365">
        <v>1</v>
      </c>
      <c r="Q71" s="365">
        <v>0</v>
      </c>
      <c r="R71" s="365">
        <v>0</v>
      </c>
      <c r="S71" s="365">
        <v>0</v>
      </c>
      <c r="T71" s="109">
        <v>-3833.3803228797015</v>
      </c>
      <c r="V71" s="368">
        <f t="shared" si="0"/>
        <v>46549943.098069586</v>
      </c>
      <c r="W71" s="30">
        <f t="shared" si="1"/>
        <v>50988459.518270746</v>
      </c>
      <c r="X71" s="30"/>
      <c r="Y71">
        <f t="shared" si="2"/>
        <v>0</v>
      </c>
      <c r="Z71">
        <f t="shared" si="3"/>
        <v>1</v>
      </c>
      <c r="AA71">
        <f t="shared" si="4"/>
        <v>0</v>
      </c>
      <c r="AB71">
        <f t="shared" si="5"/>
        <v>1</v>
      </c>
      <c r="AD71">
        <v>27000</v>
      </c>
      <c r="AE71">
        <v>0</v>
      </c>
      <c r="AF71">
        <v>1</v>
      </c>
      <c r="AG71">
        <v>0</v>
      </c>
      <c r="AH71">
        <v>1</v>
      </c>
    </row>
    <row r="72" spans="2:34" x14ac:dyDescent="0.3">
      <c r="F72" s="28"/>
      <c r="G72">
        <v>64</v>
      </c>
      <c r="H72" s="109">
        <v>1442.7633257617053</v>
      </c>
      <c r="I72" s="370">
        <v>1178865.7021073087</v>
      </c>
      <c r="J72">
        <v>0</v>
      </c>
      <c r="K72">
        <v>0</v>
      </c>
      <c r="L72">
        <v>0</v>
      </c>
      <c r="M72">
        <v>1</v>
      </c>
      <c r="N72" s="109">
        <v>817.08876366463483</v>
      </c>
      <c r="O72" s="109">
        <v>-3820018.6911909594</v>
      </c>
      <c r="P72" s="365">
        <v>1</v>
      </c>
      <c r="Q72" s="365">
        <v>0</v>
      </c>
      <c r="R72" s="365">
        <v>0</v>
      </c>
      <c r="S72" s="365">
        <v>0</v>
      </c>
      <c r="T72" s="109">
        <v>-2647.7098654931397</v>
      </c>
      <c r="V72" s="368">
        <f t="shared" si="0"/>
        <v>70959300.585977957</v>
      </c>
      <c r="W72" s="30">
        <f t="shared" si="1"/>
        <v>75958184.979276225</v>
      </c>
      <c r="X72" s="30"/>
      <c r="Y72">
        <f t="shared" si="2"/>
        <v>0</v>
      </c>
      <c r="Z72">
        <f t="shared" si="3"/>
        <v>1</v>
      </c>
      <c r="AA72">
        <f t="shared" si="4"/>
        <v>0</v>
      </c>
      <c r="AB72">
        <f t="shared" si="5"/>
        <v>1</v>
      </c>
      <c r="AD72">
        <v>27500</v>
      </c>
      <c r="AE72">
        <v>0</v>
      </c>
      <c r="AF72">
        <v>1</v>
      </c>
      <c r="AG72">
        <v>0</v>
      </c>
      <c r="AH72">
        <v>1</v>
      </c>
    </row>
    <row r="73" spans="2:34" x14ac:dyDescent="0.3">
      <c r="F73" s="28"/>
      <c r="G73">
        <v>65</v>
      </c>
      <c r="H73" s="109">
        <v>1353.3106116841591</v>
      </c>
      <c r="I73" s="370">
        <v>785268.65287298453</v>
      </c>
      <c r="J73">
        <v>0</v>
      </c>
      <c r="K73">
        <v>0</v>
      </c>
      <c r="L73">
        <v>0</v>
      </c>
      <c r="M73">
        <v>1</v>
      </c>
      <c r="N73" s="109">
        <v>580.25751523202689</v>
      </c>
      <c r="O73" s="109">
        <v>-5350934.9966826318</v>
      </c>
      <c r="P73" s="365">
        <v>1</v>
      </c>
      <c r="Q73" s="365">
        <v>0</v>
      </c>
      <c r="R73" s="365">
        <v>0</v>
      </c>
      <c r="S73" s="365">
        <v>0</v>
      </c>
      <c r="T73" s="109">
        <v>-3953.9592392788049</v>
      </c>
      <c r="V73" s="368">
        <f t="shared" ref="V73:V136" si="6">H73*WTPinput-I73</f>
        <v>66880261.931334965</v>
      </c>
      <c r="W73" s="30">
        <f t="shared" ref="W73:W136" si="7">H73*WTPinput-O73</f>
        <v>73016465.580890581</v>
      </c>
      <c r="X73" s="30"/>
      <c r="Y73">
        <f t="shared" si="2"/>
        <v>0</v>
      </c>
      <c r="Z73">
        <f t="shared" si="3"/>
        <v>1</v>
      </c>
      <c r="AA73">
        <f t="shared" si="4"/>
        <v>0</v>
      </c>
      <c r="AB73">
        <f t="shared" si="5"/>
        <v>1</v>
      </c>
      <c r="AD73">
        <v>28000</v>
      </c>
      <c r="AE73">
        <v>0</v>
      </c>
      <c r="AF73">
        <v>1</v>
      </c>
      <c r="AG73">
        <v>0</v>
      </c>
      <c r="AH73">
        <v>1</v>
      </c>
    </row>
    <row r="74" spans="2:34" x14ac:dyDescent="0.3">
      <c r="F74" s="28"/>
      <c r="G74">
        <v>66</v>
      </c>
      <c r="H74" s="109">
        <v>1138.2031079375374</v>
      </c>
      <c r="I74" s="370">
        <v>1041442.2474419581</v>
      </c>
      <c r="J74">
        <v>0</v>
      </c>
      <c r="K74">
        <v>0</v>
      </c>
      <c r="L74">
        <v>0</v>
      </c>
      <c r="M74">
        <v>1</v>
      </c>
      <c r="N74" s="109">
        <v>914.98805457409674</v>
      </c>
      <c r="O74" s="109">
        <v>-3039317.8692586212</v>
      </c>
      <c r="P74" s="365">
        <v>1</v>
      </c>
      <c r="Q74" s="365">
        <v>0</v>
      </c>
      <c r="R74" s="365">
        <v>0</v>
      </c>
      <c r="S74" s="365">
        <v>0</v>
      </c>
      <c r="T74" s="109">
        <v>-2670.2772537372248</v>
      </c>
      <c r="V74" s="368">
        <f t="shared" si="6"/>
        <v>55868713.149434917</v>
      </c>
      <c r="W74" s="30">
        <f t="shared" si="7"/>
        <v>59949473.266135491</v>
      </c>
      <c r="X74" s="30"/>
      <c r="Y74">
        <f t="shared" ref="Y74:Y137" si="8">IF(V74&lt;0,1,0)</f>
        <v>0</v>
      </c>
      <c r="Z74">
        <f t="shared" ref="Z74:Z137" si="9">IF(V74&gt;0,1,0)</f>
        <v>1</v>
      </c>
      <c r="AA74">
        <f t="shared" ref="AA74:AA137" si="10">IF(W74&lt;0,1,0)</f>
        <v>0</v>
      </c>
      <c r="AB74">
        <f t="shared" ref="AB74:AB137" si="11">IF(W74&gt;0,1,0)</f>
        <v>1</v>
      </c>
      <c r="AD74">
        <v>28500</v>
      </c>
      <c r="AE74">
        <v>0</v>
      </c>
      <c r="AF74">
        <v>1</v>
      </c>
      <c r="AG74">
        <v>0</v>
      </c>
      <c r="AH74">
        <v>1</v>
      </c>
    </row>
    <row r="75" spans="2:34" x14ac:dyDescent="0.3">
      <c r="F75" s="28"/>
      <c r="G75">
        <v>67</v>
      </c>
      <c r="H75" s="109">
        <v>1132.9869049384506</v>
      </c>
      <c r="I75" s="370">
        <v>1145604.2446541553</v>
      </c>
      <c r="J75">
        <v>0</v>
      </c>
      <c r="K75">
        <v>0</v>
      </c>
      <c r="L75">
        <v>0</v>
      </c>
      <c r="M75">
        <v>1</v>
      </c>
      <c r="N75" s="109">
        <v>1011.1363508798808</v>
      </c>
      <c r="O75" s="109">
        <v>-3428724.3717259993</v>
      </c>
      <c r="P75" s="365">
        <v>1</v>
      </c>
      <c r="Q75" s="365">
        <v>0</v>
      </c>
      <c r="R75" s="365">
        <v>0</v>
      </c>
      <c r="S75" s="365">
        <v>0</v>
      </c>
      <c r="T75" s="109">
        <v>-3026.2700802462182</v>
      </c>
      <c r="V75" s="368">
        <f t="shared" si="6"/>
        <v>55503741.002268374</v>
      </c>
      <c r="W75" s="30">
        <f t="shared" si="7"/>
        <v>60078069.618648529</v>
      </c>
      <c r="X75" s="30"/>
      <c r="Y75">
        <f t="shared" si="8"/>
        <v>0</v>
      </c>
      <c r="Z75">
        <f t="shared" si="9"/>
        <v>1</v>
      </c>
      <c r="AA75">
        <f t="shared" si="10"/>
        <v>0</v>
      </c>
      <c r="AB75">
        <f t="shared" si="11"/>
        <v>1</v>
      </c>
      <c r="AD75">
        <v>29000</v>
      </c>
      <c r="AE75">
        <v>0</v>
      </c>
      <c r="AF75">
        <v>1</v>
      </c>
      <c r="AG75">
        <v>0</v>
      </c>
      <c r="AH75">
        <v>1</v>
      </c>
    </row>
    <row r="76" spans="2:34" x14ac:dyDescent="0.3">
      <c r="F76" s="28"/>
      <c r="G76">
        <v>68</v>
      </c>
      <c r="H76" s="109">
        <v>1265.3446489809867</v>
      </c>
      <c r="I76" s="370">
        <v>1063422.5211678678</v>
      </c>
      <c r="J76">
        <v>0</v>
      </c>
      <c r="K76">
        <v>0</v>
      </c>
      <c r="L76">
        <v>0</v>
      </c>
      <c r="M76">
        <v>1</v>
      </c>
      <c r="N76" s="109">
        <v>840.42124177335268</v>
      </c>
      <c r="O76" s="109">
        <v>-3282601.4096733183</v>
      </c>
      <c r="P76" s="365">
        <v>1</v>
      </c>
      <c r="Q76" s="365">
        <v>0</v>
      </c>
      <c r="R76" s="365">
        <v>0</v>
      </c>
      <c r="S76" s="365">
        <v>0</v>
      </c>
      <c r="T76" s="109">
        <v>-2594.235027047278</v>
      </c>
      <c r="V76" s="368">
        <f t="shared" si="6"/>
        <v>62203809.927881464</v>
      </c>
      <c r="W76" s="30">
        <f t="shared" si="7"/>
        <v>66549833.85872265</v>
      </c>
      <c r="X76" s="30"/>
      <c r="Y76">
        <f t="shared" si="8"/>
        <v>0</v>
      </c>
      <c r="Z76">
        <f t="shared" si="9"/>
        <v>1</v>
      </c>
      <c r="AA76">
        <f t="shared" si="10"/>
        <v>0</v>
      </c>
      <c r="AB76">
        <f t="shared" si="11"/>
        <v>1</v>
      </c>
      <c r="AD76">
        <v>29500</v>
      </c>
      <c r="AE76">
        <v>0</v>
      </c>
      <c r="AF76">
        <v>1</v>
      </c>
      <c r="AG76">
        <v>0</v>
      </c>
      <c r="AH76">
        <v>1</v>
      </c>
    </row>
    <row r="77" spans="2:34" x14ac:dyDescent="0.3">
      <c r="F77" s="28"/>
      <c r="G77">
        <v>69</v>
      </c>
      <c r="H77" s="109">
        <v>1181.2013965139631</v>
      </c>
      <c r="I77" s="370">
        <v>310354.93766377692</v>
      </c>
      <c r="J77">
        <v>0</v>
      </c>
      <c r="K77">
        <v>0</v>
      </c>
      <c r="L77">
        <v>0</v>
      </c>
      <c r="M77">
        <v>1</v>
      </c>
      <c r="N77" s="109">
        <v>262.74514962454009</v>
      </c>
      <c r="O77" s="109">
        <v>-4891697.2593158837</v>
      </c>
      <c r="P77" s="365">
        <v>1</v>
      </c>
      <c r="Q77" s="365">
        <v>0</v>
      </c>
      <c r="R77" s="365">
        <v>0</v>
      </c>
      <c r="S77" s="365">
        <v>0</v>
      </c>
      <c r="T77" s="109">
        <v>-4141.289769680744</v>
      </c>
      <c r="V77" s="368">
        <f t="shared" si="6"/>
        <v>58749714.888034374</v>
      </c>
      <c r="W77" s="30">
        <f t="shared" si="7"/>
        <v>63951767.085014038</v>
      </c>
      <c r="X77" s="30"/>
      <c r="Y77">
        <f t="shared" si="8"/>
        <v>0</v>
      </c>
      <c r="Z77">
        <f t="shared" si="9"/>
        <v>1</v>
      </c>
      <c r="AA77">
        <f t="shared" si="10"/>
        <v>0</v>
      </c>
      <c r="AB77">
        <f t="shared" si="11"/>
        <v>1</v>
      </c>
      <c r="AD77">
        <v>30000</v>
      </c>
      <c r="AE77">
        <v>0</v>
      </c>
      <c r="AF77">
        <v>1</v>
      </c>
      <c r="AG77">
        <v>0</v>
      </c>
      <c r="AH77">
        <v>1</v>
      </c>
    </row>
    <row r="78" spans="2:34" x14ac:dyDescent="0.3">
      <c r="F78" s="28"/>
      <c r="G78">
        <v>70</v>
      </c>
      <c r="H78" s="109">
        <v>1131.2913857045496</v>
      </c>
      <c r="I78" s="370">
        <v>219657.55384259592</v>
      </c>
      <c r="J78">
        <v>0</v>
      </c>
      <c r="K78">
        <v>0</v>
      </c>
      <c r="L78">
        <v>0</v>
      </c>
      <c r="M78">
        <v>1</v>
      </c>
      <c r="N78" s="109">
        <v>194.16531993284545</v>
      </c>
      <c r="O78" s="109">
        <v>-4340596.5746347262</v>
      </c>
      <c r="P78" s="365">
        <v>1</v>
      </c>
      <c r="Q78" s="365">
        <v>0</v>
      </c>
      <c r="R78" s="365">
        <v>0</v>
      </c>
      <c r="S78" s="365">
        <v>0</v>
      </c>
      <c r="T78" s="109">
        <v>-3836.851079646005</v>
      </c>
      <c r="V78" s="368">
        <f t="shared" si="6"/>
        <v>56344911.731384881</v>
      </c>
      <c r="W78" s="30">
        <f t="shared" si="7"/>
        <v>60905165.859862201</v>
      </c>
      <c r="X78" s="30"/>
      <c r="Y78">
        <f t="shared" si="8"/>
        <v>0</v>
      </c>
      <c r="Z78">
        <f t="shared" si="9"/>
        <v>1</v>
      </c>
      <c r="AA78">
        <f t="shared" si="10"/>
        <v>0</v>
      </c>
      <c r="AB78">
        <f t="shared" si="11"/>
        <v>1</v>
      </c>
      <c r="AD78">
        <v>30500</v>
      </c>
      <c r="AE78">
        <v>0</v>
      </c>
      <c r="AF78">
        <v>1</v>
      </c>
      <c r="AG78">
        <v>0</v>
      </c>
      <c r="AH78">
        <v>1</v>
      </c>
    </row>
    <row r="79" spans="2:34" x14ac:dyDescent="0.3">
      <c r="F79" s="28"/>
      <c r="G79">
        <v>71</v>
      </c>
      <c r="H79" s="109">
        <v>1277.0127185123929</v>
      </c>
      <c r="I79" s="370">
        <v>1187649.5306511705</v>
      </c>
      <c r="J79">
        <v>0</v>
      </c>
      <c r="K79">
        <v>0</v>
      </c>
      <c r="L79">
        <v>0</v>
      </c>
      <c r="M79">
        <v>1</v>
      </c>
      <c r="N79" s="109">
        <v>930.02169315484764</v>
      </c>
      <c r="O79" s="109">
        <v>-3584306.0513936067</v>
      </c>
      <c r="P79" s="365">
        <v>1</v>
      </c>
      <c r="Q79" s="365">
        <v>0</v>
      </c>
      <c r="R79" s="365">
        <v>0</v>
      </c>
      <c r="S79" s="365">
        <v>0</v>
      </c>
      <c r="T79" s="109">
        <v>-2806.789626628783</v>
      </c>
      <c r="V79" s="368">
        <f t="shared" si="6"/>
        <v>62662986.39496848</v>
      </c>
      <c r="W79" s="30">
        <f t="shared" si="7"/>
        <v>67434941.97701326</v>
      </c>
      <c r="X79" s="30"/>
      <c r="Y79">
        <f t="shared" si="8"/>
        <v>0</v>
      </c>
      <c r="Z79">
        <f t="shared" si="9"/>
        <v>1</v>
      </c>
      <c r="AA79">
        <f t="shared" si="10"/>
        <v>0</v>
      </c>
      <c r="AB79">
        <f t="shared" si="11"/>
        <v>1</v>
      </c>
      <c r="AD79">
        <v>31000</v>
      </c>
      <c r="AE79">
        <v>0</v>
      </c>
      <c r="AF79">
        <v>1</v>
      </c>
      <c r="AG79">
        <v>0</v>
      </c>
      <c r="AH79">
        <v>1</v>
      </c>
    </row>
    <row r="80" spans="2:34" x14ac:dyDescent="0.3">
      <c r="F80" s="28"/>
      <c r="G80">
        <v>72</v>
      </c>
      <c r="H80" s="109">
        <v>1212.0911128258958</v>
      </c>
      <c r="I80" s="370">
        <v>903511.8855915881</v>
      </c>
      <c r="J80">
        <v>0</v>
      </c>
      <c r="K80">
        <v>0</v>
      </c>
      <c r="L80">
        <v>0</v>
      </c>
      <c r="M80">
        <v>1</v>
      </c>
      <c r="N80" s="109">
        <v>745.41581571794597</v>
      </c>
      <c r="O80" s="109">
        <v>-3672766.7337806872</v>
      </c>
      <c r="P80" s="365">
        <v>1</v>
      </c>
      <c r="Q80" s="365">
        <v>0</v>
      </c>
      <c r="R80" s="365">
        <v>0</v>
      </c>
      <c r="S80" s="365">
        <v>0</v>
      </c>
      <c r="T80" s="109">
        <v>-3030.107798759384</v>
      </c>
      <c r="V80" s="368">
        <f t="shared" si="6"/>
        <v>59701043.755703203</v>
      </c>
      <c r="W80" s="30">
        <f t="shared" si="7"/>
        <v>64277322.375075482</v>
      </c>
      <c r="X80" s="30"/>
      <c r="Y80">
        <f t="shared" si="8"/>
        <v>0</v>
      </c>
      <c r="Z80">
        <f t="shared" si="9"/>
        <v>1</v>
      </c>
      <c r="AA80">
        <f t="shared" si="10"/>
        <v>0</v>
      </c>
      <c r="AB80">
        <f t="shared" si="11"/>
        <v>1</v>
      </c>
      <c r="AD80">
        <v>31500</v>
      </c>
      <c r="AE80">
        <v>0</v>
      </c>
      <c r="AF80">
        <v>1</v>
      </c>
      <c r="AG80">
        <v>0</v>
      </c>
      <c r="AH80">
        <v>1</v>
      </c>
    </row>
    <row r="81" spans="6:34" x14ac:dyDescent="0.3">
      <c r="F81" s="28"/>
      <c r="G81">
        <v>73</v>
      </c>
      <c r="H81" s="109">
        <v>1009.8557147082538</v>
      </c>
      <c r="I81" s="370">
        <v>1031820.4499309032</v>
      </c>
      <c r="J81">
        <v>0</v>
      </c>
      <c r="K81">
        <v>0</v>
      </c>
      <c r="L81">
        <v>0</v>
      </c>
      <c r="M81">
        <v>1</v>
      </c>
      <c r="N81" s="109">
        <v>1021.7503697832665</v>
      </c>
      <c r="O81" s="109">
        <v>-3604127.0889766593</v>
      </c>
      <c r="P81" s="365">
        <v>1</v>
      </c>
      <c r="Q81" s="365">
        <v>0</v>
      </c>
      <c r="R81" s="365">
        <v>0</v>
      </c>
      <c r="S81" s="365">
        <v>0</v>
      </c>
      <c r="T81" s="109">
        <v>-3568.9525112187812</v>
      </c>
      <c r="V81" s="368">
        <f t="shared" si="6"/>
        <v>49460965.285481781</v>
      </c>
      <c r="W81" s="30">
        <f t="shared" si="7"/>
        <v>54096912.824389346</v>
      </c>
      <c r="X81" s="30"/>
      <c r="Y81">
        <f t="shared" si="8"/>
        <v>0</v>
      </c>
      <c r="Z81">
        <f t="shared" si="9"/>
        <v>1</v>
      </c>
      <c r="AA81">
        <f t="shared" si="10"/>
        <v>0</v>
      </c>
      <c r="AB81">
        <f t="shared" si="11"/>
        <v>1</v>
      </c>
      <c r="AD81">
        <v>32000</v>
      </c>
      <c r="AE81">
        <v>0</v>
      </c>
      <c r="AF81">
        <v>1</v>
      </c>
      <c r="AG81">
        <v>0</v>
      </c>
      <c r="AH81">
        <v>1</v>
      </c>
    </row>
    <row r="82" spans="6:34" x14ac:dyDescent="0.3">
      <c r="F82" s="28"/>
      <c r="G82">
        <v>74</v>
      </c>
      <c r="H82" s="109">
        <v>1032.3593923773005</v>
      </c>
      <c r="I82" s="370">
        <v>863842.43276020314</v>
      </c>
      <c r="J82">
        <v>0</v>
      </c>
      <c r="K82">
        <v>0</v>
      </c>
      <c r="L82">
        <v>0</v>
      </c>
      <c r="M82">
        <v>1</v>
      </c>
      <c r="N82" s="109">
        <v>836.76521871996601</v>
      </c>
      <c r="O82" s="109">
        <v>-3138971.0357430568</v>
      </c>
      <c r="P82" s="365">
        <v>1</v>
      </c>
      <c r="Q82" s="365">
        <v>0</v>
      </c>
      <c r="R82" s="365">
        <v>0</v>
      </c>
      <c r="S82" s="365">
        <v>0</v>
      </c>
      <c r="T82" s="109">
        <v>-3040.5797234184938</v>
      </c>
      <c r="V82" s="368">
        <f t="shared" si="6"/>
        <v>50754127.186104827</v>
      </c>
      <c r="W82" s="30">
        <f t="shared" si="7"/>
        <v>54756940.654608086</v>
      </c>
      <c r="X82" s="30"/>
      <c r="Y82">
        <f t="shared" si="8"/>
        <v>0</v>
      </c>
      <c r="Z82">
        <f t="shared" si="9"/>
        <v>1</v>
      </c>
      <c r="AA82">
        <f t="shared" si="10"/>
        <v>0</v>
      </c>
      <c r="AB82">
        <f t="shared" si="11"/>
        <v>1</v>
      </c>
      <c r="AD82">
        <v>32500</v>
      </c>
      <c r="AE82">
        <v>0</v>
      </c>
      <c r="AF82">
        <v>1</v>
      </c>
      <c r="AG82">
        <v>0</v>
      </c>
      <c r="AH82">
        <v>1</v>
      </c>
    </row>
    <row r="83" spans="6:34" x14ac:dyDescent="0.3">
      <c r="F83" s="28"/>
      <c r="G83">
        <v>75</v>
      </c>
      <c r="H83" s="109">
        <v>1113.7392212108243</v>
      </c>
      <c r="I83" s="370">
        <v>349730.16470049956</v>
      </c>
      <c r="J83">
        <v>0</v>
      </c>
      <c r="K83">
        <v>0</v>
      </c>
      <c r="L83">
        <v>0</v>
      </c>
      <c r="M83">
        <v>1</v>
      </c>
      <c r="N83" s="109">
        <v>314.01441023176255</v>
      </c>
      <c r="O83" s="109">
        <v>-4268649.6879445128</v>
      </c>
      <c r="P83" s="365">
        <v>1</v>
      </c>
      <c r="Q83" s="365">
        <v>0</v>
      </c>
      <c r="R83" s="365">
        <v>0</v>
      </c>
      <c r="S83" s="365">
        <v>0</v>
      </c>
      <c r="T83" s="109">
        <v>-3832.7191919341435</v>
      </c>
      <c r="V83" s="368">
        <f t="shared" si="6"/>
        <v>55337230.895840712</v>
      </c>
      <c r="W83" s="30">
        <f t="shared" si="7"/>
        <v>59955610.748485729</v>
      </c>
      <c r="X83" s="30"/>
      <c r="Y83">
        <f t="shared" si="8"/>
        <v>0</v>
      </c>
      <c r="Z83">
        <f t="shared" si="9"/>
        <v>1</v>
      </c>
      <c r="AA83">
        <f t="shared" si="10"/>
        <v>0</v>
      </c>
      <c r="AB83">
        <f t="shared" si="11"/>
        <v>1</v>
      </c>
      <c r="AD83">
        <v>33000</v>
      </c>
      <c r="AE83">
        <v>0</v>
      </c>
      <c r="AF83">
        <v>1</v>
      </c>
      <c r="AG83">
        <v>0</v>
      </c>
      <c r="AH83">
        <v>1</v>
      </c>
    </row>
    <row r="84" spans="6:34" x14ac:dyDescent="0.3">
      <c r="F84" s="28"/>
      <c r="G84">
        <v>76</v>
      </c>
      <c r="H84" s="109">
        <v>1292.4962521006964</v>
      </c>
      <c r="I84" s="370">
        <v>923481.86070456542</v>
      </c>
      <c r="J84">
        <v>0</v>
      </c>
      <c r="K84">
        <v>0</v>
      </c>
      <c r="L84">
        <v>0</v>
      </c>
      <c r="M84">
        <v>1</v>
      </c>
      <c r="N84" s="109">
        <v>714.49480739586568</v>
      </c>
      <c r="O84" s="109">
        <v>-4048260.3539546793</v>
      </c>
      <c r="P84" s="365">
        <v>1</v>
      </c>
      <c r="Q84" s="365">
        <v>0</v>
      </c>
      <c r="R84" s="365">
        <v>0</v>
      </c>
      <c r="S84" s="365">
        <v>0</v>
      </c>
      <c r="T84" s="109">
        <v>-3132.1254103252018</v>
      </c>
      <c r="V84" s="368">
        <f t="shared" si="6"/>
        <v>63701330.744330257</v>
      </c>
      <c r="W84" s="30">
        <f t="shared" si="7"/>
        <v>68673072.958989501</v>
      </c>
      <c r="X84" s="30"/>
      <c r="Y84">
        <f t="shared" si="8"/>
        <v>0</v>
      </c>
      <c r="Z84">
        <f t="shared" si="9"/>
        <v>1</v>
      </c>
      <c r="AA84">
        <f t="shared" si="10"/>
        <v>0</v>
      </c>
      <c r="AB84">
        <f t="shared" si="11"/>
        <v>1</v>
      </c>
      <c r="AD84">
        <v>33500</v>
      </c>
      <c r="AE84">
        <v>0</v>
      </c>
      <c r="AF84">
        <v>1</v>
      </c>
      <c r="AG84">
        <v>0</v>
      </c>
      <c r="AH84">
        <v>1</v>
      </c>
    </row>
    <row r="85" spans="6:34" x14ac:dyDescent="0.3">
      <c r="F85" s="28"/>
      <c r="G85">
        <v>77</v>
      </c>
      <c r="H85" s="109">
        <v>916.25761026809778</v>
      </c>
      <c r="I85" s="370">
        <v>1499938.4312245338</v>
      </c>
      <c r="J85">
        <v>0</v>
      </c>
      <c r="K85">
        <v>0</v>
      </c>
      <c r="L85">
        <v>0</v>
      </c>
      <c r="M85">
        <v>1</v>
      </c>
      <c r="N85" s="109">
        <v>1637.0269828216221</v>
      </c>
      <c r="O85" s="109">
        <v>-2069421.6561138963</v>
      </c>
      <c r="P85" s="365">
        <v>1</v>
      </c>
      <c r="Q85" s="365">
        <v>0</v>
      </c>
      <c r="R85" s="365">
        <v>0</v>
      </c>
      <c r="S85" s="365">
        <v>0</v>
      </c>
      <c r="T85" s="109">
        <v>-2258.558764394199</v>
      </c>
      <c r="V85" s="368">
        <f t="shared" si="6"/>
        <v>44312942.082180358</v>
      </c>
      <c r="W85" s="30">
        <f t="shared" si="7"/>
        <v>47882302.169518784</v>
      </c>
      <c r="X85" s="30"/>
      <c r="Y85">
        <f t="shared" si="8"/>
        <v>0</v>
      </c>
      <c r="Z85">
        <f t="shared" si="9"/>
        <v>1</v>
      </c>
      <c r="AA85">
        <f t="shared" si="10"/>
        <v>0</v>
      </c>
      <c r="AB85">
        <f t="shared" si="11"/>
        <v>1</v>
      </c>
      <c r="AD85">
        <v>34000</v>
      </c>
      <c r="AE85">
        <v>0</v>
      </c>
      <c r="AF85">
        <v>1</v>
      </c>
      <c r="AG85">
        <v>0</v>
      </c>
      <c r="AH85">
        <v>1</v>
      </c>
    </row>
    <row r="86" spans="6:34" x14ac:dyDescent="0.3">
      <c r="F86" s="28"/>
      <c r="G86">
        <v>78</v>
      </c>
      <c r="H86" s="109">
        <v>1222.4150016255953</v>
      </c>
      <c r="I86" s="370">
        <v>1843905.1581550555</v>
      </c>
      <c r="J86">
        <v>0</v>
      </c>
      <c r="K86">
        <v>0</v>
      </c>
      <c r="L86">
        <v>0</v>
      </c>
      <c r="M86">
        <v>1</v>
      </c>
      <c r="N86" s="109">
        <v>1508.411755175606</v>
      </c>
      <c r="O86" s="109">
        <v>-2855447.8164111599</v>
      </c>
      <c r="P86" s="365">
        <v>1</v>
      </c>
      <c r="Q86" s="365">
        <v>0</v>
      </c>
      <c r="R86" s="365">
        <v>0</v>
      </c>
      <c r="S86" s="365">
        <v>0</v>
      </c>
      <c r="T86" s="109">
        <v>-2335.9070467999168</v>
      </c>
      <c r="V86" s="368">
        <f t="shared" si="6"/>
        <v>59276844.923124716</v>
      </c>
      <c r="W86" s="30">
        <f t="shared" si="7"/>
        <v>63976197.897690929</v>
      </c>
      <c r="X86" s="30"/>
      <c r="Y86">
        <f t="shared" si="8"/>
        <v>0</v>
      </c>
      <c r="Z86">
        <f t="shared" si="9"/>
        <v>1</v>
      </c>
      <c r="AA86">
        <f t="shared" si="10"/>
        <v>0</v>
      </c>
      <c r="AB86">
        <f t="shared" si="11"/>
        <v>1</v>
      </c>
      <c r="AD86">
        <v>34500</v>
      </c>
      <c r="AE86">
        <v>0</v>
      </c>
      <c r="AF86">
        <v>1</v>
      </c>
      <c r="AG86">
        <v>0</v>
      </c>
      <c r="AH86">
        <v>1</v>
      </c>
    </row>
    <row r="87" spans="6:34" x14ac:dyDescent="0.3">
      <c r="F87" s="28"/>
      <c r="G87">
        <v>79</v>
      </c>
      <c r="H87" s="109">
        <v>1119.9464038315782</v>
      </c>
      <c r="I87" s="370">
        <v>1567558.3072206737</v>
      </c>
      <c r="J87">
        <v>0</v>
      </c>
      <c r="K87">
        <v>0</v>
      </c>
      <c r="L87">
        <v>0</v>
      </c>
      <c r="M87">
        <v>1</v>
      </c>
      <c r="N87" s="109">
        <v>1399.6726109907747</v>
      </c>
      <c r="O87" s="109">
        <v>-2509159.6892845752</v>
      </c>
      <c r="P87" s="365">
        <v>1</v>
      </c>
      <c r="Q87" s="365">
        <v>0</v>
      </c>
      <c r="R87" s="365">
        <v>0</v>
      </c>
      <c r="S87" s="365">
        <v>0</v>
      </c>
      <c r="T87" s="109">
        <v>-2240.4283639825967</v>
      </c>
      <c r="V87" s="368">
        <f t="shared" si="6"/>
        <v>54429761.884358235</v>
      </c>
      <c r="W87" s="30">
        <f t="shared" si="7"/>
        <v>58506479.880863488</v>
      </c>
      <c r="X87" s="30"/>
      <c r="Y87">
        <f t="shared" si="8"/>
        <v>0</v>
      </c>
      <c r="Z87">
        <f t="shared" si="9"/>
        <v>1</v>
      </c>
      <c r="AA87">
        <f t="shared" si="10"/>
        <v>0</v>
      </c>
      <c r="AB87">
        <f t="shared" si="11"/>
        <v>1</v>
      </c>
      <c r="AD87">
        <v>35000</v>
      </c>
      <c r="AE87">
        <v>0</v>
      </c>
      <c r="AF87">
        <v>1</v>
      </c>
      <c r="AG87">
        <v>0</v>
      </c>
      <c r="AH87">
        <v>1</v>
      </c>
    </row>
    <row r="88" spans="6:34" x14ac:dyDescent="0.3">
      <c r="F88" s="28"/>
      <c r="G88">
        <v>80</v>
      </c>
      <c r="H88" s="109">
        <v>1225.0987353631572</v>
      </c>
      <c r="I88" s="370">
        <v>1165876.1276855844</v>
      </c>
      <c r="J88">
        <v>0</v>
      </c>
      <c r="K88">
        <v>0</v>
      </c>
      <c r="L88">
        <v>0</v>
      </c>
      <c r="M88">
        <v>1</v>
      </c>
      <c r="N88" s="109">
        <v>951.65891044690579</v>
      </c>
      <c r="O88" s="109">
        <v>-2740556.9988968107</v>
      </c>
      <c r="P88" s="365">
        <v>1</v>
      </c>
      <c r="Q88" s="365">
        <v>0</v>
      </c>
      <c r="R88" s="365">
        <v>0</v>
      </c>
      <c r="S88" s="365">
        <v>0</v>
      </c>
      <c r="T88" s="109">
        <v>-2237.0090832592564</v>
      </c>
      <c r="V88" s="368">
        <f t="shared" si="6"/>
        <v>60089060.640472278</v>
      </c>
      <c r="W88" s="30">
        <f t="shared" si="7"/>
        <v>63995493.76705467</v>
      </c>
      <c r="X88" s="30"/>
      <c r="Y88">
        <f t="shared" si="8"/>
        <v>0</v>
      </c>
      <c r="Z88">
        <f t="shared" si="9"/>
        <v>1</v>
      </c>
      <c r="AA88">
        <f t="shared" si="10"/>
        <v>0</v>
      </c>
      <c r="AB88">
        <f t="shared" si="11"/>
        <v>1</v>
      </c>
      <c r="AD88">
        <v>35500</v>
      </c>
      <c r="AE88">
        <v>0</v>
      </c>
      <c r="AF88">
        <v>1</v>
      </c>
      <c r="AG88">
        <v>0</v>
      </c>
      <c r="AH88">
        <v>1</v>
      </c>
    </row>
    <row r="89" spans="6:34" x14ac:dyDescent="0.3">
      <c r="F89" s="28"/>
      <c r="G89">
        <v>81</v>
      </c>
      <c r="H89" s="109">
        <v>1118.3183270530353</v>
      </c>
      <c r="I89" s="370">
        <v>2084736.8395884742</v>
      </c>
      <c r="J89">
        <v>0</v>
      </c>
      <c r="K89">
        <v>0</v>
      </c>
      <c r="L89">
        <v>0</v>
      </c>
      <c r="M89">
        <v>1</v>
      </c>
      <c r="N89" s="109">
        <v>1864.1712195508062</v>
      </c>
      <c r="O89" s="109">
        <v>-2044487.5933580259</v>
      </c>
      <c r="P89" s="365">
        <v>1</v>
      </c>
      <c r="Q89" s="365">
        <v>0</v>
      </c>
      <c r="R89" s="365">
        <v>0</v>
      </c>
      <c r="S89" s="365">
        <v>0</v>
      </c>
      <c r="T89" s="109">
        <v>-1828.1803524991035</v>
      </c>
      <c r="V89" s="368">
        <f t="shared" si="6"/>
        <v>53831179.513063297</v>
      </c>
      <c r="W89" s="30">
        <f t="shared" si="7"/>
        <v>57960403.946009792</v>
      </c>
      <c r="X89" s="30"/>
      <c r="Y89">
        <f t="shared" si="8"/>
        <v>0</v>
      </c>
      <c r="Z89">
        <f t="shared" si="9"/>
        <v>1</v>
      </c>
      <c r="AA89">
        <f t="shared" si="10"/>
        <v>0</v>
      </c>
      <c r="AB89">
        <f t="shared" si="11"/>
        <v>1</v>
      </c>
      <c r="AD89">
        <v>36000</v>
      </c>
      <c r="AE89">
        <v>0</v>
      </c>
      <c r="AF89">
        <v>1</v>
      </c>
      <c r="AG89">
        <v>0</v>
      </c>
      <c r="AH89">
        <v>1</v>
      </c>
    </row>
    <row r="90" spans="6:34" x14ac:dyDescent="0.3">
      <c r="F90" s="28"/>
      <c r="G90">
        <v>82</v>
      </c>
      <c r="H90" s="109">
        <v>1234.2609532785355</v>
      </c>
      <c r="I90" s="370">
        <v>2044142.0548488109</v>
      </c>
      <c r="J90">
        <v>0</v>
      </c>
      <c r="K90">
        <v>0</v>
      </c>
      <c r="L90">
        <v>0</v>
      </c>
      <c r="M90">
        <v>1</v>
      </c>
      <c r="N90" s="109">
        <v>1656.1668336173232</v>
      </c>
      <c r="O90" s="109">
        <v>-2936564.9079638468</v>
      </c>
      <c r="P90" s="365">
        <v>1</v>
      </c>
      <c r="Q90" s="365">
        <v>0</v>
      </c>
      <c r="R90" s="365">
        <v>0</v>
      </c>
      <c r="S90" s="365">
        <v>0</v>
      </c>
      <c r="T90" s="109">
        <v>-2379.2091130838462</v>
      </c>
      <c r="V90" s="368">
        <f t="shared" si="6"/>
        <v>59668905.60907796</v>
      </c>
      <c r="W90" s="30">
        <f t="shared" si="7"/>
        <v>64649612.571890622</v>
      </c>
      <c r="X90" s="30"/>
      <c r="Y90">
        <f t="shared" si="8"/>
        <v>0</v>
      </c>
      <c r="Z90">
        <f t="shared" si="9"/>
        <v>1</v>
      </c>
      <c r="AA90">
        <f t="shared" si="10"/>
        <v>0</v>
      </c>
      <c r="AB90">
        <f t="shared" si="11"/>
        <v>1</v>
      </c>
      <c r="AD90">
        <v>36500</v>
      </c>
      <c r="AE90">
        <v>0</v>
      </c>
      <c r="AF90">
        <v>1</v>
      </c>
      <c r="AG90">
        <v>0</v>
      </c>
      <c r="AH90">
        <v>1</v>
      </c>
    </row>
    <row r="91" spans="6:34" x14ac:dyDescent="0.3">
      <c r="F91" s="28"/>
      <c r="G91">
        <v>83</v>
      </c>
      <c r="H91" s="109">
        <v>1109.4269073429823</v>
      </c>
      <c r="I91" s="370">
        <v>1510631.6080392271</v>
      </c>
      <c r="J91">
        <v>0</v>
      </c>
      <c r="K91">
        <v>0</v>
      </c>
      <c r="L91">
        <v>0</v>
      </c>
      <c r="M91">
        <v>1</v>
      </c>
      <c r="N91" s="109">
        <v>1361.6323869925857</v>
      </c>
      <c r="O91" s="109">
        <v>-2741831.7039543889</v>
      </c>
      <c r="P91" s="365">
        <v>1</v>
      </c>
      <c r="Q91" s="365">
        <v>0</v>
      </c>
      <c r="R91" s="365">
        <v>0</v>
      </c>
      <c r="S91" s="365">
        <v>0</v>
      </c>
      <c r="T91" s="109">
        <v>-2471.3946324962753</v>
      </c>
      <c r="V91" s="368">
        <f t="shared" si="6"/>
        <v>53960713.759109885</v>
      </c>
      <c r="W91" s="30">
        <f t="shared" si="7"/>
        <v>58213177.071103506</v>
      </c>
      <c r="X91" s="30"/>
      <c r="Y91">
        <f t="shared" si="8"/>
        <v>0</v>
      </c>
      <c r="Z91">
        <f t="shared" si="9"/>
        <v>1</v>
      </c>
      <c r="AA91">
        <f t="shared" si="10"/>
        <v>0</v>
      </c>
      <c r="AB91">
        <f t="shared" si="11"/>
        <v>1</v>
      </c>
      <c r="AD91">
        <v>37000</v>
      </c>
      <c r="AE91">
        <v>0</v>
      </c>
      <c r="AF91">
        <v>1</v>
      </c>
      <c r="AG91">
        <v>0</v>
      </c>
      <c r="AH91">
        <v>1</v>
      </c>
    </row>
    <row r="92" spans="6:34" x14ac:dyDescent="0.3">
      <c r="F92" s="28"/>
      <c r="G92">
        <v>84</v>
      </c>
      <c r="H92" s="109">
        <v>1149.414977446897</v>
      </c>
      <c r="I92" s="370">
        <v>742608.40580108354</v>
      </c>
      <c r="J92">
        <v>0</v>
      </c>
      <c r="K92">
        <v>0</v>
      </c>
      <c r="L92">
        <v>0</v>
      </c>
      <c r="M92">
        <v>1</v>
      </c>
      <c r="N92" s="109">
        <v>646.07510809592884</v>
      </c>
      <c r="O92" s="109">
        <v>-2878126.2904854598</v>
      </c>
      <c r="P92" s="365">
        <v>1</v>
      </c>
      <c r="Q92" s="365">
        <v>0</v>
      </c>
      <c r="R92" s="365">
        <v>0</v>
      </c>
      <c r="S92" s="365">
        <v>0</v>
      </c>
      <c r="T92" s="109">
        <v>-2503.99233258506</v>
      </c>
      <c r="V92" s="368">
        <f t="shared" si="6"/>
        <v>56728140.466543771</v>
      </c>
      <c r="W92" s="30">
        <f t="shared" si="7"/>
        <v>60348875.162830308</v>
      </c>
      <c r="X92" s="30"/>
      <c r="Y92">
        <f t="shared" si="8"/>
        <v>0</v>
      </c>
      <c r="Z92">
        <f t="shared" si="9"/>
        <v>1</v>
      </c>
      <c r="AA92">
        <f t="shared" si="10"/>
        <v>0</v>
      </c>
      <c r="AB92">
        <f t="shared" si="11"/>
        <v>1</v>
      </c>
      <c r="AD92">
        <v>37500</v>
      </c>
      <c r="AE92">
        <v>0</v>
      </c>
      <c r="AF92">
        <v>1</v>
      </c>
      <c r="AG92">
        <v>0</v>
      </c>
      <c r="AH92">
        <v>1</v>
      </c>
    </row>
    <row r="93" spans="6:34" x14ac:dyDescent="0.3">
      <c r="F93" s="28"/>
      <c r="G93">
        <v>85</v>
      </c>
      <c r="H93" s="109">
        <v>1512.0836002719661</v>
      </c>
      <c r="I93" s="370">
        <v>1329874.9388935806</v>
      </c>
      <c r="J93">
        <v>0</v>
      </c>
      <c r="K93">
        <v>0</v>
      </c>
      <c r="L93">
        <v>0</v>
      </c>
      <c r="M93">
        <v>1</v>
      </c>
      <c r="N93" s="109">
        <v>879.49828875492517</v>
      </c>
      <c r="O93" s="109">
        <v>-4972134.3383978754</v>
      </c>
      <c r="P93" s="365">
        <v>1</v>
      </c>
      <c r="Q93" s="365">
        <v>0</v>
      </c>
      <c r="R93" s="365">
        <v>0</v>
      </c>
      <c r="S93" s="365">
        <v>0</v>
      </c>
      <c r="T93" s="109">
        <v>-3288.2668243366825</v>
      </c>
      <c r="V93" s="368">
        <f t="shared" si="6"/>
        <v>74274305.074704722</v>
      </c>
      <c r="W93" s="30">
        <f t="shared" si="7"/>
        <v>80576314.351996183</v>
      </c>
      <c r="X93" s="30"/>
      <c r="Y93">
        <f t="shared" si="8"/>
        <v>0</v>
      </c>
      <c r="Z93">
        <f t="shared" si="9"/>
        <v>1</v>
      </c>
      <c r="AA93">
        <f t="shared" si="10"/>
        <v>0</v>
      </c>
      <c r="AB93">
        <f t="shared" si="11"/>
        <v>1</v>
      </c>
      <c r="AD93">
        <v>38000</v>
      </c>
      <c r="AE93">
        <v>0</v>
      </c>
      <c r="AF93">
        <v>1</v>
      </c>
      <c r="AG93">
        <v>0</v>
      </c>
      <c r="AH93">
        <v>1</v>
      </c>
    </row>
    <row r="94" spans="6:34" x14ac:dyDescent="0.3">
      <c r="F94" s="28"/>
      <c r="G94">
        <v>86</v>
      </c>
      <c r="H94" s="109">
        <v>1139.9905629323403</v>
      </c>
      <c r="I94" s="370">
        <v>994214.87049941544</v>
      </c>
      <c r="J94">
        <v>0</v>
      </c>
      <c r="K94">
        <v>0</v>
      </c>
      <c r="L94">
        <v>0</v>
      </c>
      <c r="M94">
        <v>1</v>
      </c>
      <c r="N94" s="109">
        <v>872.12552702370328</v>
      </c>
      <c r="O94" s="109">
        <v>-4219715.927146974</v>
      </c>
      <c r="P94" s="365">
        <v>1</v>
      </c>
      <c r="Q94" s="365">
        <v>0</v>
      </c>
      <c r="R94" s="365">
        <v>0</v>
      </c>
      <c r="S94" s="365">
        <v>0</v>
      </c>
      <c r="T94" s="109">
        <v>-3701.5358410448694</v>
      </c>
      <c r="V94" s="368">
        <f t="shared" si="6"/>
        <v>56005313.276117593</v>
      </c>
      <c r="W94" s="30">
        <f t="shared" si="7"/>
        <v>61219244.073763981</v>
      </c>
      <c r="X94" s="30"/>
      <c r="Y94">
        <f t="shared" si="8"/>
        <v>0</v>
      </c>
      <c r="Z94">
        <f t="shared" si="9"/>
        <v>1</v>
      </c>
      <c r="AA94">
        <f t="shared" si="10"/>
        <v>0</v>
      </c>
      <c r="AB94">
        <f t="shared" si="11"/>
        <v>1</v>
      </c>
      <c r="AD94">
        <v>38500</v>
      </c>
      <c r="AE94">
        <v>0</v>
      </c>
      <c r="AF94">
        <v>1</v>
      </c>
      <c r="AG94">
        <v>0</v>
      </c>
      <c r="AH94">
        <v>1</v>
      </c>
    </row>
    <row r="95" spans="6:34" x14ac:dyDescent="0.3">
      <c r="F95" s="28"/>
      <c r="G95">
        <v>87</v>
      </c>
      <c r="H95" s="109">
        <v>1270.6427403320413</v>
      </c>
      <c r="I95" s="370">
        <v>773783.25653949159</v>
      </c>
      <c r="J95">
        <v>0</v>
      </c>
      <c r="K95">
        <v>0</v>
      </c>
      <c r="L95">
        <v>0</v>
      </c>
      <c r="M95">
        <v>1</v>
      </c>
      <c r="N95" s="109">
        <v>608.96995825694353</v>
      </c>
      <c r="O95" s="109">
        <v>-3925995.4892348177</v>
      </c>
      <c r="P95" s="365">
        <v>1</v>
      </c>
      <c r="Q95" s="365">
        <v>0</v>
      </c>
      <c r="R95" s="365">
        <v>0</v>
      </c>
      <c r="S95" s="365">
        <v>0</v>
      </c>
      <c r="T95" s="109">
        <v>-3089.7713138540312</v>
      </c>
      <c r="V95" s="368">
        <f t="shared" si="6"/>
        <v>62758353.760062568</v>
      </c>
      <c r="W95" s="30">
        <f t="shared" si="7"/>
        <v>67458132.505836874</v>
      </c>
      <c r="X95" s="30"/>
      <c r="Y95">
        <f t="shared" si="8"/>
        <v>0</v>
      </c>
      <c r="Z95">
        <f t="shared" si="9"/>
        <v>1</v>
      </c>
      <c r="AA95">
        <f t="shared" si="10"/>
        <v>0</v>
      </c>
      <c r="AB95">
        <f t="shared" si="11"/>
        <v>1</v>
      </c>
      <c r="AD95">
        <v>39000</v>
      </c>
      <c r="AE95">
        <v>0</v>
      </c>
      <c r="AF95">
        <v>1</v>
      </c>
      <c r="AG95">
        <v>0</v>
      </c>
      <c r="AH95">
        <v>1</v>
      </c>
    </row>
    <row r="96" spans="6:34" x14ac:dyDescent="0.3">
      <c r="F96" s="28"/>
      <c r="G96">
        <v>88</v>
      </c>
      <c r="H96" s="109">
        <v>1298.0950328345061</v>
      </c>
      <c r="I96" s="370">
        <v>1067373.8316392938</v>
      </c>
      <c r="J96">
        <v>0</v>
      </c>
      <c r="K96">
        <v>0</v>
      </c>
      <c r="L96">
        <v>0</v>
      </c>
      <c r="M96">
        <v>1</v>
      </c>
      <c r="N96" s="109">
        <v>822.26170244915579</v>
      </c>
      <c r="O96" s="109">
        <v>-4176219.4924408835</v>
      </c>
      <c r="P96" s="365">
        <v>1</v>
      </c>
      <c r="Q96" s="365">
        <v>0</v>
      </c>
      <c r="R96" s="365">
        <v>0</v>
      </c>
      <c r="S96" s="365">
        <v>0</v>
      </c>
      <c r="T96" s="109">
        <v>-3217.1908733998744</v>
      </c>
      <c r="V96" s="368">
        <f t="shared" si="6"/>
        <v>63837377.810086012</v>
      </c>
      <c r="W96" s="30">
        <f t="shared" si="7"/>
        <v>69080971.134166196</v>
      </c>
      <c r="X96" s="30"/>
      <c r="Y96">
        <f t="shared" si="8"/>
        <v>0</v>
      </c>
      <c r="Z96">
        <f t="shared" si="9"/>
        <v>1</v>
      </c>
      <c r="AA96">
        <f t="shared" si="10"/>
        <v>0</v>
      </c>
      <c r="AB96">
        <f t="shared" si="11"/>
        <v>1</v>
      </c>
      <c r="AD96">
        <v>39500</v>
      </c>
      <c r="AE96">
        <v>0</v>
      </c>
      <c r="AF96">
        <v>1</v>
      </c>
      <c r="AG96">
        <v>0</v>
      </c>
      <c r="AH96">
        <v>1</v>
      </c>
    </row>
    <row r="97" spans="6:34" x14ac:dyDescent="0.3">
      <c r="F97" s="28"/>
      <c r="G97">
        <v>89</v>
      </c>
      <c r="H97" s="109">
        <v>1256.5044036122854</v>
      </c>
      <c r="I97" s="370">
        <v>1663417.4106213215</v>
      </c>
      <c r="J97">
        <v>0</v>
      </c>
      <c r="K97">
        <v>0</v>
      </c>
      <c r="L97">
        <v>0</v>
      </c>
      <c r="M97">
        <v>1</v>
      </c>
      <c r="N97" s="109">
        <v>1323.8452693354791</v>
      </c>
      <c r="O97" s="109">
        <v>-3071349.0618413575</v>
      </c>
      <c r="P97" s="365">
        <v>1</v>
      </c>
      <c r="Q97" s="365">
        <v>0</v>
      </c>
      <c r="R97" s="365">
        <v>0</v>
      </c>
      <c r="S97" s="365">
        <v>0</v>
      </c>
      <c r="T97" s="109">
        <v>-2444.3599664367525</v>
      </c>
      <c r="V97" s="368">
        <f t="shared" si="6"/>
        <v>61161802.769992948</v>
      </c>
      <c r="W97" s="30">
        <f t="shared" si="7"/>
        <v>65896569.242455631</v>
      </c>
      <c r="X97" s="30"/>
      <c r="Y97">
        <f t="shared" si="8"/>
        <v>0</v>
      </c>
      <c r="Z97">
        <f t="shared" si="9"/>
        <v>1</v>
      </c>
      <c r="AA97">
        <f t="shared" si="10"/>
        <v>0</v>
      </c>
      <c r="AB97">
        <f t="shared" si="11"/>
        <v>1</v>
      </c>
      <c r="AD97">
        <v>40000</v>
      </c>
      <c r="AE97">
        <v>0</v>
      </c>
      <c r="AF97">
        <v>1</v>
      </c>
      <c r="AG97">
        <v>0</v>
      </c>
      <c r="AH97">
        <v>1</v>
      </c>
    </row>
    <row r="98" spans="6:34" x14ac:dyDescent="0.3">
      <c r="F98" s="28"/>
      <c r="G98">
        <v>90</v>
      </c>
      <c r="H98" s="109">
        <v>1031.9373495702894</v>
      </c>
      <c r="I98" s="370">
        <v>2115526.8303421428</v>
      </c>
      <c r="J98">
        <v>0</v>
      </c>
      <c r="K98">
        <v>0</v>
      </c>
      <c r="L98">
        <v>0</v>
      </c>
      <c r="M98">
        <v>1</v>
      </c>
      <c r="N98" s="109">
        <v>2050.0535533703405</v>
      </c>
      <c r="O98" s="109">
        <v>-2376803.3601253373</v>
      </c>
      <c r="P98" s="365">
        <v>1</v>
      </c>
      <c r="Q98" s="365">
        <v>0</v>
      </c>
      <c r="R98" s="365">
        <v>0</v>
      </c>
      <c r="S98" s="365">
        <v>0</v>
      </c>
      <c r="T98" s="109">
        <v>-2303.2438559521715</v>
      </c>
      <c r="V98" s="368">
        <f t="shared" si="6"/>
        <v>49481340.648172326</v>
      </c>
      <c r="W98" s="30">
        <f t="shared" si="7"/>
        <v>53973670.838639811</v>
      </c>
      <c r="X98" s="30"/>
      <c r="Y98">
        <f t="shared" si="8"/>
        <v>0</v>
      </c>
      <c r="Z98">
        <f t="shared" si="9"/>
        <v>1</v>
      </c>
      <c r="AA98">
        <f t="shared" si="10"/>
        <v>0</v>
      </c>
      <c r="AB98">
        <f t="shared" si="11"/>
        <v>1</v>
      </c>
      <c r="AD98">
        <v>40500</v>
      </c>
      <c r="AE98">
        <v>0</v>
      </c>
      <c r="AF98">
        <v>1</v>
      </c>
      <c r="AG98">
        <v>0</v>
      </c>
      <c r="AH98">
        <v>1</v>
      </c>
    </row>
    <row r="99" spans="6:34" x14ac:dyDescent="0.3">
      <c r="F99" s="28"/>
      <c r="G99">
        <v>91</v>
      </c>
      <c r="H99" s="109">
        <v>1259.0927519776378</v>
      </c>
      <c r="I99" s="370">
        <v>1625102.585453345</v>
      </c>
      <c r="J99">
        <v>0</v>
      </c>
      <c r="K99">
        <v>0</v>
      </c>
      <c r="L99">
        <v>0</v>
      </c>
      <c r="M99">
        <v>1</v>
      </c>
      <c r="N99" s="109">
        <v>1290.6933050808379</v>
      </c>
      <c r="O99" s="109">
        <v>-3515348.3778199889</v>
      </c>
      <c r="P99" s="365">
        <v>1</v>
      </c>
      <c r="Q99" s="365">
        <v>0</v>
      </c>
      <c r="R99" s="365">
        <v>0</v>
      </c>
      <c r="S99" s="365">
        <v>0</v>
      </c>
      <c r="T99" s="109">
        <v>-2791.969354361293</v>
      </c>
      <c r="V99" s="368">
        <f t="shared" si="6"/>
        <v>61329535.013428546</v>
      </c>
      <c r="W99" s="30">
        <f t="shared" si="7"/>
        <v>66469985.976701885</v>
      </c>
      <c r="X99" s="30"/>
      <c r="Y99">
        <f t="shared" si="8"/>
        <v>0</v>
      </c>
      <c r="Z99">
        <f t="shared" si="9"/>
        <v>1</v>
      </c>
      <c r="AA99">
        <f t="shared" si="10"/>
        <v>0</v>
      </c>
      <c r="AB99">
        <f t="shared" si="11"/>
        <v>1</v>
      </c>
      <c r="AD99">
        <v>41000</v>
      </c>
      <c r="AE99">
        <v>0</v>
      </c>
      <c r="AF99">
        <v>1</v>
      </c>
      <c r="AG99">
        <v>0</v>
      </c>
      <c r="AH99">
        <v>1</v>
      </c>
    </row>
    <row r="100" spans="6:34" x14ac:dyDescent="0.3">
      <c r="F100" s="28"/>
      <c r="G100">
        <v>92</v>
      </c>
      <c r="H100" s="109">
        <v>1185.3675557465249</v>
      </c>
      <c r="I100" s="370">
        <v>1269102.4083637444</v>
      </c>
      <c r="J100">
        <v>0</v>
      </c>
      <c r="K100">
        <v>0</v>
      </c>
      <c r="L100">
        <v>0</v>
      </c>
      <c r="M100">
        <v>1</v>
      </c>
      <c r="N100" s="109">
        <v>1070.640412090986</v>
      </c>
      <c r="O100" s="109">
        <v>-3341074.1414918462</v>
      </c>
      <c r="P100" s="365">
        <v>1</v>
      </c>
      <c r="Q100" s="365">
        <v>0</v>
      </c>
      <c r="R100" s="365">
        <v>0</v>
      </c>
      <c r="S100" s="365">
        <v>0</v>
      </c>
      <c r="T100" s="109">
        <v>-2818.5975947246952</v>
      </c>
      <c r="V100" s="368">
        <f t="shared" si="6"/>
        <v>57999275.378962502</v>
      </c>
      <c r="W100" s="30">
        <f t="shared" si="7"/>
        <v>62609451.928818092</v>
      </c>
      <c r="X100" s="30"/>
      <c r="Y100">
        <f t="shared" si="8"/>
        <v>0</v>
      </c>
      <c r="Z100">
        <f t="shared" si="9"/>
        <v>1</v>
      </c>
      <c r="AA100">
        <f t="shared" si="10"/>
        <v>0</v>
      </c>
      <c r="AB100">
        <f t="shared" si="11"/>
        <v>1</v>
      </c>
      <c r="AD100">
        <v>41500</v>
      </c>
      <c r="AE100">
        <v>0</v>
      </c>
      <c r="AF100">
        <v>1</v>
      </c>
      <c r="AG100">
        <v>0</v>
      </c>
      <c r="AH100">
        <v>1</v>
      </c>
    </row>
    <row r="101" spans="6:34" x14ac:dyDescent="0.3">
      <c r="F101" s="28"/>
      <c r="G101">
        <v>93</v>
      </c>
      <c r="H101" s="109">
        <v>1095.1405443216936</v>
      </c>
      <c r="I101" s="370">
        <v>696993.55224263004</v>
      </c>
      <c r="J101">
        <v>0</v>
      </c>
      <c r="K101">
        <v>0</v>
      </c>
      <c r="L101">
        <v>0</v>
      </c>
      <c r="M101">
        <v>1</v>
      </c>
      <c r="N101" s="109">
        <v>636.4421040354531</v>
      </c>
      <c r="O101" s="109">
        <v>-3499951.8548505674</v>
      </c>
      <c r="P101" s="365">
        <v>1</v>
      </c>
      <c r="Q101" s="365">
        <v>0</v>
      </c>
      <c r="R101" s="365">
        <v>0</v>
      </c>
      <c r="S101" s="365">
        <v>0</v>
      </c>
      <c r="T101" s="109">
        <v>-3195.8928678130183</v>
      </c>
      <c r="V101" s="368">
        <f t="shared" si="6"/>
        <v>54060033.663842052</v>
      </c>
      <c r="W101" s="30">
        <f t="shared" si="7"/>
        <v>58256979.070935249</v>
      </c>
      <c r="X101" s="30"/>
      <c r="Y101">
        <f t="shared" si="8"/>
        <v>0</v>
      </c>
      <c r="Z101">
        <f t="shared" si="9"/>
        <v>1</v>
      </c>
      <c r="AA101">
        <f t="shared" si="10"/>
        <v>0</v>
      </c>
      <c r="AB101">
        <f t="shared" si="11"/>
        <v>1</v>
      </c>
      <c r="AD101">
        <v>42000</v>
      </c>
      <c r="AE101">
        <v>0</v>
      </c>
      <c r="AF101">
        <v>1</v>
      </c>
      <c r="AG101">
        <v>0</v>
      </c>
      <c r="AH101">
        <v>1</v>
      </c>
    </row>
    <row r="102" spans="6:34" x14ac:dyDescent="0.3">
      <c r="F102" s="28"/>
      <c r="G102">
        <v>94</v>
      </c>
      <c r="H102" s="109">
        <v>1259.9911728705847</v>
      </c>
      <c r="I102" s="370">
        <v>1737582.7237087626</v>
      </c>
      <c r="J102">
        <v>0</v>
      </c>
      <c r="K102">
        <v>0</v>
      </c>
      <c r="L102">
        <v>0</v>
      </c>
      <c r="M102">
        <v>1</v>
      </c>
      <c r="N102" s="109">
        <v>1379.0435688133443</v>
      </c>
      <c r="O102" s="109">
        <v>-3027189.0114272046</v>
      </c>
      <c r="P102" s="365">
        <v>1</v>
      </c>
      <c r="Q102" s="365">
        <v>0</v>
      </c>
      <c r="R102" s="365">
        <v>0</v>
      </c>
      <c r="S102" s="365">
        <v>0</v>
      </c>
      <c r="T102" s="109">
        <v>-2402.5477928789674</v>
      </c>
      <c r="V102" s="368">
        <f t="shared" si="6"/>
        <v>61261975.919820473</v>
      </c>
      <c r="W102" s="30">
        <f t="shared" si="7"/>
        <v>66026747.654956438</v>
      </c>
      <c r="X102" s="30"/>
      <c r="Y102">
        <f t="shared" si="8"/>
        <v>0</v>
      </c>
      <c r="Z102">
        <f t="shared" si="9"/>
        <v>1</v>
      </c>
      <c r="AA102">
        <f t="shared" si="10"/>
        <v>0</v>
      </c>
      <c r="AB102">
        <f t="shared" si="11"/>
        <v>1</v>
      </c>
      <c r="AD102">
        <v>42500</v>
      </c>
      <c r="AE102">
        <v>0</v>
      </c>
      <c r="AF102">
        <v>1</v>
      </c>
      <c r="AG102">
        <v>0</v>
      </c>
      <c r="AH102">
        <v>1</v>
      </c>
    </row>
    <row r="103" spans="6:34" x14ac:dyDescent="0.3">
      <c r="F103" s="28"/>
      <c r="G103">
        <v>95</v>
      </c>
      <c r="H103" s="109">
        <v>1178.6556075717162</v>
      </c>
      <c r="I103" s="370">
        <v>1888663.282719976</v>
      </c>
      <c r="J103">
        <v>0</v>
      </c>
      <c r="K103">
        <v>0</v>
      </c>
      <c r="L103">
        <v>0</v>
      </c>
      <c r="M103">
        <v>1</v>
      </c>
      <c r="N103" s="109">
        <v>1602.3877293648382</v>
      </c>
      <c r="O103" s="109">
        <v>-3105801.7321292991</v>
      </c>
      <c r="P103" s="365">
        <v>1</v>
      </c>
      <c r="Q103" s="365">
        <v>0</v>
      </c>
      <c r="R103" s="365">
        <v>0</v>
      </c>
      <c r="S103" s="365">
        <v>0</v>
      </c>
      <c r="T103" s="109">
        <v>-2635.0375055932732</v>
      </c>
      <c r="V103" s="368">
        <f t="shared" si="6"/>
        <v>57044117.095865838</v>
      </c>
      <c r="W103" s="30">
        <f t="shared" si="7"/>
        <v>62038582.110715114</v>
      </c>
      <c r="X103" s="30"/>
      <c r="Y103">
        <f t="shared" si="8"/>
        <v>0</v>
      </c>
      <c r="Z103">
        <f t="shared" si="9"/>
        <v>1</v>
      </c>
      <c r="AA103">
        <f t="shared" si="10"/>
        <v>0</v>
      </c>
      <c r="AB103">
        <f t="shared" si="11"/>
        <v>1</v>
      </c>
      <c r="AD103">
        <v>43000</v>
      </c>
      <c r="AE103">
        <v>0</v>
      </c>
      <c r="AF103">
        <v>1</v>
      </c>
      <c r="AG103">
        <v>0</v>
      </c>
      <c r="AH103">
        <v>1</v>
      </c>
    </row>
    <row r="104" spans="6:34" x14ac:dyDescent="0.3">
      <c r="F104" s="28"/>
      <c r="G104">
        <v>96</v>
      </c>
      <c r="H104" s="109">
        <v>1129.0996934905561</v>
      </c>
      <c r="I104" s="370">
        <v>1725892.5324332444</v>
      </c>
      <c r="J104">
        <v>0</v>
      </c>
      <c r="K104">
        <v>0</v>
      </c>
      <c r="L104">
        <v>0</v>
      </c>
      <c r="M104">
        <v>1</v>
      </c>
      <c r="N104" s="109">
        <v>1528.5563731735083</v>
      </c>
      <c r="O104" s="109">
        <v>-2048652.6319823922</v>
      </c>
      <c r="P104" s="365">
        <v>1</v>
      </c>
      <c r="Q104" s="365">
        <v>0</v>
      </c>
      <c r="R104" s="365">
        <v>0</v>
      </c>
      <c r="S104" s="365">
        <v>0</v>
      </c>
      <c r="T104" s="109">
        <v>-1814.4125304374882</v>
      </c>
      <c r="V104" s="368">
        <f t="shared" si="6"/>
        <v>54729092.14209456</v>
      </c>
      <c r="W104" s="30">
        <f t="shared" si="7"/>
        <v>58503637.306510195</v>
      </c>
      <c r="X104" s="30"/>
      <c r="Y104">
        <f t="shared" si="8"/>
        <v>0</v>
      </c>
      <c r="Z104">
        <f t="shared" si="9"/>
        <v>1</v>
      </c>
      <c r="AA104">
        <f t="shared" si="10"/>
        <v>0</v>
      </c>
      <c r="AB104">
        <f t="shared" si="11"/>
        <v>1</v>
      </c>
      <c r="AD104">
        <v>43500</v>
      </c>
      <c r="AE104">
        <v>0</v>
      </c>
      <c r="AF104">
        <v>1</v>
      </c>
      <c r="AG104">
        <v>0</v>
      </c>
      <c r="AH104">
        <v>1</v>
      </c>
    </row>
    <row r="105" spans="6:34" x14ac:dyDescent="0.3">
      <c r="F105" s="28"/>
      <c r="G105">
        <v>97</v>
      </c>
      <c r="H105" s="109">
        <v>1130.1121293618853</v>
      </c>
      <c r="I105" s="370">
        <v>1616668.6446480379</v>
      </c>
      <c r="J105">
        <v>0</v>
      </c>
      <c r="K105">
        <v>0</v>
      </c>
      <c r="L105">
        <v>0</v>
      </c>
      <c r="M105">
        <v>1</v>
      </c>
      <c r="N105" s="109">
        <v>1430.5382648718985</v>
      </c>
      <c r="O105" s="109">
        <v>-3351563.1304944083</v>
      </c>
      <c r="P105" s="365">
        <v>1</v>
      </c>
      <c r="Q105" s="365">
        <v>0</v>
      </c>
      <c r="R105" s="365">
        <v>0</v>
      </c>
      <c r="S105" s="365">
        <v>0</v>
      </c>
      <c r="T105" s="109">
        <v>-2965.6907871494655</v>
      </c>
      <c r="V105" s="368">
        <f t="shared" si="6"/>
        <v>54888937.823446229</v>
      </c>
      <c r="W105" s="30">
        <f t="shared" si="7"/>
        <v>59857169.598588675</v>
      </c>
      <c r="X105" s="30"/>
      <c r="Y105">
        <f t="shared" si="8"/>
        <v>0</v>
      </c>
      <c r="Z105">
        <f t="shared" si="9"/>
        <v>1</v>
      </c>
      <c r="AA105">
        <f t="shared" si="10"/>
        <v>0</v>
      </c>
      <c r="AB105">
        <f t="shared" si="11"/>
        <v>1</v>
      </c>
      <c r="AD105">
        <v>44000</v>
      </c>
      <c r="AE105">
        <v>0</v>
      </c>
      <c r="AF105">
        <v>1</v>
      </c>
      <c r="AG105">
        <v>0</v>
      </c>
      <c r="AH105">
        <v>1</v>
      </c>
    </row>
    <row r="106" spans="6:34" x14ac:dyDescent="0.3">
      <c r="F106" s="28"/>
      <c r="G106">
        <v>98</v>
      </c>
      <c r="H106" s="109">
        <v>1090.7525231214604</v>
      </c>
      <c r="I106" s="370">
        <v>1142469.8037280736</v>
      </c>
      <c r="J106">
        <v>0</v>
      </c>
      <c r="K106">
        <v>0</v>
      </c>
      <c r="L106">
        <v>0</v>
      </c>
      <c r="M106">
        <v>1</v>
      </c>
      <c r="N106" s="109">
        <v>1047.4143121471875</v>
      </c>
      <c r="O106" s="109">
        <v>-2968416.9633866847</v>
      </c>
      <c r="P106" s="365">
        <v>1</v>
      </c>
      <c r="Q106" s="365">
        <v>0</v>
      </c>
      <c r="R106" s="365">
        <v>0</v>
      </c>
      <c r="S106" s="365">
        <v>0</v>
      </c>
      <c r="T106" s="109">
        <v>-2721.4394653810373</v>
      </c>
      <c r="V106" s="368">
        <f t="shared" si="6"/>
        <v>53395156.352344945</v>
      </c>
      <c r="W106" s="30">
        <f t="shared" si="7"/>
        <v>57506043.119459704</v>
      </c>
      <c r="X106" s="30"/>
      <c r="Y106">
        <f t="shared" si="8"/>
        <v>0</v>
      </c>
      <c r="Z106">
        <f t="shared" si="9"/>
        <v>1</v>
      </c>
      <c r="AA106">
        <f t="shared" si="10"/>
        <v>0</v>
      </c>
      <c r="AB106">
        <f t="shared" si="11"/>
        <v>1</v>
      </c>
      <c r="AD106">
        <v>44500</v>
      </c>
      <c r="AE106">
        <v>0</v>
      </c>
      <c r="AF106">
        <v>1</v>
      </c>
      <c r="AG106">
        <v>0</v>
      </c>
      <c r="AH106">
        <v>1</v>
      </c>
    </row>
    <row r="107" spans="6:34" x14ac:dyDescent="0.3">
      <c r="F107" s="28"/>
      <c r="G107">
        <v>99</v>
      </c>
      <c r="H107" s="109">
        <v>1319.8416036545532</v>
      </c>
      <c r="I107" s="370">
        <v>854653.10760452435</v>
      </c>
      <c r="J107">
        <v>0</v>
      </c>
      <c r="K107">
        <v>0</v>
      </c>
      <c r="L107">
        <v>0</v>
      </c>
      <c r="M107">
        <v>1</v>
      </c>
      <c r="N107" s="109">
        <v>647.54217872663435</v>
      </c>
      <c r="O107" s="109">
        <v>-4738631.3179589743</v>
      </c>
      <c r="P107" s="365">
        <v>1</v>
      </c>
      <c r="Q107" s="365">
        <v>0</v>
      </c>
      <c r="R107" s="365">
        <v>0</v>
      </c>
      <c r="S107" s="365">
        <v>0</v>
      </c>
      <c r="T107" s="109">
        <v>-3590.3030369993044</v>
      </c>
      <c r="V107" s="368">
        <f t="shared" si="6"/>
        <v>65137427.075123131</v>
      </c>
      <c r="W107" s="30">
        <f t="shared" si="7"/>
        <v>70730711.500686631</v>
      </c>
      <c r="X107" s="30"/>
      <c r="Y107">
        <f t="shared" si="8"/>
        <v>0</v>
      </c>
      <c r="Z107">
        <f t="shared" si="9"/>
        <v>1</v>
      </c>
      <c r="AA107">
        <f t="shared" si="10"/>
        <v>0</v>
      </c>
      <c r="AB107">
        <f t="shared" si="11"/>
        <v>1</v>
      </c>
      <c r="AD107">
        <v>45000</v>
      </c>
      <c r="AE107">
        <v>0</v>
      </c>
      <c r="AF107">
        <v>1</v>
      </c>
      <c r="AG107">
        <v>0</v>
      </c>
      <c r="AH107">
        <v>1</v>
      </c>
    </row>
    <row r="108" spans="6:34" x14ac:dyDescent="0.3">
      <c r="F108" s="28"/>
      <c r="G108">
        <v>100</v>
      </c>
      <c r="H108" s="109">
        <v>1183.4707810251566</v>
      </c>
      <c r="I108" s="370">
        <v>198584.24352441498</v>
      </c>
      <c r="J108">
        <v>0</v>
      </c>
      <c r="K108">
        <v>0</v>
      </c>
      <c r="L108">
        <v>0</v>
      </c>
      <c r="M108">
        <v>1</v>
      </c>
      <c r="N108" s="109">
        <v>167.79818032549613</v>
      </c>
      <c r="O108" s="109">
        <v>-4110636.6755788247</v>
      </c>
      <c r="P108" s="365">
        <v>1</v>
      </c>
      <c r="Q108" s="365">
        <v>0</v>
      </c>
      <c r="R108" s="365">
        <v>0</v>
      </c>
      <c r="S108" s="365">
        <v>0</v>
      </c>
      <c r="T108" s="109">
        <v>-3473.3740295793973</v>
      </c>
      <c r="V108" s="368">
        <f t="shared" si="6"/>
        <v>58974954.807733417</v>
      </c>
      <c r="W108" s="30">
        <f t="shared" si="7"/>
        <v>63284175.726836659</v>
      </c>
      <c r="X108" s="30"/>
      <c r="Y108">
        <f t="shared" si="8"/>
        <v>0</v>
      </c>
      <c r="Z108">
        <f t="shared" si="9"/>
        <v>1</v>
      </c>
      <c r="AA108">
        <f t="shared" si="10"/>
        <v>0</v>
      </c>
      <c r="AB108">
        <f t="shared" si="11"/>
        <v>1</v>
      </c>
      <c r="AD108">
        <v>45500</v>
      </c>
      <c r="AE108">
        <v>0</v>
      </c>
      <c r="AF108">
        <v>1</v>
      </c>
      <c r="AG108">
        <v>0</v>
      </c>
      <c r="AH108">
        <v>1</v>
      </c>
    </row>
    <row r="109" spans="6:34" x14ac:dyDescent="0.3">
      <c r="F109" s="28"/>
      <c r="G109">
        <v>101</v>
      </c>
      <c r="H109" s="109">
        <v>1099.2073850300585</v>
      </c>
      <c r="I109" s="370">
        <v>997799.35439106415</v>
      </c>
      <c r="J109">
        <v>0</v>
      </c>
      <c r="K109">
        <v>0</v>
      </c>
      <c r="L109">
        <v>0</v>
      </c>
      <c r="M109">
        <v>1</v>
      </c>
      <c r="N109" s="109">
        <v>907.7444056325902</v>
      </c>
      <c r="O109" s="109">
        <v>-3112909.8234252953</v>
      </c>
      <c r="P109" s="365">
        <v>1</v>
      </c>
      <c r="Q109" s="365">
        <v>0</v>
      </c>
      <c r="R109" s="365">
        <v>0</v>
      </c>
      <c r="S109" s="365">
        <v>0</v>
      </c>
      <c r="T109" s="109">
        <v>-2831.9586147432688</v>
      </c>
      <c r="V109" s="368">
        <f t="shared" si="6"/>
        <v>53962569.897111863</v>
      </c>
      <c r="W109" s="30">
        <f t="shared" si="7"/>
        <v>58073279.074928217</v>
      </c>
      <c r="X109" s="30"/>
      <c r="Y109">
        <f t="shared" si="8"/>
        <v>0</v>
      </c>
      <c r="Z109">
        <f t="shared" si="9"/>
        <v>1</v>
      </c>
      <c r="AA109">
        <f t="shared" si="10"/>
        <v>0</v>
      </c>
      <c r="AB109">
        <f t="shared" si="11"/>
        <v>1</v>
      </c>
      <c r="AD109">
        <v>46000</v>
      </c>
      <c r="AE109">
        <v>0</v>
      </c>
      <c r="AF109">
        <v>1</v>
      </c>
      <c r="AG109">
        <v>0</v>
      </c>
      <c r="AH109">
        <v>1</v>
      </c>
    </row>
    <row r="110" spans="6:34" x14ac:dyDescent="0.3">
      <c r="F110" s="28"/>
      <c r="G110">
        <v>102</v>
      </c>
      <c r="H110" s="109">
        <v>1101.0267114292947</v>
      </c>
      <c r="I110" s="370">
        <v>2083662.6478088261</v>
      </c>
      <c r="J110">
        <v>0</v>
      </c>
      <c r="K110">
        <v>0</v>
      </c>
      <c r="L110">
        <v>0</v>
      </c>
      <c r="M110">
        <v>1</v>
      </c>
      <c r="N110" s="109">
        <v>1892.4723861639336</v>
      </c>
      <c r="O110" s="109">
        <v>-2342534.9198550205</v>
      </c>
      <c r="P110" s="365">
        <v>1</v>
      </c>
      <c r="Q110" s="365">
        <v>0</v>
      </c>
      <c r="R110" s="365">
        <v>0</v>
      </c>
      <c r="S110" s="365">
        <v>0</v>
      </c>
      <c r="T110" s="109">
        <v>-2127.5913613522289</v>
      </c>
      <c r="V110" s="368">
        <f t="shared" si="6"/>
        <v>52967672.923655905</v>
      </c>
      <c r="W110" s="30">
        <f t="shared" si="7"/>
        <v>57393870.491319753</v>
      </c>
      <c r="X110" s="30"/>
      <c r="Y110">
        <f t="shared" si="8"/>
        <v>0</v>
      </c>
      <c r="Z110">
        <f t="shared" si="9"/>
        <v>1</v>
      </c>
      <c r="AA110">
        <f t="shared" si="10"/>
        <v>0</v>
      </c>
      <c r="AB110">
        <f t="shared" si="11"/>
        <v>1</v>
      </c>
      <c r="AD110">
        <v>46500</v>
      </c>
      <c r="AE110">
        <v>0</v>
      </c>
      <c r="AF110">
        <v>1</v>
      </c>
      <c r="AG110">
        <v>0</v>
      </c>
      <c r="AH110">
        <v>1</v>
      </c>
    </row>
    <row r="111" spans="6:34" x14ac:dyDescent="0.3">
      <c r="F111" s="28"/>
      <c r="G111">
        <v>103</v>
      </c>
      <c r="H111" s="109">
        <v>1016.8477558583836</v>
      </c>
      <c r="I111" s="370">
        <v>1224239.8199907194</v>
      </c>
      <c r="J111">
        <v>0</v>
      </c>
      <c r="K111">
        <v>0</v>
      </c>
      <c r="L111">
        <v>0</v>
      </c>
      <c r="M111">
        <v>1</v>
      </c>
      <c r="N111" s="109">
        <v>1203.9558655044318</v>
      </c>
      <c r="O111" s="109">
        <v>-2618740.8847779743</v>
      </c>
      <c r="P111" s="365">
        <v>1</v>
      </c>
      <c r="Q111" s="365">
        <v>0</v>
      </c>
      <c r="R111" s="365">
        <v>0</v>
      </c>
      <c r="S111" s="365">
        <v>0</v>
      </c>
      <c r="T111" s="109">
        <v>-2575.3519833137011</v>
      </c>
      <c r="V111" s="368">
        <f t="shared" si="6"/>
        <v>49618147.972928464</v>
      </c>
      <c r="W111" s="30">
        <f t="shared" si="7"/>
        <v>53461128.677697152</v>
      </c>
      <c r="X111" s="30"/>
      <c r="Y111">
        <f t="shared" si="8"/>
        <v>0</v>
      </c>
      <c r="Z111">
        <f t="shared" si="9"/>
        <v>1</v>
      </c>
      <c r="AA111">
        <f t="shared" si="10"/>
        <v>0</v>
      </c>
      <c r="AB111">
        <f t="shared" si="11"/>
        <v>1</v>
      </c>
      <c r="AD111">
        <v>47000</v>
      </c>
      <c r="AE111">
        <v>0</v>
      </c>
      <c r="AF111">
        <v>1</v>
      </c>
      <c r="AG111">
        <v>0</v>
      </c>
      <c r="AH111">
        <v>1</v>
      </c>
    </row>
    <row r="112" spans="6:34" x14ac:dyDescent="0.3">
      <c r="F112" s="28"/>
      <c r="G112">
        <v>104</v>
      </c>
      <c r="H112" s="109">
        <v>1071.6763449000864</v>
      </c>
      <c r="I112" s="370">
        <v>1146209.3615303591</v>
      </c>
      <c r="J112">
        <v>0</v>
      </c>
      <c r="K112">
        <v>0</v>
      </c>
      <c r="L112">
        <v>0</v>
      </c>
      <c r="M112">
        <v>1</v>
      </c>
      <c r="N112" s="109">
        <v>1069.5480655003369</v>
      </c>
      <c r="O112" s="109">
        <v>-2942911.8347545066</v>
      </c>
      <c r="P112" s="365">
        <v>1</v>
      </c>
      <c r="Q112" s="365">
        <v>0</v>
      </c>
      <c r="R112" s="365">
        <v>0</v>
      </c>
      <c r="S112" s="365">
        <v>0</v>
      </c>
      <c r="T112" s="109">
        <v>-2746.0826664312326</v>
      </c>
      <c r="V112" s="368">
        <f t="shared" si="6"/>
        <v>52437607.883473963</v>
      </c>
      <c r="W112" s="30">
        <f t="shared" si="7"/>
        <v>56526729.079758823</v>
      </c>
      <c r="X112" s="30"/>
      <c r="Y112">
        <f t="shared" si="8"/>
        <v>0</v>
      </c>
      <c r="Z112">
        <f t="shared" si="9"/>
        <v>1</v>
      </c>
      <c r="AA112">
        <f t="shared" si="10"/>
        <v>0</v>
      </c>
      <c r="AB112">
        <f t="shared" si="11"/>
        <v>1</v>
      </c>
      <c r="AD112">
        <v>47500</v>
      </c>
      <c r="AE112">
        <v>0</v>
      </c>
      <c r="AF112">
        <v>1</v>
      </c>
      <c r="AG112">
        <v>0</v>
      </c>
      <c r="AH112">
        <v>1</v>
      </c>
    </row>
    <row r="113" spans="3:34" x14ac:dyDescent="0.3">
      <c r="F113" s="28"/>
      <c r="G113">
        <v>105</v>
      </c>
      <c r="H113" s="109">
        <v>1168.7843715160489</v>
      </c>
      <c r="I113" s="370">
        <v>1904243.936357117</v>
      </c>
      <c r="J113">
        <v>0</v>
      </c>
      <c r="K113">
        <v>0</v>
      </c>
      <c r="L113">
        <v>0</v>
      </c>
      <c r="M113">
        <v>1</v>
      </c>
      <c r="N113" s="109">
        <v>1629.2517103792993</v>
      </c>
      <c r="O113" s="109">
        <v>-3449013.5729038254</v>
      </c>
      <c r="P113" s="365">
        <v>1</v>
      </c>
      <c r="Q113" s="365">
        <v>0</v>
      </c>
      <c r="R113" s="365">
        <v>0</v>
      </c>
      <c r="S113" s="365">
        <v>0</v>
      </c>
      <c r="T113" s="109">
        <v>-2950.940872378414</v>
      </c>
      <c r="V113" s="368">
        <f t="shared" si="6"/>
        <v>56534974.639445327</v>
      </c>
      <c r="W113" s="30">
        <f t="shared" si="7"/>
        <v>61888232.148706272</v>
      </c>
      <c r="X113" s="30"/>
      <c r="Y113">
        <f t="shared" si="8"/>
        <v>0</v>
      </c>
      <c r="Z113">
        <f t="shared" si="9"/>
        <v>1</v>
      </c>
      <c r="AA113">
        <f t="shared" si="10"/>
        <v>0</v>
      </c>
      <c r="AB113">
        <f t="shared" si="11"/>
        <v>1</v>
      </c>
      <c r="AD113">
        <v>48000</v>
      </c>
      <c r="AE113">
        <v>0</v>
      </c>
      <c r="AF113">
        <v>1</v>
      </c>
      <c r="AG113">
        <v>0</v>
      </c>
      <c r="AH113">
        <v>1</v>
      </c>
    </row>
    <row r="114" spans="3:34" x14ac:dyDescent="0.3">
      <c r="F114" s="28"/>
      <c r="G114">
        <v>106</v>
      </c>
      <c r="H114" s="109">
        <v>1225.4056154416539</v>
      </c>
      <c r="I114" s="370">
        <v>754357.20743052138</v>
      </c>
      <c r="J114">
        <v>0</v>
      </c>
      <c r="K114">
        <v>0</v>
      </c>
      <c r="L114">
        <v>0</v>
      </c>
      <c r="M114">
        <v>1</v>
      </c>
      <c r="N114" s="109">
        <v>615.59796848053463</v>
      </c>
      <c r="O114" s="109">
        <v>-3785978.9965971028</v>
      </c>
      <c r="P114" s="365">
        <v>1</v>
      </c>
      <c r="Q114" s="365">
        <v>0</v>
      </c>
      <c r="R114" s="365">
        <v>0</v>
      </c>
      <c r="S114" s="365">
        <v>0</v>
      </c>
      <c r="T114" s="109">
        <v>-3089.5720966910872</v>
      </c>
      <c r="V114" s="368">
        <f t="shared" si="6"/>
        <v>60515923.564652175</v>
      </c>
      <c r="W114" s="30">
        <f t="shared" si="7"/>
        <v>65056259.768679798</v>
      </c>
      <c r="X114" s="30"/>
      <c r="Y114">
        <f t="shared" si="8"/>
        <v>0</v>
      </c>
      <c r="Z114">
        <f t="shared" si="9"/>
        <v>1</v>
      </c>
      <c r="AA114">
        <f t="shared" si="10"/>
        <v>0</v>
      </c>
      <c r="AB114">
        <f t="shared" si="11"/>
        <v>1</v>
      </c>
      <c r="AD114">
        <v>48500</v>
      </c>
      <c r="AE114">
        <v>0</v>
      </c>
      <c r="AF114">
        <v>1</v>
      </c>
      <c r="AG114">
        <v>0</v>
      </c>
      <c r="AH114">
        <v>1</v>
      </c>
    </row>
    <row r="115" spans="3:34" x14ac:dyDescent="0.3">
      <c r="F115" s="28"/>
      <c r="G115">
        <v>107</v>
      </c>
      <c r="H115" s="109">
        <v>1353.5573138702675</v>
      </c>
      <c r="I115" s="370">
        <v>2339449.1851889603</v>
      </c>
      <c r="J115">
        <v>0</v>
      </c>
      <c r="K115">
        <v>0</v>
      </c>
      <c r="L115">
        <v>0</v>
      </c>
      <c r="M115">
        <v>1</v>
      </c>
      <c r="N115" s="109">
        <v>1728.370983050361</v>
      </c>
      <c r="O115" s="109">
        <v>-3213913.9391016113</v>
      </c>
      <c r="P115" s="365">
        <v>1</v>
      </c>
      <c r="Q115" s="365">
        <v>0</v>
      </c>
      <c r="R115" s="365">
        <v>0</v>
      </c>
      <c r="S115" s="365">
        <v>0</v>
      </c>
      <c r="T115" s="109">
        <v>-2374.4202821467306</v>
      </c>
      <c r="V115" s="368">
        <f t="shared" si="6"/>
        <v>65338416.508324414</v>
      </c>
      <c r="W115" s="30">
        <f t="shared" si="7"/>
        <v>70891779.632614985</v>
      </c>
      <c r="X115" s="30"/>
      <c r="Y115">
        <f t="shared" si="8"/>
        <v>0</v>
      </c>
      <c r="Z115">
        <f t="shared" si="9"/>
        <v>1</v>
      </c>
      <c r="AA115">
        <f t="shared" si="10"/>
        <v>0</v>
      </c>
      <c r="AB115">
        <f t="shared" si="11"/>
        <v>1</v>
      </c>
      <c r="AD115">
        <v>49000</v>
      </c>
      <c r="AE115">
        <v>0</v>
      </c>
      <c r="AF115">
        <v>1</v>
      </c>
      <c r="AG115">
        <v>0</v>
      </c>
      <c r="AH115">
        <v>1</v>
      </c>
    </row>
    <row r="116" spans="3:34" x14ac:dyDescent="0.3">
      <c r="F116" s="28"/>
      <c r="G116">
        <v>108</v>
      </c>
      <c r="H116" s="109">
        <v>1206.8604388718595</v>
      </c>
      <c r="I116" s="370">
        <v>1600701.2543303575</v>
      </c>
      <c r="J116">
        <v>0</v>
      </c>
      <c r="K116">
        <v>0</v>
      </c>
      <c r="L116">
        <v>0</v>
      </c>
      <c r="M116">
        <v>1</v>
      </c>
      <c r="N116" s="109">
        <v>1326.335011715729</v>
      </c>
      <c r="O116" s="109">
        <v>-3418083.2620167253</v>
      </c>
      <c r="P116" s="365">
        <v>1</v>
      </c>
      <c r="Q116" s="365">
        <v>0</v>
      </c>
      <c r="R116" s="365">
        <v>0</v>
      </c>
      <c r="S116" s="365">
        <v>0</v>
      </c>
      <c r="T116" s="109">
        <v>-2832.2108770189343</v>
      </c>
      <c r="V116" s="368">
        <f t="shared" si="6"/>
        <v>58742320.689262614</v>
      </c>
      <c r="W116" s="30">
        <f t="shared" si="7"/>
        <v>63761105.205609702</v>
      </c>
      <c r="X116" s="30"/>
      <c r="Y116">
        <f t="shared" si="8"/>
        <v>0</v>
      </c>
      <c r="Z116">
        <f t="shared" si="9"/>
        <v>1</v>
      </c>
      <c r="AA116">
        <f t="shared" si="10"/>
        <v>0</v>
      </c>
      <c r="AB116">
        <f t="shared" si="11"/>
        <v>1</v>
      </c>
      <c r="AD116">
        <v>49500</v>
      </c>
      <c r="AE116">
        <v>0</v>
      </c>
      <c r="AF116">
        <v>1</v>
      </c>
      <c r="AG116">
        <v>0</v>
      </c>
      <c r="AH116">
        <v>1</v>
      </c>
    </row>
    <row r="117" spans="3:34" x14ac:dyDescent="0.3">
      <c r="F117" s="28"/>
      <c r="G117">
        <v>109</v>
      </c>
      <c r="H117" s="109">
        <v>1243.4164268584209</v>
      </c>
      <c r="I117" s="370">
        <v>1302413.3129083377</v>
      </c>
      <c r="J117">
        <v>0</v>
      </c>
      <c r="K117">
        <v>0</v>
      </c>
      <c r="L117">
        <v>0</v>
      </c>
      <c r="M117">
        <v>1</v>
      </c>
      <c r="N117" s="109">
        <v>1047.4474076227034</v>
      </c>
      <c r="O117" s="109">
        <v>-2743388.8602643688</v>
      </c>
      <c r="P117" s="365">
        <v>1</v>
      </c>
      <c r="Q117" s="365">
        <v>0</v>
      </c>
      <c r="R117" s="365">
        <v>0</v>
      </c>
      <c r="S117" s="365">
        <v>0</v>
      </c>
      <c r="T117" s="109">
        <v>-2206.3315241827181</v>
      </c>
      <c r="V117" s="368">
        <f t="shared" si="6"/>
        <v>60868408.030012704</v>
      </c>
      <c r="W117" s="30">
        <f t="shared" si="7"/>
        <v>64914210.203185409</v>
      </c>
      <c r="X117" s="30"/>
      <c r="Y117">
        <f t="shared" si="8"/>
        <v>0</v>
      </c>
      <c r="Z117">
        <f t="shared" si="9"/>
        <v>1</v>
      </c>
      <c r="AA117">
        <f t="shared" si="10"/>
        <v>0</v>
      </c>
      <c r="AB117">
        <f t="shared" si="11"/>
        <v>1</v>
      </c>
      <c r="AD117">
        <v>50000</v>
      </c>
      <c r="AE117">
        <v>0</v>
      </c>
      <c r="AF117">
        <v>1</v>
      </c>
      <c r="AG117">
        <v>0</v>
      </c>
      <c r="AH117">
        <v>1</v>
      </c>
    </row>
    <row r="118" spans="3:34" x14ac:dyDescent="0.3">
      <c r="F118" s="28"/>
      <c r="G118">
        <v>110</v>
      </c>
      <c r="H118" s="109">
        <v>1063.2135059223801</v>
      </c>
      <c r="I118" s="370">
        <v>876840.83645459544</v>
      </c>
      <c r="J118">
        <v>0</v>
      </c>
      <c r="K118">
        <v>0</v>
      </c>
      <c r="L118">
        <v>0</v>
      </c>
      <c r="M118">
        <v>1</v>
      </c>
      <c r="N118" s="109">
        <v>824.70814335066314</v>
      </c>
      <c r="O118" s="109">
        <v>-3289528.5316778524</v>
      </c>
      <c r="P118" s="365">
        <v>1</v>
      </c>
      <c r="Q118" s="365">
        <v>0</v>
      </c>
      <c r="R118" s="365">
        <v>0</v>
      </c>
      <c r="S118" s="365">
        <v>0</v>
      </c>
      <c r="T118" s="109">
        <v>-3093.949158239911</v>
      </c>
      <c r="V118" s="368">
        <f t="shared" si="6"/>
        <v>52283834.459664412</v>
      </c>
      <c r="W118" s="30">
        <f t="shared" si="7"/>
        <v>56450203.827796854</v>
      </c>
      <c r="X118" s="30"/>
      <c r="Y118">
        <f t="shared" si="8"/>
        <v>0</v>
      </c>
      <c r="Z118">
        <f t="shared" si="9"/>
        <v>1</v>
      </c>
      <c r="AA118">
        <f t="shared" si="10"/>
        <v>0</v>
      </c>
      <c r="AB118">
        <f t="shared" si="11"/>
        <v>1</v>
      </c>
    </row>
    <row r="119" spans="3:34" x14ac:dyDescent="0.3">
      <c r="F119" s="28"/>
      <c r="G119">
        <v>111</v>
      </c>
      <c r="H119" s="109">
        <v>1268.2964731886386</v>
      </c>
      <c r="I119" s="370">
        <v>1941672.0662240717</v>
      </c>
      <c r="J119">
        <v>0</v>
      </c>
      <c r="K119">
        <v>0</v>
      </c>
      <c r="L119">
        <v>0</v>
      </c>
      <c r="M119">
        <v>1</v>
      </c>
      <c r="N119" s="109">
        <v>1530.9291693782698</v>
      </c>
      <c r="O119" s="109">
        <v>-2766791.0604362004</v>
      </c>
      <c r="P119" s="365">
        <v>1</v>
      </c>
      <c r="Q119" s="365">
        <v>0</v>
      </c>
      <c r="R119" s="365">
        <v>0</v>
      </c>
      <c r="S119" s="365">
        <v>0</v>
      </c>
      <c r="T119" s="109">
        <v>-2181.5018167480821</v>
      </c>
      <c r="V119" s="368">
        <f t="shared" si="6"/>
        <v>61473151.593207866</v>
      </c>
      <c r="W119" s="30">
        <f t="shared" si="7"/>
        <v>66181614.719868138</v>
      </c>
      <c r="X119" s="30"/>
      <c r="Y119">
        <f t="shared" si="8"/>
        <v>0</v>
      </c>
      <c r="Z119">
        <f t="shared" si="9"/>
        <v>1</v>
      </c>
      <c r="AA119">
        <f t="shared" si="10"/>
        <v>0</v>
      </c>
      <c r="AB119">
        <f t="shared" si="11"/>
        <v>1</v>
      </c>
    </row>
    <row r="120" spans="3:34" x14ac:dyDescent="0.3">
      <c r="F120" s="28"/>
      <c r="G120">
        <v>112</v>
      </c>
      <c r="H120" s="109">
        <v>1225.2405676948329</v>
      </c>
      <c r="I120" s="370">
        <v>955398.16521940497</v>
      </c>
      <c r="J120">
        <v>0</v>
      </c>
      <c r="K120">
        <v>0</v>
      </c>
      <c r="L120">
        <v>0</v>
      </c>
      <c r="M120">
        <v>1</v>
      </c>
      <c r="N120" s="109">
        <v>779.76373816685702</v>
      </c>
      <c r="O120" s="109">
        <v>-3496125.8776819156</v>
      </c>
      <c r="P120" s="365">
        <v>1</v>
      </c>
      <c r="Q120" s="365">
        <v>0</v>
      </c>
      <c r="R120" s="365">
        <v>0</v>
      </c>
      <c r="S120" s="365">
        <v>0</v>
      </c>
      <c r="T120" s="109">
        <v>-2853.4199485897902</v>
      </c>
      <c r="V120" s="368">
        <f t="shared" si="6"/>
        <v>60306630.219522238</v>
      </c>
      <c r="W120" s="30">
        <f t="shared" si="7"/>
        <v>64758154.26242356</v>
      </c>
      <c r="X120" s="30"/>
      <c r="Y120">
        <f t="shared" si="8"/>
        <v>0</v>
      </c>
      <c r="Z120">
        <f t="shared" si="9"/>
        <v>1</v>
      </c>
      <c r="AA120">
        <f t="shared" si="10"/>
        <v>0</v>
      </c>
      <c r="AB120">
        <f t="shared" si="11"/>
        <v>1</v>
      </c>
    </row>
    <row r="121" spans="3:34" x14ac:dyDescent="0.3">
      <c r="F121" s="28"/>
      <c r="G121">
        <v>113</v>
      </c>
      <c r="H121" s="109">
        <v>1213.541673677646</v>
      </c>
      <c r="I121" s="370">
        <v>600903.80592442339</v>
      </c>
      <c r="J121">
        <v>0</v>
      </c>
      <c r="K121">
        <v>0</v>
      </c>
      <c r="L121">
        <v>0</v>
      </c>
      <c r="M121">
        <v>1</v>
      </c>
      <c r="N121" s="109">
        <v>495.16536511134427</v>
      </c>
      <c r="O121" s="109">
        <v>-4155146.3107548337</v>
      </c>
      <c r="P121" s="365">
        <v>1</v>
      </c>
      <c r="Q121" s="365">
        <v>0</v>
      </c>
      <c r="R121" s="365">
        <v>0</v>
      </c>
      <c r="S121" s="365">
        <v>0</v>
      </c>
      <c r="T121" s="109">
        <v>-3423.9832062483983</v>
      </c>
      <c r="V121" s="368">
        <f t="shared" si="6"/>
        <v>60076179.87795788</v>
      </c>
      <c r="W121" s="30">
        <f t="shared" si="7"/>
        <v>64832229.994637139</v>
      </c>
      <c r="X121" s="30"/>
      <c r="Y121">
        <f t="shared" si="8"/>
        <v>0</v>
      </c>
      <c r="Z121">
        <f t="shared" si="9"/>
        <v>1</v>
      </c>
      <c r="AA121">
        <f t="shared" si="10"/>
        <v>0</v>
      </c>
      <c r="AB121">
        <f t="shared" si="11"/>
        <v>1</v>
      </c>
    </row>
    <row r="122" spans="3:34" x14ac:dyDescent="0.3">
      <c r="F122" s="28"/>
      <c r="G122">
        <v>114</v>
      </c>
      <c r="H122" s="109">
        <v>1367.1986953217129</v>
      </c>
      <c r="I122" s="370">
        <v>1789529.1755463895</v>
      </c>
      <c r="J122">
        <v>0</v>
      </c>
      <c r="K122">
        <v>0</v>
      </c>
      <c r="L122">
        <v>0</v>
      </c>
      <c r="M122">
        <v>1</v>
      </c>
      <c r="N122" s="109">
        <v>1308.9020503528925</v>
      </c>
      <c r="O122" s="109">
        <v>-3792422.0672310968</v>
      </c>
      <c r="P122" s="365">
        <v>1</v>
      </c>
      <c r="Q122" s="365">
        <v>0</v>
      </c>
      <c r="R122" s="365">
        <v>0</v>
      </c>
      <c r="S122" s="365">
        <v>0</v>
      </c>
      <c r="T122" s="109">
        <v>-2773.8631408938768</v>
      </c>
      <c r="V122" s="368">
        <f t="shared" si="6"/>
        <v>66570405.590539247</v>
      </c>
      <c r="W122" s="30">
        <f t="shared" si="7"/>
        <v>72152356.833316743</v>
      </c>
      <c r="X122" s="30"/>
      <c r="Y122">
        <f t="shared" si="8"/>
        <v>0</v>
      </c>
      <c r="Z122">
        <f t="shared" si="9"/>
        <v>1</v>
      </c>
      <c r="AA122">
        <f t="shared" si="10"/>
        <v>0</v>
      </c>
      <c r="AB122">
        <f t="shared" si="11"/>
        <v>1</v>
      </c>
    </row>
    <row r="123" spans="3:34" x14ac:dyDescent="0.3">
      <c r="C123" s="733"/>
      <c r="F123" s="28"/>
      <c r="G123">
        <v>115</v>
      </c>
      <c r="H123" s="109">
        <v>1174.3968008131924</v>
      </c>
      <c r="I123" s="370">
        <v>850105.67228803923</v>
      </c>
      <c r="J123">
        <v>0</v>
      </c>
      <c r="K123">
        <v>0</v>
      </c>
      <c r="L123">
        <v>0</v>
      </c>
      <c r="M123">
        <v>1</v>
      </c>
      <c r="N123" s="109">
        <v>723.86579365628131</v>
      </c>
      <c r="O123" s="109">
        <v>-4287555.6439930527</v>
      </c>
      <c r="P123" s="365">
        <v>1</v>
      </c>
      <c r="Q123" s="365">
        <v>0</v>
      </c>
      <c r="R123" s="365">
        <v>0</v>
      </c>
      <c r="S123" s="365">
        <v>0</v>
      </c>
      <c r="T123" s="109">
        <v>-3650.8577348168888</v>
      </c>
      <c r="V123" s="368">
        <f t="shared" si="6"/>
        <v>57869734.368371584</v>
      </c>
      <c r="W123" s="30">
        <f t="shared" si="7"/>
        <v>63007395.684652671</v>
      </c>
      <c r="X123" s="30"/>
      <c r="Y123">
        <f t="shared" si="8"/>
        <v>0</v>
      </c>
      <c r="Z123">
        <f t="shared" si="9"/>
        <v>1</v>
      </c>
      <c r="AA123">
        <f t="shared" si="10"/>
        <v>0</v>
      </c>
      <c r="AB123">
        <f t="shared" si="11"/>
        <v>1</v>
      </c>
    </row>
    <row r="124" spans="3:34" x14ac:dyDescent="0.3">
      <c r="F124" s="28"/>
      <c r="G124">
        <v>116</v>
      </c>
      <c r="H124" s="109">
        <v>1421.5051118096671</v>
      </c>
      <c r="I124" s="370">
        <v>1202615.6251348148</v>
      </c>
      <c r="J124">
        <v>0</v>
      </c>
      <c r="K124">
        <v>0</v>
      </c>
      <c r="L124">
        <v>0</v>
      </c>
      <c r="M124">
        <v>1</v>
      </c>
      <c r="N124" s="109">
        <v>846.01568798005098</v>
      </c>
      <c r="O124" s="109">
        <v>-4814782.014272185</v>
      </c>
      <c r="P124" s="365">
        <v>1</v>
      </c>
      <c r="Q124" s="365">
        <v>0</v>
      </c>
      <c r="R124" s="365">
        <v>0</v>
      </c>
      <c r="S124" s="365">
        <v>0</v>
      </c>
      <c r="T124" s="109">
        <v>-3387.1014421767777</v>
      </c>
      <c r="V124" s="368">
        <f t="shared" si="6"/>
        <v>69872639.965348542</v>
      </c>
      <c r="W124" s="30">
        <f t="shared" si="7"/>
        <v>75890037.604755536</v>
      </c>
      <c r="X124" s="30"/>
      <c r="Y124">
        <f t="shared" si="8"/>
        <v>0</v>
      </c>
      <c r="Z124">
        <f t="shared" si="9"/>
        <v>1</v>
      </c>
      <c r="AA124">
        <f t="shared" si="10"/>
        <v>0</v>
      </c>
      <c r="AB124">
        <f t="shared" si="11"/>
        <v>1</v>
      </c>
    </row>
    <row r="125" spans="3:34" x14ac:dyDescent="0.3">
      <c r="F125" s="28"/>
      <c r="G125">
        <v>117</v>
      </c>
      <c r="H125" s="109">
        <v>1101.118921516987</v>
      </c>
      <c r="I125" s="370">
        <v>983633.92177379096</v>
      </c>
      <c r="J125">
        <v>0</v>
      </c>
      <c r="K125">
        <v>0</v>
      </c>
      <c r="L125">
        <v>0</v>
      </c>
      <c r="M125">
        <v>1</v>
      </c>
      <c r="N125" s="109">
        <v>893.30398611138241</v>
      </c>
      <c r="O125" s="109">
        <v>-3108766.3392643156</v>
      </c>
      <c r="P125" s="365">
        <v>1</v>
      </c>
      <c r="Q125" s="365">
        <v>0</v>
      </c>
      <c r="R125" s="365">
        <v>0</v>
      </c>
      <c r="S125" s="365">
        <v>0</v>
      </c>
      <c r="T125" s="109">
        <v>-2823.279373840418</v>
      </c>
      <c r="V125" s="368">
        <f t="shared" si="6"/>
        <v>54072312.154075563</v>
      </c>
      <c r="W125" s="30">
        <f t="shared" si="7"/>
        <v>58164712.415113673</v>
      </c>
      <c r="X125" s="30"/>
      <c r="Y125">
        <f t="shared" si="8"/>
        <v>0</v>
      </c>
      <c r="Z125">
        <f t="shared" si="9"/>
        <v>1</v>
      </c>
      <c r="AA125">
        <f t="shared" si="10"/>
        <v>0</v>
      </c>
      <c r="AB125">
        <f t="shared" si="11"/>
        <v>1</v>
      </c>
    </row>
    <row r="126" spans="3:34" x14ac:dyDescent="0.3">
      <c r="F126" s="28"/>
      <c r="G126">
        <v>118</v>
      </c>
      <c r="H126" s="109">
        <v>963.25483562776208</v>
      </c>
      <c r="I126" s="370">
        <v>610209.56253843941</v>
      </c>
      <c r="J126">
        <v>0</v>
      </c>
      <c r="K126">
        <v>0</v>
      </c>
      <c r="L126">
        <v>0</v>
      </c>
      <c r="M126">
        <v>1</v>
      </c>
      <c r="N126" s="109">
        <v>633.48715206891245</v>
      </c>
      <c r="O126" s="109">
        <v>-3426015.5501427711</v>
      </c>
      <c r="P126" s="365">
        <v>1</v>
      </c>
      <c r="Q126" s="365">
        <v>0</v>
      </c>
      <c r="R126" s="365">
        <v>0</v>
      </c>
      <c r="S126" s="365">
        <v>0</v>
      </c>
      <c r="T126" s="109">
        <v>-3556.7073462029443</v>
      </c>
      <c r="V126" s="368">
        <f t="shared" si="6"/>
        <v>47552532.218849666</v>
      </c>
      <c r="W126" s="30">
        <f t="shared" si="7"/>
        <v>51588757.331530876</v>
      </c>
      <c r="X126" s="30"/>
      <c r="Y126">
        <f t="shared" si="8"/>
        <v>0</v>
      </c>
      <c r="Z126">
        <f t="shared" si="9"/>
        <v>1</v>
      </c>
      <c r="AA126">
        <f t="shared" si="10"/>
        <v>0</v>
      </c>
      <c r="AB126">
        <f t="shared" si="11"/>
        <v>1</v>
      </c>
    </row>
    <row r="127" spans="3:34" x14ac:dyDescent="0.3">
      <c r="F127" s="28"/>
      <c r="G127">
        <v>119</v>
      </c>
      <c r="H127" s="109">
        <v>1147.9675838190451</v>
      </c>
      <c r="I127" s="370">
        <v>1461280.9442404823</v>
      </c>
      <c r="J127">
        <v>0</v>
      </c>
      <c r="K127">
        <v>0</v>
      </c>
      <c r="L127">
        <v>0</v>
      </c>
      <c r="M127">
        <v>1</v>
      </c>
      <c r="N127" s="109">
        <v>1272.928752377406</v>
      </c>
      <c r="O127" s="109">
        <v>-3316599.7118847254</v>
      </c>
      <c r="P127" s="365">
        <v>1</v>
      </c>
      <c r="Q127" s="365">
        <v>0</v>
      </c>
      <c r="R127" s="365">
        <v>0</v>
      </c>
      <c r="S127" s="365">
        <v>0</v>
      </c>
      <c r="T127" s="109">
        <v>-2889.1057192147364</v>
      </c>
      <c r="V127" s="368">
        <f t="shared" si="6"/>
        <v>55937098.246711776</v>
      </c>
      <c r="W127" s="30">
        <f t="shared" si="7"/>
        <v>60714978.902836978</v>
      </c>
      <c r="X127" s="30"/>
      <c r="Y127">
        <f t="shared" si="8"/>
        <v>0</v>
      </c>
      <c r="Z127">
        <f t="shared" si="9"/>
        <v>1</v>
      </c>
      <c r="AA127">
        <f t="shared" si="10"/>
        <v>0</v>
      </c>
      <c r="AB127">
        <f t="shared" si="11"/>
        <v>1</v>
      </c>
    </row>
    <row r="128" spans="3:34" x14ac:dyDescent="0.3">
      <c r="F128" s="28"/>
      <c r="G128">
        <v>120</v>
      </c>
      <c r="H128" s="109">
        <v>1055.7937767954645</v>
      </c>
      <c r="I128" s="370">
        <v>1287702.2391362158</v>
      </c>
      <c r="J128">
        <v>0</v>
      </c>
      <c r="K128">
        <v>0</v>
      </c>
      <c r="L128">
        <v>0</v>
      </c>
      <c r="M128">
        <v>1</v>
      </c>
      <c r="N128" s="109">
        <v>1219.6531817460013</v>
      </c>
      <c r="O128" s="109">
        <v>-2976356.1103225383</v>
      </c>
      <c r="P128" s="365">
        <v>1</v>
      </c>
      <c r="Q128" s="365">
        <v>0</v>
      </c>
      <c r="R128" s="365">
        <v>0</v>
      </c>
      <c r="S128" s="365">
        <v>0</v>
      </c>
      <c r="T128" s="109">
        <v>-2819.0695718593329</v>
      </c>
      <c r="V128" s="368">
        <f t="shared" si="6"/>
        <v>51501986.600637004</v>
      </c>
      <c r="W128" s="30">
        <f t="shared" si="7"/>
        <v>55766044.950095758</v>
      </c>
      <c r="X128" s="30"/>
      <c r="Y128">
        <f t="shared" si="8"/>
        <v>0</v>
      </c>
      <c r="Z128">
        <f t="shared" si="9"/>
        <v>1</v>
      </c>
      <c r="AA128">
        <f t="shared" si="10"/>
        <v>0</v>
      </c>
      <c r="AB128">
        <f t="shared" si="11"/>
        <v>1</v>
      </c>
    </row>
    <row r="129" spans="6:28" x14ac:dyDescent="0.3">
      <c r="F129" s="28"/>
      <c r="G129">
        <v>121</v>
      </c>
      <c r="H129" s="109">
        <v>1034.8182049621464</v>
      </c>
      <c r="I129" s="370">
        <v>1246614.0603259674</v>
      </c>
      <c r="J129">
        <v>0</v>
      </c>
      <c r="K129">
        <v>0</v>
      </c>
      <c r="L129">
        <v>0</v>
      </c>
      <c r="M129">
        <v>1</v>
      </c>
      <c r="N129" s="109">
        <v>1204.6696263635683</v>
      </c>
      <c r="O129" s="109">
        <v>-2538110.0684553687</v>
      </c>
      <c r="P129" s="365">
        <v>1</v>
      </c>
      <c r="Q129" s="365">
        <v>0</v>
      </c>
      <c r="R129" s="365">
        <v>0</v>
      </c>
      <c r="S129" s="365">
        <v>0</v>
      </c>
      <c r="T129" s="109">
        <v>-2452.7110716497423</v>
      </c>
      <c r="V129" s="368">
        <f t="shared" si="6"/>
        <v>50494296.187781356</v>
      </c>
      <c r="W129" s="30">
        <f t="shared" si="7"/>
        <v>54279020.31656269</v>
      </c>
      <c r="X129" s="30"/>
      <c r="Y129">
        <f t="shared" si="8"/>
        <v>0</v>
      </c>
      <c r="Z129">
        <f t="shared" si="9"/>
        <v>1</v>
      </c>
      <c r="AA129">
        <f t="shared" si="10"/>
        <v>0</v>
      </c>
      <c r="AB129">
        <f t="shared" si="11"/>
        <v>1</v>
      </c>
    </row>
    <row r="130" spans="6:28" ht="12.6" customHeight="1" x14ac:dyDescent="0.3">
      <c r="F130" s="28"/>
      <c r="G130">
        <v>122</v>
      </c>
      <c r="H130" s="109">
        <v>1323.5829318701435</v>
      </c>
      <c r="I130" s="370">
        <v>1440599.3035234381</v>
      </c>
      <c r="J130">
        <v>0</v>
      </c>
      <c r="K130">
        <v>0</v>
      </c>
      <c r="L130">
        <v>0</v>
      </c>
      <c r="M130">
        <v>1</v>
      </c>
      <c r="N130" s="109">
        <v>1088.4087946706577</v>
      </c>
      <c r="O130" s="109">
        <v>-3631461.170462674</v>
      </c>
      <c r="P130" s="365">
        <v>1</v>
      </c>
      <c r="Q130" s="365">
        <v>0</v>
      </c>
      <c r="R130" s="365">
        <v>0</v>
      </c>
      <c r="S130" s="365">
        <v>0</v>
      </c>
      <c r="T130" s="109">
        <v>-2743.6597156263088</v>
      </c>
      <c r="V130" s="368">
        <f t="shared" si="6"/>
        <v>64738547.289983742</v>
      </c>
      <c r="W130" s="30">
        <f t="shared" si="7"/>
        <v>69810607.763969854</v>
      </c>
      <c r="X130" s="30"/>
      <c r="Y130">
        <f t="shared" si="8"/>
        <v>0</v>
      </c>
      <c r="Z130">
        <f t="shared" si="9"/>
        <v>1</v>
      </c>
      <c r="AA130">
        <f t="shared" si="10"/>
        <v>0</v>
      </c>
      <c r="AB130">
        <f t="shared" si="11"/>
        <v>1</v>
      </c>
    </row>
    <row r="131" spans="6:28" x14ac:dyDescent="0.3">
      <c r="F131" s="28"/>
      <c r="G131">
        <v>123</v>
      </c>
      <c r="H131" s="109">
        <v>1275.5938721927523</v>
      </c>
      <c r="I131" s="370">
        <v>730959.22020571586</v>
      </c>
      <c r="J131">
        <v>0</v>
      </c>
      <c r="K131">
        <v>0</v>
      </c>
      <c r="L131">
        <v>0</v>
      </c>
      <c r="M131">
        <v>1</v>
      </c>
      <c r="N131" s="109">
        <v>573.03443998926809</v>
      </c>
      <c r="O131" s="109">
        <v>-3959371.6075268798</v>
      </c>
      <c r="P131" s="365">
        <v>1</v>
      </c>
      <c r="Q131" s="365">
        <v>0</v>
      </c>
      <c r="R131" s="365">
        <v>0</v>
      </c>
      <c r="S131" s="365">
        <v>0</v>
      </c>
      <c r="T131" s="109">
        <v>-3103.9437346313839</v>
      </c>
      <c r="V131" s="368">
        <f t="shared" si="6"/>
        <v>63048734.389431901</v>
      </c>
      <c r="W131" s="30">
        <f t="shared" si="7"/>
        <v>67739065.217164502</v>
      </c>
      <c r="X131" s="30"/>
      <c r="Y131">
        <f t="shared" si="8"/>
        <v>0</v>
      </c>
      <c r="Z131">
        <f t="shared" si="9"/>
        <v>1</v>
      </c>
      <c r="AA131">
        <f t="shared" si="10"/>
        <v>0</v>
      </c>
      <c r="AB131">
        <f t="shared" si="11"/>
        <v>1</v>
      </c>
    </row>
    <row r="132" spans="6:28" x14ac:dyDescent="0.3">
      <c r="F132" s="28"/>
      <c r="G132">
        <v>124</v>
      </c>
      <c r="H132" s="109">
        <v>1151.4999690895856</v>
      </c>
      <c r="I132" s="370">
        <v>1267811.550545451</v>
      </c>
      <c r="J132">
        <v>0</v>
      </c>
      <c r="K132">
        <v>0</v>
      </c>
      <c r="L132">
        <v>0</v>
      </c>
      <c r="M132">
        <v>1</v>
      </c>
      <c r="N132" s="109">
        <v>1101.0087577751524</v>
      </c>
      <c r="O132" s="109">
        <v>-3214232.4991350295</v>
      </c>
      <c r="P132" s="365">
        <v>1</v>
      </c>
      <c r="Q132" s="365">
        <v>0</v>
      </c>
      <c r="R132" s="365">
        <v>0</v>
      </c>
      <c r="S132" s="365">
        <v>0</v>
      </c>
      <c r="T132" s="109">
        <v>-2791.3439734404069</v>
      </c>
      <c r="V132" s="368">
        <f t="shared" si="6"/>
        <v>56307186.903933831</v>
      </c>
      <c r="W132" s="30">
        <f t="shared" si="7"/>
        <v>60789230.953614317</v>
      </c>
      <c r="X132" s="30"/>
      <c r="Y132">
        <f t="shared" si="8"/>
        <v>0</v>
      </c>
      <c r="Z132">
        <f t="shared" si="9"/>
        <v>1</v>
      </c>
      <c r="AA132">
        <f t="shared" si="10"/>
        <v>0</v>
      </c>
      <c r="AB132">
        <f t="shared" si="11"/>
        <v>1</v>
      </c>
    </row>
    <row r="133" spans="6:28" x14ac:dyDescent="0.3">
      <c r="F133" s="28"/>
      <c r="G133">
        <v>125</v>
      </c>
      <c r="H133" s="109">
        <v>1209.62728563173</v>
      </c>
      <c r="I133" s="370">
        <v>1250017.904538257</v>
      </c>
      <c r="J133">
        <v>0</v>
      </c>
      <c r="K133">
        <v>0</v>
      </c>
      <c r="L133">
        <v>0</v>
      </c>
      <c r="M133">
        <v>1</v>
      </c>
      <c r="N133" s="109">
        <v>1033.3909621470161</v>
      </c>
      <c r="O133" s="109">
        <v>-4242123.4535303405</v>
      </c>
      <c r="P133" s="365">
        <v>1</v>
      </c>
      <c r="Q133" s="365">
        <v>0</v>
      </c>
      <c r="R133" s="365">
        <v>0</v>
      </c>
      <c r="S133" s="365">
        <v>0</v>
      </c>
      <c r="T133" s="109">
        <v>-3506.9673972465689</v>
      </c>
      <c r="V133" s="368">
        <f t="shared" si="6"/>
        <v>59231346.377048247</v>
      </c>
      <c r="W133" s="30">
        <f t="shared" si="7"/>
        <v>64723487.735116847</v>
      </c>
      <c r="X133" s="30"/>
      <c r="Y133">
        <f t="shared" si="8"/>
        <v>0</v>
      </c>
      <c r="Z133">
        <f t="shared" si="9"/>
        <v>1</v>
      </c>
      <c r="AA133">
        <f t="shared" si="10"/>
        <v>0</v>
      </c>
      <c r="AB133">
        <f t="shared" si="11"/>
        <v>1</v>
      </c>
    </row>
    <row r="134" spans="6:28" x14ac:dyDescent="0.3">
      <c r="F134" s="28"/>
      <c r="G134">
        <v>126</v>
      </c>
      <c r="H134" s="109">
        <v>1318.2859988119599</v>
      </c>
      <c r="I134" s="370">
        <v>1238551.3628717775</v>
      </c>
      <c r="J134">
        <v>0</v>
      </c>
      <c r="K134">
        <v>0</v>
      </c>
      <c r="L134">
        <v>0</v>
      </c>
      <c r="M134">
        <v>1</v>
      </c>
      <c r="N134" s="109">
        <v>939.51643572636044</v>
      </c>
      <c r="O134" s="109">
        <v>-4099919.9209394897</v>
      </c>
      <c r="P134" s="365">
        <v>1</v>
      </c>
      <c r="Q134" s="365">
        <v>0</v>
      </c>
      <c r="R134" s="365">
        <v>0</v>
      </c>
      <c r="S134" s="365">
        <v>0</v>
      </c>
      <c r="T134" s="109">
        <v>-3110.0382804902274</v>
      </c>
      <c r="V134" s="368">
        <f t="shared" si="6"/>
        <v>64675748.577726215</v>
      </c>
      <c r="W134" s="30">
        <f t="shared" si="7"/>
        <v>70014219.861537486</v>
      </c>
      <c r="X134" s="30"/>
      <c r="Y134">
        <f t="shared" si="8"/>
        <v>0</v>
      </c>
      <c r="Z134">
        <f t="shared" si="9"/>
        <v>1</v>
      </c>
      <c r="AA134">
        <f t="shared" si="10"/>
        <v>0</v>
      </c>
      <c r="AB134">
        <f t="shared" si="11"/>
        <v>1</v>
      </c>
    </row>
    <row r="135" spans="6:28" x14ac:dyDescent="0.3">
      <c r="F135" s="28"/>
      <c r="G135">
        <v>127</v>
      </c>
      <c r="H135" s="109">
        <v>1275.519241231952</v>
      </c>
      <c r="I135" s="370">
        <v>1417108.1373067272</v>
      </c>
      <c r="J135">
        <v>0</v>
      </c>
      <c r="K135">
        <v>0</v>
      </c>
      <c r="L135">
        <v>0</v>
      </c>
      <c r="M135">
        <v>1</v>
      </c>
      <c r="N135" s="109">
        <v>1111.0049080388803</v>
      </c>
      <c r="O135" s="109">
        <v>-3186868.9206807627</v>
      </c>
      <c r="P135" s="365">
        <v>1</v>
      </c>
      <c r="Q135" s="365">
        <v>0</v>
      </c>
      <c r="R135" s="365">
        <v>0</v>
      </c>
      <c r="S135" s="365">
        <v>0</v>
      </c>
      <c r="T135" s="109">
        <v>-2498.48753171512</v>
      </c>
      <c r="V135" s="368">
        <f t="shared" si="6"/>
        <v>62358853.924290873</v>
      </c>
      <c r="W135" s="30">
        <f t="shared" si="7"/>
        <v>66962830.982278362</v>
      </c>
      <c r="X135" s="30"/>
      <c r="Y135">
        <f t="shared" si="8"/>
        <v>0</v>
      </c>
      <c r="Z135">
        <f t="shared" si="9"/>
        <v>1</v>
      </c>
      <c r="AA135">
        <f t="shared" si="10"/>
        <v>0</v>
      </c>
      <c r="AB135">
        <f t="shared" si="11"/>
        <v>1</v>
      </c>
    </row>
    <row r="136" spans="6:28" x14ac:dyDescent="0.3">
      <c r="F136" s="28"/>
      <c r="G136">
        <v>128</v>
      </c>
      <c r="H136" s="109">
        <v>970.0365067025341</v>
      </c>
      <c r="I136" s="370">
        <v>1244718.5233768323</v>
      </c>
      <c r="J136">
        <v>0</v>
      </c>
      <c r="K136">
        <v>0</v>
      </c>
      <c r="L136">
        <v>0</v>
      </c>
      <c r="M136">
        <v>1</v>
      </c>
      <c r="N136" s="109">
        <v>1283.1666795799579</v>
      </c>
      <c r="O136" s="109">
        <v>-2368476.1846467494</v>
      </c>
      <c r="P136" s="365">
        <v>1</v>
      </c>
      <c r="Q136" s="365">
        <v>0</v>
      </c>
      <c r="R136" s="365">
        <v>0</v>
      </c>
      <c r="S136" s="365">
        <v>0</v>
      </c>
      <c r="T136" s="109">
        <v>-2441.6361325389303</v>
      </c>
      <c r="V136" s="368">
        <f t="shared" si="6"/>
        <v>47257106.811749876</v>
      </c>
      <c r="W136" s="30">
        <f t="shared" si="7"/>
        <v>50870301.519773453</v>
      </c>
      <c r="X136" s="30"/>
      <c r="Y136">
        <f t="shared" si="8"/>
        <v>0</v>
      </c>
      <c r="Z136">
        <f t="shared" si="9"/>
        <v>1</v>
      </c>
      <c r="AA136">
        <f t="shared" si="10"/>
        <v>0</v>
      </c>
      <c r="AB136">
        <f t="shared" si="11"/>
        <v>1</v>
      </c>
    </row>
    <row r="137" spans="6:28" x14ac:dyDescent="0.3">
      <c r="F137" s="28"/>
      <c r="G137">
        <v>129</v>
      </c>
      <c r="H137" s="109">
        <v>1180.6377332135453</v>
      </c>
      <c r="I137" s="370">
        <v>900552.0163839109</v>
      </c>
      <c r="J137">
        <v>0</v>
      </c>
      <c r="K137">
        <v>0</v>
      </c>
      <c r="L137">
        <v>0</v>
      </c>
      <c r="M137">
        <v>1</v>
      </c>
      <c r="N137" s="109">
        <v>762.76743581007122</v>
      </c>
      <c r="O137" s="109">
        <v>-4089069.0870953375</v>
      </c>
      <c r="P137" s="365">
        <v>1</v>
      </c>
      <c r="Q137" s="365">
        <v>0</v>
      </c>
      <c r="R137" s="365">
        <v>0</v>
      </c>
      <c r="S137" s="365">
        <v>0</v>
      </c>
      <c r="T137" s="109">
        <v>-3463.4409625088069</v>
      </c>
      <c r="V137" s="368">
        <f t="shared" ref="V137:V200" si="12">H137*WTPinput-I137</f>
        <v>58131334.644293353</v>
      </c>
      <c r="W137" s="30">
        <f t="shared" ref="W137:W200" si="13">H137*WTPinput-O137</f>
        <v>63120955.747772597</v>
      </c>
      <c r="X137" s="30"/>
      <c r="Y137">
        <f t="shared" si="8"/>
        <v>0</v>
      </c>
      <c r="Z137">
        <f t="shared" si="9"/>
        <v>1</v>
      </c>
      <c r="AA137">
        <f t="shared" si="10"/>
        <v>0</v>
      </c>
      <c r="AB137">
        <f t="shared" si="11"/>
        <v>1</v>
      </c>
    </row>
    <row r="138" spans="6:28" x14ac:dyDescent="0.3">
      <c r="F138" s="28"/>
      <c r="G138">
        <v>130</v>
      </c>
      <c r="H138" s="109">
        <v>1159.5930182790325</v>
      </c>
      <c r="I138" s="370">
        <v>1623802.3637009277</v>
      </c>
      <c r="J138">
        <v>0</v>
      </c>
      <c r="K138">
        <v>0</v>
      </c>
      <c r="L138">
        <v>0</v>
      </c>
      <c r="M138">
        <v>1</v>
      </c>
      <c r="N138" s="109">
        <v>1400.3209213098182</v>
      </c>
      <c r="O138" s="109">
        <v>-2956892.1561133666</v>
      </c>
      <c r="P138" s="365">
        <v>1</v>
      </c>
      <c r="Q138" s="365">
        <v>0</v>
      </c>
      <c r="R138" s="365">
        <v>0</v>
      </c>
      <c r="S138" s="365">
        <v>0</v>
      </c>
      <c r="T138" s="109">
        <v>-2549.9395990687576</v>
      </c>
      <c r="V138" s="368">
        <f t="shared" si="12"/>
        <v>56355848.550250702</v>
      </c>
      <c r="W138" s="30">
        <f t="shared" si="13"/>
        <v>60936543.070064992</v>
      </c>
      <c r="X138" s="30"/>
      <c r="Y138">
        <f t="shared" ref="Y138:Y201" si="14">IF(V138&lt;0,1,0)</f>
        <v>0</v>
      </c>
      <c r="Z138">
        <f t="shared" ref="Z138:Z201" si="15">IF(V138&gt;0,1,0)</f>
        <v>1</v>
      </c>
      <c r="AA138">
        <f t="shared" ref="AA138:AA201" si="16">IF(W138&lt;0,1,0)</f>
        <v>0</v>
      </c>
      <c r="AB138">
        <f t="shared" ref="AB138:AB201" si="17">IF(W138&gt;0,1,0)</f>
        <v>1</v>
      </c>
    </row>
    <row r="139" spans="6:28" x14ac:dyDescent="0.3">
      <c r="F139" s="28"/>
      <c r="G139">
        <v>131</v>
      </c>
      <c r="H139" s="109">
        <v>1219.9655322894687</v>
      </c>
      <c r="I139" s="370">
        <v>1800973.690579542</v>
      </c>
      <c r="J139">
        <v>0</v>
      </c>
      <c r="K139">
        <v>0</v>
      </c>
      <c r="L139">
        <v>0</v>
      </c>
      <c r="M139">
        <v>1</v>
      </c>
      <c r="N139" s="109">
        <v>1476.2496504304631</v>
      </c>
      <c r="O139" s="109">
        <v>-3642033.1822891328</v>
      </c>
      <c r="P139" s="365">
        <v>1</v>
      </c>
      <c r="Q139" s="365">
        <v>0</v>
      </c>
      <c r="R139" s="365">
        <v>0</v>
      </c>
      <c r="S139" s="365">
        <v>0</v>
      </c>
      <c r="T139" s="109">
        <v>-2985.3574432174737</v>
      </c>
      <c r="V139" s="368">
        <f t="shared" si="12"/>
        <v>59197302.923893891</v>
      </c>
      <c r="W139" s="30">
        <f t="shared" si="13"/>
        <v>64640309.796762563</v>
      </c>
      <c r="X139" s="30"/>
      <c r="Y139">
        <f t="shared" si="14"/>
        <v>0</v>
      </c>
      <c r="Z139">
        <f t="shared" si="15"/>
        <v>1</v>
      </c>
      <c r="AA139">
        <f t="shared" si="16"/>
        <v>0</v>
      </c>
      <c r="AB139">
        <f t="shared" si="17"/>
        <v>1</v>
      </c>
    </row>
    <row r="140" spans="6:28" x14ac:dyDescent="0.3">
      <c r="F140" s="28"/>
      <c r="G140">
        <v>132</v>
      </c>
      <c r="H140" s="109">
        <v>1331.4847144659725</v>
      </c>
      <c r="I140" s="370">
        <v>994855.43570381659</v>
      </c>
      <c r="J140">
        <v>0</v>
      </c>
      <c r="K140">
        <v>0</v>
      </c>
      <c r="L140">
        <v>0</v>
      </c>
      <c r="M140">
        <v>1</v>
      </c>
      <c r="N140" s="109">
        <v>747.17751161178739</v>
      </c>
      <c r="O140" s="109">
        <v>-4645236.2366449442</v>
      </c>
      <c r="P140" s="365">
        <v>1</v>
      </c>
      <c r="Q140" s="365">
        <v>0</v>
      </c>
      <c r="R140" s="365">
        <v>0</v>
      </c>
      <c r="S140" s="365">
        <v>0</v>
      </c>
      <c r="T140" s="109">
        <v>-3488.7642240099167</v>
      </c>
      <c r="V140" s="368">
        <f t="shared" si="12"/>
        <v>65579380.28759481</v>
      </c>
      <c r="W140" s="30">
        <f t="shared" si="13"/>
        <v>71219471.959943563</v>
      </c>
      <c r="X140" s="30"/>
      <c r="Y140">
        <f t="shared" si="14"/>
        <v>0</v>
      </c>
      <c r="Z140">
        <f t="shared" si="15"/>
        <v>1</v>
      </c>
      <c r="AA140">
        <f t="shared" si="16"/>
        <v>0</v>
      </c>
      <c r="AB140">
        <f t="shared" si="17"/>
        <v>1</v>
      </c>
    </row>
    <row r="141" spans="6:28" x14ac:dyDescent="0.3">
      <c r="F141" s="28"/>
      <c r="G141">
        <v>133</v>
      </c>
      <c r="H141" s="109">
        <v>1379.2610443010926</v>
      </c>
      <c r="I141" s="370">
        <v>2473944.4383113822</v>
      </c>
      <c r="J141">
        <v>0</v>
      </c>
      <c r="K141">
        <v>0</v>
      </c>
      <c r="L141">
        <v>0</v>
      </c>
      <c r="M141">
        <v>1</v>
      </c>
      <c r="N141" s="109">
        <v>1793.6738288472391</v>
      </c>
      <c r="O141" s="109">
        <v>-4030536.865447978</v>
      </c>
      <c r="P141" s="365">
        <v>1</v>
      </c>
      <c r="Q141" s="365">
        <v>0</v>
      </c>
      <c r="R141" s="365">
        <v>0</v>
      </c>
      <c r="S141" s="365">
        <v>0</v>
      </c>
      <c r="T141" s="109">
        <v>-2922.2436768598477</v>
      </c>
      <c r="V141" s="368">
        <f t="shared" si="12"/>
        <v>66489107.776743248</v>
      </c>
      <c r="W141" s="30">
        <f t="shared" si="13"/>
        <v>72993589.080502614</v>
      </c>
      <c r="X141" s="30"/>
      <c r="Y141">
        <f t="shared" si="14"/>
        <v>0</v>
      </c>
      <c r="Z141">
        <f t="shared" si="15"/>
        <v>1</v>
      </c>
      <c r="AA141">
        <f t="shared" si="16"/>
        <v>0</v>
      </c>
      <c r="AB141">
        <f t="shared" si="17"/>
        <v>1</v>
      </c>
    </row>
    <row r="142" spans="6:28" x14ac:dyDescent="0.3">
      <c r="F142" s="28"/>
      <c r="G142">
        <v>134</v>
      </c>
      <c r="H142" s="109">
        <v>1227.898406323875</v>
      </c>
      <c r="I142" s="370">
        <v>754285.09176238056</v>
      </c>
      <c r="J142">
        <v>0</v>
      </c>
      <c r="K142">
        <v>0</v>
      </c>
      <c r="L142">
        <v>0</v>
      </c>
      <c r="M142">
        <v>1</v>
      </c>
      <c r="N142" s="109">
        <v>614.28949486186366</v>
      </c>
      <c r="O142" s="109">
        <v>-3423796.2268048972</v>
      </c>
      <c r="P142" s="365">
        <v>1</v>
      </c>
      <c r="Q142" s="365">
        <v>0</v>
      </c>
      <c r="R142" s="365">
        <v>0</v>
      </c>
      <c r="S142" s="365">
        <v>0</v>
      </c>
      <c r="T142" s="109">
        <v>-2788.3383585904126</v>
      </c>
      <c r="V142" s="368">
        <f t="shared" si="12"/>
        <v>60640635.224431366</v>
      </c>
      <c r="W142" s="30">
        <f t="shared" si="13"/>
        <v>64818716.542998642</v>
      </c>
      <c r="X142" s="30"/>
      <c r="Y142">
        <f t="shared" si="14"/>
        <v>0</v>
      </c>
      <c r="Z142">
        <f t="shared" si="15"/>
        <v>1</v>
      </c>
      <c r="AA142">
        <f t="shared" si="16"/>
        <v>0</v>
      </c>
      <c r="AB142">
        <f t="shared" si="17"/>
        <v>1</v>
      </c>
    </row>
    <row r="143" spans="6:28" x14ac:dyDescent="0.3">
      <c r="F143" s="28"/>
      <c r="G143">
        <v>135</v>
      </c>
      <c r="H143" s="109">
        <v>1146.463313315151</v>
      </c>
      <c r="I143" s="370">
        <v>1374260.2411205005</v>
      </c>
      <c r="J143">
        <v>0</v>
      </c>
      <c r="K143">
        <v>0</v>
      </c>
      <c r="L143">
        <v>0</v>
      </c>
      <c r="M143">
        <v>1</v>
      </c>
      <c r="N143" s="109">
        <v>1198.6953486951488</v>
      </c>
      <c r="O143" s="109">
        <v>-2851479.8006405756</v>
      </c>
      <c r="P143" s="365">
        <v>1</v>
      </c>
      <c r="Q143" s="365">
        <v>0</v>
      </c>
      <c r="R143" s="365">
        <v>0</v>
      </c>
      <c r="S143" s="365">
        <v>0</v>
      </c>
      <c r="T143" s="109">
        <v>-2487.1967271199833</v>
      </c>
      <c r="V143" s="368">
        <f t="shared" si="12"/>
        <v>55948905.424637049</v>
      </c>
      <c r="W143" s="30">
        <f t="shared" si="13"/>
        <v>60174645.466398127</v>
      </c>
      <c r="X143" s="30"/>
      <c r="Y143">
        <f t="shared" si="14"/>
        <v>0</v>
      </c>
      <c r="Z143">
        <f t="shared" si="15"/>
        <v>1</v>
      </c>
      <c r="AA143">
        <f t="shared" si="16"/>
        <v>0</v>
      </c>
      <c r="AB143">
        <f t="shared" si="17"/>
        <v>1</v>
      </c>
    </row>
    <row r="144" spans="6:28" x14ac:dyDescent="0.3">
      <c r="F144" s="28"/>
      <c r="G144">
        <v>136</v>
      </c>
      <c r="H144" s="109">
        <v>1216.2170498211271</v>
      </c>
      <c r="I144" s="370">
        <v>1655709.5705884942</v>
      </c>
      <c r="J144">
        <v>0</v>
      </c>
      <c r="K144">
        <v>0</v>
      </c>
      <c r="L144">
        <v>0</v>
      </c>
      <c r="M144">
        <v>1</v>
      </c>
      <c r="N144" s="109">
        <v>1361.360269395997</v>
      </c>
      <c r="O144" s="109">
        <v>-4358832.827464981</v>
      </c>
      <c r="P144" s="365">
        <v>1</v>
      </c>
      <c r="Q144" s="365">
        <v>0</v>
      </c>
      <c r="R144" s="365">
        <v>0</v>
      </c>
      <c r="S144" s="365">
        <v>0</v>
      </c>
      <c r="T144" s="109">
        <v>-3583.9267572396293</v>
      </c>
      <c r="V144" s="368">
        <f t="shared" si="12"/>
        <v>59155142.920467868</v>
      </c>
      <c r="W144" s="30">
        <f t="shared" si="13"/>
        <v>65169685.318521343</v>
      </c>
      <c r="X144" s="30"/>
      <c r="Y144">
        <f t="shared" si="14"/>
        <v>0</v>
      </c>
      <c r="Z144">
        <f t="shared" si="15"/>
        <v>1</v>
      </c>
      <c r="AA144">
        <f t="shared" si="16"/>
        <v>0</v>
      </c>
      <c r="AB144">
        <f t="shared" si="17"/>
        <v>1</v>
      </c>
    </row>
    <row r="145" spans="6:28" x14ac:dyDescent="0.3">
      <c r="F145" s="28"/>
      <c r="G145">
        <v>137</v>
      </c>
      <c r="H145" s="109">
        <v>1131.8935573747367</v>
      </c>
      <c r="I145" s="370">
        <v>1649753.2853248115</v>
      </c>
      <c r="J145">
        <v>0</v>
      </c>
      <c r="K145">
        <v>0</v>
      </c>
      <c r="L145">
        <v>0</v>
      </c>
      <c r="M145">
        <v>1</v>
      </c>
      <c r="N145" s="109">
        <v>1457.5162784309643</v>
      </c>
      <c r="O145" s="109">
        <v>-2380459.8315859977</v>
      </c>
      <c r="P145" s="365">
        <v>1</v>
      </c>
      <c r="Q145" s="365">
        <v>0</v>
      </c>
      <c r="R145" s="365">
        <v>0</v>
      </c>
      <c r="S145" s="365">
        <v>0</v>
      </c>
      <c r="T145" s="109">
        <v>-2103.0774634914696</v>
      </c>
      <c r="V145" s="368">
        <f t="shared" si="12"/>
        <v>54944924.583412021</v>
      </c>
      <c r="W145" s="30">
        <f t="shared" si="13"/>
        <v>58975137.700322829</v>
      </c>
      <c r="X145" s="30"/>
      <c r="Y145">
        <f t="shared" si="14"/>
        <v>0</v>
      </c>
      <c r="Z145">
        <f t="shared" si="15"/>
        <v>1</v>
      </c>
      <c r="AA145">
        <f t="shared" si="16"/>
        <v>0</v>
      </c>
      <c r="AB145">
        <f t="shared" si="17"/>
        <v>1</v>
      </c>
    </row>
    <row r="146" spans="6:28" x14ac:dyDescent="0.3">
      <c r="F146" s="28"/>
      <c r="G146">
        <v>138</v>
      </c>
      <c r="H146" s="109">
        <v>1169.2837346905872</v>
      </c>
      <c r="I146" s="370">
        <v>1416075.473166028</v>
      </c>
      <c r="J146">
        <v>0</v>
      </c>
      <c r="K146">
        <v>0</v>
      </c>
      <c r="L146">
        <v>0</v>
      </c>
      <c r="M146">
        <v>1</v>
      </c>
      <c r="N146" s="109">
        <v>1211.0623205929965</v>
      </c>
      <c r="O146" s="109">
        <v>-3373650.1140683973</v>
      </c>
      <c r="P146" s="365">
        <v>1</v>
      </c>
      <c r="Q146" s="365">
        <v>0</v>
      </c>
      <c r="R146" s="365">
        <v>0</v>
      </c>
      <c r="S146" s="365">
        <v>0</v>
      </c>
      <c r="T146" s="109">
        <v>-2885.227951076497</v>
      </c>
      <c r="V146" s="368">
        <f t="shared" si="12"/>
        <v>57048111.261363335</v>
      </c>
      <c r="W146" s="30">
        <f t="shared" si="13"/>
        <v>61837836.848597758</v>
      </c>
      <c r="X146" s="30"/>
      <c r="Y146">
        <f t="shared" si="14"/>
        <v>0</v>
      </c>
      <c r="Z146">
        <f t="shared" si="15"/>
        <v>1</v>
      </c>
      <c r="AA146">
        <f t="shared" si="16"/>
        <v>0</v>
      </c>
      <c r="AB146">
        <f t="shared" si="17"/>
        <v>1</v>
      </c>
    </row>
    <row r="147" spans="6:28" x14ac:dyDescent="0.3">
      <c r="F147" s="28"/>
      <c r="G147">
        <v>139</v>
      </c>
      <c r="H147" s="109">
        <v>1344.8271460318065</v>
      </c>
      <c r="I147" s="370">
        <v>1404723.8105321748</v>
      </c>
      <c r="J147">
        <v>0</v>
      </c>
      <c r="K147">
        <v>0</v>
      </c>
      <c r="L147">
        <v>0</v>
      </c>
      <c r="M147">
        <v>1</v>
      </c>
      <c r="N147" s="109">
        <v>1044.5385599756116</v>
      </c>
      <c r="O147" s="109">
        <v>-4054291.0511199352</v>
      </c>
      <c r="P147" s="365">
        <v>1</v>
      </c>
      <c r="Q147" s="365">
        <v>0</v>
      </c>
      <c r="R147" s="365">
        <v>0</v>
      </c>
      <c r="S147" s="365">
        <v>0</v>
      </c>
      <c r="T147" s="109">
        <v>-3014.7302298908585</v>
      </c>
      <c r="V147" s="368">
        <f t="shared" si="12"/>
        <v>65836633.491058148</v>
      </c>
      <c r="W147" s="30">
        <f t="shared" si="13"/>
        <v>71295648.352710262</v>
      </c>
      <c r="X147" s="30"/>
      <c r="Y147">
        <f t="shared" si="14"/>
        <v>0</v>
      </c>
      <c r="Z147">
        <f t="shared" si="15"/>
        <v>1</v>
      </c>
      <c r="AA147">
        <f t="shared" si="16"/>
        <v>0</v>
      </c>
      <c r="AB147">
        <f t="shared" si="17"/>
        <v>1</v>
      </c>
    </row>
    <row r="148" spans="6:28" x14ac:dyDescent="0.3">
      <c r="F148" s="28"/>
      <c r="G148">
        <v>140</v>
      </c>
      <c r="H148" s="109">
        <v>944.28621139981988</v>
      </c>
      <c r="I148" s="370">
        <v>909647.80827021971</v>
      </c>
      <c r="J148">
        <v>0</v>
      </c>
      <c r="K148">
        <v>0</v>
      </c>
      <c r="L148">
        <v>0</v>
      </c>
      <c r="M148">
        <v>1</v>
      </c>
      <c r="N148" s="109">
        <v>963.31789799381716</v>
      </c>
      <c r="O148" s="109">
        <v>-2806676.9650418116</v>
      </c>
      <c r="P148" s="365">
        <v>1</v>
      </c>
      <c r="Q148" s="365">
        <v>0</v>
      </c>
      <c r="R148" s="365">
        <v>0</v>
      </c>
      <c r="S148" s="365">
        <v>0</v>
      </c>
      <c r="T148" s="109">
        <v>-2972.2735873492888</v>
      </c>
      <c r="V148" s="368">
        <f t="shared" si="12"/>
        <v>46304662.761720777</v>
      </c>
      <c r="W148" s="30">
        <f t="shared" si="13"/>
        <v>50020987.535032801</v>
      </c>
      <c r="X148" s="30"/>
      <c r="Y148">
        <f t="shared" si="14"/>
        <v>0</v>
      </c>
      <c r="Z148">
        <f t="shared" si="15"/>
        <v>1</v>
      </c>
      <c r="AA148">
        <f t="shared" si="16"/>
        <v>0</v>
      </c>
      <c r="AB148">
        <f t="shared" si="17"/>
        <v>1</v>
      </c>
    </row>
    <row r="149" spans="6:28" x14ac:dyDescent="0.3">
      <c r="F149" s="28"/>
      <c r="G149">
        <v>141</v>
      </c>
      <c r="H149" s="109">
        <v>953.74041976671288</v>
      </c>
      <c r="I149" s="370">
        <v>1569405.5218212081</v>
      </c>
      <c r="J149">
        <v>0</v>
      </c>
      <c r="K149">
        <v>0</v>
      </c>
      <c r="L149">
        <v>0</v>
      </c>
      <c r="M149">
        <v>1</v>
      </c>
      <c r="N149" s="109">
        <v>1645.5269057434814</v>
      </c>
      <c r="O149" s="109">
        <v>-1827495.3204689221</v>
      </c>
      <c r="P149" s="365">
        <v>1</v>
      </c>
      <c r="Q149" s="365">
        <v>0</v>
      </c>
      <c r="R149" s="365">
        <v>0</v>
      </c>
      <c r="S149" s="365">
        <v>0</v>
      </c>
      <c r="T149" s="109">
        <v>-1916.1349174190727</v>
      </c>
      <c r="V149" s="368">
        <f t="shared" si="12"/>
        <v>46117615.466514438</v>
      </c>
      <c r="W149" s="30">
        <f t="shared" si="13"/>
        <v>49514516.308804572</v>
      </c>
      <c r="X149" s="30"/>
      <c r="Y149">
        <f t="shared" si="14"/>
        <v>0</v>
      </c>
      <c r="Z149">
        <f t="shared" si="15"/>
        <v>1</v>
      </c>
      <c r="AA149">
        <f t="shared" si="16"/>
        <v>0</v>
      </c>
      <c r="AB149">
        <f t="shared" si="17"/>
        <v>1</v>
      </c>
    </row>
    <row r="150" spans="6:28" x14ac:dyDescent="0.3">
      <c r="F150" s="28"/>
      <c r="G150">
        <v>142</v>
      </c>
      <c r="H150" s="109">
        <v>1318.3531659892324</v>
      </c>
      <c r="I150" s="370">
        <v>927999.82768790994</v>
      </c>
      <c r="J150">
        <v>0</v>
      </c>
      <c r="K150">
        <v>0</v>
      </c>
      <c r="L150">
        <v>0</v>
      </c>
      <c r="M150">
        <v>1</v>
      </c>
      <c r="N150" s="109">
        <v>703.90836964507992</v>
      </c>
      <c r="O150" s="109">
        <v>-4433332.7171665356</v>
      </c>
      <c r="P150" s="365">
        <v>1</v>
      </c>
      <c r="Q150" s="365">
        <v>0</v>
      </c>
      <c r="R150" s="365">
        <v>0</v>
      </c>
      <c r="S150" s="365">
        <v>0</v>
      </c>
      <c r="T150" s="109">
        <v>-3362.7808022442637</v>
      </c>
      <c r="V150" s="368">
        <f t="shared" si="12"/>
        <v>64989658.471773706</v>
      </c>
      <c r="W150" s="30">
        <f t="shared" si="13"/>
        <v>70350991.016628146</v>
      </c>
      <c r="X150" s="30"/>
      <c r="Y150">
        <f t="shared" si="14"/>
        <v>0</v>
      </c>
      <c r="Z150">
        <f t="shared" si="15"/>
        <v>1</v>
      </c>
      <c r="AA150">
        <f t="shared" si="16"/>
        <v>0</v>
      </c>
      <c r="AB150">
        <f t="shared" si="17"/>
        <v>1</v>
      </c>
    </row>
    <row r="151" spans="6:28" x14ac:dyDescent="0.3">
      <c r="F151" s="28"/>
      <c r="G151">
        <v>143</v>
      </c>
      <c r="H151" s="109">
        <v>1242.2285529270594</v>
      </c>
      <c r="I151" s="370">
        <v>936457.57481659518</v>
      </c>
      <c r="J151">
        <v>0</v>
      </c>
      <c r="K151">
        <v>0</v>
      </c>
      <c r="L151">
        <v>0</v>
      </c>
      <c r="M151">
        <v>1</v>
      </c>
      <c r="N151" s="109">
        <v>753.85288207232315</v>
      </c>
      <c r="O151" s="109">
        <v>-4712325.79241776</v>
      </c>
      <c r="P151" s="365">
        <v>1</v>
      </c>
      <c r="Q151" s="365">
        <v>0</v>
      </c>
      <c r="R151" s="365">
        <v>0</v>
      </c>
      <c r="S151" s="365">
        <v>0</v>
      </c>
      <c r="T151" s="109">
        <v>-3793.4450800652753</v>
      </c>
      <c r="V151" s="368">
        <f t="shared" si="12"/>
        <v>61174970.071536377</v>
      </c>
      <c r="W151" s="30">
        <f t="shared" si="13"/>
        <v>66823753.438770726</v>
      </c>
      <c r="X151" s="30"/>
      <c r="Y151">
        <f t="shared" si="14"/>
        <v>0</v>
      </c>
      <c r="Z151">
        <f t="shared" si="15"/>
        <v>1</v>
      </c>
      <c r="AA151">
        <f t="shared" si="16"/>
        <v>0</v>
      </c>
      <c r="AB151">
        <f t="shared" si="17"/>
        <v>1</v>
      </c>
    </row>
    <row r="152" spans="6:28" x14ac:dyDescent="0.3">
      <c r="F152" s="28"/>
      <c r="G152">
        <v>144</v>
      </c>
      <c r="H152" s="109">
        <v>1055.7323305398459</v>
      </c>
      <c r="I152" s="370">
        <v>1140835.1713150116</v>
      </c>
      <c r="J152">
        <v>0</v>
      </c>
      <c r="K152">
        <v>0</v>
      </c>
      <c r="L152">
        <v>0</v>
      </c>
      <c r="M152">
        <v>1</v>
      </c>
      <c r="N152" s="109">
        <v>1080.6102440110446</v>
      </c>
      <c r="O152" s="109">
        <v>-3050650.1540725757</v>
      </c>
      <c r="P152" s="365">
        <v>1</v>
      </c>
      <c r="Q152" s="365">
        <v>0</v>
      </c>
      <c r="R152" s="365">
        <v>0</v>
      </c>
      <c r="S152" s="365">
        <v>0</v>
      </c>
      <c r="T152" s="109">
        <v>-2889.6056943833805</v>
      </c>
      <c r="V152" s="368">
        <f t="shared" si="12"/>
        <v>51645781.355677277</v>
      </c>
      <c r="W152" s="30">
        <f t="shared" si="13"/>
        <v>55837266.681064866</v>
      </c>
      <c r="X152" s="30"/>
      <c r="Y152">
        <f t="shared" si="14"/>
        <v>0</v>
      </c>
      <c r="Z152">
        <f t="shared" si="15"/>
        <v>1</v>
      </c>
      <c r="AA152">
        <f t="shared" si="16"/>
        <v>0</v>
      </c>
      <c r="AB152">
        <f t="shared" si="17"/>
        <v>1</v>
      </c>
    </row>
    <row r="153" spans="6:28" x14ac:dyDescent="0.3">
      <c r="F153" s="28"/>
      <c r="G153">
        <v>145</v>
      </c>
      <c r="H153" s="109">
        <v>1334.7687233663601</v>
      </c>
      <c r="I153" s="370">
        <v>1287476.1178882653</v>
      </c>
      <c r="J153">
        <v>0</v>
      </c>
      <c r="K153">
        <v>0</v>
      </c>
      <c r="L153">
        <v>0</v>
      </c>
      <c r="M153">
        <v>1</v>
      </c>
      <c r="N153" s="109">
        <v>964.56868920420891</v>
      </c>
      <c r="O153" s="109">
        <v>-4268516.9587948024</v>
      </c>
      <c r="P153" s="365">
        <v>1</v>
      </c>
      <c r="Q153" s="365">
        <v>0</v>
      </c>
      <c r="R153" s="365">
        <v>0</v>
      </c>
      <c r="S153" s="365">
        <v>0</v>
      </c>
      <c r="T153" s="109">
        <v>-3197.9449953167677</v>
      </c>
      <c r="V153" s="368">
        <f t="shared" si="12"/>
        <v>65450960.050429739</v>
      </c>
      <c r="W153" s="30">
        <f t="shared" si="13"/>
        <v>71006953.127112806</v>
      </c>
      <c r="X153" s="30"/>
      <c r="Y153">
        <f t="shared" si="14"/>
        <v>0</v>
      </c>
      <c r="Z153">
        <f t="shared" si="15"/>
        <v>1</v>
      </c>
      <c r="AA153">
        <f t="shared" si="16"/>
        <v>0</v>
      </c>
      <c r="AB153">
        <f t="shared" si="17"/>
        <v>1</v>
      </c>
    </row>
    <row r="154" spans="6:28" x14ac:dyDescent="0.3">
      <c r="F154" s="28"/>
      <c r="G154">
        <v>146</v>
      </c>
      <c r="H154" s="109">
        <v>1112.0546004382704</v>
      </c>
      <c r="I154" s="370">
        <v>1756529.664518232</v>
      </c>
      <c r="J154">
        <v>0</v>
      </c>
      <c r="K154">
        <v>0</v>
      </c>
      <c r="L154">
        <v>0</v>
      </c>
      <c r="M154">
        <v>1</v>
      </c>
      <c r="N154" s="109">
        <v>1579.535450710755</v>
      </c>
      <c r="O154" s="109">
        <v>-2864762.8502395935</v>
      </c>
      <c r="P154" s="365">
        <v>1</v>
      </c>
      <c r="Q154" s="365">
        <v>0</v>
      </c>
      <c r="R154" s="365">
        <v>0</v>
      </c>
      <c r="S154" s="365">
        <v>0</v>
      </c>
      <c r="T154" s="109">
        <v>-2576.0990954136296</v>
      </c>
      <c r="V154" s="368">
        <f t="shared" si="12"/>
        <v>53846200.357395291</v>
      </c>
      <c r="W154" s="30">
        <f t="shared" si="13"/>
        <v>58467492.872153118</v>
      </c>
      <c r="X154" s="30"/>
      <c r="Y154">
        <f t="shared" si="14"/>
        <v>0</v>
      </c>
      <c r="Z154">
        <f t="shared" si="15"/>
        <v>1</v>
      </c>
      <c r="AA154">
        <f t="shared" si="16"/>
        <v>0</v>
      </c>
      <c r="AB154">
        <f t="shared" si="17"/>
        <v>1</v>
      </c>
    </row>
    <row r="155" spans="6:28" x14ac:dyDescent="0.3">
      <c r="F155" s="28"/>
      <c r="G155">
        <v>147</v>
      </c>
      <c r="H155" s="109">
        <v>1198.7096798636485</v>
      </c>
      <c r="I155" s="370">
        <v>1183328.1158977039</v>
      </c>
      <c r="J155">
        <v>0</v>
      </c>
      <c r="K155">
        <v>0</v>
      </c>
      <c r="L155">
        <v>0</v>
      </c>
      <c r="M155">
        <v>1</v>
      </c>
      <c r="N155" s="109">
        <v>987.16823245500598</v>
      </c>
      <c r="O155" s="109">
        <v>-3647604.1206086432</v>
      </c>
      <c r="P155" s="365">
        <v>1</v>
      </c>
      <c r="Q155" s="365">
        <v>0</v>
      </c>
      <c r="R155" s="365">
        <v>0</v>
      </c>
      <c r="S155" s="365">
        <v>0</v>
      </c>
      <c r="T155" s="109">
        <v>-3042.9420750348431</v>
      </c>
      <c r="V155" s="368">
        <f t="shared" si="12"/>
        <v>58752155.877284721</v>
      </c>
      <c r="W155" s="30">
        <f t="shared" si="13"/>
        <v>63583088.113791063</v>
      </c>
      <c r="X155" s="30"/>
      <c r="Y155">
        <f t="shared" si="14"/>
        <v>0</v>
      </c>
      <c r="Z155">
        <f t="shared" si="15"/>
        <v>1</v>
      </c>
      <c r="AA155">
        <f t="shared" si="16"/>
        <v>0</v>
      </c>
      <c r="AB155">
        <f t="shared" si="17"/>
        <v>1</v>
      </c>
    </row>
    <row r="156" spans="6:28" x14ac:dyDescent="0.3">
      <c r="F156" s="28"/>
      <c r="G156">
        <v>148</v>
      </c>
      <c r="H156" s="109">
        <v>1349.1996890139271</v>
      </c>
      <c r="I156" s="370">
        <v>1084128.8884356609</v>
      </c>
      <c r="J156">
        <v>0</v>
      </c>
      <c r="K156">
        <v>0</v>
      </c>
      <c r="L156">
        <v>0</v>
      </c>
      <c r="M156">
        <v>1</v>
      </c>
      <c r="N156" s="109">
        <v>803.53478974487814</v>
      </c>
      <c r="O156" s="109">
        <v>-4484074.2551484443</v>
      </c>
      <c r="P156" s="365">
        <v>1</v>
      </c>
      <c r="Q156" s="365">
        <v>0</v>
      </c>
      <c r="R156" s="365">
        <v>0</v>
      </c>
      <c r="S156" s="365">
        <v>0</v>
      </c>
      <c r="T156" s="109">
        <v>-3323.5067363717408</v>
      </c>
      <c r="V156" s="368">
        <f t="shared" si="12"/>
        <v>66375855.562260687</v>
      </c>
      <c r="W156" s="30">
        <f t="shared" si="13"/>
        <v>71944058.70584479</v>
      </c>
      <c r="X156" s="30"/>
      <c r="Y156">
        <f t="shared" si="14"/>
        <v>0</v>
      </c>
      <c r="Z156">
        <f t="shared" si="15"/>
        <v>1</v>
      </c>
      <c r="AA156">
        <f t="shared" si="16"/>
        <v>0</v>
      </c>
      <c r="AB156">
        <f t="shared" si="17"/>
        <v>1</v>
      </c>
    </row>
    <row r="157" spans="6:28" x14ac:dyDescent="0.3">
      <c r="F157" s="28"/>
      <c r="G157">
        <v>149</v>
      </c>
      <c r="H157" s="109">
        <v>1239.6212489435784</v>
      </c>
      <c r="I157" s="370">
        <v>809615.27516442526</v>
      </c>
      <c r="J157">
        <v>0</v>
      </c>
      <c r="K157">
        <v>0</v>
      </c>
      <c r="L157">
        <v>0</v>
      </c>
      <c r="M157">
        <v>1</v>
      </c>
      <c r="N157" s="109">
        <v>653.11503481760258</v>
      </c>
      <c r="O157" s="109">
        <v>-4025678.9396096761</v>
      </c>
      <c r="P157" s="365">
        <v>1</v>
      </c>
      <c r="Q157" s="365">
        <v>0</v>
      </c>
      <c r="R157" s="365">
        <v>0</v>
      </c>
      <c r="S157" s="365">
        <v>0</v>
      </c>
      <c r="T157" s="109">
        <v>-3247.5072067701426</v>
      </c>
      <c r="V157" s="368">
        <f t="shared" si="12"/>
        <v>61171447.172014497</v>
      </c>
      <c r="W157" s="30">
        <f t="shared" si="13"/>
        <v>66006741.386788599</v>
      </c>
      <c r="X157" s="30"/>
      <c r="Y157">
        <f t="shared" si="14"/>
        <v>0</v>
      </c>
      <c r="Z157">
        <f t="shared" si="15"/>
        <v>1</v>
      </c>
      <c r="AA157">
        <f t="shared" si="16"/>
        <v>0</v>
      </c>
      <c r="AB157">
        <f t="shared" si="17"/>
        <v>1</v>
      </c>
    </row>
    <row r="158" spans="6:28" x14ac:dyDescent="0.3">
      <c r="F158" s="28"/>
      <c r="G158">
        <v>150</v>
      </c>
      <c r="H158" s="109">
        <v>1182.3439959908719</v>
      </c>
      <c r="I158" s="370">
        <v>1697231.2456758884</v>
      </c>
      <c r="J158">
        <v>0</v>
      </c>
      <c r="K158">
        <v>0</v>
      </c>
      <c r="L158">
        <v>0</v>
      </c>
      <c r="M158">
        <v>1</v>
      </c>
      <c r="N158" s="109">
        <v>1435.4800729998308</v>
      </c>
      <c r="O158" s="109">
        <v>-2822946.9954965496</v>
      </c>
      <c r="P158" s="365">
        <v>1</v>
      </c>
      <c r="Q158" s="365">
        <v>0</v>
      </c>
      <c r="R158" s="365">
        <v>0</v>
      </c>
      <c r="S158" s="365">
        <v>0</v>
      </c>
      <c r="T158" s="109">
        <v>-2387.5851740852786</v>
      </c>
      <c r="V158" s="368">
        <f t="shared" si="12"/>
        <v>57419968.553867705</v>
      </c>
      <c r="W158" s="30">
        <f t="shared" si="13"/>
        <v>61940146.795040146</v>
      </c>
      <c r="X158" s="30"/>
      <c r="Y158">
        <f t="shared" si="14"/>
        <v>0</v>
      </c>
      <c r="Z158">
        <f t="shared" si="15"/>
        <v>1</v>
      </c>
      <c r="AA158">
        <f t="shared" si="16"/>
        <v>0</v>
      </c>
      <c r="AB158">
        <f t="shared" si="17"/>
        <v>1</v>
      </c>
    </row>
    <row r="159" spans="6:28" x14ac:dyDescent="0.3">
      <c r="F159" s="28"/>
      <c r="G159">
        <v>151</v>
      </c>
      <c r="H159" s="109">
        <v>1281.4730885892641</v>
      </c>
      <c r="I159" s="370">
        <v>1137812.7900064311</v>
      </c>
      <c r="J159">
        <v>0</v>
      </c>
      <c r="K159">
        <v>0</v>
      </c>
      <c r="L159">
        <v>0</v>
      </c>
      <c r="M159">
        <v>1</v>
      </c>
      <c r="N159" s="109">
        <v>887.89440850374433</v>
      </c>
      <c r="O159" s="109">
        <v>-3505901.9724067179</v>
      </c>
      <c r="P159" s="365">
        <v>1</v>
      </c>
      <c r="Q159" s="365">
        <v>0</v>
      </c>
      <c r="R159" s="365">
        <v>0</v>
      </c>
      <c r="S159" s="365">
        <v>0</v>
      </c>
      <c r="T159" s="109">
        <v>-2735.8373762388269</v>
      </c>
      <c r="V159" s="368">
        <f t="shared" si="12"/>
        <v>62935841.639456779</v>
      </c>
      <c r="W159" s="30">
        <f t="shared" si="13"/>
        <v>67579556.401869923</v>
      </c>
      <c r="X159" s="30"/>
      <c r="Y159">
        <f t="shared" si="14"/>
        <v>0</v>
      </c>
      <c r="Z159">
        <f t="shared" si="15"/>
        <v>1</v>
      </c>
      <c r="AA159">
        <f t="shared" si="16"/>
        <v>0</v>
      </c>
      <c r="AB159">
        <f t="shared" si="17"/>
        <v>1</v>
      </c>
    </row>
    <row r="160" spans="6:28" x14ac:dyDescent="0.3">
      <c r="F160" s="28"/>
      <c r="G160">
        <v>152</v>
      </c>
      <c r="H160" s="109">
        <v>1208.6004738286138</v>
      </c>
      <c r="I160" s="370">
        <v>1564087.9662675641</v>
      </c>
      <c r="J160">
        <v>0</v>
      </c>
      <c r="K160">
        <v>0</v>
      </c>
      <c r="L160">
        <v>0</v>
      </c>
      <c r="M160">
        <v>1</v>
      </c>
      <c r="N160" s="109">
        <v>1294.1315183443826</v>
      </c>
      <c r="O160" s="109">
        <v>-3052111.8841558252</v>
      </c>
      <c r="P160" s="365">
        <v>1</v>
      </c>
      <c r="Q160" s="365">
        <v>0</v>
      </c>
      <c r="R160" s="365">
        <v>0</v>
      </c>
      <c r="S160" s="365">
        <v>0</v>
      </c>
      <c r="T160" s="109">
        <v>-2525.3273933339792</v>
      </c>
      <c r="V160" s="368">
        <f t="shared" si="12"/>
        <v>58865935.725163125</v>
      </c>
      <c r="W160" s="30">
        <f t="shared" si="13"/>
        <v>63482135.575586513</v>
      </c>
      <c r="X160" s="30"/>
      <c r="Y160">
        <f t="shared" si="14"/>
        <v>0</v>
      </c>
      <c r="Z160">
        <f t="shared" si="15"/>
        <v>1</v>
      </c>
      <c r="AA160">
        <f t="shared" si="16"/>
        <v>0</v>
      </c>
      <c r="AB160">
        <f t="shared" si="17"/>
        <v>1</v>
      </c>
    </row>
    <row r="161" spans="6:28" x14ac:dyDescent="0.3">
      <c r="F161" s="28"/>
      <c r="G161">
        <v>153</v>
      </c>
      <c r="H161" s="109">
        <v>1101.8587431665146</v>
      </c>
      <c r="I161" s="370">
        <v>1456265.0624042402</v>
      </c>
      <c r="J161">
        <v>0</v>
      </c>
      <c r="K161">
        <v>0</v>
      </c>
      <c r="L161">
        <v>0</v>
      </c>
      <c r="M161">
        <v>1</v>
      </c>
      <c r="N161" s="109">
        <v>1321.6440595817528</v>
      </c>
      <c r="O161" s="109">
        <v>-2986925.2697762954</v>
      </c>
      <c r="P161" s="365">
        <v>1</v>
      </c>
      <c r="Q161" s="365">
        <v>0</v>
      </c>
      <c r="R161" s="365">
        <v>0</v>
      </c>
      <c r="S161" s="365">
        <v>0</v>
      </c>
      <c r="T161" s="109">
        <v>-2710.8059797143223</v>
      </c>
      <c r="V161" s="368">
        <f t="shared" si="12"/>
        <v>53636672.095921494</v>
      </c>
      <c r="W161" s="30">
        <f t="shared" si="13"/>
        <v>58079862.428102024</v>
      </c>
      <c r="X161" s="30"/>
      <c r="Y161">
        <f t="shared" si="14"/>
        <v>0</v>
      </c>
      <c r="Z161">
        <f t="shared" si="15"/>
        <v>1</v>
      </c>
      <c r="AA161">
        <f t="shared" si="16"/>
        <v>0</v>
      </c>
      <c r="AB161">
        <f t="shared" si="17"/>
        <v>1</v>
      </c>
    </row>
    <row r="162" spans="6:28" x14ac:dyDescent="0.3">
      <c r="F162" s="28"/>
      <c r="G162">
        <v>154</v>
      </c>
      <c r="H162" s="109">
        <v>1010.3400457780735</v>
      </c>
      <c r="I162" s="370">
        <v>295875.71757483511</v>
      </c>
      <c r="J162">
        <v>0</v>
      </c>
      <c r="K162">
        <v>0</v>
      </c>
      <c r="L162">
        <v>0</v>
      </c>
      <c r="M162">
        <v>1</v>
      </c>
      <c r="N162" s="109">
        <v>292.84765937093795</v>
      </c>
      <c r="O162" s="109">
        <v>-3648625.7995263692</v>
      </c>
      <c r="P162" s="365">
        <v>1</v>
      </c>
      <c r="Q162" s="365">
        <v>0</v>
      </c>
      <c r="R162" s="365">
        <v>0</v>
      </c>
      <c r="S162" s="365">
        <v>0</v>
      </c>
      <c r="T162" s="109">
        <v>-3611.2849478479534</v>
      </c>
      <c r="V162" s="368">
        <f t="shared" si="12"/>
        <v>50221126.571328841</v>
      </c>
      <c r="W162" s="30">
        <f t="shared" si="13"/>
        <v>54165628.088430047</v>
      </c>
      <c r="X162" s="30"/>
      <c r="Y162">
        <f t="shared" si="14"/>
        <v>0</v>
      </c>
      <c r="Z162">
        <f t="shared" si="15"/>
        <v>1</v>
      </c>
      <c r="AA162">
        <f t="shared" si="16"/>
        <v>0</v>
      </c>
      <c r="AB162">
        <f t="shared" si="17"/>
        <v>1</v>
      </c>
    </row>
    <row r="163" spans="6:28" x14ac:dyDescent="0.3">
      <c r="F163" s="28"/>
      <c r="G163">
        <v>155</v>
      </c>
      <c r="H163" s="109">
        <v>1219.362094602322</v>
      </c>
      <c r="I163" s="370">
        <v>1522959.7908423904</v>
      </c>
      <c r="J163">
        <v>0</v>
      </c>
      <c r="K163">
        <v>0</v>
      </c>
      <c r="L163">
        <v>0</v>
      </c>
      <c r="M163">
        <v>1</v>
      </c>
      <c r="N163" s="109">
        <v>1248.9807560723646</v>
      </c>
      <c r="O163" s="109">
        <v>-2718696.3395428695</v>
      </c>
      <c r="P163" s="365">
        <v>1</v>
      </c>
      <c r="Q163" s="365">
        <v>0</v>
      </c>
      <c r="R163" s="365">
        <v>0</v>
      </c>
      <c r="S163" s="365">
        <v>0</v>
      </c>
      <c r="T163" s="109">
        <v>-2229.6054236699351</v>
      </c>
      <c r="V163" s="368">
        <f t="shared" si="12"/>
        <v>59445144.939273708</v>
      </c>
      <c r="W163" s="30">
        <f t="shared" si="13"/>
        <v>63686801.069658965</v>
      </c>
      <c r="X163" s="30"/>
      <c r="Y163">
        <f t="shared" si="14"/>
        <v>0</v>
      </c>
      <c r="Z163">
        <f t="shared" si="15"/>
        <v>1</v>
      </c>
      <c r="AA163">
        <f t="shared" si="16"/>
        <v>0</v>
      </c>
      <c r="AB163">
        <f t="shared" si="17"/>
        <v>1</v>
      </c>
    </row>
    <row r="164" spans="6:28" x14ac:dyDescent="0.3">
      <c r="F164" s="28"/>
      <c r="G164">
        <v>156</v>
      </c>
      <c r="H164" s="109">
        <v>1125.7115955460686</v>
      </c>
      <c r="I164" s="370">
        <v>1000494.5173493091</v>
      </c>
      <c r="J164">
        <v>0</v>
      </c>
      <c r="K164">
        <v>0</v>
      </c>
      <c r="L164">
        <v>0</v>
      </c>
      <c r="M164">
        <v>1</v>
      </c>
      <c r="N164" s="109">
        <v>888.76628908133591</v>
      </c>
      <c r="O164" s="109">
        <v>-3800395.5533512868</v>
      </c>
      <c r="P164" s="365">
        <v>1</v>
      </c>
      <c r="Q164" s="365">
        <v>0</v>
      </c>
      <c r="R164" s="365">
        <v>0</v>
      </c>
      <c r="S164" s="365">
        <v>0</v>
      </c>
      <c r="T164" s="109">
        <v>-3375.9939654061773</v>
      </c>
      <c r="V164" s="368">
        <f t="shared" si="12"/>
        <v>55285085.259954117</v>
      </c>
      <c r="W164" s="30">
        <f t="shared" si="13"/>
        <v>60085975.330654711</v>
      </c>
      <c r="X164" s="30"/>
      <c r="Y164">
        <f t="shared" si="14"/>
        <v>0</v>
      </c>
      <c r="Z164">
        <f t="shared" si="15"/>
        <v>1</v>
      </c>
      <c r="AA164">
        <f t="shared" si="16"/>
        <v>0</v>
      </c>
      <c r="AB164">
        <f t="shared" si="17"/>
        <v>1</v>
      </c>
    </row>
    <row r="165" spans="6:28" x14ac:dyDescent="0.3">
      <c r="F165" s="28"/>
      <c r="G165">
        <v>157</v>
      </c>
      <c r="H165" s="109">
        <v>1074.511266720554</v>
      </c>
      <c r="I165" s="370">
        <v>1127498.082471102</v>
      </c>
      <c r="J165">
        <v>0</v>
      </c>
      <c r="K165">
        <v>0</v>
      </c>
      <c r="L165">
        <v>0</v>
      </c>
      <c r="M165">
        <v>1</v>
      </c>
      <c r="N165" s="109">
        <v>1049.3124803728356</v>
      </c>
      <c r="O165" s="109">
        <v>-2340503.7556881853</v>
      </c>
      <c r="P165" s="365">
        <v>1</v>
      </c>
      <c r="Q165" s="365">
        <v>0</v>
      </c>
      <c r="R165" s="365">
        <v>0</v>
      </c>
      <c r="S165" s="365">
        <v>0</v>
      </c>
      <c r="T165" s="109">
        <v>-2178.2030846744724</v>
      </c>
      <c r="V165" s="368">
        <f t="shared" si="12"/>
        <v>52598065.253556594</v>
      </c>
      <c r="W165" s="30">
        <f t="shared" si="13"/>
        <v>56066067.09171588</v>
      </c>
      <c r="X165" s="30"/>
      <c r="Y165">
        <f t="shared" si="14"/>
        <v>0</v>
      </c>
      <c r="Z165">
        <f t="shared" si="15"/>
        <v>1</v>
      </c>
      <c r="AA165">
        <f t="shared" si="16"/>
        <v>0</v>
      </c>
      <c r="AB165">
        <f t="shared" si="17"/>
        <v>1</v>
      </c>
    </row>
    <row r="166" spans="6:28" x14ac:dyDescent="0.3">
      <c r="F166" s="28"/>
      <c r="G166">
        <v>158</v>
      </c>
      <c r="H166" s="109">
        <v>1116.4784193405576</v>
      </c>
      <c r="I166" s="370">
        <v>1306885.9154690939</v>
      </c>
      <c r="J166">
        <v>0</v>
      </c>
      <c r="K166">
        <v>0</v>
      </c>
      <c r="L166">
        <v>0</v>
      </c>
      <c r="M166">
        <v>1</v>
      </c>
      <c r="N166" s="109">
        <v>1170.5429257119001</v>
      </c>
      <c r="O166" s="109">
        <v>-2990325.8931340259</v>
      </c>
      <c r="P166" s="365">
        <v>1</v>
      </c>
      <c r="Q166" s="365">
        <v>0</v>
      </c>
      <c r="R166" s="365">
        <v>0</v>
      </c>
      <c r="S166" s="365">
        <v>0</v>
      </c>
      <c r="T166" s="109">
        <v>-2678.355301215985</v>
      </c>
      <c r="V166" s="368">
        <f t="shared" si="12"/>
        <v>54517035.051558785</v>
      </c>
      <c r="W166" s="30">
        <f t="shared" si="13"/>
        <v>58814246.860161908</v>
      </c>
      <c r="X166" s="30"/>
      <c r="Y166">
        <f t="shared" si="14"/>
        <v>0</v>
      </c>
      <c r="Z166">
        <f t="shared" si="15"/>
        <v>1</v>
      </c>
      <c r="AA166">
        <f t="shared" si="16"/>
        <v>0</v>
      </c>
      <c r="AB166">
        <f t="shared" si="17"/>
        <v>1</v>
      </c>
    </row>
    <row r="167" spans="6:28" x14ac:dyDescent="0.3">
      <c r="F167" s="28"/>
      <c r="G167">
        <v>159</v>
      </c>
      <c r="H167" s="109">
        <v>1193.5495505343351</v>
      </c>
      <c r="I167" s="370">
        <v>1309908.3050681979</v>
      </c>
      <c r="J167">
        <v>0</v>
      </c>
      <c r="K167">
        <v>0</v>
      </c>
      <c r="L167">
        <v>0</v>
      </c>
      <c r="M167">
        <v>1</v>
      </c>
      <c r="N167" s="109">
        <v>1097.4896722819515</v>
      </c>
      <c r="O167" s="109">
        <v>-3721826.5419277018</v>
      </c>
      <c r="P167" s="365">
        <v>1</v>
      </c>
      <c r="Q167" s="365">
        <v>0</v>
      </c>
      <c r="R167" s="365">
        <v>0</v>
      </c>
      <c r="S167" s="365">
        <v>0</v>
      </c>
      <c r="T167" s="109">
        <v>-3118.284063080157</v>
      </c>
      <c r="V167" s="368">
        <f t="shared" si="12"/>
        <v>58367569.221648559</v>
      </c>
      <c r="W167" s="30">
        <f t="shared" si="13"/>
        <v>63399304.068644457</v>
      </c>
      <c r="X167" s="30"/>
      <c r="Y167">
        <f t="shared" si="14"/>
        <v>0</v>
      </c>
      <c r="Z167">
        <f t="shared" si="15"/>
        <v>1</v>
      </c>
      <c r="AA167">
        <f t="shared" si="16"/>
        <v>0</v>
      </c>
      <c r="AB167">
        <f t="shared" si="17"/>
        <v>1</v>
      </c>
    </row>
    <row r="168" spans="6:28" x14ac:dyDescent="0.3">
      <c r="F168" s="28"/>
      <c r="G168">
        <v>160</v>
      </c>
      <c r="H168" s="109">
        <v>1373.8109778232101</v>
      </c>
      <c r="I168" s="370">
        <v>1338958.7042996006</v>
      </c>
      <c r="J168">
        <v>0</v>
      </c>
      <c r="K168">
        <v>0</v>
      </c>
      <c r="L168">
        <v>0</v>
      </c>
      <c r="M168">
        <v>1</v>
      </c>
      <c r="N168" s="109">
        <v>974.63095426793529</v>
      </c>
      <c r="O168" s="109">
        <v>-4682348.3522749953</v>
      </c>
      <c r="P168" s="365">
        <v>1</v>
      </c>
      <c r="Q168" s="365">
        <v>0</v>
      </c>
      <c r="R168" s="365">
        <v>0</v>
      </c>
      <c r="S168" s="365">
        <v>0</v>
      </c>
      <c r="T168" s="109">
        <v>-3408.2915538308844</v>
      </c>
      <c r="V168" s="368">
        <f t="shared" si="12"/>
        <v>67351590.186860904</v>
      </c>
      <c r="W168" s="30">
        <f t="shared" si="13"/>
        <v>73372897.243435502</v>
      </c>
      <c r="X168" s="30"/>
      <c r="Y168">
        <f t="shared" si="14"/>
        <v>0</v>
      </c>
      <c r="Z168">
        <f t="shared" si="15"/>
        <v>1</v>
      </c>
      <c r="AA168">
        <f t="shared" si="16"/>
        <v>0</v>
      </c>
      <c r="AB168">
        <f t="shared" si="17"/>
        <v>1</v>
      </c>
    </row>
    <row r="169" spans="6:28" x14ac:dyDescent="0.3">
      <c r="F169" s="28"/>
      <c r="G169">
        <v>161</v>
      </c>
      <c r="H169" s="109">
        <v>1246.0366697386125</v>
      </c>
      <c r="I169" s="370">
        <v>1123298.4409192367</v>
      </c>
      <c r="J169">
        <v>0</v>
      </c>
      <c r="K169">
        <v>0</v>
      </c>
      <c r="L169">
        <v>0</v>
      </c>
      <c r="M169">
        <v>1</v>
      </c>
      <c r="N169" s="109">
        <v>901.49709731646726</v>
      </c>
      <c r="O169" s="109">
        <v>-3662545.2518422003</v>
      </c>
      <c r="P169" s="365">
        <v>1</v>
      </c>
      <c r="Q169" s="365">
        <v>0</v>
      </c>
      <c r="R169" s="365">
        <v>0</v>
      </c>
      <c r="S169" s="365">
        <v>0</v>
      </c>
      <c r="T169" s="109">
        <v>-2939.3559120619707</v>
      </c>
      <c r="V169" s="368">
        <f t="shared" si="12"/>
        <v>61178535.046011388</v>
      </c>
      <c r="W169" s="30">
        <f t="shared" si="13"/>
        <v>65964378.738772824</v>
      </c>
      <c r="X169" s="30"/>
      <c r="Y169">
        <f t="shared" si="14"/>
        <v>0</v>
      </c>
      <c r="Z169">
        <f t="shared" si="15"/>
        <v>1</v>
      </c>
      <c r="AA169">
        <f t="shared" si="16"/>
        <v>0</v>
      </c>
      <c r="AB169">
        <f t="shared" si="17"/>
        <v>1</v>
      </c>
    </row>
    <row r="170" spans="6:28" x14ac:dyDescent="0.3">
      <c r="F170" s="28"/>
      <c r="G170">
        <v>162</v>
      </c>
      <c r="H170" s="109">
        <v>1074.9411071765717</v>
      </c>
      <c r="I170" s="370">
        <v>1409175.3967757348</v>
      </c>
      <c r="J170">
        <v>0</v>
      </c>
      <c r="K170">
        <v>0</v>
      </c>
      <c r="L170">
        <v>0</v>
      </c>
      <c r="M170">
        <v>1</v>
      </c>
      <c r="N170" s="109">
        <v>1310.9326523729837</v>
      </c>
      <c r="O170" s="109">
        <v>-3117492.0252986313</v>
      </c>
      <c r="P170" s="365">
        <v>1</v>
      </c>
      <c r="Q170" s="365">
        <v>0</v>
      </c>
      <c r="R170" s="365">
        <v>0</v>
      </c>
      <c r="S170" s="365">
        <v>0</v>
      </c>
      <c r="T170" s="109">
        <v>-2900.1514636341344</v>
      </c>
      <c r="V170" s="368">
        <f t="shared" si="12"/>
        <v>52337879.962052844</v>
      </c>
      <c r="W170" s="30">
        <f t="shared" si="13"/>
        <v>56864547.384127215</v>
      </c>
      <c r="X170" s="30"/>
      <c r="Y170">
        <f t="shared" si="14"/>
        <v>0</v>
      </c>
      <c r="Z170">
        <f t="shared" si="15"/>
        <v>1</v>
      </c>
      <c r="AA170">
        <f t="shared" si="16"/>
        <v>0</v>
      </c>
      <c r="AB170">
        <f t="shared" si="17"/>
        <v>1</v>
      </c>
    </row>
    <row r="171" spans="6:28" x14ac:dyDescent="0.3">
      <c r="F171" s="28"/>
      <c r="G171">
        <v>163</v>
      </c>
      <c r="H171" s="109">
        <v>1068.5606479107882</v>
      </c>
      <c r="I171" s="370">
        <v>1604981.0766341456</v>
      </c>
      <c r="J171">
        <v>0</v>
      </c>
      <c r="K171">
        <v>0</v>
      </c>
      <c r="L171">
        <v>0</v>
      </c>
      <c r="M171">
        <v>1</v>
      </c>
      <c r="N171" s="109">
        <v>1502.0027920475525</v>
      </c>
      <c r="O171" s="109">
        <v>-2276800.7212188863</v>
      </c>
      <c r="P171" s="365">
        <v>1</v>
      </c>
      <c r="Q171" s="365">
        <v>0</v>
      </c>
      <c r="R171" s="365">
        <v>0</v>
      </c>
      <c r="S171" s="365">
        <v>0</v>
      </c>
      <c r="T171" s="109">
        <v>-2130.7173585986029</v>
      </c>
      <c r="V171" s="368">
        <f t="shared" si="12"/>
        <v>51823051.318905264</v>
      </c>
      <c r="W171" s="30">
        <f t="shared" si="13"/>
        <v>55704833.116758294</v>
      </c>
      <c r="X171" s="30"/>
      <c r="Y171">
        <f t="shared" si="14"/>
        <v>0</v>
      </c>
      <c r="Z171">
        <f t="shared" si="15"/>
        <v>1</v>
      </c>
      <c r="AA171">
        <f t="shared" si="16"/>
        <v>0</v>
      </c>
      <c r="AB171">
        <f t="shared" si="17"/>
        <v>1</v>
      </c>
    </row>
    <row r="172" spans="6:28" x14ac:dyDescent="0.3">
      <c r="F172" s="28"/>
      <c r="G172">
        <v>164</v>
      </c>
      <c r="H172" s="109">
        <v>1087.1589403852558</v>
      </c>
      <c r="I172" s="370">
        <v>1130351.4715453116</v>
      </c>
      <c r="J172">
        <v>0</v>
      </c>
      <c r="K172">
        <v>0</v>
      </c>
      <c r="L172">
        <v>0</v>
      </c>
      <c r="M172">
        <v>1</v>
      </c>
      <c r="N172" s="109">
        <v>1039.7297299921479</v>
      </c>
      <c r="O172" s="109">
        <v>-2770802.4582091277</v>
      </c>
      <c r="P172" s="365">
        <v>1</v>
      </c>
      <c r="Q172" s="365">
        <v>0</v>
      </c>
      <c r="R172" s="365">
        <v>0</v>
      </c>
      <c r="S172" s="365">
        <v>0</v>
      </c>
      <c r="T172" s="109">
        <v>-2548.6636362731288</v>
      </c>
      <c r="V172" s="368">
        <f t="shared" si="12"/>
        <v>53227595.547717482</v>
      </c>
      <c r="W172" s="30">
        <f t="shared" si="13"/>
        <v>57128749.477471918</v>
      </c>
      <c r="X172" s="30"/>
      <c r="Y172">
        <f t="shared" si="14"/>
        <v>0</v>
      </c>
      <c r="Z172">
        <f t="shared" si="15"/>
        <v>1</v>
      </c>
      <c r="AA172">
        <f t="shared" si="16"/>
        <v>0</v>
      </c>
      <c r="AB172">
        <f t="shared" si="17"/>
        <v>1</v>
      </c>
    </row>
    <row r="173" spans="6:28" x14ac:dyDescent="0.3">
      <c r="F173" s="28"/>
      <c r="G173">
        <v>165</v>
      </c>
      <c r="H173" s="109">
        <v>1035.3958562555272</v>
      </c>
      <c r="I173" s="370">
        <v>1635735.544867689</v>
      </c>
      <c r="J173">
        <v>0</v>
      </c>
      <c r="K173">
        <v>0</v>
      </c>
      <c r="L173">
        <v>0</v>
      </c>
      <c r="M173">
        <v>1</v>
      </c>
      <c r="N173" s="109">
        <v>1579.816584145188</v>
      </c>
      <c r="O173" s="109">
        <v>-2386640.001245812</v>
      </c>
      <c r="P173" s="365">
        <v>1</v>
      </c>
      <c r="Q173" s="365">
        <v>0</v>
      </c>
      <c r="R173" s="365">
        <v>0</v>
      </c>
      <c r="S173" s="365">
        <v>0</v>
      </c>
      <c r="T173" s="109">
        <v>-2305.0507560238962</v>
      </c>
      <c r="V173" s="368">
        <f t="shared" si="12"/>
        <v>50134057.26790867</v>
      </c>
      <c r="W173" s="30">
        <f t="shared" si="13"/>
        <v>54156432.814022169</v>
      </c>
      <c r="X173" s="30"/>
      <c r="Y173">
        <f t="shared" si="14"/>
        <v>0</v>
      </c>
      <c r="Z173">
        <f t="shared" si="15"/>
        <v>1</v>
      </c>
      <c r="AA173">
        <f t="shared" si="16"/>
        <v>0</v>
      </c>
      <c r="AB173">
        <f t="shared" si="17"/>
        <v>1</v>
      </c>
    </row>
    <row r="174" spans="6:28" x14ac:dyDescent="0.3">
      <c r="F174" s="28"/>
      <c r="G174">
        <v>166</v>
      </c>
      <c r="H174" s="109">
        <v>1263.8968020661923</v>
      </c>
      <c r="I174" s="370">
        <v>1366742.4043423911</v>
      </c>
      <c r="J174">
        <v>0</v>
      </c>
      <c r="K174">
        <v>0</v>
      </c>
      <c r="L174">
        <v>0</v>
      </c>
      <c r="M174">
        <v>1</v>
      </c>
      <c r="N174" s="109">
        <v>1081.371835191029</v>
      </c>
      <c r="O174" s="109">
        <v>-3399685.3611596869</v>
      </c>
      <c r="P174" s="365">
        <v>1</v>
      </c>
      <c r="Q174" s="365">
        <v>0</v>
      </c>
      <c r="R174" s="365">
        <v>0</v>
      </c>
      <c r="S174" s="365">
        <v>0</v>
      </c>
      <c r="T174" s="109">
        <v>-2689.8441040454818</v>
      </c>
      <c r="V174" s="368">
        <f t="shared" si="12"/>
        <v>61828097.698967226</v>
      </c>
      <c r="W174" s="30">
        <f t="shared" si="13"/>
        <v>66594525.464469306</v>
      </c>
      <c r="X174" s="30"/>
      <c r="Y174">
        <f t="shared" si="14"/>
        <v>0</v>
      </c>
      <c r="Z174">
        <f t="shared" si="15"/>
        <v>1</v>
      </c>
      <c r="AA174">
        <f t="shared" si="16"/>
        <v>0</v>
      </c>
      <c r="AB174">
        <f t="shared" si="17"/>
        <v>1</v>
      </c>
    </row>
    <row r="175" spans="6:28" x14ac:dyDescent="0.3">
      <c r="F175" s="28"/>
      <c r="G175">
        <v>167</v>
      </c>
      <c r="H175" s="109">
        <v>1101.9875802498209</v>
      </c>
      <c r="I175" s="370">
        <v>1274416.3193868697</v>
      </c>
      <c r="J175">
        <v>0</v>
      </c>
      <c r="K175">
        <v>0</v>
      </c>
      <c r="L175">
        <v>0</v>
      </c>
      <c r="M175">
        <v>1</v>
      </c>
      <c r="N175" s="109">
        <v>1156.470673742039</v>
      </c>
      <c r="O175" s="109">
        <v>-3098231.0974121308</v>
      </c>
      <c r="P175" s="365">
        <v>1</v>
      </c>
      <c r="Q175" s="365">
        <v>0</v>
      </c>
      <c r="R175" s="365">
        <v>0</v>
      </c>
      <c r="S175" s="365">
        <v>0</v>
      </c>
      <c r="T175" s="109">
        <v>-2811.4936619428695</v>
      </c>
      <c r="V175" s="368">
        <f t="shared" si="12"/>
        <v>53824962.693104178</v>
      </c>
      <c r="W175" s="30">
        <f t="shared" si="13"/>
        <v>58197610.109903179</v>
      </c>
      <c r="X175" s="30"/>
      <c r="Y175">
        <f t="shared" si="14"/>
        <v>0</v>
      </c>
      <c r="Z175">
        <f t="shared" si="15"/>
        <v>1</v>
      </c>
      <c r="AA175">
        <f t="shared" si="16"/>
        <v>0</v>
      </c>
      <c r="AB175">
        <f t="shared" si="17"/>
        <v>1</v>
      </c>
    </row>
    <row r="176" spans="6:28" x14ac:dyDescent="0.3">
      <c r="F176" s="28"/>
      <c r="G176">
        <v>168</v>
      </c>
      <c r="H176" s="109">
        <v>1272.2113258445243</v>
      </c>
      <c r="I176" s="370">
        <v>1318148.9228822144</v>
      </c>
      <c r="J176">
        <v>0</v>
      </c>
      <c r="K176">
        <v>0</v>
      </c>
      <c r="L176">
        <v>0</v>
      </c>
      <c r="M176">
        <v>1</v>
      </c>
      <c r="N176" s="109">
        <v>1036.1084641399459</v>
      </c>
      <c r="O176" s="109">
        <v>-3664046.1714862627</v>
      </c>
      <c r="P176" s="365">
        <v>1</v>
      </c>
      <c r="Q176" s="365">
        <v>0</v>
      </c>
      <c r="R176" s="365">
        <v>0</v>
      </c>
      <c r="S176" s="365">
        <v>0</v>
      </c>
      <c r="T176" s="109">
        <v>-2880.0609592545338</v>
      </c>
      <c r="V176" s="368">
        <f t="shared" si="12"/>
        <v>62292417.369343996</v>
      </c>
      <c r="W176" s="30">
        <f t="shared" si="13"/>
        <v>67274612.463712469</v>
      </c>
      <c r="X176" s="30"/>
      <c r="Y176">
        <f t="shared" si="14"/>
        <v>0</v>
      </c>
      <c r="Z176">
        <f t="shared" si="15"/>
        <v>1</v>
      </c>
      <c r="AA176">
        <f t="shared" si="16"/>
        <v>0</v>
      </c>
      <c r="AB176">
        <f t="shared" si="17"/>
        <v>1</v>
      </c>
    </row>
    <row r="177" spans="6:28" x14ac:dyDescent="0.3">
      <c r="F177" s="28"/>
      <c r="G177">
        <v>169</v>
      </c>
      <c r="H177" s="109">
        <v>1169.1722359214837</v>
      </c>
      <c r="I177" s="370">
        <v>856145.72602303128</v>
      </c>
      <c r="J177">
        <v>0</v>
      </c>
      <c r="K177">
        <v>0</v>
      </c>
      <c r="L177">
        <v>0</v>
      </c>
      <c r="M177">
        <v>1</v>
      </c>
      <c r="N177" s="109">
        <v>732.26655553299179</v>
      </c>
      <c r="O177" s="109">
        <v>-3474169.9006251702</v>
      </c>
      <c r="P177" s="365">
        <v>1</v>
      </c>
      <c r="Q177" s="365">
        <v>0</v>
      </c>
      <c r="R177" s="365">
        <v>0</v>
      </c>
      <c r="S177" s="365">
        <v>0</v>
      </c>
      <c r="T177" s="109">
        <v>-2971.4782765834339</v>
      </c>
      <c r="V177" s="368">
        <f t="shared" si="12"/>
        <v>57602466.070051149</v>
      </c>
      <c r="W177" s="30">
        <f t="shared" si="13"/>
        <v>61932781.696699351</v>
      </c>
      <c r="X177" s="30"/>
      <c r="Y177">
        <f t="shared" si="14"/>
        <v>0</v>
      </c>
      <c r="Z177">
        <f t="shared" si="15"/>
        <v>1</v>
      </c>
      <c r="AA177">
        <f t="shared" si="16"/>
        <v>0</v>
      </c>
      <c r="AB177">
        <f t="shared" si="17"/>
        <v>1</v>
      </c>
    </row>
    <row r="178" spans="6:28" x14ac:dyDescent="0.3">
      <c r="F178" s="28"/>
      <c r="G178">
        <v>170</v>
      </c>
      <c r="H178" s="109">
        <v>1159.0460983267549</v>
      </c>
      <c r="I178" s="370">
        <v>1636142.7065603388</v>
      </c>
      <c r="J178">
        <v>0</v>
      </c>
      <c r="K178">
        <v>0</v>
      </c>
      <c r="L178">
        <v>0</v>
      </c>
      <c r="M178">
        <v>1</v>
      </c>
      <c r="N178" s="109">
        <v>1411.6286737191383</v>
      </c>
      <c r="O178" s="109">
        <v>-2972654.6588808759</v>
      </c>
      <c r="P178" s="365">
        <v>1</v>
      </c>
      <c r="Q178" s="365">
        <v>0</v>
      </c>
      <c r="R178" s="365">
        <v>0</v>
      </c>
      <c r="S178" s="365">
        <v>0</v>
      </c>
      <c r="T178" s="109">
        <v>-2564.7423887387386</v>
      </c>
      <c r="V178" s="368">
        <f t="shared" si="12"/>
        <v>56316162.209777407</v>
      </c>
      <c r="W178" s="30">
        <f t="shared" si="13"/>
        <v>60924959.575218618</v>
      </c>
      <c r="X178" s="30"/>
      <c r="Y178">
        <f t="shared" si="14"/>
        <v>0</v>
      </c>
      <c r="Z178">
        <f t="shared" si="15"/>
        <v>1</v>
      </c>
      <c r="AA178">
        <f t="shared" si="16"/>
        <v>0</v>
      </c>
      <c r="AB178">
        <f t="shared" si="17"/>
        <v>1</v>
      </c>
    </row>
    <row r="179" spans="6:28" x14ac:dyDescent="0.3">
      <c r="F179" s="28"/>
      <c r="G179">
        <v>171</v>
      </c>
      <c r="H179" s="109">
        <v>1121.0724091786979</v>
      </c>
      <c r="I179" s="370">
        <v>1332152.3053439639</v>
      </c>
      <c r="J179">
        <v>0</v>
      </c>
      <c r="K179">
        <v>0</v>
      </c>
      <c r="L179">
        <v>0</v>
      </c>
      <c r="M179">
        <v>1</v>
      </c>
      <c r="N179" s="109">
        <v>1188.2839096182056</v>
      </c>
      <c r="O179" s="109">
        <v>-3006783.8222538694</v>
      </c>
      <c r="P179" s="365">
        <v>1</v>
      </c>
      <c r="Q179" s="365">
        <v>0</v>
      </c>
      <c r="R179" s="365">
        <v>0</v>
      </c>
      <c r="S179" s="365">
        <v>0</v>
      </c>
      <c r="T179" s="109">
        <v>-2682.060317991994</v>
      </c>
      <c r="V179" s="368">
        <f t="shared" si="12"/>
        <v>54721468.153590932</v>
      </c>
      <c r="W179" s="30">
        <f t="shared" si="13"/>
        <v>59060404.281188764</v>
      </c>
      <c r="X179" s="30"/>
      <c r="Y179">
        <f t="shared" si="14"/>
        <v>0</v>
      </c>
      <c r="Z179">
        <f t="shared" si="15"/>
        <v>1</v>
      </c>
      <c r="AA179">
        <f t="shared" si="16"/>
        <v>0</v>
      </c>
      <c r="AB179">
        <f t="shared" si="17"/>
        <v>1</v>
      </c>
    </row>
    <row r="180" spans="6:28" x14ac:dyDescent="0.3">
      <c r="F180" s="28"/>
      <c r="G180">
        <v>172</v>
      </c>
      <c r="H180" s="109">
        <v>1105.3577985728771</v>
      </c>
      <c r="I180" s="370">
        <v>557247.76309886936</v>
      </c>
      <c r="J180">
        <v>0</v>
      </c>
      <c r="K180">
        <v>0</v>
      </c>
      <c r="L180">
        <v>0</v>
      </c>
      <c r="M180">
        <v>1</v>
      </c>
      <c r="N180" s="109">
        <v>504.13337999544552</v>
      </c>
      <c r="O180" s="109">
        <v>-3784565.8753320668</v>
      </c>
      <c r="P180" s="365">
        <v>1</v>
      </c>
      <c r="Q180" s="365">
        <v>0</v>
      </c>
      <c r="R180" s="365">
        <v>0</v>
      </c>
      <c r="S180" s="365">
        <v>0</v>
      </c>
      <c r="T180" s="109">
        <v>-3423.8378561388035</v>
      </c>
      <c r="V180" s="368">
        <f t="shared" si="12"/>
        <v>54710642.165544987</v>
      </c>
      <c r="W180" s="30">
        <f t="shared" si="13"/>
        <v>59052455.803975917</v>
      </c>
      <c r="X180" s="30"/>
      <c r="Y180">
        <f t="shared" si="14"/>
        <v>0</v>
      </c>
      <c r="Z180">
        <f t="shared" si="15"/>
        <v>1</v>
      </c>
      <c r="AA180">
        <f t="shared" si="16"/>
        <v>0</v>
      </c>
      <c r="AB180">
        <f t="shared" si="17"/>
        <v>1</v>
      </c>
    </row>
    <row r="181" spans="6:28" x14ac:dyDescent="0.3">
      <c r="F181" s="28"/>
      <c r="G181">
        <v>173</v>
      </c>
      <c r="H181" s="109">
        <v>1090.8877684145191</v>
      </c>
      <c r="I181" s="370">
        <v>1032990.1447127409</v>
      </c>
      <c r="J181">
        <v>0</v>
      </c>
      <c r="K181">
        <v>0</v>
      </c>
      <c r="L181">
        <v>0</v>
      </c>
      <c r="M181">
        <v>1</v>
      </c>
      <c r="N181" s="109">
        <v>946.92614091188705</v>
      </c>
      <c r="O181" s="109">
        <v>-3591974.8395641986</v>
      </c>
      <c r="P181" s="365">
        <v>1</v>
      </c>
      <c r="Q181" s="365">
        <v>0</v>
      </c>
      <c r="R181" s="365">
        <v>0</v>
      </c>
      <c r="S181" s="365">
        <v>0</v>
      </c>
      <c r="T181" s="109">
        <v>-3292.707960952504</v>
      </c>
      <c r="V181" s="368">
        <f t="shared" si="12"/>
        <v>53511398.276013218</v>
      </c>
      <c r="W181" s="30">
        <f t="shared" si="13"/>
        <v>58136363.260290153</v>
      </c>
      <c r="X181" s="30"/>
      <c r="Y181">
        <f t="shared" si="14"/>
        <v>0</v>
      </c>
      <c r="Z181">
        <f t="shared" si="15"/>
        <v>1</v>
      </c>
      <c r="AA181">
        <f t="shared" si="16"/>
        <v>0</v>
      </c>
      <c r="AB181">
        <f t="shared" si="17"/>
        <v>1</v>
      </c>
    </row>
    <row r="182" spans="6:28" x14ac:dyDescent="0.3">
      <c r="F182" s="28"/>
      <c r="G182">
        <v>174</v>
      </c>
      <c r="H182" s="109">
        <v>1179.57612779185</v>
      </c>
      <c r="I182" s="370">
        <v>715478.53858386632</v>
      </c>
      <c r="J182">
        <v>0</v>
      </c>
      <c r="K182">
        <v>0</v>
      </c>
      <c r="L182">
        <v>0</v>
      </c>
      <c r="M182">
        <v>1</v>
      </c>
      <c r="N182" s="109">
        <v>606.55562767553806</v>
      </c>
      <c r="O182" s="109">
        <v>-4104635.6139902272</v>
      </c>
      <c r="P182" s="365">
        <v>1</v>
      </c>
      <c r="Q182" s="365">
        <v>0</v>
      </c>
      <c r="R182" s="365">
        <v>0</v>
      </c>
      <c r="S182" s="365">
        <v>0</v>
      </c>
      <c r="T182" s="109">
        <v>-3479.7547333159814</v>
      </c>
      <c r="V182" s="368">
        <f t="shared" si="12"/>
        <v>58263327.851008631</v>
      </c>
      <c r="W182" s="30">
        <f t="shared" si="13"/>
        <v>63083442.003582723</v>
      </c>
      <c r="X182" s="30"/>
      <c r="Y182">
        <f t="shared" si="14"/>
        <v>0</v>
      </c>
      <c r="Z182">
        <f t="shared" si="15"/>
        <v>1</v>
      </c>
      <c r="AA182">
        <f t="shared" si="16"/>
        <v>0</v>
      </c>
      <c r="AB182">
        <f t="shared" si="17"/>
        <v>1</v>
      </c>
    </row>
    <row r="183" spans="6:28" x14ac:dyDescent="0.3">
      <c r="F183" s="28"/>
      <c r="G183">
        <v>175</v>
      </c>
      <c r="H183" s="109">
        <v>1072.3774275606338</v>
      </c>
      <c r="I183" s="370">
        <v>313580.09368749202</v>
      </c>
      <c r="J183">
        <v>0</v>
      </c>
      <c r="K183">
        <v>0</v>
      </c>
      <c r="L183">
        <v>0</v>
      </c>
      <c r="M183">
        <v>1</v>
      </c>
      <c r="N183" s="109">
        <v>292.41579095971946</v>
      </c>
      <c r="O183" s="109">
        <v>-4020342.8169127456</v>
      </c>
      <c r="P183" s="365">
        <v>1</v>
      </c>
      <c r="Q183" s="365">
        <v>0</v>
      </c>
      <c r="R183" s="365">
        <v>0</v>
      </c>
      <c r="S183" s="365">
        <v>0</v>
      </c>
      <c r="T183" s="109">
        <v>-3748.9998517200506</v>
      </c>
      <c r="V183" s="368">
        <f t="shared" si="12"/>
        <v>53305291.284344204</v>
      </c>
      <c r="W183" s="30">
        <f t="shared" si="13"/>
        <v>57639214.194944441</v>
      </c>
      <c r="X183" s="30"/>
      <c r="Y183">
        <f t="shared" si="14"/>
        <v>0</v>
      </c>
      <c r="Z183">
        <f t="shared" si="15"/>
        <v>1</v>
      </c>
      <c r="AA183">
        <f t="shared" si="16"/>
        <v>0</v>
      </c>
      <c r="AB183">
        <f t="shared" si="17"/>
        <v>1</v>
      </c>
    </row>
    <row r="184" spans="6:28" x14ac:dyDescent="0.3">
      <c r="F184" s="28"/>
      <c r="G184">
        <v>176</v>
      </c>
      <c r="H184" s="109">
        <v>963.63110497476009</v>
      </c>
      <c r="I184" s="370">
        <v>914864.54988706554</v>
      </c>
      <c r="J184">
        <v>0</v>
      </c>
      <c r="K184">
        <v>0</v>
      </c>
      <c r="L184">
        <v>0</v>
      </c>
      <c r="M184">
        <v>1</v>
      </c>
      <c r="N184" s="109">
        <v>949.39292138253268</v>
      </c>
      <c r="O184" s="109">
        <v>-3254512.2507204679</v>
      </c>
      <c r="P184" s="365">
        <v>1</v>
      </c>
      <c r="Q184" s="365">
        <v>0</v>
      </c>
      <c r="R184" s="365">
        <v>0</v>
      </c>
      <c r="S184" s="365">
        <v>0</v>
      </c>
      <c r="T184" s="109">
        <v>-3377.3424642677051</v>
      </c>
      <c r="V184" s="368">
        <f t="shared" si="12"/>
        <v>47266690.698850937</v>
      </c>
      <c r="W184" s="30">
        <f t="shared" si="13"/>
        <v>51436067.499458477</v>
      </c>
      <c r="X184" s="30"/>
      <c r="Y184">
        <f t="shared" si="14"/>
        <v>0</v>
      </c>
      <c r="Z184">
        <f t="shared" si="15"/>
        <v>1</v>
      </c>
      <c r="AA184">
        <f t="shared" si="16"/>
        <v>0</v>
      </c>
      <c r="AB184">
        <f t="shared" si="17"/>
        <v>1</v>
      </c>
    </row>
    <row r="185" spans="6:28" x14ac:dyDescent="0.3">
      <c r="F185" s="28"/>
      <c r="G185">
        <v>177</v>
      </c>
      <c r="H185" s="109">
        <v>1154.7913632344353</v>
      </c>
      <c r="I185" s="370">
        <v>1020624.9108960099</v>
      </c>
      <c r="J185">
        <v>0</v>
      </c>
      <c r="K185">
        <v>0</v>
      </c>
      <c r="L185">
        <v>0</v>
      </c>
      <c r="M185">
        <v>1</v>
      </c>
      <c r="N185" s="109">
        <v>883.81758245693766</v>
      </c>
      <c r="O185" s="109">
        <v>-2839613.1951095243</v>
      </c>
      <c r="P185" s="365">
        <v>1</v>
      </c>
      <c r="Q185" s="365">
        <v>0</v>
      </c>
      <c r="R185" s="365">
        <v>0</v>
      </c>
      <c r="S185" s="365">
        <v>0</v>
      </c>
      <c r="T185" s="109">
        <v>-2458.9837485068301</v>
      </c>
      <c r="V185" s="368">
        <f t="shared" si="12"/>
        <v>56718943.250825755</v>
      </c>
      <c r="W185" s="30">
        <f t="shared" si="13"/>
        <v>60579181.35683129</v>
      </c>
      <c r="X185" s="30"/>
      <c r="Y185">
        <f t="shared" si="14"/>
        <v>0</v>
      </c>
      <c r="Z185">
        <f t="shared" si="15"/>
        <v>1</v>
      </c>
      <c r="AA185">
        <f t="shared" si="16"/>
        <v>0</v>
      </c>
      <c r="AB185">
        <f t="shared" si="17"/>
        <v>1</v>
      </c>
    </row>
    <row r="186" spans="6:28" x14ac:dyDescent="0.3">
      <c r="F186" s="28"/>
      <c r="G186">
        <v>178</v>
      </c>
      <c r="H186" s="109">
        <v>1059.3108303777044</v>
      </c>
      <c r="I186" s="370">
        <v>1511030.278796507</v>
      </c>
      <c r="J186">
        <v>0</v>
      </c>
      <c r="K186">
        <v>0</v>
      </c>
      <c r="L186">
        <v>0</v>
      </c>
      <c r="M186">
        <v>1</v>
      </c>
      <c r="N186" s="109">
        <v>1426.4276692590211</v>
      </c>
      <c r="O186" s="109">
        <v>-2781265.1773831747</v>
      </c>
      <c r="P186" s="365">
        <v>1</v>
      </c>
      <c r="Q186" s="365">
        <v>0</v>
      </c>
      <c r="R186" s="365">
        <v>0</v>
      </c>
      <c r="S186" s="365">
        <v>0</v>
      </c>
      <c r="T186" s="109">
        <v>-2625.5420955070344</v>
      </c>
      <c r="V186" s="368">
        <f t="shared" si="12"/>
        <v>51454511.240088709</v>
      </c>
      <c r="W186" s="30">
        <f t="shared" si="13"/>
        <v>55746806.696268395</v>
      </c>
      <c r="X186" s="30"/>
      <c r="Y186">
        <f t="shared" si="14"/>
        <v>0</v>
      </c>
      <c r="Z186">
        <f t="shared" si="15"/>
        <v>1</v>
      </c>
      <c r="AA186">
        <f t="shared" si="16"/>
        <v>0</v>
      </c>
      <c r="AB186">
        <f t="shared" si="17"/>
        <v>1</v>
      </c>
    </row>
    <row r="187" spans="6:28" x14ac:dyDescent="0.3">
      <c r="F187" s="28"/>
      <c r="G187">
        <v>179</v>
      </c>
      <c r="H187" s="109">
        <v>1337.5466882431137</v>
      </c>
      <c r="I187" s="370">
        <v>1295339.2972506485</v>
      </c>
      <c r="J187">
        <v>0</v>
      </c>
      <c r="K187">
        <v>0</v>
      </c>
      <c r="L187">
        <v>0</v>
      </c>
      <c r="M187">
        <v>1</v>
      </c>
      <c r="N187" s="109">
        <v>968.44417367747724</v>
      </c>
      <c r="O187" s="109">
        <v>-4442801.3445234187</v>
      </c>
      <c r="P187" s="365">
        <v>1</v>
      </c>
      <c r="Q187" s="365">
        <v>0</v>
      </c>
      <c r="R187" s="365">
        <v>0</v>
      </c>
      <c r="S187" s="365">
        <v>0</v>
      </c>
      <c r="T187" s="109">
        <v>-3321.6046838403081</v>
      </c>
      <c r="V187" s="368">
        <f t="shared" si="12"/>
        <v>65581995.114905037</v>
      </c>
      <c r="W187" s="30">
        <f t="shared" si="13"/>
        <v>71320135.756679103</v>
      </c>
      <c r="X187" s="30"/>
      <c r="Y187">
        <f t="shared" si="14"/>
        <v>0</v>
      </c>
      <c r="Z187">
        <f t="shared" si="15"/>
        <v>1</v>
      </c>
      <c r="AA187">
        <f t="shared" si="16"/>
        <v>0</v>
      </c>
      <c r="AB187">
        <f t="shared" si="17"/>
        <v>1</v>
      </c>
    </row>
    <row r="188" spans="6:28" x14ac:dyDescent="0.3">
      <c r="F188" s="28"/>
      <c r="G188">
        <v>180</v>
      </c>
      <c r="H188" s="109">
        <v>1385.8620209760411</v>
      </c>
      <c r="I188" s="370">
        <v>585742.85830446635</v>
      </c>
      <c r="J188">
        <v>0</v>
      </c>
      <c r="K188">
        <v>0</v>
      </c>
      <c r="L188">
        <v>0</v>
      </c>
      <c r="M188">
        <v>1</v>
      </c>
      <c r="N188" s="109">
        <v>422.65597111315367</v>
      </c>
      <c r="O188" s="109">
        <v>-5471801.3686374333</v>
      </c>
      <c r="P188" s="365">
        <v>1</v>
      </c>
      <c r="Q188" s="365">
        <v>0</v>
      </c>
      <c r="R188" s="365">
        <v>0</v>
      </c>
      <c r="S188" s="365">
        <v>0</v>
      </c>
      <c r="T188" s="109">
        <v>-3948.3016965741863</v>
      </c>
      <c r="V188" s="368">
        <f t="shared" si="12"/>
        <v>68707358.190497577</v>
      </c>
      <c r="W188" s="30">
        <f t="shared" si="13"/>
        <v>74764902.417439476</v>
      </c>
      <c r="X188" s="30"/>
      <c r="Y188">
        <f t="shared" si="14"/>
        <v>0</v>
      </c>
      <c r="Z188">
        <f t="shared" si="15"/>
        <v>1</v>
      </c>
      <c r="AA188">
        <f t="shared" si="16"/>
        <v>0</v>
      </c>
      <c r="AB188">
        <f t="shared" si="17"/>
        <v>1</v>
      </c>
    </row>
    <row r="189" spans="6:28" x14ac:dyDescent="0.3">
      <c r="F189" s="28"/>
      <c r="G189">
        <v>181</v>
      </c>
      <c r="H189" s="109">
        <v>1316.6791261549442</v>
      </c>
      <c r="I189" s="370">
        <v>1029207.5508197567</v>
      </c>
      <c r="J189">
        <v>0</v>
      </c>
      <c r="K189">
        <v>0</v>
      </c>
      <c r="L189">
        <v>0</v>
      </c>
      <c r="M189">
        <v>1</v>
      </c>
      <c r="N189" s="109">
        <v>781.66922401611885</v>
      </c>
      <c r="O189" s="109">
        <v>-3629800.696647529</v>
      </c>
      <c r="P189" s="365">
        <v>1</v>
      </c>
      <c r="Q189" s="365">
        <v>0</v>
      </c>
      <c r="R189" s="365">
        <v>0</v>
      </c>
      <c r="S189" s="365">
        <v>0</v>
      </c>
      <c r="T189" s="109">
        <v>-2756.7845684981121</v>
      </c>
      <c r="V189" s="368">
        <f t="shared" si="12"/>
        <v>64804748.75692746</v>
      </c>
      <c r="W189" s="30">
        <f t="shared" si="13"/>
        <v>69463757.00439474</v>
      </c>
      <c r="X189" s="30"/>
      <c r="Y189">
        <f t="shared" si="14"/>
        <v>0</v>
      </c>
      <c r="Z189">
        <f t="shared" si="15"/>
        <v>1</v>
      </c>
      <c r="AA189">
        <f t="shared" si="16"/>
        <v>0</v>
      </c>
      <c r="AB189">
        <f t="shared" si="17"/>
        <v>1</v>
      </c>
    </row>
    <row r="190" spans="6:28" x14ac:dyDescent="0.3">
      <c r="F190" s="28"/>
      <c r="G190">
        <v>182</v>
      </c>
      <c r="H190" s="109">
        <v>1461.278960767042</v>
      </c>
      <c r="I190" s="370">
        <v>1655663.3997160492</v>
      </c>
      <c r="J190">
        <v>0</v>
      </c>
      <c r="K190">
        <v>0</v>
      </c>
      <c r="L190">
        <v>0</v>
      </c>
      <c r="M190">
        <v>1</v>
      </c>
      <c r="N190" s="109">
        <v>1133.0234980232472</v>
      </c>
      <c r="O190" s="109">
        <v>-4175822.7445537378</v>
      </c>
      <c r="P190" s="365">
        <v>1</v>
      </c>
      <c r="Q190" s="365">
        <v>0</v>
      </c>
      <c r="R190" s="365">
        <v>0</v>
      </c>
      <c r="S190" s="365">
        <v>0</v>
      </c>
      <c r="T190" s="109">
        <v>-2857.6492625075507</v>
      </c>
      <c r="V190" s="368">
        <f t="shared" si="12"/>
        <v>71408284.638636053</v>
      </c>
      <c r="W190" s="30">
        <f t="shared" si="13"/>
        <v>77239770.782905847</v>
      </c>
      <c r="X190" s="30"/>
      <c r="Y190">
        <f t="shared" si="14"/>
        <v>0</v>
      </c>
      <c r="Z190">
        <f t="shared" si="15"/>
        <v>1</v>
      </c>
      <c r="AA190">
        <f t="shared" si="16"/>
        <v>0</v>
      </c>
      <c r="AB190">
        <f t="shared" si="17"/>
        <v>1</v>
      </c>
    </row>
    <row r="191" spans="6:28" x14ac:dyDescent="0.3">
      <c r="F191" s="28"/>
      <c r="G191">
        <v>183</v>
      </c>
      <c r="H191" s="109">
        <v>1064.0682342352593</v>
      </c>
      <c r="I191" s="370">
        <v>805509.28382490529</v>
      </c>
      <c r="J191">
        <v>0</v>
      </c>
      <c r="K191">
        <v>0</v>
      </c>
      <c r="L191">
        <v>0</v>
      </c>
      <c r="M191">
        <v>1</v>
      </c>
      <c r="N191" s="109">
        <v>757.00905064967094</v>
      </c>
      <c r="O191" s="109">
        <v>-3293341.9987119567</v>
      </c>
      <c r="P191" s="365">
        <v>1</v>
      </c>
      <c r="Q191" s="365">
        <v>0</v>
      </c>
      <c r="R191" s="365">
        <v>0</v>
      </c>
      <c r="S191" s="365">
        <v>0</v>
      </c>
      <c r="T191" s="109">
        <v>-3095.0477542249587</v>
      </c>
      <c r="V191" s="368">
        <f t="shared" si="12"/>
        <v>52397902.427938059</v>
      </c>
      <c r="W191" s="30">
        <f t="shared" si="13"/>
        <v>56496753.710474923</v>
      </c>
      <c r="X191" s="30"/>
      <c r="Y191">
        <f t="shared" si="14"/>
        <v>0</v>
      </c>
      <c r="Z191">
        <f t="shared" si="15"/>
        <v>1</v>
      </c>
      <c r="AA191">
        <f t="shared" si="16"/>
        <v>0</v>
      </c>
      <c r="AB191">
        <f t="shared" si="17"/>
        <v>1</v>
      </c>
    </row>
    <row r="192" spans="6:28" x14ac:dyDescent="0.3">
      <c r="F192" s="28"/>
      <c r="G192">
        <v>184</v>
      </c>
      <c r="H192" s="109">
        <v>1215.8859379380301</v>
      </c>
      <c r="I192" s="370">
        <v>1460087.8893284451</v>
      </c>
      <c r="J192">
        <v>0</v>
      </c>
      <c r="K192">
        <v>0</v>
      </c>
      <c r="L192">
        <v>0</v>
      </c>
      <c r="M192">
        <v>1</v>
      </c>
      <c r="N192" s="109">
        <v>1200.8428124471502</v>
      </c>
      <c r="O192" s="109">
        <v>-3169263.3888671165</v>
      </c>
      <c r="P192" s="365">
        <v>1</v>
      </c>
      <c r="Q192" s="365">
        <v>0</v>
      </c>
      <c r="R192" s="365">
        <v>0</v>
      </c>
      <c r="S192" s="365">
        <v>0</v>
      </c>
      <c r="T192" s="109">
        <v>-2606.5466257811463</v>
      </c>
      <c r="V192" s="368">
        <f t="shared" si="12"/>
        <v>59334209.007573061</v>
      </c>
      <c r="W192" s="30">
        <f t="shared" si="13"/>
        <v>63963560.285768621</v>
      </c>
      <c r="X192" s="30"/>
      <c r="Y192">
        <f t="shared" si="14"/>
        <v>0</v>
      </c>
      <c r="Z192">
        <f t="shared" si="15"/>
        <v>1</v>
      </c>
      <c r="AA192">
        <f t="shared" si="16"/>
        <v>0</v>
      </c>
      <c r="AB192">
        <f t="shared" si="17"/>
        <v>1</v>
      </c>
    </row>
    <row r="193" spans="6:28" x14ac:dyDescent="0.3">
      <c r="F193" s="28"/>
      <c r="G193">
        <v>185</v>
      </c>
      <c r="H193" s="109">
        <v>1279.7715108107514</v>
      </c>
      <c r="I193" s="370">
        <v>1151406.1563209088</v>
      </c>
      <c r="J193">
        <v>0</v>
      </c>
      <c r="K193">
        <v>0</v>
      </c>
      <c r="L193">
        <v>0</v>
      </c>
      <c r="M193">
        <v>1</v>
      </c>
      <c r="N193" s="109">
        <v>899.69666193887883</v>
      </c>
      <c r="O193" s="109">
        <v>-3876602.8885821286</v>
      </c>
      <c r="P193" s="365">
        <v>1</v>
      </c>
      <c r="Q193" s="365">
        <v>0</v>
      </c>
      <c r="R193" s="365">
        <v>0</v>
      </c>
      <c r="S193" s="365">
        <v>0</v>
      </c>
      <c r="T193" s="109">
        <v>-3029.1367293574554</v>
      </c>
      <c r="V193" s="368">
        <f t="shared" si="12"/>
        <v>62837169.384216659</v>
      </c>
      <c r="W193" s="30">
        <f t="shared" si="13"/>
        <v>67865178.429119691</v>
      </c>
      <c r="X193" s="30"/>
      <c r="Y193">
        <f t="shared" si="14"/>
        <v>0</v>
      </c>
      <c r="Z193">
        <f t="shared" si="15"/>
        <v>1</v>
      </c>
      <c r="AA193">
        <f t="shared" si="16"/>
        <v>0</v>
      </c>
      <c r="AB193">
        <f t="shared" si="17"/>
        <v>1</v>
      </c>
    </row>
    <row r="194" spans="6:28" x14ac:dyDescent="0.3">
      <c r="F194" s="28"/>
      <c r="G194">
        <v>186</v>
      </c>
      <c r="H194" s="109">
        <v>1246.3323042378906</v>
      </c>
      <c r="I194" s="370">
        <v>1615661.6601164525</v>
      </c>
      <c r="J194">
        <v>0</v>
      </c>
      <c r="K194">
        <v>0</v>
      </c>
      <c r="L194">
        <v>0</v>
      </c>
      <c r="M194">
        <v>1</v>
      </c>
      <c r="N194" s="109">
        <v>1296.3329720514625</v>
      </c>
      <c r="O194" s="109">
        <v>-3316705.1534770965</v>
      </c>
      <c r="P194" s="365">
        <v>1</v>
      </c>
      <c r="Q194" s="365">
        <v>0</v>
      </c>
      <c r="R194" s="365">
        <v>0</v>
      </c>
      <c r="S194" s="365">
        <v>0</v>
      </c>
      <c r="T194" s="109">
        <v>-2661.1724194256531</v>
      </c>
      <c r="V194" s="368">
        <f t="shared" si="12"/>
        <v>60700953.551778086</v>
      </c>
      <c r="W194" s="30">
        <f t="shared" si="13"/>
        <v>65633320.36537163</v>
      </c>
      <c r="X194" s="30"/>
      <c r="Y194">
        <f t="shared" si="14"/>
        <v>0</v>
      </c>
      <c r="Z194">
        <f t="shared" si="15"/>
        <v>1</v>
      </c>
      <c r="AA194">
        <f t="shared" si="16"/>
        <v>0</v>
      </c>
      <c r="AB194">
        <f t="shared" si="17"/>
        <v>1</v>
      </c>
    </row>
    <row r="195" spans="6:28" x14ac:dyDescent="0.3">
      <c r="F195" s="28"/>
      <c r="G195">
        <v>187</v>
      </c>
      <c r="H195" s="109">
        <v>1364.3043714205196</v>
      </c>
      <c r="I195" s="370">
        <v>1561376.8563650195</v>
      </c>
      <c r="J195">
        <v>0</v>
      </c>
      <c r="K195">
        <v>0</v>
      </c>
      <c r="L195">
        <v>0</v>
      </c>
      <c r="M195">
        <v>1</v>
      </c>
      <c r="N195" s="109">
        <v>1144.4490606882005</v>
      </c>
      <c r="O195" s="109">
        <v>-4090415.0581502798</v>
      </c>
      <c r="P195" s="365">
        <v>1</v>
      </c>
      <c r="Q195" s="365">
        <v>0</v>
      </c>
      <c r="R195" s="365">
        <v>0</v>
      </c>
      <c r="S195" s="365">
        <v>0</v>
      </c>
      <c r="T195" s="109">
        <v>-2998.1689891466976</v>
      </c>
      <c r="V195" s="368">
        <f t="shared" si="12"/>
        <v>66653841.714660965</v>
      </c>
      <c r="W195" s="30">
        <f t="shared" si="13"/>
        <v>72305633.629176259</v>
      </c>
      <c r="X195" s="30"/>
      <c r="Y195">
        <f t="shared" si="14"/>
        <v>0</v>
      </c>
      <c r="Z195">
        <f t="shared" si="15"/>
        <v>1</v>
      </c>
      <c r="AA195">
        <f t="shared" si="16"/>
        <v>0</v>
      </c>
      <c r="AB195">
        <f t="shared" si="17"/>
        <v>1</v>
      </c>
    </row>
    <row r="196" spans="6:28" x14ac:dyDescent="0.3">
      <c r="F196" s="28"/>
      <c r="G196">
        <v>188</v>
      </c>
      <c r="H196" s="109">
        <v>1147.1491760377685</v>
      </c>
      <c r="I196" s="370">
        <v>676126.87162540969</v>
      </c>
      <c r="J196">
        <v>0</v>
      </c>
      <c r="K196">
        <v>0</v>
      </c>
      <c r="L196">
        <v>0</v>
      </c>
      <c r="M196">
        <v>1</v>
      </c>
      <c r="N196" s="109">
        <v>589.39751319940717</v>
      </c>
      <c r="O196" s="109">
        <v>-3590847.1649580253</v>
      </c>
      <c r="P196" s="365">
        <v>1</v>
      </c>
      <c r="Q196" s="365">
        <v>0</v>
      </c>
      <c r="R196" s="365">
        <v>0</v>
      </c>
      <c r="S196" s="365">
        <v>0</v>
      </c>
      <c r="T196" s="109">
        <v>-3130.2355787420283</v>
      </c>
      <c r="V196" s="368">
        <f t="shared" si="12"/>
        <v>56681331.930263013</v>
      </c>
      <c r="W196" s="30">
        <f t="shared" si="13"/>
        <v>60948305.966846444</v>
      </c>
      <c r="X196" s="30"/>
      <c r="Y196">
        <f t="shared" si="14"/>
        <v>0</v>
      </c>
      <c r="Z196">
        <f t="shared" si="15"/>
        <v>1</v>
      </c>
      <c r="AA196">
        <f t="shared" si="16"/>
        <v>0</v>
      </c>
      <c r="AB196">
        <f t="shared" si="17"/>
        <v>1</v>
      </c>
    </row>
    <row r="197" spans="6:28" x14ac:dyDescent="0.3">
      <c r="F197" s="28"/>
      <c r="G197">
        <v>189</v>
      </c>
      <c r="H197" s="109">
        <v>1071.7386151480314</v>
      </c>
      <c r="I197" s="370">
        <v>794243.30857550388</v>
      </c>
      <c r="J197">
        <v>0</v>
      </c>
      <c r="K197">
        <v>0</v>
      </c>
      <c r="L197">
        <v>0</v>
      </c>
      <c r="M197">
        <v>1</v>
      </c>
      <c r="N197" s="109">
        <v>741.07930548513536</v>
      </c>
      <c r="O197" s="109">
        <v>-3479160.0950150695</v>
      </c>
      <c r="P197" s="365">
        <v>1</v>
      </c>
      <c r="Q197" s="365">
        <v>0</v>
      </c>
      <c r="R197" s="365">
        <v>0</v>
      </c>
      <c r="S197" s="365">
        <v>0</v>
      </c>
      <c r="T197" s="109">
        <v>-3246.2767001583857</v>
      </c>
      <c r="V197" s="368">
        <f t="shared" si="12"/>
        <v>52792687.448826067</v>
      </c>
      <c r="W197" s="30">
        <f t="shared" si="13"/>
        <v>57066090.852416642</v>
      </c>
      <c r="X197" s="30"/>
      <c r="Y197">
        <f t="shared" si="14"/>
        <v>0</v>
      </c>
      <c r="Z197">
        <f t="shared" si="15"/>
        <v>1</v>
      </c>
      <c r="AA197">
        <f t="shared" si="16"/>
        <v>0</v>
      </c>
      <c r="AB197">
        <f t="shared" si="17"/>
        <v>1</v>
      </c>
    </row>
    <row r="198" spans="6:28" x14ac:dyDescent="0.3">
      <c r="F198" s="28"/>
      <c r="G198">
        <v>190</v>
      </c>
      <c r="H198" s="109">
        <v>1470.0562737553555</v>
      </c>
      <c r="I198" s="370">
        <v>665661.36411610967</v>
      </c>
      <c r="J198">
        <v>0</v>
      </c>
      <c r="K198">
        <v>0</v>
      </c>
      <c r="L198">
        <v>0</v>
      </c>
      <c r="M198">
        <v>1</v>
      </c>
      <c r="N198" s="109">
        <v>452.81352557724466</v>
      </c>
      <c r="O198" s="109">
        <v>-5343064.6026548203</v>
      </c>
      <c r="P198" s="365">
        <v>1</v>
      </c>
      <c r="Q198" s="365">
        <v>0</v>
      </c>
      <c r="R198" s="365">
        <v>0</v>
      </c>
      <c r="S198" s="365">
        <v>0</v>
      </c>
      <c r="T198" s="109">
        <v>-3634.5986871683558</v>
      </c>
      <c r="V198" s="368">
        <f t="shared" si="12"/>
        <v>72837152.323651671</v>
      </c>
      <c r="W198" s="30">
        <f t="shared" si="13"/>
        <v>78845878.290422589</v>
      </c>
      <c r="X198" s="30"/>
      <c r="Y198">
        <f t="shared" si="14"/>
        <v>0</v>
      </c>
      <c r="Z198">
        <f t="shared" si="15"/>
        <v>1</v>
      </c>
      <c r="AA198">
        <f t="shared" si="16"/>
        <v>0</v>
      </c>
      <c r="AB198">
        <f t="shared" si="17"/>
        <v>1</v>
      </c>
    </row>
    <row r="199" spans="6:28" x14ac:dyDescent="0.3">
      <c r="F199" s="28"/>
      <c r="G199">
        <v>191</v>
      </c>
      <c r="H199" s="109">
        <v>1249.2997087974436</v>
      </c>
      <c r="I199" s="370">
        <v>888274.72420891619</v>
      </c>
      <c r="J199">
        <v>0</v>
      </c>
      <c r="K199">
        <v>0</v>
      </c>
      <c r="L199">
        <v>0</v>
      </c>
      <c r="M199">
        <v>1</v>
      </c>
      <c r="N199" s="109">
        <v>711.01811515185216</v>
      </c>
      <c r="O199" s="109">
        <v>-3881702.9766278826</v>
      </c>
      <c r="P199" s="365">
        <v>1</v>
      </c>
      <c r="Q199" s="365">
        <v>0</v>
      </c>
      <c r="R199" s="365">
        <v>0</v>
      </c>
      <c r="S199" s="365">
        <v>0</v>
      </c>
      <c r="T199" s="109">
        <v>-3107.1030828657995</v>
      </c>
      <c r="V199" s="368">
        <f t="shared" si="12"/>
        <v>61576710.715663269</v>
      </c>
      <c r="W199" s="30">
        <f t="shared" si="13"/>
        <v>66346688.416500062</v>
      </c>
      <c r="X199" s="30"/>
      <c r="Y199">
        <f t="shared" si="14"/>
        <v>0</v>
      </c>
      <c r="Z199">
        <f t="shared" si="15"/>
        <v>1</v>
      </c>
      <c r="AA199">
        <f t="shared" si="16"/>
        <v>0</v>
      </c>
      <c r="AB199">
        <f t="shared" si="17"/>
        <v>1</v>
      </c>
    </row>
    <row r="200" spans="6:28" x14ac:dyDescent="0.3">
      <c r="F200" s="28"/>
      <c r="G200">
        <v>192</v>
      </c>
      <c r="H200" s="109">
        <v>1168.0040740289478</v>
      </c>
      <c r="I200" s="370">
        <v>1458907.5177003634</v>
      </c>
      <c r="J200">
        <v>0</v>
      </c>
      <c r="K200">
        <v>0</v>
      </c>
      <c r="L200">
        <v>0</v>
      </c>
      <c r="M200">
        <v>1</v>
      </c>
      <c r="N200" s="109">
        <v>1249.0602987949903</v>
      </c>
      <c r="O200" s="109">
        <v>-2971600.6117981453</v>
      </c>
      <c r="P200" s="365">
        <v>1</v>
      </c>
      <c r="Q200" s="365">
        <v>0</v>
      </c>
      <c r="R200" s="365">
        <v>0</v>
      </c>
      <c r="S200" s="365">
        <v>0</v>
      </c>
      <c r="T200" s="109">
        <v>-2544.1697318296315</v>
      </c>
      <c r="V200" s="368">
        <f t="shared" si="12"/>
        <v>56941296.183747023</v>
      </c>
      <c r="W200" s="30">
        <f t="shared" si="13"/>
        <v>61371804.313245535</v>
      </c>
      <c r="X200" s="30"/>
      <c r="Y200">
        <f t="shared" si="14"/>
        <v>0</v>
      </c>
      <c r="Z200">
        <f t="shared" si="15"/>
        <v>1</v>
      </c>
      <c r="AA200">
        <f t="shared" si="16"/>
        <v>0</v>
      </c>
      <c r="AB200">
        <f t="shared" si="17"/>
        <v>1</v>
      </c>
    </row>
    <row r="201" spans="6:28" x14ac:dyDescent="0.3">
      <c r="F201" s="28"/>
      <c r="G201">
        <v>193</v>
      </c>
      <c r="H201" s="109">
        <v>1369.9298998078884</v>
      </c>
      <c r="I201" s="370">
        <v>863704.24464397971</v>
      </c>
      <c r="J201">
        <v>0</v>
      </c>
      <c r="K201">
        <v>0</v>
      </c>
      <c r="L201">
        <v>0</v>
      </c>
      <c r="M201">
        <v>1</v>
      </c>
      <c r="N201" s="109">
        <v>630.47331455799372</v>
      </c>
      <c r="O201" s="109">
        <v>-3974403.4136956278</v>
      </c>
      <c r="P201" s="365">
        <v>1</v>
      </c>
      <c r="Q201" s="365">
        <v>0</v>
      </c>
      <c r="R201" s="365">
        <v>0</v>
      </c>
      <c r="S201" s="365">
        <v>0</v>
      </c>
      <c r="T201" s="109">
        <v>-2901.1728368385689</v>
      </c>
      <c r="V201" s="368">
        <f t="shared" ref="V201:V264" si="18">H201*WTPinput-I201</f>
        <v>67632790.745750442</v>
      </c>
      <c r="W201" s="30">
        <f t="shared" ref="W201:W264" si="19">H201*WTPinput-O201</f>
        <v>72470898.404090062</v>
      </c>
      <c r="X201" s="30"/>
      <c r="Y201">
        <f t="shared" si="14"/>
        <v>0</v>
      </c>
      <c r="Z201">
        <f t="shared" si="15"/>
        <v>1</v>
      </c>
      <c r="AA201">
        <f t="shared" si="16"/>
        <v>0</v>
      </c>
      <c r="AB201">
        <f t="shared" si="17"/>
        <v>1</v>
      </c>
    </row>
    <row r="202" spans="6:28" x14ac:dyDescent="0.3">
      <c r="F202" s="28"/>
      <c r="G202">
        <v>194</v>
      </c>
      <c r="H202" s="109">
        <v>1102.0662745712689</v>
      </c>
      <c r="I202" s="370">
        <v>1676977.7430561921</v>
      </c>
      <c r="J202">
        <v>0</v>
      </c>
      <c r="K202">
        <v>0</v>
      </c>
      <c r="L202">
        <v>0</v>
      </c>
      <c r="M202">
        <v>1</v>
      </c>
      <c r="N202" s="109">
        <v>1521.666874080307</v>
      </c>
      <c r="O202" s="109">
        <v>-2594538.22103148</v>
      </c>
      <c r="P202" s="365">
        <v>1</v>
      </c>
      <c r="Q202" s="365">
        <v>0</v>
      </c>
      <c r="R202" s="365">
        <v>0</v>
      </c>
      <c r="S202" s="365">
        <v>0</v>
      </c>
      <c r="T202" s="109">
        <v>-2354.2488150640665</v>
      </c>
      <c r="V202" s="368">
        <f t="shared" si="18"/>
        <v>53426335.98550725</v>
      </c>
      <c r="W202" s="30">
        <f t="shared" si="19"/>
        <v>57697851.949594922</v>
      </c>
      <c r="X202" s="30"/>
      <c r="Y202">
        <f t="shared" ref="Y202:Y265" si="20">IF(V202&lt;0,1,0)</f>
        <v>0</v>
      </c>
      <c r="Z202">
        <f t="shared" ref="Z202:Z265" si="21">IF(V202&gt;0,1,0)</f>
        <v>1</v>
      </c>
      <c r="AA202">
        <f t="shared" ref="AA202:AA265" si="22">IF(W202&lt;0,1,0)</f>
        <v>0</v>
      </c>
      <c r="AB202">
        <f t="shared" ref="AB202:AB265" si="23">IF(W202&gt;0,1,0)</f>
        <v>1</v>
      </c>
    </row>
    <row r="203" spans="6:28" x14ac:dyDescent="0.3">
      <c r="F203" s="28"/>
      <c r="G203">
        <v>195</v>
      </c>
      <c r="H203" s="109">
        <v>1252.8953788707004</v>
      </c>
      <c r="I203" s="370">
        <v>1239251.2093627001</v>
      </c>
      <c r="J203">
        <v>0</v>
      </c>
      <c r="K203">
        <v>0</v>
      </c>
      <c r="L203">
        <v>0</v>
      </c>
      <c r="M203">
        <v>1</v>
      </c>
      <c r="N203" s="109">
        <v>989.10988919098861</v>
      </c>
      <c r="O203" s="109">
        <v>-2912987.0277282018</v>
      </c>
      <c r="P203" s="365">
        <v>1</v>
      </c>
      <c r="Q203" s="365">
        <v>0</v>
      </c>
      <c r="R203" s="365">
        <v>0</v>
      </c>
      <c r="S203" s="365">
        <v>0</v>
      </c>
      <c r="T203" s="109">
        <v>-2325.0042077366652</v>
      </c>
      <c r="V203" s="368">
        <f t="shared" si="18"/>
        <v>61405517.734172314</v>
      </c>
      <c r="W203" s="30">
        <f t="shared" si="19"/>
        <v>65557755.971263215</v>
      </c>
      <c r="X203" s="30"/>
      <c r="Y203">
        <f t="shared" si="20"/>
        <v>0</v>
      </c>
      <c r="Z203">
        <f t="shared" si="21"/>
        <v>1</v>
      </c>
      <c r="AA203">
        <f t="shared" si="22"/>
        <v>0</v>
      </c>
      <c r="AB203">
        <f t="shared" si="23"/>
        <v>1</v>
      </c>
    </row>
    <row r="204" spans="6:28" x14ac:dyDescent="0.3">
      <c r="F204" s="28"/>
      <c r="G204">
        <v>196</v>
      </c>
      <c r="H204" s="109">
        <v>1195.3454007985711</v>
      </c>
      <c r="I204" s="370">
        <v>1876863.1904179575</v>
      </c>
      <c r="J204">
        <v>0</v>
      </c>
      <c r="K204">
        <v>0</v>
      </c>
      <c r="L204">
        <v>0</v>
      </c>
      <c r="M204">
        <v>1</v>
      </c>
      <c r="N204" s="109">
        <v>1570.1429805678649</v>
      </c>
      <c r="O204" s="109">
        <v>-2395383.5997399348</v>
      </c>
      <c r="P204" s="365">
        <v>1</v>
      </c>
      <c r="Q204" s="365">
        <v>0</v>
      </c>
      <c r="R204" s="365">
        <v>0</v>
      </c>
      <c r="S204" s="365">
        <v>0</v>
      </c>
      <c r="T204" s="109">
        <v>-2003.9258930010167</v>
      </c>
      <c r="V204" s="368">
        <f t="shared" si="18"/>
        <v>57890406.849510595</v>
      </c>
      <c r="W204" s="30">
        <f t="shared" si="19"/>
        <v>62162653.639668487</v>
      </c>
      <c r="X204" s="30"/>
      <c r="Y204">
        <f t="shared" si="20"/>
        <v>0</v>
      </c>
      <c r="Z204">
        <f t="shared" si="21"/>
        <v>1</v>
      </c>
      <c r="AA204">
        <f t="shared" si="22"/>
        <v>0</v>
      </c>
      <c r="AB204">
        <f t="shared" si="23"/>
        <v>1</v>
      </c>
    </row>
    <row r="205" spans="6:28" x14ac:dyDescent="0.3">
      <c r="F205" s="28"/>
      <c r="G205">
        <v>197</v>
      </c>
      <c r="H205" s="109">
        <v>1112.8395547218024</v>
      </c>
      <c r="I205" s="370">
        <v>1855513.5009996833</v>
      </c>
      <c r="J205">
        <v>0</v>
      </c>
      <c r="K205">
        <v>0</v>
      </c>
      <c r="L205">
        <v>0</v>
      </c>
      <c r="M205">
        <v>1</v>
      </c>
      <c r="N205" s="109">
        <v>1667.3683938773556</v>
      </c>
      <c r="O205" s="109">
        <v>-2189251.3811566848</v>
      </c>
      <c r="P205" s="365">
        <v>1</v>
      </c>
      <c r="Q205" s="365">
        <v>0</v>
      </c>
      <c r="R205" s="365">
        <v>0</v>
      </c>
      <c r="S205" s="365">
        <v>0</v>
      </c>
      <c r="T205" s="109">
        <v>-1967.265965581151</v>
      </c>
      <c r="V205" s="368">
        <f t="shared" si="18"/>
        <v>53786464.235090442</v>
      </c>
      <c r="W205" s="30">
        <f t="shared" si="19"/>
        <v>57831229.117246807</v>
      </c>
      <c r="X205" s="30"/>
      <c r="Y205">
        <f t="shared" si="20"/>
        <v>0</v>
      </c>
      <c r="Z205">
        <f t="shared" si="21"/>
        <v>1</v>
      </c>
      <c r="AA205">
        <f t="shared" si="22"/>
        <v>0</v>
      </c>
      <c r="AB205">
        <f t="shared" si="23"/>
        <v>1</v>
      </c>
    </row>
    <row r="206" spans="6:28" x14ac:dyDescent="0.3">
      <c r="F206" s="28"/>
      <c r="G206">
        <v>198</v>
      </c>
      <c r="H206" s="109">
        <v>1110.6605509991496</v>
      </c>
      <c r="I206" s="370">
        <v>1282803.7399195014</v>
      </c>
      <c r="J206">
        <v>0</v>
      </c>
      <c r="K206">
        <v>0</v>
      </c>
      <c r="L206">
        <v>0</v>
      </c>
      <c r="M206">
        <v>1</v>
      </c>
      <c r="N206" s="109">
        <v>1154.9917198062828</v>
      </c>
      <c r="O206" s="109">
        <v>-3069483.4456147533</v>
      </c>
      <c r="P206" s="365">
        <v>1</v>
      </c>
      <c r="Q206" s="365">
        <v>0</v>
      </c>
      <c r="R206" s="365">
        <v>0</v>
      </c>
      <c r="S206" s="365">
        <v>0</v>
      </c>
      <c r="T206" s="109">
        <v>-2763.6557748030646</v>
      </c>
      <c r="V206" s="368">
        <f t="shared" si="18"/>
        <v>54250223.810037978</v>
      </c>
      <c r="W206" s="30">
        <f t="shared" si="19"/>
        <v>58602510.995572232</v>
      </c>
      <c r="X206" s="30"/>
      <c r="Y206">
        <f t="shared" si="20"/>
        <v>0</v>
      </c>
      <c r="Z206">
        <f t="shared" si="21"/>
        <v>1</v>
      </c>
      <c r="AA206">
        <f t="shared" si="22"/>
        <v>0</v>
      </c>
      <c r="AB206">
        <f t="shared" si="23"/>
        <v>1</v>
      </c>
    </row>
    <row r="207" spans="6:28" x14ac:dyDescent="0.3">
      <c r="F207" s="28"/>
      <c r="G207">
        <v>199</v>
      </c>
      <c r="H207" s="109">
        <v>1229.4176560864144</v>
      </c>
      <c r="I207" s="370">
        <v>1214025.7400786239</v>
      </c>
      <c r="J207">
        <v>0</v>
      </c>
      <c r="K207">
        <v>0</v>
      </c>
      <c r="L207">
        <v>0</v>
      </c>
      <c r="M207">
        <v>1</v>
      </c>
      <c r="N207" s="109">
        <v>987.48031970129068</v>
      </c>
      <c r="O207" s="109">
        <v>-3366250.2499913503</v>
      </c>
      <c r="P207" s="365">
        <v>1</v>
      </c>
      <c r="Q207" s="365">
        <v>0</v>
      </c>
      <c r="R207" s="365">
        <v>0</v>
      </c>
      <c r="S207" s="365">
        <v>0</v>
      </c>
      <c r="T207" s="109">
        <v>-2738.0851684748704</v>
      </c>
      <c r="V207" s="368">
        <f t="shared" si="18"/>
        <v>60256857.064242095</v>
      </c>
      <c r="W207" s="30">
        <f t="shared" si="19"/>
        <v>64837133.054312065</v>
      </c>
      <c r="X207" s="30"/>
      <c r="Y207">
        <f t="shared" si="20"/>
        <v>0</v>
      </c>
      <c r="Z207">
        <f t="shared" si="21"/>
        <v>1</v>
      </c>
      <c r="AA207">
        <f t="shared" si="22"/>
        <v>0</v>
      </c>
      <c r="AB207">
        <f t="shared" si="23"/>
        <v>1</v>
      </c>
    </row>
    <row r="208" spans="6:28" x14ac:dyDescent="0.3">
      <c r="F208" s="28"/>
      <c r="G208">
        <v>200</v>
      </c>
      <c r="H208" s="109">
        <v>1139.7592766535963</v>
      </c>
      <c r="I208" s="370">
        <v>3169444.0561180222</v>
      </c>
      <c r="J208">
        <v>0</v>
      </c>
      <c r="K208">
        <v>0</v>
      </c>
      <c r="L208">
        <v>0</v>
      </c>
      <c r="M208">
        <v>1</v>
      </c>
      <c r="N208" s="109">
        <v>2780.8012806210322</v>
      </c>
      <c r="O208" s="109">
        <v>-1431096.9334206893</v>
      </c>
      <c r="P208" s="365">
        <v>1</v>
      </c>
      <c r="Q208" s="365">
        <v>0</v>
      </c>
      <c r="R208" s="365">
        <v>0</v>
      </c>
      <c r="S208" s="365">
        <v>0</v>
      </c>
      <c r="T208" s="109">
        <v>-1255.6133235629179</v>
      </c>
      <c r="V208" s="368">
        <f t="shared" si="18"/>
        <v>53818519.776561797</v>
      </c>
      <c r="W208" s="30">
        <f t="shared" si="19"/>
        <v>58419060.766100504</v>
      </c>
      <c r="X208" s="30"/>
      <c r="Y208">
        <f t="shared" si="20"/>
        <v>0</v>
      </c>
      <c r="Z208">
        <f t="shared" si="21"/>
        <v>1</v>
      </c>
      <c r="AA208">
        <f t="shared" si="22"/>
        <v>0</v>
      </c>
      <c r="AB208">
        <f t="shared" si="23"/>
        <v>1</v>
      </c>
    </row>
    <row r="209" spans="6:28" x14ac:dyDescent="0.3">
      <c r="F209" s="28"/>
      <c r="G209">
        <v>201</v>
      </c>
      <c r="H209" s="109">
        <v>1072.2782318984609</v>
      </c>
      <c r="I209" s="370">
        <v>989497.45142045023</v>
      </c>
      <c r="J209">
        <v>0</v>
      </c>
      <c r="K209">
        <v>0</v>
      </c>
      <c r="L209">
        <v>0</v>
      </c>
      <c r="M209">
        <v>1</v>
      </c>
      <c r="N209" s="109">
        <v>922.79915975590779</v>
      </c>
      <c r="O209" s="109">
        <v>-2660051.564883003</v>
      </c>
      <c r="P209" s="365">
        <v>1</v>
      </c>
      <c r="Q209" s="365">
        <v>0</v>
      </c>
      <c r="R209" s="365">
        <v>0</v>
      </c>
      <c r="S209" s="365">
        <v>0</v>
      </c>
      <c r="T209" s="109">
        <v>-2480.7475203272575</v>
      </c>
      <c r="V209" s="368">
        <f t="shared" si="18"/>
        <v>52624414.1435026</v>
      </c>
      <c r="W209" s="30">
        <f t="shared" si="19"/>
        <v>56273963.15980605</v>
      </c>
      <c r="X209" s="30"/>
      <c r="Y209">
        <f t="shared" si="20"/>
        <v>0</v>
      </c>
      <c r="Z209">
        <f t="shared" si="21"/>
        <v>1</v>
      </c>
      <c r="AA209">
        <f t="shared" si="22"/>
        <v>0</v>
      </c>
      <c r="AB209">
        <f t="shared" si="23"/>
        <v>1</v>
      </c>
    </row>
    <row r="210" spans="6:28" x14ac:dyDescent="0.3">
      <c r="F210" s="28"/>
      <c r="G210">
        <v>202</v>
      </c>
      <c r="H210" s="109">
        <v>1462.4276566890694</v>
      </c>
      <c r="I210" s="370">
        <v>1163903.6135507019</v>
      </c>
      <c r="J210">
        <v>0</v>
      </c>
      <c r="K210">
        <v>0</v>
      </c>
      <c r="L210">
        <v>0</v>
      </c>
      <c r="M210">
        <v>1</v>
      </c>
      <c r="N210" s="109">
        <v>795.8708987942523</v>
      </c>
      <c r="O210" s="109">
        <v>-4207967.5898295129</v>
      </c>
      <c r="P210" s="365">
        <v>1</v>
      </c>
      <c r="Q210" s="365">
        <v>0</v>
      </c>
      <c r="R210" s="365">
        <v>0</v>
      </c>
      <c r="S210" s="365">
        <v>0</v>
      </c>
      <c r="T210" s="109">
        <v>-2877.385127792465</v>
      </c>
      <c r="V210" s="368">
        <f t="shared" si="18"/>
        <v>71957479.220902756</v>
      </c>
      <c r="W210" s="30">
        <f t="shared" si="19"/>
        <v>77329350.424282983</v>
      </c>
      <c r="X210" s="30"/>
      <c r="Y210">
        <f t="shared" si="20"/>
        <v>0</v>
      </c>
      <c r="Z210">
        <f t="shared" si="21"/>
        <v>1</v>
      </c>
      <c r="AA210">
        <f t="shared" si="22"/>
        <v>0</v>
      </c>
      <c r="AB210">
        <f t="shared" si="23"/>
        <v>1</v>
      </c>
    </row>
    <row r="211" spans="6:28" x14ac:dyDescent="0.3">
      <c r="F211" s="28"/>
      <c r="G211">
        <v>203</v>
      </c>
      <c r="H211" s="109">
        <v>1198.089223443938</v>
      </c>
      <c r="I211" s="370">
        <v>1802618.1170995822</v>
      </c>
      <c r="J211">
        <v>0</v>
      </c>
      <c r="K211">
        <v>0</v>
      </c>
      <c r="L211">
        <v>0</v>
      </c>
      <c r="M211">
        <v>1</v>
      </c>
      <c r="N211" s="109">
        <v>1504.5775237990294</v>
      </c>
      <c r="O211" s="109">
        <v>-3245115.9159544576</v>
      </c>
      <c r="P211" s="365">
        <v>1</v>
      </c>
      <c r="Q211" s="365">
        <v>0</v>
      </c>
      <c r="R211" s="365">
        <v>0</v>
      </c>
      <c r="S211" s="365">
        <v>0</v>
      </c>
      <c r="T211" s="109">
        <v>-2708.5761664947536</v>
      </c>
      <c r="V211" s="368">
        <f t="shared" si="18"/>
        <v>58101843.055097312</v>
      </c>
      <c r="W211" s="30">
        <f t="shared" si="19"/>
        <v>63149577.088151351</v>
      </c>
      <c r="X211" s="30"/>
      <c r="Y211">
        <f t="shared" si="20"/>
        <v>0</v>
      </c>
      <c r="Z211">
        <f t="shared" si="21"/>
        <v>1</v>
      </c>
      <c r="AA211">
        <f t="shared" si="22"/>
        <v>0</v>
      </c>
      <c r="AB211">
        <f t="shared" si="23"/>
        <v>1</v>
      </c>
    </row>
    <row r="212" spans="6:28" x14ac:dyDescent="0.3">
      <c r="F212" s="28"/>
      <c r="G212">
        <v>204</v>
      </c>
      <c r="H212" s="109">
        <v>1343.3074618047685</v>
      </c>
      <c r="I212" s="370">
        <v>1421074.4966527747</v>
      </c>
      <c r="J212">
        <v>0</v>
      </c>
      <c r="K212">
        <v>0</v>
      </c>
      <c r="L212">
        <v>0</v>
      </c>
      <c r="M212">
        <v>1</v>
      </c>
      <c r="N212" s="109">
        <v>1057.8922078967121</v>
      </c>
      <c r="O212" s="109">
        <v>-3951620.2139069396</v>
      </c>
      <c r="P212" s="365">
        <v>1</v>
      </c>
      <c r="Q212" s="365">
        <v>0</v>
      </c>
      <c r="R212" s="365">
        <v>0</v>
      </c>
      <c r="S212" s="365">
        <v>0</v>
      </c>
      <c r="T212" s="109">
        <v>-2941.7094196721241</v>
      </c>
      <c r="V212" s="368">
        <f t="shared" si="18"/>
        <v>65744298.593585648</v>
      </c>
      <c r="W212" s="30">
        <f t="shared" si="19"/>
        <v>71116993.304145366</v>
      </c>
      <c r="X212" s="30"/>
      <c r="Y212">
        <f t="shared" si="20"/>
        <v>0</v>
      </c>
      <c r="Z212">
        <f t="shared" si="21"/>
        <v>1</v>
      </c>
      <c r="AA212">
        <f t="shared" si="22"/>
        <v>0</v>
      </c>
      <c r="AB212">
        <f t="shared" si="23"/>
        <v>1</v>
      </c>
    </row>
    <row r="213" spans="6:28" x14ac:dyDescent="0.3">
      <c r="F213" s="28"/>
      <c r="G213">
        <v>205</v>
      </c>
      <c r="H213" s="109">
        <v>1348.1216451079454</v>
      </c>
      <c r="I213" s="370">
        <v>1550796.3636588559</v>
      </c>
      <c r="J213">
        <v>0</v>
      </c>
      <c r="K213">
        <v>0</v>
      </c>
      <c r="L213">
        <v>0</v>
      </c>
      <c r="M213">
        <v>1</v>
      </c>
      <c r="N213" s="109">
        <v>1150.3385983648991</v>
      </c>
      <c r="O213" s="109">
        <v>-3640307.8238906944</v>
      </c>
      <c r="P213" s="365">
        <v>1</v>
      </c>
      <c r="Q213" s="365">
        <v>0</v>
      </c>
      <c r="R213" s="365">
        <v>0</v>
      </c>
      <c r="S213" s="365">
        <v>0</v>
      </c>
      <c r="T213" s="109">
        <v>-2700.2814153311897</v>
      </c>
      <c r="V213" s="368">
        <f t="shared" si="18"/>
        <v>65855285.891738422</v>
      </c>
      <c r="W213" s="30">
        <f t="shared" si="19"/>
        <v>71046390.079287976</v>
      </c>
      <c r="X213" s="30"/>
      <c r="Y213">
        <f t="shared" si="20"/>
        <v>0</v>
      </c>
      <c r="Z213">
        <f t="shared" si="21"/>
        <v>1</v>
      </c>
      <c r="AA213">
        <f t="shared" si="22"/>
        <v>0</v>
      </c>
      <c r="AB213">
        <f t="shared" si="23"/>
        <v>1</v>
      </c>
    </row>
    <row r="214" spans="6:28" x14ac:dyDescent="0.3">
      <c r="F214" s="28"/>
      <c r="G214">
        <v>206</v>
      </c>
      <c r="H214" s="109">
        <v>1192.5659391896334</v>
      </c>
      <c r="I214" s="370">
        <v>1095461.8862758467</v>
      </c>
      <c r="J214">
        <v>0</v>
      </c>
      <c r="K214">
        <v>0</v>
      </c>
      <c r="L214">
        <v>0</v>
      </c>
      <c r="M214">
        <v>1</v>
      </c>
      <c r="N214" s="109">
        <v>918.57552716978455</v>
      </c>
      <c r="O214" s="109">
        <v>-3893253.6139438865</v>
      </c>
      <c r="P214" s="365">
        <v>1</v>
      </c>
      <c r="Q214" s="365">
        <v>0</v>
      </c>
      <c r="R214" s="365">
        <v>0</v>
      </c>
      <c r="S214" s="365">
        <v>0</v>
      </c>
      <c r="T214" s="109">
        <v>-3264.6023888535769</v>
      </c>
      <c r="V214" s="368">
        <f t="shared" si="18"/>
        <v>58532835.073205821</v>
      </c>
      <c r="W214" s="30">
        <f t="shared" si="19"/>
        <v>63521550.573425561</v>
      </c>
      <c r="X214" s="30"/>
      <c r="Y214">
        <f t="shared" si="20"/>
        <v>0</v>
      </c>
      <c r="Z214">
        <f t="shared" si="21"/>
        <v>1</v>
      </c>
      <c r="AA214">
        <f t="shared" si="22"/>
        <v>0</v>
      </c>
      <c r="AB214">
        <f t="shared" si="23"/>
        <v>1</v>
      </c>
    </row>
    <row r="215" spans="6:28" x14ac:dyDescent="0.3">
      <c r="F215" s="28"/>
      <c r="G215">
        <v>207</v>
      </c>
      <c r="H215" s="109">
        <v>1202.4451427527601</v>
      </c>
      <c r="I215" s="370">
        <v>1292293.7114911447</v>
      </c>
      <c r="J215">
        <v>0</v>
      </c>
      <c r="K215">
        <v>0</v>
      </c>
      <c r="L215">
        <v>0</v>
      </c>
      <c r="M215">
        <v>1</v>
      </c>
      <c r="N215" s="109">
        <v>1074.721553228361</v>
      </c>
      <c r="O215" s="109">
        <v>-3570138.7718835785</v>
      </c>
      <c r="P215" s="365">
        <v>1</v>
      </c>
      <c r="Q215" s="365">
        <v>0</v>
      </c>
      <c r="R215" s="365">
        <v>0</v>
      </c>
      <c r="S215" s="365">
        <v>0</v>
      </c>
      <c r="T215" s="109">
        <v>-2969.0658184293152</v>
      </c>
      <c r="V215" s="368">
        <f t="shared" si="18"/>
        <v>58829963.426146865</v>
      </c>
      <c r="W215" s="30">
        <f t="shared" si="19"/>
        <v>63692395.909521587</v>
      </c>
      <c r="X215" s="30"/>
      <c r="Y215">
        <f t="shared" si="20"/>
        <v>0</v>
      </c>
      <c r="Z215">
        <f t="shared" si="21"/>
        <v>1</v>
      </c>
      <c r="AA215">
        <f t="shared" si="22"/>
        <v>0</v>
      </c>
      <c r="AB215">
        <f t="shared" si="23"/>
        <v>1</v>
      </c>
    </row>
    <row r="216" spans="6:28" x14ac:dyDescent="0.3">
      <c r="F216" s="28"/>
      <c r="G216">
        <v>208</v>
      </c>
      <c r="H216" s="109">
        <v>1083.8438170657537</v>
      </c>
      <c r="I216" s="370">
        <v>751445.89749247895</v>
      </c>
      <c r="J216">
        <v>0</v>
      </c>
      <c r="K216">
        <v>0</v>
      </c>
      <c r="L216">
        <v>0</v>
      </c>
      <c r="M216">
        <v>1</v>
      </c>
      <c r="N216" s="109">
        <v>693.31566565267485</v>
      </c>
      <c r="O216" s="109">
        <v>-3480124.2290031742</v>
      </c>
      <c r="P216" s="365">
        <v>1</v>
      </c>
      <c r="Q216" s="365">
        <v>0</v>
      </c>
      <c r="R216" s="365">
        <v>0</v>
      </c>
      <c r="S216" s="365">
        <v>0</v>
      </c>
      <c r="T216" s="109">
        <v>-3210.9093341739708</v>
      </c>
      <c r="V216" s="368">
        <f t="shared" si="18"/>
        <v>53440744.955795206</v>
      </c>
      <c r="W216" s="30">
        <f t="shared" si="19"/>
        <v>57672315.082290858</v>
      </c>
      <c r="X216" s="30"/>
      <c r="Y216">
        <f t="shared" si="20"/>
        <v>0</v>
      </c>
      <c r="Z216">
        <f t="shared" si="21"/>
        <v>1</v>
      </c>
      <c r="AA216">
        <f t="shared" si="22"/>
        <v>0</v>
      </c>
      <c r="AB216">
        <f t="shared" si="23"/>
        <v>1</v>
      </c>
    </row>
    <row r="217" spans="6:28" x14ac:dyDescent="0.3">
      <c r="F217" s="28"/>
      <c r="G217">
        <v>209</v>
      </c>
      <c r="H217" s="109">
        <v>1300.6652221375189</v>
      </c>
      <c r="I217" s="370">
        <v>914173.83771822229</v>
      </c>
      <c r="J217">
        <v>0</v>
      </c>
      <c r="K217">
        <v>0</v>
      </c>
      <c r="L217">
        <v>0</v>
      </c>
      <c r="M217">
        <v>1</v>
      </c>
      <c r="N217" s="109">
        <v>702.85098898536319</v>
      </c>
      <c r="O217" s="109">
        <v>-3964989.4163173153</v>
      </c>
      <c r="P217" s="365">
        <v>1</v>
      </c>
      <c r="Q217" s="365">
        <v>0</v>
      </c>
      <c r="R217" s="365">
        <v>0</v>
      </c>
      <c r="S217" s="365">
        <v>0</v>
      </c>
      <c r="T217" s="109">
        <v>-3048.4319476161854</v>
      </c>
      <c r="V217" s="368">
        <f t="shared" si="18"/>
        <v>64119087.269157723</v>
      </c>
      <c r="W217" s="30">
        <f t="shared" si="19"/>
        <v>68998250.523193255</v>
      </c>
      <c r="X217" s="30"/>
      <c r="Y217">
        <f t="shared" si="20"/>
        <v>0</v>
      </c>
      <c r="Z217">
        <f t="shared" si="21"/>
        <v>1</v>
      </c>
      <c r="AA217">
        <f t="shared" si="22"/>
        <v>0</v>
      </c>
      <c r="AB217">
        <f t="shared" si="23"/>
        <v>1</v>
      </c>
    </row>
    <row r="218" spans="6:28" x14ac:dyDescent="0.3">
      <c r="F218" s="28"/>
      <c r="G218">
        <v>210</v>
      </c>
      <c r="H218" s="109">
        <v>1191.5721298040444</v>
      </c>
      <c r="I218" s="370">
        <v>613640.75995512353</v>
      </c>
      <c r="J218">
        <v>0</v>
      </c>
      <c r="K218">
        <v>0</v>
      </c>
      <c r="L218">
        <v>0</v>
      </c>
      <c r="M218">
        <v>1</v>
      </c>
      <c r="N218" s="109">
        <v>514.98414960077787</v>
      </c>
      <c r="O218" s="109">
        <v>-4536415.4975741953</v>
      </c>
      <c r="P218" s="365">
        <v>1</v>
      </c>
      <c r="Q218" s="365">
        <v>0</v>
      </c>
      <c r="R218" s="365">
        <v>0</v>
      </c>
      <c r="S218" s="365">
        <v>0</v>
      </c>
      <c r="T218" s="109">
        <v>-3807.0842579376331</v>
      </c>
      <c r="V218" s="368">
        <f t="shared" si="18"/>
        <v>58964965.730247095</v>
      </c>
      <c r="W218" s="30">
        <f t="shared" si="19"/>
        <v>64115021.987776414</v>
      </c>
      <c r="X218" s="30"/>
      <c r="Y218">
        <f t="shared" si="20"/>
        <v>0</v>
      </c>
      <c r="Z218">
        <f t="shared" si="21"/>
        <v>1</v>
      </c>
      <c r="AA218">
        <f t="shared" si="22"/>
        <v>0</v>
      </c>
      <c r="AB218">
        <f t="shared" si="23"/>
        <v>1</v>
      </c>
    </row>
    <row r="219" spans="6:28" x14ac:dyDescent="0.3">
      <c r="F219" s="28"/>
      <c r="G219">
        <v>211</v>
      </c>
      <c r="H219" s="109">
        <v>1135.7149412598519</v>
      </c>
      <c r="I219" s="370">
        <v>1635272.0652056145</v>
      </c>
      <c r="J219">
        <v>0</v>
      </c>
      <c r="K219">
        <v>0</v>
      </c>
      <c r="L219">
        <v>0</v>
      </c>
      <c r="M219">
        <v>1</v>
      </c>
      <c r="N219" s="109">
        <v>1439.8613646762474</v>
      </c>
      <c r="O219" s="109">
        <v>-3805571.6337518874</v>
      </c>
      <c r="P219" s="365">
        <v>1</v>
      </c>
      <c r="Q219" s="365">
        <v>0</v>
      </c>
      <c r="R219" s="365">
        <v>0</v>
      </c>
      <c r="S219" s="365">
        <v>0</v>
      </c>
      <c r="T219" s="109">
        <v>-3350.8158566007378</v>
      </c>
      <c r="V219" s="368">
        <f t="shared" si="18"/>
        <v>55150474.997786984</v>
      </c>
      <c r="W219" s="30">
        <f t="shared" si="19"/>
        <v>60591318.696744479</v>
      </c>
      <c r="X219" s="30"/>
      <c r="Y219">
        <f t="shared" si="20"/>
        <v>0</v>
      </c>
      <c r="Z219">
        <f t="shared" si="21"/>
        <v>1</v>
      </c>
      <c r="AA219">
        <f t="shared" si="22"/>
        <v>0</v>
      </c>
      <c r="AB219">
        <f t="shared" si="23"/>
        <v>1</v>
      </c>
    </row>
    <row r="220" spans="6:28" x14ac:dyDescent="0.3">
      <c r="F220" s="28"/>
      <c r="G220">
        <v>212</v>
      </c>
      <c r="H220" s="109">
        <v>1215.4449554240782</v>
      </c>
      <c r="I220" s="370">
        <v>775018.69455696922</v>
      </c>
      <c r="J220">
        <v>0</v>
      </c>
      <c r="K220">
        <v>0</v>
      </c>
      <c r="L220">
        <v>0</v>
      </c>
      <c r="M220">
        <v>1</v>
      </c>
      <c r="N220" s="109">
        <v>637.64195251981539</v>
      </c>
      <c r="O220" s="109">
        <v>-3887288.0507794549</v>
      </c>
      <c r="P220" s="365">
        <v>1</v>
      </c>
      <c r="Q220" s="365">
        <v>0</v>
      </c>
      <c r="R220" s="365">
        <v>0</v>
      </c>
      <c r="S220" s="365">
        <v>0</v>
      </c>
      <c r="T220" s="109">
        <v>-3198.2427780311532</v>
      </c>
      <c r="V220" s="368">
        <f t="shared" si="18"/>
        <v>59997229.076646946</v>
      </c>
      <c r="W220" s="30">
        <f t="shared" si="19"/>
        <v>64659535.821983367</v>
      </c>
      <c r="X220" s="30"/>
      <c r="Y220">
        <f t="shared" si="20"/>
        <v>0</v>
      </c>
      <c r="Z220">
        <f t="shared" si="21"/>
        <v>1</v>
      </c>
      <c r="AA220">
        <f t="shared" si="22"/>
        <v>0</v>
      </c>
      <c r="AB220">
        <f t="shared" si="23"/>
        <v>1</v>
      </c>
    </row>
    <row r="221" spans="6:28" x14ac:dyDescent="0.3">
      <c r="F221" s="28"/>
      <c r="G221">
        <v>213</v>
      </c>
      <c r="H221" s="109">
        <v>1124.203584411116</v>
      </c>
      <c r="I221" s="370">
        <v>1371097.6863014579</v>
      </c>
      <c r="J221">
        <v>0</v>
      </c>
      <c r="K221">
        <v>0</v>
      </c>
      <c r="L221">
        <v>0</v>
      </c>
      <c r="M221">
        <v>1</v>
      </c>
      <c r="N221" s="109">
        <v>1219.6168961867088</v>
      </c>
      <c r="O221" s="109">
        <v>-4116909.4446981666</v>
      </c>
      <c r="P221" s="365">
        <v>1</v>
      </c>
      <c r="Q221" s="365">
        <v>0</v>
      </c>
      <c r="R221" s="365">
        <v>0</v>
      </c>
      <c r="S221" s="365">
        <v>0</v>
      </c>
      <c r="T221" s="109">
        <v>-3662.0675309932403</v>
      </c>
      <c r="V221" s="368">
        <f t="shared" si="18"/>
        <v>54839081.53425435</v>
      </c>
      <c r="W221" s="30">
        <f t="shared" si="19"/>
        <v>60327088.665253974</v>
      </c>
      <c r="X221" s="30"/>
      <c r="Y221">
        <f t="shared" si="20"/>
        <v>0</v>
      </c>
      <c r="Z221">
        <f t="shared" si="21"/>
        <v>1</v>
      </c>
      <c r="AA221">
        <f t="shared" si="22"/>
        <v>0</v>
      </c>
      <c r="AB221">
        <f t="shared" si="23"/>
        <v>1</v>
      </c>
    </row>
    <row r="222" spans="6:28" x14ac:dyDescent="0.3">
      <c r="F222" s="28"/>
      <c r="G222">
        <v>214</v>
      </c>
      <c r="H222" s="109">
        <v>1183.5573692788457</v>
      </c>
      <c r="I222" s="370">
        <v>1410555.2642866224</v>
      </c>
      <c r="J222">
        <v>0</v>
      </c>
      <c r="K222">
        <v>0</v>
      </c>
      <c r="L222">
        <v>0</v>
      </c>
      <c r="M222">
        <v>1</v>
      </c>
      <c r="N222" s="109">
        <v>1191.7928956380788</v>
      </c>
      <c r="O222" s="109">
        <v>-3331072.4532730863</v>
      </c>
      <c r="P222" s="365">
        <v>1</v>
      </c>
      <c r="Q222" s="365">
        <v>0</v>
      </c>
      <c r="R222" s="365">
        <v>0</v>
      </c>
      <c r="S222" s="365">
        <v>0</v>
      </c>
      <c r="T222" s="109">
        <v>-2814.4579550907151</v>
      </c>
      <c r="V222" s="368">
        <f t="shared" si="18"/>
        <v>57767313.199655667</v>
      </c>
      <c r="W222" s="30">
        <f t="shared" si="19"/>
        <v>62508940.917215377</v>
      </c>
      <c r="X222" s="30"/>
      <c r="Y222">
        <f t="shared" si="20"/>
        <v>0</v>
      </c>
      <c r="Z222">
        <f t="shared" si="21"/>
        <v>1</v>
      </c>
      <c r="AA222">
        <f t="shared" si="22"/>
        <v>0</v>
      </c>
      <c r="AB222">
        <f t="shared" si="23"/>
        <v>1</v>
      </c>
    </row>
    <row r="223" spans="6:28" x14ac:dyDescent="0.3">
      <c r="F223" s="28"/>
      <c r="G223">
        <v>215</v>
      </c>
      <c r="H223" s="109">
        <v>1243.2315625260817</v>
      </c>
      <c r="I223" s="370">
        <v>1598460.3772565399</v>
      </c>
      <c r="J223">
        <v>0</v>
      </c>
      <c r="K223">
        <v>0</v>
      </c>
      <c r="L223">
        <v>0</v>
      </c>
      <c r="M223">
        <v>1</v>
      </c>
      <c r="N223" s="109">
        <v>1285.7302094299152</v>
      </c>
      <c r="O223" s="109">
        <v>-3542763.7403780608</v>
      </c>
      <c r="P223" s="365">
        <v>1</v>
      </c>
      <c r="Q223" s="365">
        <v>0</v>
      </c>
      <c r="R223" s="365">
        <v>0</v>
      </c>
      <c r="S223" s="365">
        <v>0</v>
      </c>
      <c r="T223" s="109">
        <v>-2849.6410863151145</v>
      </c>
      <c r="V223" s="368">
        <f t="shared" si="18"/>
        <v>60563117.74904754</v>
      </c>
      <c r="W223" s="30">
        <f t="shared" si="19"/>
        <v>65704341.866682142</v>
      </c>
      <c r="X223" s="30"/>
      <c r="Y223">
        <f t="shared" si="20"/>
        <v>0</v>
      </c>
      <c r="Z223">
        <f t="shared" si="21"/>
        <v>1</v>
      </c>
      <c r="AA223">
        <f t="shared" si="22"/>
        <v>0</v>
      </c>
      <c r="AB223">
        <f t="shared" si="23"/>
        <v>1</v>
      </c>
    </row>
    <row r="224" spans="6:28" x14ac:dyDescent="0.3">
      <c r="F224" s="28"/>
      <c r="G224">
        <v>216</v>
      </c>
      <c r="H224" s="109">
        <v>1387.8467682361661</v>
      </c>
      <c r="I224" s="370">
        <v>905311.29833335557</v>
      </c>
      <c r="J224">
        <v>0</v>
      </c>
      <c r="K224">
        <v>0</v>
      </c>
      <c r="L224">
        <v>0</v>
      </c>
      <c r="M224">
        <v>1</v>
      </c>
      <c r="N224" s="109">
        <v>652.31358320913796</v>
      </c>
      <c r="O224" s="109">
        <v>-4372226.0252200132</v>
      </c>
      <c r="P224" s="365">
        <v>1</v>
      </c>
      <c r="Q224" s="365">
        <v>0</v>
      </c>
      <c r="R224" s="365">
        <v>0</v>
      </c>
      <c r="S224" s="365">
        <v>0</v>
      </c>
      <c r="T224" s="109">
        <v>-3150.3665428257159</v>
      </c>
      <c r="V224" s="368">
        <f t="shared" si="18"/>
        <v>68487027.11347495</v>
      </c>
      <c r="W224" s="30">
        <f t="shared" si="19"/>
        <v>73764564.437028319</v>
      </c>
      <c r="X224" s="30"/>
      <c r="Y224">
        <f t="shared" si="20"/>
        <v>0</v>
      </c>
      <c r="Z224">
        <f t="shared" si="21"/>
        <v>1</v>
      </c>
      <c r="AA224">
        <f t="shared" si="22"/>
        <v>0</v>
      </c>
      <c r="AB224">
        <f t="shared" si="23"/>
        <v>1</v>
      </c>
    </row>
    <row r="225" spans="6:28" x14ac:dyDescent="0.3">
      <c r="F225" s="28"/>
      <c r="G225">
        <v>217</v>
      </c>
      <c r="H225" s="109">
        <v>1231.9502879790161</v>
      </c>
      <c r="I225" s="370">
        <v>1337007.0128544036</v>
      </c>
      <c r="J225">
        <v>0</v>
      </c>
      <c r="K225">
        <v>0</v>
      </c>
      <c r="L225">
        <v>0</v>
      </c>
      <c r="M225">
        <v>1</v>
      </c>
      <c r="N225" s="109">
        <v>1085.2767566195632</v>
      </c>
      <c r="O225" s="109">
        <v>-2985745.0422921977</v>
      </c>
      <c r="P225" s="365">
        <v>1</v>
      </c>
      <c r="Q225" s="365">
        <v>0</v>
      </c>
      <c r="R225" s="365">
        <v>0</v>
      </c>
      <c r="S225" s="365">
        <v>0</v>
      </c>
      <c r="T225" s="109">
        <v>-2423.5921460680352</v>
      </c>
      <c r="V225" s="368">
        <f t="shared" si="18"/>
        <v>60260507.386096403</v>
      </c>
      <c r="W225" s="30">
        <f t="shared" si="19"/>
        <v>64583259.441243008</v>
      </c>
      <c r="X225" s="30"/>
      <c r="Y225">
        <f t="shared" si="20"/>
        <v>0</v>
      </c>
      <c r="Z225">
        <f t="shared" si="21"/>
        <v>1</v>
      </c>
      <c r="AA225">
        <f t="shared" si="22"/>
        <v>0</v>
      </c>
      <c r="AB225">
        <f t="shared" si="23"/>
        <v>1</v>
      </c>
    </row>
    <row r="226" spans="6:28" x14ac:dyDescent="0.3">
      <c r="F226" s="28"/>
      <c r="G226">
        <v>218</v>
      </c>
      <c r="H226" s="109">
        <v>1167.9437145720149</v>
      </c>
      <c r="I226" s="370">
        <v>580275.92828333029</v>
      </c>
      <c r="J226">
        <v>0</v>
      </c>
      <c r="K226">
        <v>0</v>
      </c>
      <c r="L226">
        <v>0</v>
      </c>
      <c r="M226">
        <v>1</v>
      </c>
      <c r="N226" s="109">
        <v>496.83552472900504</v>
      </c>
      <c r="O226" s="109">
        <v>-4268802.6489725709</v>
      </c>
      <c r="P226" s="365">
        <v>1</v>
      </c>
      <c r="Q226" s="365">
        <v>0</v>
      </c>
      <c r="R226" s="365">
        <v>0</v>
      </c>
      <c r="S226" s="365">
        <v>0</v>
      </c>
      <c r="T226" s="109">
        <v>-3654.9729201092923</v>
      </c>
      <c r="V226" s="368">
        <f t="shared" si="18"/>
        <v>57816909.800317407</v>
      </c>
      <c r="W226" s="30">
        <f t="shared" si="19"/>
        <v>62665988.377573311</v>
      </c>
      <c r="X226" s="30"/>
      <c r="Y226">
        <f t="shared" si="20"/>
        <v>0</v>
      </c>
      <c r="Z226">
        <f t="shared" si="21"/>
        <v>1</v>
      </c>
      <c r="AA226">
        <f t="shared" si="22"/>
        <v>0</v>
      </c>
      <c r="AB226">
        <f t="shared" si="23"/>
        <v>1</v>
      </c>
    </row>
    <row r="227" spans="6:28" x14ac:dyDescent="0.3">
      <c r="F227" s="28"/>
      <c r="G227">
        <v>219</v>
      </c>
      <c r="H227" s="109">
        <v>1267.8467772207005</v>
      </c>
      <c r="I227" s="370">
        <v>2073575.4996626468</v>
      </c>
      <c r="J227">
        <v>0</v>
      </c>
      <c r="K227">
        <v>0</v>
      </c>
      <c r="L227">
        <v>0</v>
      </c>
      <c r="M227">
        <v>1</v>
      </c>
      <c r="N227" s="109">
        <v>1635.5095402050219</v>
      </c>
      <c r="O227" s="109">
        <v>-3225231.3159948643</v>
      </c>
      <c r="P227" s="365">
        <v>1</v>
      </c>
      <c r="Q227" s="365">
        <v>0</v>
      </c>
      <c r="R227" s="365">
        <v>0</v>
      </c>
      <c r="S227" s="365">
        <v>0</v>
      </c>
      <c r="T227" s="109">
        <v>-2543.8652161620253</v>
      </c>
      <c r="V227" s="368">
        <f t="shared" si="18"/>
        <v>61318763.361372381</v>
      </c>
      <c r="W227" s="30">
        <f t="shared" si="19"/>
        <v>66617570.177029893</v>
      </c>
      <c r="X227" s="30"/>
      <c r="Y227">
        <f t="shared" si="20"/>
        <v>0</v>
      </c>
      <c r="Z227">
        <f t="shared" si="21"/>
        <v>1</v>
      </c>
      <c r="AA227">
        <f t="shared" si="22"/>
        <v>0</v>
      </c>
      <c r="AB227">
        <f t="shared" si="23"/>
        <v>1</v>
      </c>
    </row>
    <row r="228" spans="6:28" x14ac:dyDescent="0.3">
      <c r="F228" s="28"/>
      <c r="G228">
        <v>220</v>
      </c>
      <c r="H228" s="109">
        <v>1164.7379877780841</v>
      </c>
      <c r="I228" s="370">
        <v>1007561.3112667092</v>
      </c>
      <c r="J228">
        <v>0</v>
      </c>
      <c r="K228">
        <v>0</v>
      </c>
      <c r="L228">
        <v>0</v>
      </c>
      <c r="M228">
        <v>1</v>
      </c>
      <c r="N228" s="109">
        <v>865.05404806860179</v>
      </c>
      <c r="O228" s="109">
        <v>-4033177.5131278476</v>
      </c>
      <c r="P228" s="365">
        <v>1</v>
      </c>
      <c r="Q228" s="365">
        <v>0</v>
      </c>
      <c r="R228" s="365">
        <v>0</v>
      </c>
      <c r="S228" s="365">
        <v>0</v>
      </c>
      <c r="T228" s="109">
        <v>-3462.7337267686707</v>
      </c>
      <c r="V228" s="368">
        <f t="shared" si="18"/>
        <v>57229338.077637494</v>
      </c>
      <c r="W228" s="30">
        <f t="shared" si="19"/>
        <v>62270076.902032055</v>
      </c>
      <c r="X228" s="30"/>
      <c r="Y228">
        <f t="shared" si="20"/>
        <v>0</v>
      </c>
      <c r="Z228">
        <f t="shared" si="21"/>
        <v>1</v>
      </c>
      <c r="AA228">
        <f t="shared" si="22"/>
        <v>0</v>
      </c>
      <c r="AB228">
        <f t="shared" si="23"/>
        <v>1</v>
      </c>
    </row>
    <row r="229" spans="6:28" x14ac:dyDescent="0.3">
      <c r="F229" s="28"/>
      <c r="G229">
        <v>221</v>
      </c>
      <c r="H229" s="109">
        <v>1335.6576611128621</v>
      </c>
      <c r="I229" s="370">
        <v>978973.63577500684</v>
      </c>
      <c r="J229">
        <v>0</v>
      </c>
      <c r="K229">
        <v>0</v>
      </c>
      <c r="L229">
        <v>0</v>
      </c>
      <c r="M229">
        <v>1</v>
      </c>
      <c r="N229" s="109">
        <v>732.95251042047084</v>
      </c>
      <c r="O229" s="109">
        <v>-3895991.9817384221</v>
      </c>
      <c r="P229" s="365">
        <v>1</v>
      </c>
      <c r="Q229" s="365">
        <v>0</v>
      </c>
      <c r="R229" s="365">
        <v>0</v>
      </c>
      <c r="S229" s="365">
        <v>0</v>
      </c>
      <c r="T229" s="109">
        <v>-2916.9090966710019</v>
      </c>
      <c r="V229" s="368">
        <f t="shared" si="18"/>
        <v>65803909.419868097</v>
      </c>
      <c r="W229" s="30">
        <f t="shared" si="19"/>
        <v>70678875.03738153</v>
      </c>
      <c r="X229" s="30"/>
      <c r="Y229">
        <f t="shared" si="20"/>
        <v>0</v>
      </c>
      <c r="Z229">
        <f t="shared" si="21"/>
        <v>1</v>
      </c>
      <c r="AA229">
        <f t="shared" si="22"/>
        <v>0</v>
      </c>
      <c r="AB229">
        <f t="shared" si="23"/>
        <v>1</v>
      </c>
    </row>
    <row r="230" spans="6:28" x14ac:dyDescent="0.3">
      <c r="F230" s="28"/>
      <c r="G230">
        <v>222</v>
      </c>
      <c r="H230" s="109">
        <v>1356.6211452556527</v>
      </c>
      <c r="I230" s="370">
        <v>952683.60555118183</v>
      </c>
      <c r="J230">
        <v>0</v>
      </c>
      <c r="K230">
        <v>0</v>
      </c>
      <c r="L230">
        <v>0</v>
      </c>
      <c r="M230">
        <v>1</v>
      </c>
      <c r="N230" s="109">
        <v>702.24735098880569</v>
      </c>
      <c r="O230" s="109">
        <v>-3404151.0079072574</v>
      </c>
      <c r="P230" s="365">
        <v>1</v>
      </c>
      <c r="Q230" s="365">
        <v>0</v>
      </c>
      <c r="R230" s="365">
        <v>0</v>
      </c>
      <c r="S230" s="365">
        <v>0</v>
      </c>
      <c r="T230" s="109">
        <v>-2509.2864133897542</v>
      </c>
      <c r="V230" s="368">
        <f t="shared" si="18"/>
        <v>66878373.65723145</v>
      </c>
      <c r="W230" s="30">
        <f t="shared" si="19"/>
        <v>71235208.27068989</v>
      </c>
      <c r="X230" s="30"/>
      <c r="Y230">
        <f t="shared" si="20"/>
        <v>0</v>
      </c>
      <c r="Z230">
        <f t="shared" si="21"/>
        <v>1</v>
      </c>
      <c r="AA230">
        <f t="shared" si="22"/>
        <v>0</v>
      </c>
      <c r="AB230">
        <f t="shared" si="23"/>
        <v>1</v>
      </c>
    </row>
    <row r="231" spans="6:28" x14ac:dyDescent="0.3">
      <c r="F231" s="28"/>
      <c r="G231">
        <v>223</v>
      </c>
      <c r="H231" s="109">
        <v>1203.6285958180597</v>
      </c>
      <c r="I231" s="370">
        <v>623529.59337351588</v>
      </c>
      <c r="J231">
        <v>0</v>
      </c>
      <c r="K231">
        <v>0</v>
      </c>
      <c r="L231">
        <v>0</v>
      </c>
      <c r="M231">
        <v>1</v>
      </c>
      <c r="N231" s="109">
        <v>518.04152505177649</v>
      </c>
      <c r="O231" s="109">
        <v>-4352925.5247992296</v>
      </c>
      <c r="P231" s="365">
        <v>1</v>
      </c>
      <c r="Q231" s="365">
        <v>0</v>
      </c>
      <c r="R231" s="365">
        <v>0</v>
      </c>
      <c r="S231" s="365">
        <v>0</v>
      </c>
      <c r="T231" s="109">
        <v>-3616.5022498827511</v>
      </c>
      <c r="V231" s="368">
        <f t="shared" si="18"/>
        <v>59557900.197529472</v>
      </c>
      <c r="W231" s="30">
        <f t="shared" si="19"/>
        <v>64534355.315702215</v>
      </c>
      <c r="X231" s="30"/>
      <c r="Y231">
        <f t="shared" si="20"/>
        <v>0</v>
      </c>
      <c r="Z231">
        <f t="shared" si="21"/>
        <v>1</v>
      </c>
      <c r="AA231">
        <f t="shared" si="22"/>
        <v>0</v>
      </c>
      <c r="AB231">
        <f t="shared" si="23"/>
        <v>1</v>
      </c>
    </row>
    <row r="232" spans="6:28" x14ac:dyDescent="0.3">
      <c r="F232" s="28"/>
      <c r="G232">
        <v>224</v>
      </c>
      <c r="H232" s="109">
        <v>1267.9606117490403</v>
      </c>
      <c r="I232" s="370">
        <v>688609.76397204516</v>
      </c>
      <c r="J232">
        <v>0</v>
      </c>
      <c r="K232">
        <v>0</v>
      </c>
      <c r="L232">
        <v>0</v>
      </c>
      <c r="M232">
        <v>1</v>
      </c>
      <c r="N232" s="109">
        <v>543.08450719314419</v>
      </c>
      <c r="O232" s="109">
        <v>-4239772.7724720836</v>
      </c>
      <c r="P232" s="365">
        <v>1</v>
      </c>
      <c r="Q232" s="365">
        <v>0</v>
      </c>
      <c r="R232" s="365">
        <v>0</v>
      </c>
      <c r="S232" s="365">
        <v>0</v>
      </c>
      <c r="T232" s="109">
        <v>-3343.7732475172784</v>
      </c>
      <c r="V232" s="368">
        <f t="shared" si="18"/>
        <v>62709420.823479965</v>
      </c>
      <c r="W232" s="30">
        <f t="shared" si="19"/>
        <v>67637803.359924093</v>
      </c>
      <c r="X232" s="30"/>
      <c r="Y232">
        <f t="shared" si="20"/>
        <v>0</v>
      </c>
      <c r="Z232">
        <f t="shared" si="21"/>
        <v>1</v>
      </c>
      <c r="AA232">
        <f t="shared" si="22"/>
        <v>0</v>
      </c>
      <c r="AB232">
        <f t="shared" si="23"/>
        <v>1</v>
      </c>
    </row>
    <row r="233" spans="6:28" x14ac:dyDescent="0.3">
      <c r="F233" s="28"/>
      <c r="G233">
        <v>225</v>
      </c>
      <c r="H233" s="109">
        <v>1028.6851208774606</v>
      </c>
      <c r="I233" s="370">
        <v>829547.95357854664</v>
      </c>
      <c r="J233">
        <v>0</v>
      </c>
      <c r="K233">
        <v>0</v>
      </c>
      <c r="L233">
        <v>0</v>
      </c>
      <c r="M233">
        <v>1</v>
      </c>
      <c r="N233" s="109">
        <v>806.41581835163379</v>
      </c>
      <c r="O233" s="109">
        <v>-3547124.8115496491</v>
      </c>
      <c r="P233" s="365">
        <v>1</v>
      </c>
      <c r="Q233" s="365">
        <v>0</v>
      </c>
      <c r="R233" s="365">
        <v>0</v>
      </c>
      <c r="S233" s="365">
        <v>0</v>
      </c>
      <c r="T233" s="109">
        <v>-3448.2124214297751</v>
      </c>
      <c r="V233" s="368">
        <f t="shared" si="18"/>
        <v>50604708.09029448</v>
      </c>
      <c r="W233" s="30">
        <f t="shared" si="19"/>
        <v>54981380.855422676</v>
      </c>
      <c r="X233" s="30"/>
      <c r="Y233">
        <f t="shared" si="20"/>
        <v>0</v>
      </c>
      <c r="Z233">
        <f t="shared" si="21"/>
        <v>1</v>
      </c>
      <c r="AA233">
        <f t="shared" si="22"/>
        <v>0</v>
      </c>
      <c r="AB233">
        <f t="shared" si="23"/>
        <v>1</v>
      </c>
    </row>
    <row r="234" spans="6:28" x14ac:dyDescent="0.3">
      <c r="F234" s="28"/>
      <c r="G234">
        <v>226</v>
      </c>
      <c r="H234" s="109">
        <v>1423.930196551315</v>
      </c>
      <c r="I234" s="370">
        <v>1275878.4204524469</v>
      </c>
      <c r="J234">
        <v>0</v>
      </c>
      <c r="K234">
        <v>0</v>
      </c>
      <c r="L234">
        <v>0</v>
      </c>
      <c r="M234">
        <v>1</v>
      </c>
      <c r="N234" s="109">
        <v>896.02595937817614</v>
      </c>
      <c r="O234" s="109">
        <v>-3648018.9457758376</v>
      </c>
      <c r="P234" s="365">
        <v>1</v>
      </c>
      <c r="Q234" s="365">
        <v>0</v>
      </c>
      <c r="R234" s="365">
        <v>0</v>
      </c>
      <c r="S234" s="365">
        <v>0</v>
      </c>
      <c r="T234" s="109">
        <v>-2561.9366417055767</v>
      </c>
      <c r="V234" s="368">
        <f t="shared" si="18"/>
        <v>69920631.407113299</v>
      </c>
      <c r="W234" s="30">
        <f t="shared" si="19"/>
        <v>74844528.773341581</v>
      </c>
      <c r="X234" s="30"/>
      <c r="Y234">
        <f t="shared" si="20"/>
        <v>0</v>
      </c>
      <c r="Z234">
        <f t="shared" si="21"/>
        <v>1</v>
      </c>
      <c r="AA234">
        <f t="shared" si="22"/>
        <v>0</v>
      </c>
      <c r="AB234">
        <f t="shared" si="23"/>
        <v>1</v>
      </c>
    </row>
    <row r="235" spans="6:28" x14ac:dyDescent="0.3">
      <c r="F235" s="28"/>
      <c r="G235">
        <v>227</v>
      </c>
      <c r="H235" s="109">
        <v>1236.7474178780831</v>
      </c>
      <c r="I235" s="370">
        <v>1060978.9579002159</v>
      </c>
      <c r="J235">
        <v>0</v>
      </c>
      <c r="K235">
        <v>0</v>
      </c>
      <c r="L235">
        <v>0</v>
      </c>
      <c r="M235">
        <v>1</v>
      </c>
      <c r="N235" s="109">
        <v>857.87845000765208</v>
      </c>
      <c r="O235" s="109">
        <v>-3676461.6961221378</v>
      </c>
      <c r="P235" s="365">
        <v>1</v>
      </c>
      <c r="Q235" s="365">
        <v>0</v>
      </c>
      <c r="R235" s="365">
        <v>0</v>
      </c>
      <c r="S235" s="365">
        <v>0</v>
      </c>
      <c r="T235" s="109">
        <v>-2972.6859688374611</v>
      </c>
      <c r="V235" s="368">
        <f t="shared" si="18"/>
        <v>60776391.936003938</v>
      </c>
      <c r="W235" s="30">
        <f t="shared" si="19"/>
        <v>65513832.590026297</v>
      </c>
      <c r="X235" s="30"/>
      <c r="Y235">
        <f t="shared" si="20"/>
        <v>0</v>
      </c>
      <c r="Z235">
        <f t="shared" si="21"/>
        <v>1</v>
      </c>
      <c r="AA235">
        <f t="shared" si="22"/>
        <v>0</v>
      </c>
      <c r="AB235">
        <f t="shared" si="23"/>
        <v>1</v>
      </c>
    </row>
    <row r="236" spans="6:28" x14ac:dyDescent="0.3">
      <c r="F236" s="28"/>
      <c r="G236">
        <v>228</v>
      </c>
      <c r="H236" s="109">
        <v>1095.1107228666951</v>
      </c>
      <c r="I236" s="370">
        <v>859883.86321875977</v>
      </c>
      <c r="J236">
        <v>0</v>
      </c>
      <c r="K236">
        <v>0</v>
      </c>
      <c r="L236">
        <v>0</v>
      </c>
      <c r="M236">
        <v>1</v>
      </c>
      <c r="N236" s="109">
        <v>785.20266970614909</v>
      </c>
      <c r="O236" s="109">
        <v>-2521503.588577494</v>
      </c>
      <c r="P236" s="365">
        <v>1</v>
      </c>
      <c r="Q236" s="365">
        <v>0</v>
      </c>
      <c r="R236" s="365">
        <v>0</v>
      </c>
      <c r="S236" s="365">
        <v>0</v>
      </c>
      <c r="T236" s="109">
        <v>-2302.5101808672821</v>
      </c>
      <c r="V236" s="368">
        <f t="shared" si="18"/>
        <v>53895652.280115992</v>
      </c>
      <c r="W236" s="30">
        <f t="shared" si="19"/>
        <v>57277039.731912248</v>
      </c>
      <c r="X236" s="30"/>
      <c r="Y236">
        <f t="shared" si="20"/>
        <v>0</v>
      </c>
      <c r="Z236">
        <f t="shared" si="21"/>
        <v>1</v>
      </c>
      <c r="AA236">
        <f t="shared" si="22"/>
        <v>0</v>
      </c>
      <c r="AB236">
        <f t="shared" si="23"/>
        <v>1</v>
      </c>
    </row>
    <row r="237" spans="6:28" x14ac:dyDescent="0.3">
      <c r="F237" s="28"/>
      <c r="G237">
        <v>229</v>
      </c>
      <c r="H237" s="109">
        <v>1266.6284422752287</v>
      </c>
      <c r="I237" s="370">
        <v>1395807.2648334627</v>
      </c>
      <c r="J237">
        <v>0</v>
      </c>
      <c r="K237">
        <v>0</v>
      </c>
      <c r="L237">
        <v>0</v>
      </c>
      <c r="M237">
        <v>1</v>
      </c>
      <c r="N237" s="109">
        <v>1101.9863586247848</v>
      </c>
      <c r="O237" s="109">
        <v>-3305189.4389193882</v>
      </c>
      <c r="P237" s="365">
        <v>1</v>
      </c>
      <c r="Q237" s="365">
        <v>0</v>
      </c>
      <c r="R237" s="365">
        <v>0</v>
      </c>
      <c r="S237" s="365">
        <v>0</v>
      </c>
      <c r="T237" s="109">
        <v>-2609.4388287873262</v>
      </c>
      <c r="V237" s="368">
        <f t="shared" si="18"/>
        <v>61935614.848927975</v>
      </c>
      <c r="W237" s="30">
        <f t="shared" si="19"/>
        <v>66636611.552680828</v>
      </c>
      <c r="X237" s="30"/>
      <c r="Y237">
        <f t="shared" si="20"/>
        <v>0</v>
      </c>
      <c r="Z237">
        <f t="shared" si="21"/>
        <v>1</v>
      </c>
      <c r="AA237">
        <f t="shared" si="22"/>
        <v>0</v>
      </c>
      <c r="AB237">
        <f t="shared" si="23"/>
        <v>1</v>
      </c>
    </row>
    <row r="238" spans="6:28" x14ac:dyDescent="0.3">
      <c r="F238" s="28"/>
      <c r="G238">
        <v>230</v>
      </c>
      <c r="H238" s="109">
        <v>1036.4409066254157</v>
      </c>
      <c r="I238" s="370">
        <v>887767.2193612936</v>
      </c>
      <c r="J238">
        <v>0</v>
      </c>
      <c r="K238">
        <v>0</v>
      </c>
      <c r="L238">
        <v>0</v>
      </c>
      <c r="M238">
        <v>1</v>
      </c>
      <c r="N238" s="109">
        <v>856.55362856316242</v>
      </c>
      <c r="O238" s="109">
        <v>-3211995.1901806616</v>
      </c>
      <c r="P238" s="365">
        <v>1</v>
      </c>
      <c r="Q238" s="365">
        <v>0</v>
      </c>
      <c r="R238" s="365">
        <v>0</v>
      </c>
      <c r="S238" s="365">
        <v>0</v>
      </c>
      <c r="T238" s="109">
        <v>-3099.0625414802562</v>
      </c>
      <c r="V238" s="368">
        <f t="shared" si="18"/>
        <v>50934278.111909494</v>
      </c>
      <c r="W238" s="30">
        <f t="shared" si="19"/>
        <v>55034040.521451443</v>
      </c>
      <c r="X238" s="30"/>
      <c r="Y238">
        <f t="shared" si="20"/>
        <v>0</v>
      </c>
      <c r="Z238">
        <f t="shared" si="21"/>
        <v>1</v>
      </c>
      <c r="AA238">
        <f t="shared" si="22"/>
        <v>0</v>
      </c>
      <c r="AB238">
        <f t="shared" si="23"/>
        <v>1</v>
      </c>
    </row>
    <row r="239" spans="6:28" x14ac:dyDescent="0.3">
      <c r="F239" s="28"/>
      <c r="G239">
        <v>231</v>
      </c>
      <c r="H239" s="109">
        <v>1194.2206278364101</v>
      </c>
      <c r="I239" s="370">
        <v>2589777.9846303482</v>
      </c>
      <c r="J239">
        <v>0</v>
      </c>
      <c r="K239">
        <v>0</v>
      </c>
      <c r="L239">
        <v>0</v>
      </c>
      <c r="M239">
        <v>1</v>
      </c>
      <c r="N239" s="109">
        <v>2168.5925734864363</v>
      </c>
      <c r="O239" s="109">
        <v>-2699195.9396933038</v>
      </c>
      <c r="P239" s="365">
        <v>1</v>
      </c>
      <c r="Q239" s="365">
        <v>0</v>
      </c>
      <c r="R239" s="365">
        <v>0</v>
      </c>
      <c r="S239" s="365">
        <v>0</v>
      </c>
      <c r="T239" s="109">
        <v>-2260.2154717286062</v>
      </c>
      <c r="V239" s="368">
        <f t="shared" si="18"/>
        <v>57121253.407190159</v>
      </c>
      <c r="W239" s="30">
        <f t="shared" si="19"/>
        <v>62410227.331513807</v>
      </c>
      <c r="X239" s="30"/>
      <c r="Y239">
        <f t="shared" si="20"/>
        <v>0</v>
      </c>
      <c r="Z239">
        <f t="shared" si="21"/>
        <v>1</v>
      </c>
      <c r="AA239">
        <f t="shared" si="22"/>
        <v>0</v>
      </c>
      <c r="AB239">
        <f t="shared" si="23"/>
        <v>1</v>
      </c>
    </row>
    <row r="240" spans="6:28" x14ac:dyDescent="0.3">
      <c r="F240" s="28"/>
      <c r="G240">
        <v>232</v>
      </c>
      <c r="H240" s="109">
        <v>1074.7709800702069</v>
      </c>
      <c r="I240" s="370">
        <v>652104.08388253115</v>
      </c>
      <c r="J240">
        <v>0</v>
      </c>
      <c r="K240">
        <v>0</v>
      </c>
      <c r="L240">
        <v>0</v>
      </c>
      <c r="M240">
        <v>1</v>
      </c>
      <c r="N240" s="109">
        <v>606.7377106143432</v>
      </c>
      <c r="O240" s="109">
        <v>-2938351.0051429295</v>
      </c>
      <c r="P240" s="365">
        <v>1</v>
      </c>
      <c r="Q240" s="365">
        <v>0</v>
      </c>
      <c r="R240" s="365">
        <v>0</v>
      </c>
      <c r="S240" s="365">
        <v>0</v>
      </c>
      <c r="T240" s="109">
        <v>-2733.9322140526988</v>
      </c>
      <c r="V240" s="368">
        <f t="shared" si="18"/>
        <v>53086444.919627808</v>
      </c>
      <c r="W240" s="30">
        <f t="shared" si="19"/>
        <v>56676900.008653268</v>
      </c>
      <c r="X240" s="30"/>
      <c r="Y240">
        <f t="shared" si="20"/>
        <v>0</v>
      </c>
      <c r="Z240">
        <f t="shared" si="21"/>
        <v>1</v>
      </c>
      <c r="AA240">
        <f t="shared" si="22"/>
        <v>0</v>
      </c>
      <c r="AB240">
        <f t="shared" si="23"/>
        <v>1</v>
      </c>
    </row>
    <row r="241" spans="6:28" x14ac:dyDescent="0.3">
      <c r="F241" s="28"/>
      <c r="G241">
        <v>233</v>
      </c>
      <c r="H241" s="109">
        <v>1056.9806051656196</v>
      </c>
      <c r="I241" s="370">
        <v>1048682.369615301</v>
      </c>
      <c r="J241">
        <v>0</v>
      </c>
      <c r="K241">
        <v>0</v>
      </c>
      <c r="L241">
        <v>0</v>
      </c>
      <c r="M241">
        <v>1</v>
      </c>
      <c r="N241" s="109">
        <v>992.14911275593522</v>
      </c>
      <c r="O241" s="109">
        <v>-3256916.9877507025</v>
      </c>
      <c r="P241" s="365">
        <v>1</v>
      </c>
      <c r="Q241" s="365">
        <v>0</v>
      </c>
      <c r="R241" s="365">
        <v>0</v>
      </c>
      <c r="S241" s="365">
        <v>0</v>
      </c>
      <c r="T241" s="109">
        <v>-3081.3403498925809</v>
      </c>
      <c r="V241" s="368">
        <f t="shared" si="18"/>
        <v>51800347.888665684</v>
      </c>
      <c r="W241" s="30">
        <f t="shared" si="19"/>
        <v>56105947.246031687</v>
      </c>
      <c r="X241" s="30"/>
      <c r="Y241">
        <f t="shared" si="20"/>
        <v>0</v>
      </c>
      <c r="Z241">
        <f t="shared" si="21"/>
        <v>1</v>
      </c>
      <c r="AA241">
        <f t="shared" si="22"/>
        <v>0</v>
      </c>
      <c r="AB241">
        <f t="shared" si="23"/>
        <v>1</v>
      </c>
    </row>
    <row r="242" spans="6:28" x14ac:dyDescent="0.3">
      <c r="F242" s="28"/>
      <c r="G242">
        <v>234</v>
      </c>
      <c r="H242" s="109">
        <v>1198.2684543817086</v>
      </c>
      <c r="I242" s="370">
        <v>1895686.2883388246</v>
      </c>
      <c r="J242">
        <v>0</v>
      </c>
      <c r="K242">
        <v>0</v>
      </c>
      <c r="L242">
        <v>0</v>
      </c>
      <c r="M242">
        <v>1</v>
      </c>
      <c r="N242" s="109">
        <v>1582.0213587421651</v>
      </c>
      <c r="O242" s="109">
        <v>-2945659.1839439305</v>
      </c>
      <c r="P242" s="365">
        <v>1</v>
      </c>
      <c r="Q242" s="365">
        <v>0</v>
      </c>
      <c r="R242" s="365">
        <v>0</v>
      </c>
      <c r="S242" s="365">
        <v>0</v>
      </c>
      <c r="T242" s="109">
        <v>-2458.263148940071</v>
      </c>
      <c r="V242" s="368">
        <f t="shared" si="18"/>
        <v>58017736.430746607</v>
      </c>
      <c r="W242" s="30">
        <f t="shared" si="19"/>
        <v>62859081.90302936</v>
      </c>
      <c r="X242" s="30"/>
      <c r="Y242">
        <f t="shared" si="20"/>
        <v>0</v>
      </c>
      <c r="Z242">
        <f t="shared" si="21"/>
        <v>1</v>
      </c>
      <c r="AA242">
        <f t="shared" si="22"/>
        <v>0</v>
      </c>
      <c r="AB242">
        <f t="shared" si="23"/>
        <v>1</v>
      </c>
    </row>
    <row r="243" spans="6:28" x14ac:dyDescent="0.3">
      <c r="F243" s="28"/>
      <c r="G243">
        <v>235</v>
      </c>
      <c r="H243" s="109">
        <v>1256.9517071425871</v>
      </c>
      <c r="I243" s="370">
        <v>1698291.4402031461</v>
      </c>
      <c r="J243">
        <v>0</v>
      </c>
      <c r="K243">
        <v>0</v>
      </c>
      <c r="L243">
        <v>0</v>
      </c>
      <c r="M243">
        <v>1</v>
      </c>
      <c r="N243" s="109">
        <v>1351.1190848086369</v>
      </c>
      <c r="O243" s="109">
        <v>-3130902.4977157442</v>
      </c>
      <c r="P243" s="365">
        <v>1</v>
      </c>
      <c r="Q243" s="365">
        <v>0</v>
      </c>
      <c r="R243" s="365">
        <v>0</v>
      </c>
      <c r="S243" s="365">
        <v>0</v>
      </c>
      <c r="T243" s="109">
        <v>-2490.8693627006455</v>
      </c>
      <c r="V243" s="368">
        <f t="shared" si="18"/>
        <v>61149293.916926213</v>
      </c>
      <c r="W243" s="30">
        <f t="shared" si="19"/>
        <v>65978487.854845099</v>
      </c>
      <c r="X243" s="30"/>
      <c r="Y243">
        <f t="shared" si="20"/>
        <v>0</v>
      </c>
      <c r="Z243">
        <f t="shared" si="21"/>
        <v>1</v>
      </c>
      <c r="AA243">
        <f t="shared" si="22"/>
        <v>0</v>
      </c>
      <c r="AB243">
        <f t="shared" si="23"/>
        <v>1</v>
      </c>
    </row>
    <row r="244" spans="6:28" x14ac:dyDescent="0.3">
      <c r="F244" s="28"/>
      <c r="G244">
        <v>236</v>
      </c>
      <c r="H244" s="109">
        <v>1170.3594480568863</v>
      </c>
      <c r="I244" s="370">
        <v>1228166.2932264619</v>
      </c>
      <c r="J244">
        <v>0</v>
      </c>
      <c r="K244">
        <v>0</v>
      </c>
      <c r="L244">
        <v>0</v>
      </c>
      <c r="M244">
        <v>1</v>
      </c>
      <c r="N244" s="109">
        <v>1049.3923856175559</v>
      </c>
      <c r="O244" s="109">
        <v>-2912000.7882254347</v>
      </c>
      <c r="P244" s="365">
        <v>1</v>
      </c>
      <c r="Q244" s="365">
        <v>0</v>
      </c>
      <c r="R244" s="365">
        <v>0</v>
      </c>
      <c r="S244" s="365">
        <v>0</v>
      </c>
      <c r="T244" s="109">
        <v>-2488.1251593774414</v>
      </c>
      <c r="V244" s="368">
        <f t="shared" si="18"/>
        <v>57289806.109617859</v>
      </c>
      <c r="W244" s="30">
        <f t="shared" si="19"/>
        <v>61429973.191069752</v>
      </c>
      <c r="X244" s="30"/>
      <c r="Y244">
        <f t="shared" si="20"/>
        <v>0</v>
      </c>
      <c r="Z244">
        <f t="shared" si="21"/>
        <v>1</v>
      </c>
      <c r="AA244">
        <f t="shared" si="22"/>
        <v>0</v>
      </c>
      <c r="AB244">
        <f t="shared" si="23"/>
        <v>1</v>
      </c>
    </row>
    <row r="245" spans="6:28" x14ac:dyDescent="0.3">
      <c r="F245" s="28"/>
      <c r="G245">
        <v>237</v>
      </c>
      <c r="H245" s="109">
        <v>1401.6129369755654</v>
      </c>
      <c r="I245" s="370">
        <v>574053.28824001481</v>
      </c>
      <c r="J245">
        <v>0</v>
      </c>
      <c r="K245">
        <v>0</v>
      </c>
      <c r="L245">
        <v>0</v>
      </c>
      <c r="M245">
        <v>1</v>
      </c>
      <c r="N245" s="109">
        <v>409.56620269125153</v>
      </c>
      <c r="O245" s="109">
        <v>-4132831.7742405706</v>
      </c>
      <c r="P245" s="365">
        <v>1</v>
      </c>
      <c r="Q245" s="365">
        <v>0</v>
      </c>
      <c r="R245" s="365">
        <v>0</v>
      </c>
      <c r="S245" s="365">
        <v>0</v>
      </c>
      <c r="T245" s="109">
        <v>-2948.625590713008</v>
      </c>
      <c r="V245" s="368">
        <f t="shared" si="18"/>
        <v>69506593.560538247</v>
      </c>
      <c r="W245" s="30">
        <f t="shared" si="19"/>
        <v>74213478.623018831</v>
      </c>
      <c r="X245" s="30"/>
      <c r="Y245">
        <f t="shared" si="20"/>
        <v>0</v>
      </c>
      <c r="Z245">
        <f t="shared" si="21"/>
        <v>1</v>
      </c>
      <c r="AA245">
        <f t="shared" si="22"/>
        <v>0</v>
      </c>
      <c r="AB245">
        <f t="shared" si="23"/>
        <v>1</v>
      </c>
    </row>
    <row r="246" spans="6:28" x14ac:dyDescent="0.3">
      <c r="F246" s="28"/>
      <c r="G246">
        <v>238</v>
      </c>
      <c r="H246" s="109">
        <v>998.49251875370101</v>
      </c>
      <c r="I246" s="370">
        <v>1908698.7655204262</v>
      </c>
      <c r="J246">
        <v>0</v>
      </c>
      <c r="K246">
        <v>0</v>
      </c>
      <c r="L246">
        <v>0</v>
      </c>
      <c r="M246">
        <v>1</v>
      </c>
      <c r="N246" s="109">
        <v>1911.5804371802676</v>
      </c>
      <c r="O246" s="109">
        <v>-2077145.1707293189</v>
      </c>
      <c r="P246" s="365">
        <v>1</v>
      </c>
      <c r="Q246" s="365">
        <v>0</v>
      </c>
      <c r="R246" s="365">
        <v>0</v>
      </c>
      <c r="S246" s="365">
        <v>0</v>
      </c>
      <c r="T246" s="109">
        <v>-2080.2811555583521</v>
      </c>
      <c r="V246" s="368">
        <f t="shared" si="18"/>
        <v>48015927.172164626</v>
      </c>
      <c r="W246" s="30">
        <f t="shared" si="19"/>
        <v>52001771.108414367</v>
      </c>
      <c r="X246" s="30"/>
      <c r="Y246">
        <f t="shared" si="20"/>
        <v>0</v>
      </c>
      <c r="Z246">
        <f t="shared" si="21"/>
        <v>1</v>
      </c>
      <c r="AA246">
        <f t="shared" si="22"/>
        <v>0</v>
      </c>
      <c r="AB246">
        <f t="shared" si="23"/>
        <v>1</v>
      </c>
    </row>
    <row r="247" spans="6:28" x14ac:dyDescent="0.3">
      <c r="F247" s="28"/>
      <c r="G247">
        <v>239</v>
      </c>
      <c r="H247" s="109">
        <v>1135.0688282607589</v>
      </c>
      <c r="I247" s="370">
        <v>727885.48665168893</v>
      </c>
      <c r="J247">
        <v>0</v>
      </c>
      <c r="K247">
        <v>0</v>
      </c>
      <c r="L247">
        <v>0</v>
      </c>
      <c r="M247">
        <v>1</v>
      </c>
      <c r="N247" s="109">
        <v>641.26991115332794</v>
      </c>
      <c r="O247" s="109">
        <v>-3876829.5925271637</v>
      </c>
      <c r="P247" s="365">
        <v>1</v>
      </c>
      <c r="Q247" s="365">
        <v>0</v>
      </c>
      <c r="R247" s="365">
        <v>0</v>
      </c>
      <c r="S247" s="365">
        <v>0</v>
      </c>
      <c r="T247" s="109">
        <v>-3415.5017704675624</v>
      </c>
      <c r="V247" s="368">
        <f t="shared" si="18"/>
        <v>56025555.926386252</v>
      </c>
      <c r="W247" s="30">
        <f t="shared" si="19"/>
        <v>60630271.005565107</v>
      </c>
      <c r="X247" s="30"/>
      <c r="Y247">
        <f t="shared" si="20"/>
        <v>0</v>
      </c>
      <c r="Z247">
        <f t="shared" si="21"/>
        <v>1</v>
      </c>
      <c r="AA247">
        <f t="shared" si="22"/>
        <v>0</v>
      </c>
      <c r="AB247">
        <f t="shared" si="23"/>
        <v>1</v>
      </c>
    </row>
    <row r="248" spans="6:28" x14ac:dyDescent="0.3">
      <c r="F248" s="28"/>
      <c r="G248">
        <v>240</v>
      </c>
      <c r="H248" s="109">
        <v>1284.2046211223205</v>
      </c>
      <c r="I248" s="370">
        <v>275325.4644057019</v>
      </c>
      <c r="J248">
        <v>0</v>
      </c>
      <c r="K248">
        <v>0</v>
      </c>
      <c r="L248">
        <v>0</v>
      </c>
      <c r="M248">
        <v>1</v>
      </c>
      <c r="N248" s="109">
        <v>214.39376550839958</v>
      </c>
      <c r="O248" s="109">
        <v>-5176824.3810809236</v>
      </c>
      <c r="P248" s="365">
        <v>1</v>
      </c>
      <c r="Q248" s="365">
        <v>0</v>
      </c>
      <c r="R248" s="365">
        <v>0</v>
      </c>
      <c r="S248" s="365">
        <v>0</v>
      </c>
      <c r="T248" s="109">
        <v>-4031.1522758395608</v>
      </c>
      <c r="V248" s="368">
        <f t="shared" si="18"/>
        <v>63934905.591710329</v>
      </c>
      <c r="W248" s="30">
        <f t="shared" si="19"/>
        <v>69387055.437196955</v>
      </c>
      <c r="X248" s="30"/>
      <c r="Y248">
        <f t="shared" si="20"/>
        <v>0</v>
      </c>
      <c r="Z248">
        <f t="shared" si="21"/>
        <v>1</v>
      </c>
      <c r="AA248">
        <f t="shared" si="22"/>
        <v>0</v>
      </c>
      <c r="AB248">
        <f t="shared" si="23"/>
        <v>1</v>
      </c>
    </row>
    <row r="249" spans="6:28" x14ac:dyDescent="0.3">
      <c r="F249" s="28"/>
      <c r="G249">
        <v>241</v>
      </c>
      <c r="H249" s="109">
        <v>1090.5602156964378</v>
      </c>
      <c r="I249" s="370">
        <v>2151743.8254753002</v>
      </c>
      <c r="J249">
        <v>0</v>
      </c>
      <c r="K249">
        <v>0</v>
      </c>
      <c r="L249">
        <v>0</v>
      </c>
      <c r="M249">
        <v>1</v>
      </c>
      <c r="N249" s="109">
        <v>1973.0628300072221</v>
      </c>
      <c r="O249" s="109">
        <v>-2466209.0236553117</v>
      </c>
      <c r="P249" s="365">
        <v>1</v>
      </c>
      <c r="Q249" s="365">
        <v>0</v>
      </c>
      <c r="R249" s="365">
        <v>0</v>
      </c>
      <c r="S249" s="365">
        <v>0</v>
      </c>
      <c r="T249" s="109">
        <v>-2261.4148106259104</v>
      </c>
      <c r="V249" s="368">
        <f t="shared" si="18"/>
        <v>52376266.959346592</v>
      </c>
      <c r="W249" s="30">
        <f t="shared" si="19"/>
        <v>56994219.808477201</v>
      </c>
      <c r="X249" s="30"/>
      <c r="Y249">
        <f t="shared" si="20"/>
        <v>0</v>
      </c>
      <c r="Z249">
        <f t="shared" si="21"/>
        <v>1</v>
      </c>
      <c r="AA249">
        <f t="shared" si="22"/>
        <v>0</v>
      </c>
      <c r="AB249">
        <f t="shared" si="23"/>
        <v>1</v>
      </c>
    </row>
    <row r="250" spans="6:28" x14ac:dyDescent="0.3">
      <c r="F250" s="28"/>
      <c r="G250">
        <v>242</v>
      </c>
      <c r="H250" s="109">
        <v>1166.8483049916249</v>
      </c>
      <c r="I250" s="370">
        <v>953189.05340785324</v>
      </c>
      <c r="J250">
        <v>0</v>
      </c>
      <c r="K250">
        <v>0</v>
      </c>
      <c r="L250">
        <v>0</v>
      </c>
      <c r="M250">
        <v>1</v>
      </c>
      <c r="N250" s="109">
        <v>816.89200672464005</v>
      </c>
      <c r="O250" s="109">
        <v>-3852574.2308850498</v>
      </c>
      <c r="P250" s="365">
        <v>1</v>
      </c>
      <c r="Q250" s="365">
        <v>0</v>
      </c>
      <c r="R250" s="365">
        <v>0</v>
      </c>
      <c r="S250" s="365">
        <v>0</v>
      </c>
      <c r="T250" s="109">
        <v>-3301.6924431429857</v>
      </c>
      <c r="V250" s="368">
        <f t="shared" si="18"/>
        <v>57389226.196173392</v>
      </c>
      <c r="W250" s="30">
        <f t="shared" si="19"/>
        <v>62194989.480466299</v>
      </c>
      <c r="X250" s="30"/>
      <c r="Y250">
        <f t="shared" si="20"/>
        <v>0</v>
      </c>
      <c r="Z250">
        <f t="shared" si="21"/>
        <v>1</v>
      </c>
      <c r="AA250">
        <f t="shared" si="22"/>
        <v>0</v>
      </c>
      <c r="AB250">
        <f t="shared" si="23"/>
        <v>1</v>
      </c>
    </row>
    <row r="251" spans="6:28" x14ac:dyDescent="0.3">
      <c r="F251" s="28"/>
      <c r="G251">
        <v>243</v>
      </c>
      <c r="H251" s="109">
        <v>1319.8650547106226</v>
      </c>
      <c r="I251" s="370">
        <v>1749815.1049910793</v>
      </c>
      <c r="J251">
        <v>0</v>
      </c>
      <c r="K251">
        <v>0</v>
      </c>
      <c r="L251">
        <v>0</v>
      </c>
      <c r="M251">
        <v>1</v>
      </c>
      <c r="N251" s="109">
        <v>1325.7530372108549</v>
      </c>
      <c r="O251" s="109">
        <v>-3541378.8688002527</v>
      </c>
      <c r="P251" s="365">
        <v>1</v>
      </c>
      <c r="Q251" s="365">
        <v>0</v>
      </c>
      <c r="R251" s="365">
        <v>0</v>
      </c>
      <c r="S251" s="365">
        <v>0</v>
      </c>
      <c r="T251" s="109">
        <v>-2683.1370799317751</v>
      </c>
      <c r="V251" s="368">
        <f t="shared" si="18"/>
        <v>64243437.630540051</v>
      </c>
      <c r="W251" s="30">
        <f t="shared" si="19"/>
        <v>69534631.604331374</v>
      </c>
      <c r="X251" s="30"/>
      <c r="Y251">
        <f t="shared" si="20"/>
        <v>0</v>
      </c>
      <c r="Z251">
        <f t="shared" si="21"/>
        <v>1</v>
      </c>
      <c r="AA251">
        <f t="shared" si="22"/>
        <v>0</v>
      </c>
      <c r="AB251">
        <f t="shared" si="23"/>
        <v>1</v>
      </c>
    </row>
    <row r="252" spans="6:28" x14ac:dyDescent="0.3">
      <c r="F252" s="28"/>
      <c r="G252">
        <v>244</v>
      </c>
      <c r="H252" s="109">
        <v>1058.2425971357152</v>
      </c>
      <c r="I252" s="370">
        <v>1935065.6587795671</v>
      </c>
      <c r="J252">
        <v>0</v>
      </c>
      <c r="K252">
        <v>0</v>
      </c>
      <c r="L252">
        <v>0</v>
      </c>
      <c r="M252">
        <v>1</v>
      </c>
      <c r="N252" s="109">
        <v>1828.5652685094126</v>
      </c>
      <c r="O252" s="109">
        <v>-2256455.7331313659</v>
      </c>
      <c r="P252" s="365">
        <v>1</v>
      </c>
      <c r="Q252" s="365">
        <v>0</v>
      </c>
      <c r="R252" s="365">
        <v>0</v>
      </c>
      <c r="S252" s="365">
        <v>0</v>
      </c>
      <c r="T252" s="109">
        <v>-2132.2669671763219</v>
      </c>
      <c r="V252" s="368">
        <f t="shared" si="18"/>
        <v>50977064.19800619</v>
      </c>
      <c r="W252" s="30">
        <f t="shared" si="19"/>
        <v>55168585.589917123</v>
      </c>
      <c r="X252" s="30"/>
      <c r="Y252">
        <f t="shared" si="20"/>
        <v>0</v>
      </c>
      <c r="Z252">
        <f t="shared" si="21"/>
        <v>1</v>
      </c>
      <c r="AA252">
        <f t="shared" si="22"/>
        <v>0</v>
      </c>
      <c r="AB252">
        <f t="shared" si="23"/>
        <v>1</v>
      </c>
    </row>
    <row r="253" spans="6:28" x14ac:dyDescent="0.3">
      <c r="F253" s="28"/>
      <c r="G253">
        <v>245</v>
      </c>
      <c r="H253" s="109">
        <v>1395.3616386437352</v>
      </c>
      <c r="I253" s="370">
        <v>1372503.9686843569</v>
      </c>
      <c r="J253">
        <v>0</v>
      </c>
      <c r="K253">
        <v>0</v>
      </c>
      <c r="L253">
        <v>0</v>
      </c>
      <c r="M253">
        <v>1</v>
      </c>
      <c r="N253" s="109">
        <v>983.6188201493087</v>
      </c>
      <c r="O253" s="109">
        <v>-3824011.4713688376</v>
      </c>
      <c r="P253" s="365">
        <v>1</v>
      </c>
      <c r="Q253" s="365">
        <v>0</v>
      </c>
      <c r="R253" s="365">
        <v>0</v>
      </c>
      <c r="S253" s="365">
        <v>0</v>
      </c>
      <c r="T253" s="109">
        <v>-2740.5164119931687</v>
      </c>
      <c r="V253" s="368">
        <f t="shared" si="18"/>
        <v>68395577.963502407</v>
      </c>
      <c r="W253" s="30">
        <f t="shared" si="19"/>
        <v>73592093.403555602</v>
      </c>
      <c r="X253" s="30"/>
      <c r="Y253">
        <f t="shared" si="20"/>
        <v>0</v>
      </c>
      <c r="Z253">
        <f t="shared" si="21"/>
        <v>1</v>
      </c>
      <c r="AA253">
        <f t="shared" si="22"/>
        <v>0</v>
      </c>
      <c r="AB253">
        <f t="shared" si="23"/>
        <v>1</v>
      </c>
    </row>
    <row r="254" spans="6:28" x14ac:dyDescent="0.3">
      <c r="F254" s="28"/>
      <c r="G254">
        <v>246</v>
      </c>
      <c r="H254" s="109">
        <v>1257.4429318413604</v>
      </c>
      <c r="I254" s="370">
        <v>1356717.3332682168</v>
      </c>
      <c r="J254">
        <v>0</v>
      </c>
      <c r="K254">
        <v>0</v>
      </c>
      <c r="L254">
        <v>0</v>
      </c>
      <c r="M254">
        <v>1</v>
      </c>
      <c r="N254" s="109">
        <v>1078.9494289665154</v>
      </c>
      <c r="O254" s="109">
        <v>-4230736.2303287536</v>
      </c>
      <c r="P254" s="365">
        <v>1</v>
      </c>
      <c r="Q254" s="365">
        <v>0</v>
      </c>
      <c r="R254" s="365">
        <v>0</v>
      </c>
      <c r="S254" s="365">
        <v>0</v>
      </c>
      <c r="T254" s="109">
        <v>-3364.555259882367</v>
      </c>
      <c r="V254" s="368">
        <f t="shared" si="18"/>
        <v>61515429.258799799</v>
      </c>
      <c r="W254" s="30">
        <f t="shared" si="19"/>
        <v>67102882.82239677</v>
      </c>
      <c r="X254" s="30"/>
      <c r="Y254">
        <f t="shared" si="20"/>
        <v>0</v>
      </c>
      <c r="Z254">
        <f t="shared" si="21"/>
        <v>1</v>
      </c>
      <c r="AA254">
        <f t="shared" si="22"/>
        <v>0</v>
      </c>
      <c r="AB254">
        <f t="shared" si="23"/>
        <v>1</v>
      </c>
    </row>
    <row r="255" spans="6:28" x14ac:dyDescent="0.3">
      <c r="F255" s="28"/>
      <c r="G255">
        <v>247</v>
      </c>
      <c r="H255" s="109">
        <v>1301.753977982291</v>
      </c>
      <c r="I255" s="370">
        <v>768967.30292839266</v>
      </c>
      <c r="J255">
        <v>0</v>
      </c>
      <c r="K255">
        <v>0</v>
      </c>
      <c r="L255">
        <v>0</v>
      </c>
      <c r="M255">
        <v>1</v>
      </c>
      <c r="N255" s="109">
        <v>590.71630733196321</v>
      </c>
      <c r="O255" s="109">
        <v>-4121823.458979561</v>
      </c>
      <c r="P255" s="365">
        <v>1</v>
      </c>
      <c r="Q255" s="365">
        <v>0</v>
      </c>
      <c r="R255" s="365">
        <v>0</v>
      </c>
      <c r="S255" s="365">
        <v>0</v>
      </c>
      <c r="T255" s="109">
        <v>-3166.361331477056</v>
      </c>
      <c r="V255" s="368">
        <f t="shared" si="18"/>
        <v>64318731.596186154</v>
      </c>
      <c r="W255" s="30">
        <f t="shared" si="19"/>
        <v>69209522.358094111</v>
      </c>
      <c r="X255" s="30"/>
      <c r="Y255">
        <f t="shared" si="20"/>
        <v>0</v>
      </c>
      <c r="Z255">
        <f t="shared" si="21"/>
        <v>1</v>
      </c>
      <c r="AA255">
        <f t="shared" si="22"/>
        <v>0</v>
      </c>
      <c r="AB255">
        <f t="shared" si="23"/>
        <v>1</v>
      </c>
    </row>
    <row r="256" spans="6:28" x14ac:dyDescent="0.3">
      <c r="F256" s="28"/>
      <c r="G256">
        <v>248</v>
      </c>
      <c r="H256" s="109">
        <v>1414.2060821930936</v>
      </c>
      <c r="I256" s="370">
        <v>1701570.4093044288</v>
      </c>
      <c r="J256">
        <v>0</v>
      </c>
      <c r="K256">
        <v>0</v>
      </c>
      <c r="L256">
        <v>0</v>
      </c>
      <c r="M256">
        <v>1</v>
      </c>
      <c r="N256" s="109">
        <v>1203.1983391456656</v>
      </c>
      <c r="O256" s="109">
        <v>-4812021.2984837564</v>
      </c>
      <c r="P256" s="365">
        <v>1</v>
      </c>
      <c r="Q256" s="365">
        <v>0</v>
      </c>
      <c r="R256" s="365">
        <v>0</v>
      </c>
      <c r="S256" s="365">
        <v>0</v>
      </c>
      <c r="T256" s="109">
        <v>-3402.6308888598955</v>
      </c>
      <c r="V256" s="368">
        <f t="shared" si="18"/>
        <v>69008733.700350255</v>
      </c>
      <c r="W256" s="30">
        <f t="shared" si="19"/>
        <v>75522325.408138439</v>
      </c>
      <c r="X256" s="30"/>
      <c r="Y256">
        <f t="shared" si="20"/>
        <v>0</v>
      </c>
      <c r="Z256">
        <f t="shared" si="21"/>
        <v>1</v>
      </c>
      <c r="AA256">
        <f t="shared" si="22"/>
        <v>0</v>
      </c>
      <c r="AB256">
        <f t="shared" si="23"/>
        <v>1</v>
      </c>
    </row>
    <row r="257" spans="6:28" x14ac:dyDescent="0.3">
      <c r="F257" s="28"/>
      <c r="G257">
        <v>249</v>
      </c>
      <c r="H257" s="109">
        <v>1206.8003350788931</v>
      </c>
      <c r="I257" s="370">
        <v>769347.34873112908</v>
      </c>
      <c r="J257">
        <v>0</v>
      </c>
      <c r="K257">
        <v>0</v>
      </c>
      <c r="L257">
        <v>0</v>
      </c>
      <c r="M257">
        <v>1</v>
      </c>
      <c r="N257" s="109">
        <v>637.51005561399177</v>
      </c>
      <c r="O257" s="109">
        <v>-4450938.8633147702</v>
      </c>
      <c r="P257" s="365">
        <v>1</v>
      </c>
      <c r="Q257" s="365">
        <v>0</v>
      </c>
      <c r="R257" s="365">
        <v>0</v>
      </c>
      <c r="S257" s="365">
        <v>0</v>
      </c>
      <c r="T257" s="109">
        <v>-3688.2148056611168</v>
      </c>
      <c r="V257" s="368">
        <f t="shared" si="18"/>
        <v>59570669.405213527</v>
      </c>
      <c r="W257" s="30">
        <f t="shared" si="19"/>
        <v>64790955.617259428</v>
      </c>
      <c r="X257" s="30"/>
      <c r="Y257">
        <f t="shared" si="20"/>
        <v>0</v>
      </c>
      <c r="Z257">
        <f t="shared" si="21"/>
        <v>1</v>
      </c>
      <c r="AA257">
        <f t="shared" si="22"/>
        <v>0</v>
      </c>
      <c r="AB257">
        <f t="shared" si="23"/>
        <v>1</v>
      </c>
    </row>
    <row r="258" spans="6:28" x14ac:dyDescent="0.3">
      <c r="F258" s="28"/>
      <c r="G258">
        <v>250</v>
      </c>
      <c r="H258" s="109">
        <v>1212.581587882014</v>
      </c>
      <c r="I258" s="370">
        <v>1048592.8017162937</v>
      </c>
      <c r="J258">
        <v>0</v>
      </c>
      <c r="K258">
        <v>0</v>
      </c>
      <c r="L258">
        <v>0</v>
      </c>
      <c r="M258">
        <v>1</v>
      </c>
      <c r="N258" s="109">
        <v>864.76061668381806</v>
      </c>
      <c r="O258" s="109">
        <v>-4216450.5031518666</v>
      </c>
      <c r="P258" s="365">
        <v>1</v>
      </c>
      <c r="Q258" s="365">
        <v>0</v>
      </c>
      <c r="R258" s="365">
        <v>0</v>
      </c>
      <c r="S258" s="365">
        <v>0</v>
      </c>
      <c r="T258" s="109">
        <v>-3477.2509703999676</v>
      </c>
      <c r="V258" s="368">
        <f t="shared" si="18"/>
        <v>59580486.592384405</v>
      </c>
      <c r="W258" s="30">
        <f t="shared" si="19"/>
        <v>64845529.89725256</v>
      </c>
      <c r="X258" s="30"/>
      <c r="Y258">
        <f t="shared" si="20"/>
        <v>0</v>
      </c>
      <c r="Z258">
        <f t="shared" si="21"/>
        <v>1</v>
      </c>
      <c r="AA258">
        <f t="shared" si="22"/>
        <v>0</v>
      </c>
      <c r="AB258">
        <f t="shared" si="23"/>
        <v>1</v>
      </c>
    </row>
    <row r="259" spans="6:28" x14ac:dyDescent="0.3">
      <c r="F259" s="28"/>
      <c r="G259">
        <v>251</v>
      </c>
      <c r="H259" s="109">
        <v>1486.4202843968524</v>
      </c>
      <c r="I259" s="370">
        <v>945191.69931610802</v>
      </c>
      <c r="J259">
        <v>0</v>
      </c>
      <c r="K259">
        <v>0</v>
      </c>
      <c r="L259">
        <v>0</v>
      </c>
      <c r="M259">
        <v>1</v>
      </c>
      <c r="N259" s="109">
        <v>635.88455380884432</v>
      </c>
      <c r="O259" s="109">
        <v>-4766361.1339406865</v>
      </c>
      <c r="P259" s="365">
        <v>1</v>
      </c>
      <c r="Q259" s="365">
        <v>0</v>
      </c>
      <c r="R259" s="365">
        <v>0</v>
      </c>
      <c r="S259" s="365">
        <v>0</v>
      </c>
      <c r="T259" s="109">
        <v>-3206.6039356256106</v>
      </c>
      <c r="V259" s="368">
        <f t="shared" si="18"/>
        <v>73375822.520526499</v>
      </c>
      <c r="W259" s="30">
        <f t="shared" si="19"/>
        <v>79087375.353783295</v>
      </c>
      <c r="X259" s="30"/>
      <c r="Y259">
        <f t="shared" si="20"/>
        <v>0</v>
      </c>
      <c r="Z259">
        <f t="shared" si="21"/>
        <v>1</v>
      </c>
      <c r="AA259">
        <f t="shared" si="22"/>
        <v>0</v>
      </c>
      <c r="AB259">
        <f t="shared" si="23"/>
        <v>1</v>
      </c>
    </row>
    <row r="260" spans="6:28" x14ac:dyDescent="0.3">
      <c r="F260" s="28"/>
      <c r="G260">
        <v>252</v>
      </c>
      <c r="H260" s="109">
        <v>1085.2615633560126</v>
      </c>
      <c r="I260" s="370">
        <v>1656665.3438232858</v>
      </c>
      <c r="J260">
        <v>0</v>
      </c>
      <c r="K260">
        <v>0</v>
      </c>
      <c r="L260">
        <v>0</v>
      </c>
      <c r="M260">
        <v>1</v>
      </c>
      <c r="N260" s="109">
        <v>1526.5125014658131</v>
      </c>
      <c r="O260" s="109">
        <v>-3159466.3819268225</v>
      </c>
      <c r="P260" s="365">
        <v>1</v>
      </c>
      <c r="Q260" s="365">
        <v>0</v>
      </c>
      <c r="R260" s="365">
        <v>0</v>
      </c>
      <c r="S260" s="365">
        <v>0</v>
      </c>
      <c r="T260" s="109">
        <v>-2911.248761226404</v>
      </c>
      <c r="V260" s="368">
        <f t="shared" si="18"/>
        <v>52606412.823977351</v>
      </c>
      <c r="W260" s="30">
        <f t="shared" si="19"/>
        <v>57422544.549727455</v>
      </c>
      <c r="X260" s="30"/>
      <c r="Y260">
        <f t="shared" si="20"/>
        <v>0</v>
      </c>
      <c r="Z260">
        <f t="shared" si="21"/>
        <v>1</v>
      </c>
      <c r="AA260">
        <f t="shared" si="22"/>
        <v>0</v>
      </c>
      <c r="AB260">
        <f t="shared" si="23"/>
        <v>1</v>
      </c>
    </row>
    <row r="261" spans="6:28" x14ac:dyDescent="0.3">
      <c r="F261" s="28"/>
      <c r="G261">
        <v>253</v>
      </c>
      <c r="H261" s="109">
        <v>1066.6586656858562</v>
      </c>
      <c r="I261" s="370">
        <v>787640.36343121168</v>
      </c>
      <c r="J261">
        <v>0</v>
      </c>
      <c r="K261">
        <v>0</v>
      </c>
      <c r="L261">
        <v>0</v>
      </c>
      <c r="M261">
        <v>1</v>
      </c>
      <c r="N261" s="109">
        <v>738.41837953359038</v>
      </c>
      <c r="O261" s="109">
        <v>-2896950.4653060115</v>
      </c>
      <c r="P261" s="365">
        <v>1</v>
      </c>
      <c r="Q261" s="365">
        <v>0</v>
      </c>
      <c r="R261" s="365">
        <v>0</v>
      </c>
      <c r="S261" s="365">
        <v>0</v>
      </c>
      <c r="T261" s="109">
        <v>-2715.9114330574407</v>
      </c>
      <c r="V261" s="368">
        <f t="shared" si="18"/>
        <v>52545292.920861594</v>
      </c>
      <c r="W261" s="30">
        <f t="shared" si="19"/>
        <v>56229883.749598823</v>
      </c>
      <c r="X261" s="30"/>
      <c r="Y261">
        <f t="shared" si="20"/>
        <v>0</v>
      </c>
      <c r="Z261">
        <f t="shared" si="21"/>
        <v>1</v>
      </c>
      <c r="AA261">
        <f t="shared" si="22"/>
        <v>0</v>
      </c>
      <c r="AB261">
        <f t="shared" si="23"/>
        <v>1</v>
      </c>
    </row>
    <row r="262" spans="6:28" x14ac:dyDescent="0.3">
      <c r="F262" s="28"/>
      <c r="G262">
        <v>254</v>
      </c>
      <c r="H262" s="109">
        <v>1091.5464267939024</v>
      </c>
      <c r="I262" s="370">
        <v>844006.44932166906</v>
      </c>
      <c r="J262">
        <v>0</v>
      </c>
      <c r="K262">
        <v>0</v>
      </c>
      <c r="L262">
        <v>0</v>
      </c>
      <c r="M262">
        <v>1</v>
      </c>
      <c r="N262" s="109">
        <v>773.22084393669866</v>
      </c>
      <c r="O262" s="109">
        <v>-3166521.1512946272</v>
      </c>
      <c r="P262" s="365">
        <v>1</v>
      </c>
      <c r="Q262" s="365">
        <v>0</v>
      </c>
      <c r="R262" s="365">
        <v>0</v>
      </c>
      <c r="S262" s="365">
        <v>0</v>
      </c>
      <c r="T262" s="109">
        <v>-2900.9495826900875</v>
      </c>
      <c r="V262" s="368">
        <f t="shared" si="18"/>
        <v>53733314.890373446</v>
      </c>
      <c r="W262" s="30">
        <f t="shared" si="19"/>
        <v>57743842.490989745</v>
      </c>
      <c r="X262" s="30"/>
      <c r="Y262">
        <f t="shared" si="20"/>
        <v>0</v>
      </c>
      <c r="Z262">
        <f t="shared" si="21"/>
        <v>1</v>
      </c>
      <c r="AA262">
        <f t="shared" si="22"/>
        <v>0</v>
      </c>
      <c r="AB262">
        <f t="shared" si="23"/>
        <v>1</v>
      </c>
    </row>
    <row r="263" spans="6:28" x14ac:dyDescent="0.3">
      <c r="F263" s="28"/>
      <c r="G263">
        <v>255</v>
      </c>
      <c r="H263" s="109">
        <v>1101.0473102598771</v>
      </c>
      <c r="I263" s="370">
        <v>1262113.8909497873</v>
      </c>
      <c r="J263">
        <v>0</v>
      </c>
      <c r="K263">
        <v>0</v>
      </c>
      <c r="L263">
        <v>0</v>
      </c>
      <c r="M263">
        <v>1</v>
      </c>
      <c r="N263" s="109">
        <v>1146.2848863886641</v>
      </c>
      <c r="O263" s="109">
        <v>-3122544.861160126</v>
      </c>
      <c r="P263" s="365">
        <v>1</v>
      </c>
      <c r="Q263" s="365">
        <v>0</v>
      </c>
      <c r="R263" s="365">
        <v>0</v>
      </c>
      <c r="S263" s="365">
        <v>0</v>
      </c>
      <c r="T263" s="109">
        <v>-2835.9770121259553</v>
      </c>
      <c r="V263" s="368">
        <f t="shared" si="18"/>
        <v>53790251.622044072</v>
      </c>
      <c r="W263" s="30">
        <f t="shared" si="19"/>
        <v>58174910.374153987</v>
      </c>
      <c r="X263" s="30"/>
      <c r="Y263">
        <f t="shared" si="20"/>
        <v>0</v>
      </c>
      <c r="Z263">
        <f t="shared" si="21"/>
        <v>1</v>
      </c>
      <c r="AA263">
        <f t="shared" si="22"/>
        <v>0</v>
      </c>
      <c r="AB263">
        <f t="shared" si="23"/>
        <v>1</v>
      </c>
    </row>
    <row r="264" spans="6:28" x14ac:dyDescent="0.3">
      <c r="F264" s="28"/>
      <c r="G264">
        <v>256</v>
      </c>
      <c r="H264" s="109">
        <v>1234.1727950150307</v>
      </c>
      <c r="I264" s="370">
        <v>673970.50887154788</v>
      </c>
      <c r="J264">
        <v>0</v>
      </c>
      <c r="K264">
        <v>0</v>
      </c>
      <c r="L264">
        <v>0</v>
      </c>
      <c r="M264">
        <v>1</v>
      </c>
      <c r="N264" s="109">
        <v>546.09088094778474</v>
      </c>
      <c r="O264" s="109">
        <v>-4095637.9229547549</v>
      </c>
      <c r="P264" s="365">
        <v>1</v>
      </c>
      <c r="Q264" s="365">
        <v>0</v>
      </c>
      <c r="R264" s="365">
        <v>0</v>
      </c>
      <c r="S264" s="365">
        <v>0</v>
      </c>
      <c r="T264" s="109">
        <v>-3318.5287663911558</v>
      </c>
      <c r="V264" s="368">
        <f t="shared" si="18"/>
        <v>61034669.241879985</v>
      </c>
      <c r="W264" s="30">
        <f t="shared" si="19"/>
        <v>65804277.673706286</v>
      </c>
      <c r="X264" s="30"/>
      <c r="Y264">
        <f t="shared" si="20"/>
        <v>0</v>
      </c>
      <c r="Z264">
        <f t="shared" si="21"/>
        <v>1</v>
      </c>
      <c r="AA264">
        <f t="shared" si="22"/>
        <v>0</v>
      </c>
      <c r="AB264">
        <f t="shared" si="23"/>
        <v>1</v>
      </c>
    </row>
    <row r="265" spans="6:28" x14ac:dyDescent="0.3">
      <c r="F265" s="28"/>
      <c r="G265">
        <v>257</v>
      </c>
      <c r="H265" s="109">
        <v>1230.2003397896697</v>
      </c>
      <c r="I265" s="370">
        <v>630171.05031116912</v>
      </c>
      <c r="J265">
        <v>0</v>
      </c>
      <c r="K265">
        <v>0</v>
      </c>
      <c r="L265">
        <v>0</v>
      </c>
      <c r="M265">
        <v>1</v>
      </c>
      <c r="N265" s="109">
        <v>512.25075292932445</v>
      </c>
      <c r="O265" s="109">
        <v>-4553678.5921312189</v>
      </c>
      <c r="P265" s="365">
        <v>1</v>
      </c>
      <c r="Q265" s="365">
        <v>0</v>
      </c>
      <c r="R265" s="365">
        <v>0</v>
      </c>
      <c r="S265" s="365">
        <v>0</v>
      </c>
      <c r="T265" s="109">
        <v>-3701.5748125299433</v>
      </c>
      <c r="V265" s="368">
        <f t="shared" ref="V265:V328" si="24">H265*WTPinput-I265</f>
        <v>60879845.939172313</v>
      </c>
      <c r="W265" s="30">
        <f t="shared" ref="W265:W328" si="25">H265*WTPinput-O265</f>
        <v>66063695.581614703</v>
      </c>
      <c r="X265" s="30"/>
      <c r="Y265">
        <f t="shared" si="20"/>
        <v>0</v>
      </c>
      <c r="Z265">
        <f t="shared" si="21"/>
        <v>1</v>
      </c>
      <c r="AA265">
        <f t="shared" si="22"/>
        <v>0</v>
      </c>
      <c r="AB265">
        <f t="shared" si="23"/>
        <v>1</v>
      </c>
    </row>
    <row r="266" spans="6:28" x14ac:dyDescent="0.3">
      <c r="F266" s="28"/>
      <c r="G266">
        <v>258</v>
      </c>
      <c r="H266" s="109">
        <v>1238.9596783480738</v>
      </c>
      <c r="I266" s="370">
        <v>1810598.5740212509</v>
      </c>
      <c r="J266">
        <v>0</v>
      </c>
      <c r="K266">
        <v>0</v>
      </c>
      <c r="L266">
        <v>0</v>
      </c>
      <c r="M266">
        <v>1</v>
      </c>
      <c r="N266" s="109">
        <v>1461.3861981653456</v>
      </c>
      <c r="O266" s="109">
        <v>-3284464.4052222646</v>
      </c>
      <c r="P266" s="365">
        <v>1</v>
      </c>
      <c r="Q266" s="365">
        <v>0</v>
      </c>
      <c r="R266" s="365">
        <v>0</v>
      </c>
      <c r="S266" s="365">
        <v>0</v>
      </c>
      <c r="T266" s="109">
        <v>-2650.9857121431887</v>
      </c>
      <c r="V266" s="368">
        <f t="shared" si="24"/>
        <v>60137385.343382441</v>
      </c>
      <c r="W266" s="30">
        <f t="shared" si="25"/>
        <v>65232448.322625957</v>
      </c>
      <c r="X266" s="30"/>
      <c r="Y266">
        <f t="shared" ref="Y266:Y329" si="26">IF(V266&lt;0,1,0)</f>
        <v>0</v>
      </c>
      <c r="Z266">
        <f t="shared" ref="Z266:Z329" si="27">IF(V266&gt;0,1,0)</f>
        <v>1</v>
      </c>
      <c r="AA266">
        <f t="shared" ref="AA266:AA329" si="28">IF(W266&lt;0,1,0)</f>
        <v>0</v>
      </c>
      <c r="AB266">
        <f t="shared" ref="AB266:AB329" si="29">IF(W266&gt;0,1,0)</f>
        <v>1</v>
      </c>
    </row>
    <row r="267" spans="6:28" x14ac:dyDescent="0.3">
      <c r="F267" s="28"/>
      <c r="G267">
        <v>259</v>
      </c>
      <c r="H267" s="109">
        <v>1111.1952579821154</v>
      </c>
      <c r="I267" s="370">
        <v>2134168.1642465265</v>
      </c>
      <c r="J267">
        <v>0</v>
      </c>
      <c r="K267">
        <v>0</v>
      </c>
      <c r="L267">
        <v>0</v>
      </c>
      <c r="M267">
        <v>1</v>
      </c>
      <c r="N267" s="109">
        <v>1920.6058961429403</v>
      </c>
      <c r="O267" s="109">
        <v>-2307068.1485345</v>
      </c>
      <c r="P267" s="365">
        <v>1</v>
      </c>
      <c r="Q267" s="365">
        <v>0</v>
      </c>
      <c r="R267" s="365">
        <v>0</v>
      </c>
      <c r="S267" s="365">
        <v>0</v>
      </c>
      <c r="T267" s="109">
        <v>-2076.2040982104622</v>
      </c>
      <c r="V267" s="368">
        <f t="shared" si="24"/>
        <v>53425594.734859243</v>
      </c>
      <c r="W267" s="30">
        <f t="shared" si="25"/>
        <v>57866831.047640271</v>
      </c>
      <c r="X267" s="30"/>
      <c r="Y267">
        <f t="shared" si="26"/>
        <v>0</v>
      </c>
      <c r="Z267">
        <f t="shared" si="27"/>
        <v>1</v>
      </c>
      <c r="AA267">
        <f t="shared" si="28"/>
        <v>0</v>
      </c>
      <c r="AB267">
        <f t="shared" si="29"/>
        <v>1</v>
      </c>
    </row>
    <row r="268" spans="6:28" x14ac:dyDescent="0.3">
      <c r="F268" s="28"/>
      <c r="G268">
        <v>260</v>
      </c>
      <c r="H268" s="109">
        <v>945.3060940233845</v>
      </c>
      <c r="I268" s="370">
        <v>1428283.1284815087</v>
      </c>
      <c r="J268">
        <v>0</v>
      </c>
      <c r="K268">
        <v>0</v>
      </c>
      <c r="L268">
        <v>0</v>
      </c>
      <c r="M268">
        <v>1</v>
      </c>
      <c r="N268" s="109">
        <v>1510.9213169276115</v>
      </c>
      <c r="O268" s="109">
        <v>-1796934.3779652165</v>
      </c>
      <c r="P268" s="365">
        <v>1</v>
      </c>
      <c r="Q268" s="365">
        <v>0</v>
      </c>
      <c r="R268" s="365">
        <v>0</v>
      </c>
      <c r="S268" s="365">
        <v>0</v>
      </c>
      <c r="T268" s="109">
        <v>-1900.9021409321042</v>
      </c>
      <c r="V268" s="368">
        <f t="shared" si="24"/>
        <v>45837021.572687715</v>
      </c>
      <c r="W268" s="30">
        <f t="shared" si="25"/>
        <v>49062239.079134442</v>
      </c>
      <c r="X268" s="30"/>
      <c r="Y268">
        <f t="shared" si="26"/>
        <v>0</v>
      </c>
      <c r="Z268">
        <f t="shared" si="27"/>
        <v>1</v>
      </c>
      <c r="AA268">
        <f t="shared" si="28"/>
        <v>0</v>
      </c>
      <c r="AB268">
        <f t="shared" si="29"/>
        <v>1</v>
      </c>
    </row>
    <row r="269" spans="6:28" x14ac:dyDescent="0.3">
      <c r="F269" s="28"/>
      <c r="G269">
        <v>261</v>
      </c>
      <c r="H269" s="109">
        <v>1145.4821787796391</v>
      </c>
      <c r="I269" s="370">
        <v>1537334.9028451934</v>
      </c>
      <c r="J269">
        <v>0</v>
      </c>
      <c r="K269">
        <v>0</v>
      </c>
      <c r="L269">
        <v>0</v>
      </c>
      <c r="M269">
        <v>1</v>
      </c>
      <c r="N269" s="109">
        <v>1342.0853954122813</v>
      </c>
      <c r="O269" s="109">
        <v>-2523381.0989124519</v>
      </c>
      <c r="P269" s="365">
        <v>1</v>
      </c>
      <c r="Q269" s="365">
        <v>0</v>
      </c>
      <c r="R269" s="365">
        <v>0</v>
      </c>
      <c r="S269" s="365">
        <v>0</v>
      </c>
      <c r="T269" s="109">
        <v>-2202.8986095626415</v>
      </c>
      <c r="V269" s="368">
        <f t="shared" si="24"/>
        <v>55736774.036136754</v>
      </c>
      <c r="W269" s="30">
        <f t="shared" si="25"/>
        <v>59797490.037894405</v>
      </c>
      <c r="X269" s="30"/>
      <c r="Y269">
        <f t="shared" si="26"/>
        <v>0</v>
      </c>
      <c r="Z269">
        <f t="shared" si="27"/>
        <v>1</v>
      </c>
      <c r="AA269">
        <f t="shared" si="28"/>
        <v>0</v>
      </c>
      <c r="AB269">
        <f t="shared" si="29"/>
        <v>1</v>
      </c>
    </row>
    <row r="270" spans="6:28" x14ac:dyDescent="0.3">
      <c r="F270" s="28"/>
      <c r="G270">
        <v>262</v>
      </c>
      <c r="H270" s="109">
        <v>1107.2740259649363</v>
      </c>
      <c r="I270" s="370">
        <v>1912899.7301828219</v>
      </c>
      <c r="J270">
        <v>0</v>
      </c>
      <c r="K270">
        <v>0</v>
      </c>
      <c r="L270">
        <v>0</v>
      </c>
      <c r="M270">
        <v>1</v>
      </c>
      <c r="N270" s="109">
        <v>1727.5757268087466</v>
      </c>
      <c r="O270" s="109">
        <v>-2668762.1386454306</v>
      </c>
      <c r="P270" s="365">
        <v>1</v>
      </c>
      <c r="Q270" s="365">
        <v>0</v>
      </c>
      <c r="R270" s="365">
        <v>0</v>
      </c>
      <c r="S270" s="365">
        <v>0</v>
      </c>
      <c r="T270" s="109">
        <v>-2410.2092852035721</v>
      </c>
      <c r="V270" s="368">
        <f t="shared" si="24"/>
        <v>53450801.568063997</v>
      </c>
      <c r="W270" s="30">
        <f t="shared" si="25"/>
        <v>58032463.436892249</v>
      </c>
      <c r="X270" s="30"/>
      <c r="Y270">
        <f t="shared" si="26"/>
        <v>0</v>
      </c>
      <c r="Z270">
        <f t="shared" si="27"/>
        <v>1</v>
      </c>
      <c r="AA270">
        <f t="shared" si="28"/>
        <v>0</v>
      </c>
      <c r="AB270">
        <f t="shared" si="29"/>
        <v>1</v>
      </c>
    </row>
    <row r="271" spans="6:28" x14ac:dyDescent="0.3">
      <c r="F271" s="28"/>
      <c r="G271">
        <v>263</v>
      </c>
      <c r="H271" s="109">
        <v>1066.5718577888983</v>
      </c>
      <c r="I271" s="370">
        <v>1082358.5198738046</v>
      </c>
      <c r="J271">
        <v>0</v>
      </c>
      <c r="K271">
        <v>0</v>
      </c>
      <c r="L271">
        <v>0</v>
      </c>
      <c r="M271">
        <v>1</v>
      </c>
      <c r="N271" s="109">
        <v>1014.8013112943308</v>
      </c>
      <c r="O271" s="109">
        <v>-3267863.2975169644</v>
      </c>
      <c r="P271" s="365">
        <v>1</v>
      </c>
      <c r="Q271" s="365">
        <v>0</v>
      </c>
      <c r="R271" s="365">
        <v>0</v>
      </c>
      <c r="S271" s="365">
        <v>0</v>
      </c>
      <c r="T271" s="109">
        <v>-3063.8941705170673</v>
      </c>
      <c r="V271" s="368">
        <f t="shared" si="24"/>
        <v>52246234.369571112</v>
      </c>
      <c r="W271" s="30">
        <f t="shared" si="25"/>
        <v>56596456.186961882</v>
      </c>
      <c r="X271" s="30"/>
      <c r="Y271">
        <f t="shared" si="26"/>
        <v>0</v>
      </c>
      <c r="Z271">
        <f t="shared" si="27"/>
        <v>1</v>
      </c>
      <c r="AA271">
        <f t="shared" si="28"/>
        <v>0</v>
      </c>
      <c r="AB271">
        <f t="shared" si="29"/>
        <v>1</v>
      </c>
    </row>
    <row r="272" spans="6:28" x14ac:dyDescent="0.3">
      <c r="F272" s="28"/>
      <c r="G272">
        <v>264</v>
      </c>
      <c r="H272" s="109">
        <v>1311.9442602840863</v>
      </c>
      <c r="I272" s="370">
        <v>809048.17763363186</v>
      </c>
      <c r="J272">
        <v>0</v>
      </c>
      <c r="K272">
        <v>0</v>
      </c>
      <c r="L272">
        <v>0</v>
      </c>
      <c r="M272">
        <v>1</v>
      </c>
      <c r="N272" s="109">
        <v>616.67877372964142</v>
      </c>
      <c r="O272" s="109">
        <v>-4598816.5510206139</v>
      </c>
      <c r="P272" s="365">
        <v>1</v>
      </c>
      <c r="Q272" s="365">
        <v>0</v>
      </c>
      <c r="R272" s="365">
        <v>0</v>
      </c>
      <c r="S272" s="365">
        <v>0</v>
      </c>
      <c r="T272" s="109">
        <v>-3505.3444648820623</v>
      </c>
      <c r="V272" s="368">
        <f t="shared" si="24"/>
        <v>64788164.836570688</v>
      </c>
      <c r="W272" s="30">
        <f t="shared" si="25"/>
        <v>70196029.565224931</v>
      </c>
      <c r="X272" s="30"/>
      <c r="Y272">
        <f t="shared" si="26"/>
        <v>0</v>
      </c>
      <c r="Z272">
        <f t="shared" si="27"/>
        <v>1</v>
      </c>
      <c r="AA272">
        <f t="shared" si="28"/>
        <v>0</v>
      </c>
      <c r="AB272">
        <f t="shared" si="29"/>
        <v>1</v>
      </c>
    </row>
    <row r="273" spans="6:28" x14ac:dyDescent="0.3">
      <c r="F273" s="28"/>
      <c r="G273">
        <v>265</v>
      </c>
      <c r="H273" s="109">
        <v>1086.4000518452158</v>
      </c>
      <c r="I273" s="370">
        <v>1754915.0302337476</v>
      </c>
      <c r="J273">
        <v>0</v>
      </c>
      <c r="K273">
        <v>0</v>
      </c>
      <c r="L273">
        <v>0</v>
      </c>
      <c r="M273">
        <v>1</v>
      </c>
      <c r="N273" s="109">
        <v>1615.3488093571796</v>
      </c>
      <c r="O273" s="109">
        <v>-2326647.0601332528</v>
      </c>
      <c r="P273" s="365">
        <v>1</v>
      </c>
      <c r="Q273" s="365">
        <v>0</v>
      </c>
      <c r="R273" s="365">
        <v>0</v>
      </c>
      <c r="S273" s="365">
        <v>0</v>
      </c>
      <c r="T273" s="109">
        <v>-2141.6116983624192</v>
      </c>
      <c r="V273" s="368">
        <f t="shared" si="24"/>
        <v>52565087.562027045</v>
      </c>
      <c r="W273" s="30">
        <f t="shared" si="25"/>
        <v>56646649.652394049</v>
      </c>
      <c r="X273" s="30"/>
      <c r="Y273">
        <f t="shared" si="26"/>
        <v>0</v>
      </c>
      <c r="Z273">
        <f t="shared" si="27"/>
        <v>1</v>
      </c>
      <c r="AA273">
        <f t="shared" si="28"/>
        <v>0</v>
      </c>
      <c r="AB273">
        <f t="shared" si="29"/>
        <v>1</v>
      </c>
    </row>
    <row r="274" spans="6:28" x14ac:dyDescent="0.3">
      <c r="F274" s="28"/>
      <c r="G274">
        <v>266</v>
      </c>
      <c r="H274" s="109">
        <v>1129.3675650321165</v>
      </c>
      <c r="I274" s="370">
        <v>1347387.2955565576</v>
      </c>
      <c r="J274">
        <v>0</v>
      </c>
      <c r="K274">
        <v>0</v>
      </c>
      <c r="L274">
        <v>0</v>
      </c>
      <c r="M274">
        <v>1</v>
      </c>
      <c r="N274" s="109">
        <v>1193.04585794284</v>
      </c>
      <c r="O274" s="109">
        <v>-3654380.3137168521</v>
      </c>
      <c r="P274" s="365">
        <v>1</v>
      </c>
      <c r="Q274" s="365">
        <v>0</v>
      </c>
      <c r="R274" s="365">
        <v>0</v>
      </c>
      <c r="S274" s="365">
        <v>0</v>
      </c>
      <c r="T274" s="109">
        <v>-3235.7758686056563</v>
      </c>
      <c r="V274" s="368">
        <f t="shared" si="24"/>
        <v>55120990.956049263</v>
      </c>
      <c r="W274" s="30">
        <f t="shared" si="25"/>
        <v>60122758.565322675</v>
      </c>
      <c r="X274" s="30"/>
      <c r="Y274">
        <f t="shared" si="26"/>
        <v>0</v>
      </c>
      <c r="Z274">
        <f t="shared" si="27"/>
        <v>1</v>
      </c>
      <c r="AA274">
        <f t="shared" si="28"/>
        <v>0</v>
      </c>
      <c r="AB274">
        <f t="shared" si="29"/>
        <v>1</v>
      </c>
    </row>
    <row r="275" spans="6:28" x14ac:dyDescent="0.3">
      <c r="F275" s="28"/>
      <c r="G275">
        <v>267</v>
      </c>
      <c r="H275" s="109">
        <v>949.46147606949671</v>
      </c>
      <c r="I275" s="370">
        <v>1040375.4765431555</v>
      </c>
      <c r="J275">
        <v>0</v>
      </c>
      <c r="K275">
        <v>0</v>
      </c>
      <c r="L275">
        <v>0</v>
      </c>
      <c r="M275">
        <v>1</v>
      </c>
      <c r="N275" s="109">
        <v>1095.7532272399478</v>
      </c>
      <c r="O275" s="109">
        <v>-2172992.0349078644</v>
      </c>
      <c r="P275" s="365">
        <v>1</v>
      </c>
      <c r="Q275" s="365">
        <v>0</v>
      </c>
      <c r="R275" s="365">
        <v>0</v>
      </c>
      <c r="S275" s="365">
        <v>0</v>
      </c>
      <c r="T275" s="109">
        <v>-2288.6574017762573</v>
      </c>
      <c r="V275" s="368">
        <f t="shared" si="24"/>
        <v>46432698.326931678</v>
      </c>
      <c r="W275" s="30">
        <f t="shared" si="25"/>
        <v>49646065.838382699</v>
      </c>
      <c r="X275" s="30"/>
      <c r="Y275">
        <f t="shared" si="26"/>
        <v>0</v>
      </c>
      <c r="Z275">
        <f t="shared" si="27"/>
        <v>1</v>
      </c>
      <c r="AA275">
        <f t="shared" si="28"/>
        <v>0</v>
      </c>
      <c r="AB275">
        <f t="shared" si="29"/>
        <v>1</v>
      </c>
    </row>
    <row r="276" spans="6:28" x14ac:dyDescent="0.3">
      <c r="F276" s="28"/>
      <c r="G276">
        <v>268</v>
      </c>
      <c r="H276" s="109">
        <v>1295.8524517949336</v>
      </c>
      <c r="I276" s="370">
        <v>1587315.7113794892</v>
      </c>
      <c r="J276">
        <v>0</v>
      </c>
      <c r="K276">
        <v>0</v>
      </c>
      <c r="L276">
        <v>0</v>
      </c>
      <c r="M276">
        <v>1</v>
      </c>
      <c r="N276" s="109">
        <v>1224.9200973311729</v>
      </c>
      <c r="O276" s="109">
        <v>-3182116.6159714037</v>
      </c>
      <c r="P276" s="365">
        <v>1</v>
      </c>
      <c r="Q276" s="365">
        <v>0</v>
      </c>
      <c r="R276" s="365">
        <v>0</v>
      </c>
      <c r="S276" s="365">
        <v>0</v>
      </c>
      <c r="T276" s="109">
        <v>-2455.6164643310549</v>
      </c>
      <c r="V276" s="368">
        <f t="shared" si="24"/>
        <v>63205306.878367186</v>
      </c>
      <c r="W276" s="30">
        <f t="shared" si="25"/>
        <v>67974739.205718085</v>
      </c>
      <c r="X276" s="30"/>
      <c r="Y276">
        <f t="shared" si="26"/>
        <v>0</v>
      </c>
      <c r="Z276">
        <f t="shared" si="27"/>
        <v>1</v>
      </c>
      <c r="AA276">
        <f t="shared" si="28"/>
        <v>0</v>
      </c>
      <c r="AB276">
        <f t="shared" si="29"/>
        <v>1</v>
      </c>
    </row>
    <row r="277" spans="6:28" x14ac:dyDescent="0.3">
      <c r="F277" s="28"/>
      <c r="G277">
        <v>269</v>
      </c>
      <c r="H277" s="109">
        <v>1235.9678047850321</v>
      </c>
      <c r="I277" s="370">
        <v>1571437.7095996814</v>
      </c>
      <c r="J277">
        <v>0</v>
      </c>
      <c r="K277">
        <v>0</v>
      </c>
      <c r="L277">
        <v>0</v>
      </c>
      <c r="M277">
        <v>1</v>
      </c>
      <c r="N277" s="109">
        <v>1271.4228505919671</v>
      </c>
      <c r="O277" s="109">
        <v>-3304701.6454749978</v>
      </c>
      <c r="P277" s="365">
        <v>1</v>
      </c>
      <c r="Q277" s="365">
        <v>0</v>
      </c>
      <c r="R277" s="365">
        <v>0</v>
      </c>
      <c r="S277" s="365">
        <v>0</v>
      </c>
      <c r="T277" s="109">
        <v>-2673.776479193788</v>
      </c>
      <c r="V277" s="368">
        <f t="shared" si="24"/>
        <v>60226952.529651925</v>
      </c>
      <c r="W277" s="30">
        <f t="shared" si="25"/>
        <v>65103091.884726606</v>
      </c>
      <c r="X277" s="30"/>
      <c r="Y277">
        <f t="shared" si="26"/>
        <v>0</v>
      </c>
      <c r="Z277">
        <f t="shared" si="27"/>
        <v>1</v>
      </c>
      <c r="AA277">
        <f t="shared" si="28"/>
        <v>0</v>
      </c>
      <c r="AB277">
        <f t="shared" si="29"/>
        <v>1</v>
      </c>
    </row>
    <row r="278" spans="6:28" x14ac:dyDescent="0.3">
      <c r="F278" s="28"/>
      <c r="G278">
        <v>270</v>
      </c>
      <c r="H278" s="109">
        <v>1091.5200796775825</v>
      </c>
      <c r="I278" s="370">
        <v>889068.91277946951</v>
      </c>
      <c r="J278">
        <v>0</v>
      </c>
      <c r="K278">
        <v>0</v>
      </c>
      <c r="L278">
        <v>0</v>
      </c>
      <c r="M278">
        <v>1</v>
      </c>
      <c r="N278" s="109">
        <v>814.52364398288137</v>
      </c>
      <c r="O278" s="109">
        <v>-3234870.961852299</v>
      </c>
      <c r="P278" s="365">
        <v>1</v>
      </c>
      <c r="Q278" s="365">
        <v>0</v>
      </c>
      <c r="R278" s="365">
        <v>0</v>
      </c>
      <c r="S278" s="365">
        <v>0</v>
      </c>
      <c r="T278" s="109">
        <v>-2963.638527664858</v>
      </c>
      <c r="V278" s="368">
        <f t="shared" si="24"/>
        <v>53686935.071099654</v>
      </c>
      <c r="W278" s="30">
        <f t="shared" si="25"/>
        <v>57810874.945731424</v>
      </c>
      <c r="X278" s="30"/>
      <c r="Y278">
        <f t="shared" si="26"/>
        <v>0</v>
      </c>
      <c r="Z278">
        <f t="shared" si="27"/>
        <v>1</v>
      </c>
      <c r="AA278">
        <f t="shared" si="28"/>
        <v>0</v>
      </c>
      <c r="AB278">
        <f t="shared" si="29"/>
        <v>1</v>
      </c>
    </row>
    <row r="279" spans="6:28" x14ac:dyDescent="0.3">
      <c r="F279" s="28"/>
      <c r="G279">
        <v>271</v>
      </c>
      <c r="H279" s="109">
        <v>1297.2664519679529</v>
      </c>
      <c r="I279" s="370">
        <v>2377358.785302652</v>
      </c>
      <c r="J279">
        <v>0</v>
      </c>
      <c r="K279">
        <v>0</v>
      </c>
      <c r="L279">
        <v>0</v>
      </c>
      <c r="M279">
        <v>1</v>
      </c>
      <c r="N279" s="109">
        <v>1832.5909698013074</v>
      </c>
      <c r="O279" s="109">
        <v>-1922193.1455048702</v>
      </c>
      <c r="P279" s="365">
        <v>1</v>
      </c>
      <c r="Q279" s="365">
        <v>0</v>
      </c>
      <c r="R279" s="365">
        <v>0</v>
      </c>
      <c r="S279" s="365">
        <v>0</v>
      </c>
      <c r="T279" s="109">
        <v>-1481.7257800730943</v>
      </c>
      <c r="V279" s="368">
        <f t="shared" si="24"/>
        <v>62485963.813094988</v>
      </c>
      <c r="W279" s="30">
        <f t="shared" si="25"/>
        <v>66785515.743902512</v>
      </c>
      <c r="X279" s="30"/>
      <c r="Y279">
        <f t="shared" si="26"/>
        <v>0</v>
      </c>
      <c r="Z279">
        <f t="shared" si="27"/>
        <v>1</v>
      </c>
      <c r="AA279">
        <f t="shared" si="28"/>
        <v>0</v>
      </c>
      <c r="AB279">
        <f t="shared" si="29"/>
        <v>1</v>
      </c>
    </row>
    <row r="280" spans="6:28" x14ac:dyDescent="0.3">
      <c r="F280" s="28"/>
      <c r="G280">
        <v>272</v>
      </c>
      <c r="H280" s="109">
        <v>1184.847279164067</v>
      </c>
      <c r="I280" s="370">
        <v>1221439.5496527019</v>
      </c>
      <c r="J280">
        <v>0</v>
      </c>
      <c r="K280">
        <v>0</v>
      </c>
      <c r="L280">
        <v>0</v>
      </c>
      <c r="M280">
        <v>1</v>
      </c>
      <c r="N280" s="109">
        <v>1030.8835333735597</v>
      </c>
      <c r="O280" s="109">
        <v>-3401111.9184113662</v>
      </c>
      <c r="P280" s="365">
        <v>1</v>
      </c>
      <c r="Q280" s="365">
        <v>0</v>
      </c>
      <c r="R280" s="365">
        <v>0</v>
      </c>
      <c r="S280" s="365">
        <v>0</v>
      </c>
      <c r="T280" s="109">
        <v>-2870.5065861407197</v>
      </c>
      <c r="V280" s="368">
        <f t="shared" si="24"/>
        <v>58020924.40855065</v>
      </c>
      <c r="W280" s="30">
        <f t="shared" si="25"/>
        <v>62643475.87661472</v>
      </c>
      <c r="X280" s="30"/>
      <c r="Y280">
        <f t="shared" si="26"/>
        <v>0</v>
      </c>
      <c r="Z280">
        <f t="shared" si="27"/>
        <v>1</v>
      </c>
      <c r="AA280">
        <f t="shared" si="28"/>
        <v>0</v>
      </c>
      <c r="AB280">
        <f t="shared" si="29"/>
        <v>1</v>
      </c>
    </row>
    <row r="281" spans="6:28" x14ac:dyDescent="0.3">
      <c r="F281" s="28"/>
      <c r="G281">
        <v>273</v>
      </c>
      <c r="H281" s="109">
        <v>1071.2332033121274</v>
      </c>
      <c r="I281" s="370">
        <v>1633869.9550129543</v>
      </c>
      <c r="J281">
        <v>0</v>
      </c>
      <c r="K281">
        <v>0</v>
      </c>
      <c r="L281">
        <v>0</v>
      </c>
      <c r="M281">
        <v>1</v>
      </c>
      <c r="N281" s="109">
        <v>1525.2234060344845</v>
      </c>
      <c r="O281" s="109">
        <v>-2255176.9158515474</v>
      </c>
      <c r="P281" s="365">
        <v>1</v>
      </c>
      <c r="Q281" s="365">
        <v>0</v>
      </c>
      <c r="R281" s="365">
        <v>0</v>
      </c>
      <c r="S281" s="365">
        <v>0</v>
      </c>
      <c r="T281" s="109">
        <v>-2105.215660678557</v>
      </c>
      <c r="V281" s="368">
        <f t="shared" si="24"/>
        <v>51927790.210593417</v>
      </c>
      <c r="W281" s="30">
        <f t="shared" si="25"/>
        <v>55816837.08145792</v>
      </c>
      <c r="X281" s="30"/>
      <c r="Y281">
        <f t="shared" si="26"/>
        <v>0</v>
      </c>
      <c r="Z281">
        <f t="shared" si="27"/>
        <v>1</v>
      </c>
      <c r="AA281">
        <f t="shared" si="28"/>
        <v>0</v>
      </c>
      <c r="AB281">
        <f t="shared" si="29"/>
        <v>1</v>
      </c>
    </row>
    <row r="282" spans="6:28" x14ac:dyDescent="0.3">
      <c r="F282" s="28"/>
      <c r="G282">
        <v>274</v>
      </c>
      <c r="H282" s="109">
        <v>954.13523701980739</v>
      </c>
      <c r="I282" s="370">
        <v>1405254.76390742</v>
      </c>
      <c r="J282">
        <v>0</v>
      </c>
      <c r="K282">
        <v>0</v>
      </c>
      <c r="L282">
        <v>0</v>
      </c>
      <c r="M282">
        <v>1</v>
      </c>
      <c r="N282" s="109">
        <v>1472.8045976969274</v>
      </c>
      <c r="O282" s="109">
        <v>-3048219.8001511311</v>
      </c>
      <c r="P282" s="365">
        <v>1</v>
      </c>
      <c r="Q282" s="365">
        <v>0</v>
      </c>
      <c r="R282" s="365">
        <v>0</v>
      </c>
      <c r="S282" s="365">
        <v>0</v>
      </c>
      <c r="T282" s="109">
        <v>-3194.7460715024945</v>
      </c>
      <c r="V282" s="368">
        <f t="shared" si="24"/>
        <v>46301507.087082952</v>
      </c>
      <c r="W282" s="30">
        <f t="shared" si="25"/>
        <v>50754981.651141502</v>
      </c>
      <c r="X282" s="30"/>
      <c r="Y282">
        <f t="shared" si="26"/>
        <v>0</v>
      </c>
      <c r="Z282">
        <f t="shared" si="27"/>
        <v>1</v>
      </c>
      <c r="AA282">
        <f t="shared" si="28"/>
        <v>0</v>
      </c>
      <c r="AB282">
        <f t="shared" si="29"/>
        <v>1</v>
      </c>
    </row>
    <row r="283" spans="6:28" x14ac:dyDescent="0.3">
      <c r="F283" s="28"/>
      <c r="G283">
        <v>275</v>
      </c>
      <c r="H283" s="109">
        <v>1469.3230402308182</v>
      </c>
      <c r="I283" s="370">
        <v>1254523.6815777605</v>
      </c>
      <c r="J283">
        <v>0</v>
      </c>
      <c r="K283">
        <v>0</v>
      </c>
      <c r="L283">
        <v>0</v>
      </c>
      <c r="M283">
        <v>1</v>
      </c>
      <c r="N283" s="109">
        <v>853.81066465866184</v>
      </c>
      <c r="O283" s="109">
        <v>-3740821.7374642282</v>
      </c>
      <c r="P283" s="365">
        <v>1</v>
      </c>
      <c r="Q283" s="365">
        <v>0</v>
      </c>
      <c r="R283" s="365">
        <v>0</v>
      </c>
      <c r="S283" s="365">
        <v>0</v>
      </c>
      <c r="T283" s="109">
        <v>-2545.9491446323314</v>
      </c>
      <c r="V283" s="368">
        <f t="shared" si="24"/>
        <v>72211628.329963148</v>
      </c>
      <c r="W283" s="30">
        <f t="shared" si="25"/>
        <v>77206973.749005139</v>
      </c>
      <c r="X283" s="30"/>
      <c r="Y283">
        <f t="shared" si="26"/>
        <v>0</v>
      </c>
      <c r="Z283">
        <f t="shared" si="27"/>
        <v>1</v>
      </c>
      <c r="AA283">
        <f t="shared" si="28"/>
        <v>0</v>
      </c>
      <c r="AB283">
        <f t="shared" si="29"/>
        <v>1</v>
      </c>
    </row>
    <row r="284" spans="6:28" x14ac:dyDescent="0.3">
      <c r="F284" s="28"/>
      <c r="G284">
        <v>276</v>
      </c>
      <c r="H284" s="109">
        <v>1134.7417129041496</v>
      </c>
      <c r="I284" s="370">
        <v>548107.66593320656</v>
      </c>
      <c r="J284">
        <v>0</v>
      </c>
      <c r="K284">
        <v>0</v>
      </c>
      <c r="L284">
        <v>0</v>
      </c>
      <c r="M284">
        <v>1</v>
      </c>
      <c r="N284" s="109">
        <v>483.02416285590851</v>
      </c>
      <c r="O284" s="109">
        <v>-4042608.8144942396</v>
      </c>
      <c r="P284" s="365">
        <v>1</v>
      </c>
      <c r="Q284" s="365">
        <v>0</v>
      </c>
      <c r="R284" s="365">
        <v>0</v>
      </c>
      <c r="S284" s="365">
        <v>0</v>
      </c>
      <c r="T284" s="109">
        <v>-3562.5806018428393</v>
      </c>
      <c r="V284" s="368">
        <f t="shared" si="24"/>
        <v>56188977.979274273</v>
      </c>
      <c r="W284" s="30">
        <f t="shared" si="25"/>
        <v>60779694.459701717</v>
      </c>
      <c r="X284" s="30"/>
      <c r="Y284">
        <f t="shared" si="26"/>
        <v>0</v>
      </c>
      <c r="Z284">
        <f t="shared" si="27"/>
        <v>1</v>
      </c>
      <c r="AA284">
        <f t="shared" si="28"/>
        <v>0</v>
      </c>
      <c r="AB284">
        <f t="shared" si="29"/>
        <v>1</v>
      </c>
    </row>
    <row r="285" spans="6:28" x14ac:dyDescent="0.3">
      <c r="F285" s="28"/>
      <c r="G285">
        <v>277</v>
      </c>
      <c r="H285" s="109">
        <v>1030.0059749484208</v>
      </c>
      <c r="I285" s="370">
        <v>2094501.6685561847</v>
      </c>
      <c r="J285">
        <v>0</v>
      </c>
      <c r="K285">
        <v>0</v>
      </c>
      <c r="L285">
        <v>0</v>
      </c>
      <c r="M285">
        <v>1</v>
      </c>
      <c r="N285" s="109">
        <v>2033.4849695032792</v>
      </c>
      <c r="O285" s="109">
        <v>-2075014.4222755309</v>
      </c>
      <c r="P285" s="365">
        <v>1</v>
      </c>
      <c r="Q285" s="365">
        <v>0</v>
      </c>
      <c r="R285" s="365">
        <v>0</v>
      </c>
      <c r="S285" s="365">
        <v>0</v>
      </c>
      <c r="T285" s="109">
        <v>-2014.5654226709128</v>
      </c>
      <c r="V285" s="368">
        <f t="shared" si="24"/>
        <v>49405797.078864858</v>
      </c>
      <c r="W285" s="30">
        <f t="shared" si="25"/>
        <v>53575313.169696569</v>
      </c>
      <c r="X285" s="30"/>
      <c r="Y285">
        <f t="shared" si="26"/>
        <v>0</v>
      </c>
      <c r="Z285">
        <f t="shared" si="27"/>
        <v>1</v>
      </c>
      <c r="AA285">
        <f t="shared" si="28"/>
        <v>0</v>
      </c>
      <c r="AB285">
        <f t="shared" si="29"/>
        <v>1</v>
      </c>
    </row>
    <row r="286" spans="6:28" x14ac:dyDescent="0.3">
      <c r="F286" s="28"/>
      <c r="G286">
        <v>278</v>
      </c>
      <c r="H286" s="109">
        <v>1552.7045006186017</v>
      </c>
      <c r="I286" s="370">
        <v>2059000.5691578321</v>
      </c>
      <c r="J286">
        <v>0</v>
      </c>
      <c r="K286">
        <v>0</v>
      </c>
      <c r="L286">
        <v>0</v>
      </c>
      <c r="M286">
        <v>1</v>
      </c>
      <c r="N286" s="109">
        <v>1326.0736787569822</v>
      </c>
      <c r="O286" s="109">
        <v>-3662111.694962889</v>
      </c>
      <c r="P286" s="365">
        <v>1</v>
      </c>
      <c r="Q286" s="365">
        <v>0</v>
      </c>
      <c r="R286" s="365">
        <v>0</v>
      </c>
      <c r="S286" s="365">
        <v>0</v>
      </c>
      <c r="T286" s="109">
        <v>-2358.5374380662215</v>
      </c>
      <c r="V286" s="368">
        <f t="shared" si="24"/>
        <v>75576224.461772248</v>
      </c>
      <c r="W286" s="30">
        <f t="shared" si="25"/>
        <v>81297336.725892976</v>
      </c>
      <c r="X286" s="30"/>
      <c r="Y286">
        <f t="shared" si="26"/>
        <v>0</v>
      </c>
      <c r="Z286">
        <f t="shared" si="27"/>
        <v>1</v>
      </c>
      <c r="AA286">
        <f t="shared" si="28"/>
        <v>0</v>
      </c>
      <c r="AB286">
        <f t="shared" si="29"/>
        <v>1</v>
      </c>
    </row>
    <row r="287" spans="6:28" x14ac:dyDescent="0.3">
      <c r="F287" s="28"/>
      <c r="G287">
        <v>279</v>
      </c>
      <c r="H287" s="109">
        <v>1107.1232171143129</v>
      </c>
      <c r="I287" s="370">
        <v>1835019.3490381148</v>
      </c>
      <c r="J287">
        <v>0</v>
      </c>
      <c r="K287">
        <v>0</v>
      </c>
      <c r="L287">
        <v>0</v>
      </c>
      <c r="M287">
        <v>1</v>
      </c>
      <c r="N287" s="109">
        <v>1657.4662338136525</v>
      </c>
      <c r="O287" s="109">
        <v>-2458408.8218869343</v>
      </c>
      <c r="P287" s="365">
        <v>1</v>
      </c>
      <c r="Q287" s="365">
        <v>0</v>
      </c>
      <c r="R287" s="365">
        <v>0</v>
      </c>
      <c r="S287" s="365">
        <v>0</v>
      </c>
      <c r="T287" s="109">
        <v>-2220.5376816997041</v>
      </c>
      <c r="V287" s="368">
        <f t="shared" si="24"/>
        <v>53521141.506677523</v>
      </c>
      <c r="W287" s="30">
        <f t="shared" si="25"/>
        <v>57814569.677602574</v>
      </c>
      <c r="X287" s="30"/>
      <c r="Y287">
        <f t="shared" si="26"/>
        <v>0</v>
      </c>
      <c r="Z287">
        <f t="shared" si="27"/>
        <v>1</v>
      </c>
      <c r="AA287">
        <f t="shared" si="28"/>
        <v>0</v>
      </c>
      <c r="AB287">
        <f t="shared" si="29"/>
        <v>1</v>
      </c>
    </row>
    <row r="288" spans="6:28" x14ac:dyDescent="0.3">
      <c r="F288" s="28"/>
      <c r="G288">
        <v>280</v>
      </c>
      <c r="H288" s="109">
        <v>1499.6154246090882</v>
      </c>
      <c r="I288" s="370">
        <v>600809.21204254427</v>
      </c>
      <c r="J288">
        <v>0</v>
      </c>
      <c r="K288">
        <v>0</v>
      </c>
      <c r="L288">
        <v>0</v>
      </c>
      <c r="M288">
        <v>1</v>
      </c>
      <c r="N288" s="109">
        <v>400.64219278029901</v>
      </c>
      <c r="O288" s="109">
        <v>-4744368.676220024</v>
      </c>
      <c r="P288" s="365">
        <v>1</v>
      </c>
      <c r="Q288" s="365">
        <v>0</v>
      </c>
      <c r="R288" s="365">
        <v>0</v>
      </c>
      <c r="S288" s="365">
        <v>0</v>
      </c>
      <c r="T288" s="109">
        <v>-3163.7235776344196</v>
      </c>
      <c r="V288" s="368">
        <f t="shared" si="24"/>
        <v>74379962.018411875</v>
      </c>
      <c r="W288" s="30">
        <f t="shared" si="25"/>
        <v>79725139.906674445</v>
      </c>
      <c r="X288" s="30"/>
      <c r="Y288">
        <f t="shared" si="26"/>
        <v>0</v>
      </c>
      <c r="Z288">
        <f t="shared" si="27"/>
        <v>1</v>
      </c>
      <c r="AA288">
        <f t="shared" si="28"/>
        <v>0</v>
      </c>
      <c r="AB288">
        <f t="shared" si="29"/>
        <v>1</v>
      </c>
    </row>
    <row r="289" spans="6:28" x14ac:dyDescent="0.3">
      <c r="F289" s="28"/>
      <c r="G289">
        <v>281</v>
      </c>
      <c r="H289" s="109">
        <v>1174.2516702553403</v>
      </c>
      <c r="I289" s="370">
        <v>2604834.5320891528</v>
      </c>
      <c r="J289">
        <v>0</v>
      </c>
      <c r="K289">
        <v>0</v>
      </c>
      <c r="L289">
        <v>0</v>
      </c>
      <c r="M289">
        <v>1</v>
      </c>
      <c r="N289" s="109">
        <v>2218.2932314013515</v>
      </c>
      <c r="O289" s="109">
        <v>-1883126.2574346692</v>
      </c>
      <c r="P289" s="365">
        <v>1</v>
      </c>
      <c r="Q289" s="365">
        <v>0</v>
      </c>
      <c r="R289" s="365">
        <v>0</v>
      </c>
      <c r="S289" s="365">
        <v>0</v>
      </c>
      <c r="T289" s="109">
        <v>-1603.6819918043502</v>
      </c>
      <c r="V289" s="368">
        <f t="shared" si="24"/>
        <v>56107748.980677865</v>
      </c>
      <c r="W289" s="30">
        <f t="shared" si="25"/>
        <v>60595709.770201683</v>
      </c>
      <c r="X289" s="30"/>
      <c r="Y289">
        <f t="shared" si="26"/>
        <v>0</v>
      </c>
      <c r="Z289">
        <f t="shared" si="27"/>
        <v>1</v>
      </c>
      <c r="AA289">
        <f t="shared" si="28"/>
        <v>0</v>
      </c>
      <c r="AB289">
        <f t="shared" si="29"/>
        <v>1</v>
      </c>
    </row>
    <row r="290" spans="6:28" x14ac:dyDescent="0.3">
      <c r="F290" s="28"/>
      <c r="G290">
        <v>282</v>
      </c>
      <c r="H290" s="109">
        <v>976.61223254507786</v>
      </c>
      <c r="I290" s="370">
        <v>1208439.0600292238</v>
      </c>
      <c r="J290">
        <v>0</v>
      </c>
      <c r="K290">
        <v>0</v>
      </c>
      <c r="L290">
        <v>0</v>
      </c>
      <c r="M290">
        <v>1</v>
      </c>
      <c r="N290" s="109">
        <v>1237.3785825721218</v>
      </c>
      <c r="O290" s="109">
        <v>-2263054.3152088001</v>
      </c>
      <c r="P290" s="365">
        <v>1</v>
      </c>
      <c r="Q290" s="365">
        <v>0</v>
      </c>
      <c r="R290" s="365">
        <v>0</v>
      </c>
      <c r="S290" s="365">
        <v>0</v>
      </c>
      <c r="T290" s="109">
        <v>-2317.2496102278174</v>
      </c>
      <c r="V290" s="368">
        <f t="shared" si="24"/>
        <v>47622172.567224666</v>
      </c>
      <c r="W290" s="30">
        <f t="shared" si="25"/>
        <v>51093665.94246269</v>
      </c>
      <c r="X290" s="30"/>
      <c r="Y290">
        <f t="shared" si="26"/>
        <v>0</v>
      </c>
      <c r="Z290">
        <f t="shared" si="27"/>
        <v>1</v>
      </c>
      <c r="AA290">
        <f t="shared" si="28"/>
        <v>0</v>
      </c>
      <c r="AB290">
        <f t="shared" si="29"/>
        <v>1</v>
      </c>
    </row>
    <row r="291" spans="6:28" x14ac:dyDescent="0.3">
      <c r="F291" s="28"/>
      <c r="G291">
        <v>283</v>
      </c>
      <c r="H291" s="109">
        <v>1291.9525106725778</v>
      </c>
      <c r="I291" s="370">
        <v>1565242.6775686429</v>
      </c>
      <c r="J291">
        <v>0</v>
      </c>
      <c r="K291">
        <v>0</v>
      </c>
      <c r="L291">
        <v>0</v>
      </c>
      <c r="M291">
        <v>1</v>
      </c>
      <c r="N291" s="109">
        <v>1211.5326721674878</v>
      </c>
      <c r="O291" s="109">
        <v>-3229307.6980132447</v>
      </c>
      <c r="P291" s="365">
        <v>1</v>
      </c>
      <c r="Q291" s="365">
        <v>0</v>
      </c>
      <c r="R291" s="365">
        <v>0</v>
      </c>
      <c r="S291" s="365">
        <v>0</v>
      </c>
      <c r="T291" s="109">
        <v>-2499.5560373438948</v>
      </c>
      <c r="V291" s="368">
        <f t="shared" si="24"/>
        <v>63032382.856060244</v>
      </c>
      <c r="W291" s="30">
        <f t="shared" si="25"/>
        <v>67826933.231642127</v>
      </c>
      <c r="X291" s="30"/>
      <c r="Y291">
        <f t="shared" si="26"/>
        <v>0</v>
      </c>
      <c r="Z291">
        <f t="shared" si="27"/>
        <v>1</v>
      </c>
      <c r="AA291">
        <f t="shared" si="28"/>
        <v>0</v>
      </c>
      <c r="AB291">
        <f t="shared" si="29"/>
        <v>1</v>
      </c>
    </row>
    <row r="292" spans="6:28" x14ac:dyDescent="0.3">
      <c r="F292" s="28"/>
      <c r="G292">
        <v>284</v>
      </c>
      <c r="H292" s="109">
        <v>1118.033725776666</v>
      </c>
      <c r="I292" s="370">
        <v>2284009.0436753351</v>
      </c>
      <c r="J292">
        <v>0</v>
      </c>
      <c r="K292">
        <v>0</v>
      </c>
      <c r="L292">
        <v>0</v>
      </c>
      <c r="M292">
        <v>1</v>
      </c>
      <c r="N292" s="109">
        <v>2042.8802736596335</v>
      </c>
      <c r="O292" s="109">
        <v>-2390894.3179827076</v>
      </c>
      <c r="P292" s="365">
        <v>1</v>
      </c>
      <c r="Q292" s="365">
        <v>0</v>
      </c>
      <c r="R292" s="365">
        <v>0</v>
      </c>
      <c r="S292" s="365">
        <v>0</v>
      </c>
      <c r="T292" s="109">
        <v>-2138.4813918040099</v>
      </c>
      <c r="V292" s="368">
        <f t="shared" si="24"/>
        <v>53617677.245157965</v>
      </c>
      <c r="W292" s="30">
        <f t="shared" si="25"/>
        <v>58292580.606816009</v>
      </c>
      <c r="X292" s="30"/>
      <c r="Y292">
        <f t="shared" si="26"/>
        <v>0</v>
      </c>
      <c r="Z292">
        <f t="shared" si="27"/>
        <v>1</v>
      </c>
      <c r="AA292">
        <f t="shared" si="28"/>
        <v>0</v>
      </c>
      <c r="AB292">
        <f t="shared" si="29"/>
        <v>1</v>
      </c>
    </row>
    <row r="293" spans="6:28" x14ac:dyDescent="0.3">
      <c r="F293" s="28"/>
      <c r="G293">
        <v>285</v>
      </c>
      <c r="H293" s="109">
        <v>1073.7481466561439</v>
      </c>
      <c r="I293" s="370">
        <v>2235935.959609508</v>
      </c>
      <c r="J293">
        <v>0</v>
      </c>
      <c r="K293">
        <v>0</v>
      </c>
      <c r="L293">
        <v>0</v>
      </c>
      <c r="M293">
        <v>1</v>
      </c>
      <c r="N293" s="109">
        <v>2082.3653727111318</v>
      </c>
      <c r="O293" s="109">
        <v>-2591557.8666809732</v>
      </c>
      <c r="P293" s="365">
        <v>1</v>
      </c>
      <c r="Q293" s="365">
        <v>0</v>
      </c>
      <c r="R293" s="365">
        <v>0</v>
      </c>
      <c r="S293" s="365">
        <v>0</v>
      </c>
      <c r="T293" s="109">
        <v>-2413.562132564864</v>
      </c>
      <c r="V293" s="368">
        <f t="shared" si="24"/>
        <v>51451471.37319769</v>
      </c>
      <c r="W293" s="30">
        <f t="shared" si="25"/>
        <v>56278965.19948817</v>
      </c>
      <c r="X293" s="30"/>
      <c r="Y293">
        <f t="shared" si="26"/>
        <v>0</v>
      </c>
      <c r="Z293">
        <f t="shared" si="27"/>
        <v>1</v>
      </c>
      <c r="AA293">
        <f t="shared" si="28"/>
        <v>0</v>
      </c>
      <c r="AB293">
        <f t="shared" si="29"/>
        <v>1</v>
      </c>
    </row>
    <row r="294" spans="6:28" x14ac:dyDescent="0.3">
      <c r="F294" s="28"/>
      <c r="G294">
        <v>286</v>
      </c>
      <c r="H294" s="109">
        <v>1292.5184750647677</v>
      </c>
      <c r="I294" s="370">
        <v>510651.98771302117</v>
      </c>
      <c r="J294">
        <v>0</v>
      </c>
      <c r="K294">
        <v>0</v>
      </c>
      <c r="L294">
        <v>0</v>
      </c>
      <c r="M294">
        <v>1</v>
      </c>
      <c r="N294" s="109">
        <v>395.08293116462613</v>
      </c>
      <c r="O294" s="109">
        <v>-4726901.3276257673</v>
      </c>
      <c r="P294" s="365">
        <v>1</v>
      </c>
      <c r="Q294" s="365">
        <v>0</v>
      </c>
      <c r="R294" s="365">
        <v>0</v>
      </c>
      <c r="S294" s="365">
        <v>0</v>
      </c>
      <c r="T294" s="109">
        <v>-3657.1247675116629</v>
      </c>
      <c r="V294" s="368">
        <f t="shared" si="24"/>
        <v>64115271.765525363</v>
      </c>
      <c r="W294" s="30">
        <f t="shared" si="25"/>
        <v>69352825.080864161</v>
      </c>
      <c r="X294" s="30"/>
      <c r="Y294">
        <f t="shared" si="26"/>
        <v>0</v>
      </c>
      <c r="Z294">
        <f t="shared" si="27"/>
        <v>1</v>
      </c>
      <c r="AA294">
        <f t="shared" si="28"/>
        <v>0</v>
      </c>
      <c r="AB294">
        <f t="shared" si="29"/>
        <v>1</v>
      </c>
    </row>
    <row r="295" spans="6:28" x14ac:dyDescent="0.3">
      <c r="F295" s="28"/>
      <c r="G295">
        <v>287</v>
      </c>
      <c r="H295" s="109">
        <v>1062.4291647517093</v>
      </c>
      <c r="I295" s="370">
        <v>2034231.5820368482</v>
      </c>
      <c r="J295">
        <v>0</v>
      </c>
      <c r="K295">
        <v>0</v>
      </c>
      <c r="L295">
        <v>0</v>
      </c>
      <c r="M295">
        <v>1</v>
      </c>
      <c r="N295" s="109">
        <v>1914.6985507614995</v>
      </c>
      <c r="O295" s="109">
        <v>-1842561.0875383576</v>
      </c>
      <c r="P295" s="365">
        <v>1</v>
      </c>
      <c r="Q295" s="365">
        <v>0</v>
      </c>
      <c r="R295" s="365">
        <v>0</v>
      </c>
      <c r="S295" s="365">
        <v>0</v>
      </c>
      <c r="T295" s="109">
        <v>-1734.2907637225544</v>
      </c>
      <c r="V295" s="368">
        <f t="shared" si="24"/>
        <v>51087226.655548617</v>
      </c>
      <c r="W295" s="30">
        <f t="shared" si="25"/>
        <v>54964019.325123817</v>
      </c>
      <c r="X295" s="30"/>
      <c r="Y295">
        <f t="shared" si="26"/>
        <v>0</v>
      </c>
      <c r="Z295">
        <f t="shared" si="27"/>
        <v>1</v>
      </c>
      <c r="AA295">
        <f t="shared" si="28"/>
        <v>0</v>
      </c>
      <c r="AB295">
        <f t="shared" si="29"/>
        <v>1</v>
      </c>
    </row>
    <row r="296" spans="6:28" x14ac:dyDescent="0.3">
      <c r="F296" s="28"/>
      <c r="G296">
        <v>288</v>
      </c>
      <c r="H296" s="109">
        <v>1091.0962881652231</v>
      </c>
      <c r="I296" s="370">
        <v>526726.4578474036</v>
      </c>
      <c r="J296">
        <v>0</v>
      </c>
      <c r="K296">
        <v>0</v>
      </c>
      <c r="L296">
        <v>0</v>
      </c>
      <c r="M296">
        <v>1</v>
      </c>
      <c r="N296" s="109">
        <v>482.74974771762965</v>
      </c>
      <c r="O296" s="109">
        <v>-3677061.3817824526</v>
      </c>
      <c r="P296" s="365">
        <v>1</v>
      </c>
      <c r="Q296" s="365">
        <v>0</v>
      </c>
      <c r="R296" s="365">
        <v>0</v>
      </c>
      <c r="S296" s="365">
        <v>0</v>
      </c>
      <c r="T296" s="109">
        <v>-3370.0613059235711</v>
      </c>
      <c r="V296" s="368">
        <f t="shared" si="24"/>
        <v>54028087.950413756</v>
      </c>
      <c r="W296" s="30">
        <f t="shared" si="25"/>
        <v>58231875.790043607</v>
      </c>
      <c r="X296" s="30"/>
      <c r="Y296">
        <f t="shared" si="26"/>
        <v>0</v>
      </c>
      <c r="Z296">
        <f t="shared" si="27"/>
        <v>1</v>
      </c>
      <c r="AA296">
        <f t="shared" si="28"/>
        <v>0</v>
      </c>
      <c r="AB296">
        <f t="shared" si="29"/>
        <v>1</v>
      </c>
    </row>
    <row r="297" spans="6:28" x14ac:dyDescent="0.3">
      <c r="F297" s="28"/>
      <c r="G297">
        <v>289</v>
      </c>
      <c r="H297" s="109">
        <v>1117.408146229347</v>
      </c>
      <c r="I297" s="370">
        <v>809383.33841195668</v>
      </c>
      <c r="J297">
        <v>0</v>
      </c>
      <c r="K297">
        <v>0</v>
      </c>
      <c r="L297">
        <v>0</v>
      </c>
      <c r="M297">
        <v>1</v>
      </c>
      <c r="N297" s="109">
        <v>724.33992999173233</v>
      </c>
      <c r="O297" s="109">
        <v>-3806328.4567677523</v>
      </c>
      <c r="P297" s="365">
        <v>1</v>
      </c>
      <c r="Q297" s="365">
        <v>0</v>
      </c>
      <c r="R297" s="365">
        <v>0</v>
      </c>
      <c r="S297" s="365">
        <v>0</v>
      </c>
      <c r="T297" s="109">
        <v>-3406.3904667350675</v>
      </c>
      <c r="V297" s="368">
        <f t="shared" si="24"/>
        <v>55061023.973055393</v>
      </c>
      <c r="W297" s="30">
        <f t="shared" si="25"/>
        <v>59676735.768235102</v>
      </c>
      <c r="X297" s="30"/>
      <c r="Y297">
        <f t="shared" si="26"/>
        <v>0</v>
      </c>
      <c r="Z297">
        <f t="shared" si="27"/>
        <v>1</v>
      </c>
      <c r="AA297">
        <f t="shared" si="28"/>
        <v>0</v>
      </c>
      <c r="AB297">
        <f t="shared" si="29"/>
        <v>1</v>
      </c>
    </row>
    <row r="298" spans="6:28" x14ac:dyDescent="0.3">
      <c r="F298" s="28"/>
      <c r="G298">
        <v>290</v>
      </c>
      <c r="H298" s="109">
        <v>1145.4582078494277</v>
      </c>
      <c r="I298" s="370">
        <v>1157526.7997916706</v>
      </c>
      <c r="J298">
        <v>0</v>
      </c>
      <c r="K298">
        <v>0</v>
      </c>
      <c r="L298">
        <v>0</v>
      </c>
      <c r="M298">
        <v>1</v>
      </c>
      <c r="N298" s="109">
        <v>1010.5360386433491</v>
      </c>
      <c r="O298" s="109">
        <v>-3737169.2254062775</v>
      </c>
      <c r="P298" s="365">
        <v>1</v>
      </c>
      <c r="Q298" s="365">
        <v>0</v>
      </c>
      <c r="R298" s="365">
        <v>0</v>
      </c>
      <c r="S298" s="365">
        <v>0</v>
      </c>
      <c r="T298" s="109">
        <v>-3262.5976223285611</v>
      </c>
      <c r="V298" s="368">
        <f t="shared" si="24"/>
        <v>56115383.592679717</v>
      </c>
      <c r="W298" s="30">
        <f t="shared" si="25"/>
        <v>61010079.617877662</v>
      </c>
      <c r="X298" s="30"/>
      <c r="Y298">
        <f t="shared" si="26"/>
        <v>0</v>
      </c>
      <c r="Z298">
        <f t="shared" si="27"/>
        <v>1</v>
      </c>
      <c r="AA298">
        <f t="shared" si="28"/>
        <v>0</v>
      </c>
      <c r="AB298">
        <f t="shared" si="29"/>
        <v>1</v>
      </c>
    </row>
    <row r="299" spans="6:28" x14ac:dyDescent="0.3">
      <c r="F299" s="28"/>
      <c r="G299">
        <v>291</v>
      </c>
      <c r="H299" s="109">
        <v>1147.6712550031225</v>
      </c>
      <c r="I299" s="370">
        <v>1662164.6158593928</v>
      </c>
      <c r="J299">
        <v>0</v>
      </c>
      <c r="K299">
        <v>0</v>
      </c>
      <c r="L299">
        <v>0</v>
      </c>
      <c r="M299">
        <v>1</v>
      </c>
      <c r="N299" s="109">
        <v>1448.2933232085441</v>
      </c>
      <c r="O299" s="109">
        <v>-2800139.152624758</v>
      </c>
      <c r="P299" s="365">
        <v>1</v>
      </c>
      <c r="Q299" s="365">
        <v>0</v>
      </c>
      <c r="R299" s="365">
        <v>0</v>
      </c>
      <c r="S299" s="365">
        <v>0</v>
      </c>
      <c r="T299" s="109">
        <v>-2439.8442850406145</v>
      </c>
      <c r="V299" s="368">
        <f t="shared" si="24"/>
        <v>55721398.134296738</v>
      </c>
      <c r="W299" s="30">
        <f t="shared" si="25"/>
        <v>60183701.902780883</v>
      </c>
      <c r="X299" s="30"/>
      <c r="Y299">
        <f t="shared" si="26"/>
        <v>0</v>
      </c>
      <c r="Z299">
        <f t="shared" si="27"/>
        <v>1</v>
      </c>
      <c r="AA299">
        <f t="shared" si="28"/>
        <v>0</v>
      </c>
      <c r="AB299">
        <f t="shared" si="29"/>
        <v>1</v>
      </c>
    </row>
    <row r="300" spans="6:28" x14ac:dyDescent="0.3">
      <c r="F300" s="28"/>
      <c r="G300">
        <v>292</v>
      </c>
      <c r="H300" s="109">
        <v>1343.6584770808549</v>
      </c>
      <c r="I300" s="370">
        <v>1864296.144903607</v>
      </c>
      <c r="J300">
        <v>0</v>
      </c>
      <c r="K300">
        <v>0</v>
      </c>
      <c r="L300">
        <v>0</v>
      </c>
      <c r="M300">
        <v>1</v>
      </c>
      <c r="N300" s="109">
        <v>1387.4776788175041</v>
      </c>
      <c r="O300" s="109">
        <v>-3796367.127146956</v>
      </c>
      <c r="P300" s="365">
        <v>1</v>
      </c>
      <c r="Q300" s="365">
        <v>0</v>
      </c>
      <c r="R300" s="365">
        <v>0</v>
      </c>
      <c r="S300" s="365">
        <v>0</v>
      </c>
      <c r="T300" s="109">
        <v>-2825.3958813959157</v>
      </c>
      <c r="V300" s="368">
        <f t="shared" si="24"/>
        <v>65318627.709139146</v>
      </c>
      <c r="W300" s="30">
        <f t="shared" si="25"/>
        <v>70979290.981189713</v>
      </c>
      <c r="X300" s="30"/>
      <c r="Y300">
        <f t="shared" si="26"/>
        <v>0</v>
      </c>
      <c r="Z300">
        <f t="shared" si="27"/>
        <v>1</v>
      </c>
      <c r="AA300">
        <f t="shared" si="28"/>
        <v>0</v>
      </c>
      <c r="AB300">
        <f t="shared" si="29"/>
        <v>1</v>
      </c>
    </row>
    <row r="301" spans="6:28" x14ac:dyDescent="0.3">
      <c r="F301" s="28"/>
      <c r="G301">
        <v>293</v>
      </c>
      <c r="H301" s="109">
        <v>1056.9653420988325</v>
      </c>
      <c r="I301" s="370">
        <v>876999.65145104274</v>
      </c>
      <c r="J301">
        <v>0</v>
      </c>
      <c r="K301">
        <v>0</v>
      </c>
      <c r="L301">
        <v>0</v>
      </c>
      <c r="M301">
        <v>1</v>
      </c>
      <c r="N301" s="109">
        <v>829.7335934493093</v>
      </c>
      <c r="O301" s="109">
        <v>-2945003.8848088961</v>
      </c>
      <c r="P301" s="365">
        <v>1</v>
      </c>
      <c r="Q301" s="365">
        <v>0</v>
      </c>
      <c r="R301" s="365">
        <v>0</v>
      </c>
      <c r="S301" s="365">
        <v>0</v>
      </c>
      <c r="T301" s="109">
        <v>-2786.2823571499102</v>
      </c>
      <c r="V301" s="368">
        <f t="shared" si="24"/>
        <v>51971267.453490578</v>
      </c>
      <c r="W301" s="30">
        <f t="shared" si="25"/>
        <v>55793270.989750519</v>
      </c>
      <c r="X301" s="30"/>
      <c r="Y301">
        <f t="shared" si="26"/>
        <v>0</v>
      </c>
      <c r="Z301">
        <f t="shared" si="27"/>
        <v>1</v>
      </c>
      <c r="AA301">
        <f t="shared" si="28"/>
        <v>0</v>
      </c>
      <c r="AB301">
        <f t="shared" si="29"/>
        <v>1</v>
      </c>
    </row>
    <row r="302" spans="6:28" x14ac:dyDescent="0.3">
      <c r="F302" s="28"/>
      <c r="G302">
        <v>294</v>
      </c>
      <c r="H302" s="109">
        <v>1178.8983264421404</v>
      </c>
      <c r="I302" s="370">
        <v>1127125.8604471518</v>
      </c>
      <c r="J302">
        <v>0</v>
      </c>
      <c r="K302">
        <v>0</v>
      </c>
      <c r="L302">
        <v>0</v>
      </c>
      <c r="M302">
        <v>1</v>
      </c>
      <c r="N302" s="109">
        <v>956.08402791508286</v>
      </c>
      <c r="O302" s="109">
        <v>-3862887.8403507839</v>
      </c>
      <c r="P302" s="365">
        <v>1</v>
      </c>
      <c r="Q302" s="365">
        <v>0</v>
      </c>
      <c r="R302" s="365">
        <v>0</v>
      </c>
      <c r="S302" s="365">
        <v>0</v>
      </c>
      <c r="T302" s="109">
        <v>-3276.6929545220387</v>
      </c>
      <c r="V302" s="368">
        <f t="shared" si="24"/>
        <v>57817790.461659864</v>
      </c>
      <c r="W302" s="30">
        <f t="shared" si="25"/>
        <v>62807804.162457801</v>
      </c>
      <c r="X302" s="30"/>
      <c r="Y302">
        <f t="shared" si="26"/>
        <v>0</v>
      </c>
      <c r="Z302">
        <f t="shared" si="27"/>
        <v>1</v>
      </c>
      <c r="AA302">
        <f t="shared" si="28"/>
        <v>0</v>
      </c>
      <c r="AB302">
        <f t="shared" si="29"/>
        <v>1</v>
      </c>
    </row>
    <row r="303" spans="6:28" x14ac:dyDescent="0.3">
      <c r="F303" s="28"/>
      <c r="G303">
        <v>295</v>
      </c>
      <c r="H303" s="109">
        <v>1176.3119193504899</v>
      </c>
      <c r="I303" s="370">
        <v>2073293.9255521789</v>
      </c>
      <c r="J303">
        <v>0</v>
      </c>
      <c r="K303">
        <v>0</v>
      </c>
      <c r="L303">
        <v>0</v>
      </c>
      <c r="M303">
        <v>1</v>
      </c>
      <c r="N303" s="109">
        <v>1762.5375476063907</v>
      </c>
      <c r="O303" s="109">
        <v>-2372463.2990654232</v>
      </c>
      <c r="P303" s="365">
        <v>1</v>
      </c>
      <c r="Q303" s="365">
        <v>0</v>
      </c>
      <c r="R303" s="365">
        <v>0</v>
      </c>
      <c r="S303" s="365">
        <v>0</v>
      </c>
      <c r="T303" s="109">
        <v>-2016.8658159779575</v>
      </c>
      <c r="V303" s="368">
        <f t="shared" si="24"/>
        <v>56742302.041972317</v>
      </c>
      <c r="W303" s="30">
        <f t="shared" si="25"/>
        <v>61188059.266589925</v>
      </c>
      <c r="X303" s="30"/>
      <c r="Y303">
        <f t="shared" si="26"/>
        <v>0</v>
      </c>
      <c r="Z303">
        <f t="shared" si="27"/>
        <v>1</v>
      </c>
      <c r="AA303">
        <f t="shared" si="28"/>
        <v>0</v>
      </c>
      <c r="AB303">
        <f t="shared" si="29"/>
        <v>1</v>
      </c>
    </row>
    <row r="304" spans="6:28" x14ac:dyDescent="0.3">
      <c r="F304" s="28"/>
      <c r="G304">
        <v>296</v>
      </c>
      <c r="H304" s="109">
        <v>1055.7620729648916</v>
      </c>
      <c r="I304" s="370">
        <v>1719462.1756915066</v>
      </c>
      <c r="J304">
        <v>0</v>
      </c>
      <c r="K304">
        <v>0</v>
      </c>
      <c r="L304">
        <v>0</v>
      </c>
      <c r="M304">
        <v>1</v>
      </c>
      <c r="N304" s="109">
        <v>1628.6455250876263</v>
      </c>
      <c r="O304" s="109">
        <v>-3097735.3167279148</v>
      </c>
      <c r="P304" s="365">
        <v>1</v>
      </c>
      <c r="Q304" s="365">
        <v>0</v>
      </c>
      <c r="R304" s="365">
        <v>0</v>
      </c>
      <c r="S304" s="365">
        <v>0</v>
      </c>
      <c r="T304" s="109">
        <v>-2934.1225604255319</v>
      </c>
      <c r="V304" s="368">
        <f t="shared" si="24"/>
        <v>51068641.472553067</v>
      </c>
      <c r="W304" s="30">
        <f t="shared" si="25"/>
        <v>55885838.964972489</v>
      </c>
      <c r="X304" s="30"/>
      <c r="Y304">
        <f t="shared" si="26"/>
        <v>0</v>
      </c>
      <c r="Z304">
        <f t="shared" si="27"/>
        <v>1</v>
      </c>
      <c r="AA304">
        <f t="shared" si="28"/>
        <v>0</v>
      </c>
      <c r="AB304">
        <f t="shared" si="29"/>
        <v>1</v>
      </c>
    </row>
    <row r="305" spans="6:28" x14ac:dyDescent="0.3">
      <c r="F305" s="28"/>
      <c r="G305">
        <v>297</v>
      </c>
      <c r="H305" s="109">
        <v>974.52456337743934</v>
      </c>
      <c r="I305" s="370">
        <v>1249992.998934391</v>
      </c>
      <c r="J305">
        <v>0</v>
      </c>
      <c r="K305">
        <v>0</v>
      </c>
      <c r="L305">
        <v>0</v>
      </c>
      <c r="M305">
        <v>1</v>
      </c>
      <c r="N305" s="109">
        <v>1282.6695661751739</v>
      </c>
      <c r="O305" s="109">
        <v>-2634838.1903980896</v>
      </c>
      <c r="P305" s="365">
        <v>1</v>
      </c>
      <c r="Q305" s="365">
        <v>0</v>
      </c>
      <c r="R305" s="365">
        <v>0</v>
      </c>
      <c r="S305" s="365">
        <v>0</v>
      </c>
      <c r="T305" s="109">
        <v>-2703.7165500133224</v>
      </c>
      <c r="V305" s="368">
        <f t="shared" si="24"/>
        <v>47476235.169937581</v>
      </c>
      <c r="W305" s="30">
        <f t="shared" si="25"/>
        <v>51361066.359270059</v>
      </c>
      <c r="X305" s="30"/>
      <c r="Y305">
        <f t="shared" si="26"/>
        <v>0</v>
      </c>
      <c r="Z305">
        <f t="shared" si="27"/>
        <v>1</v>
      </c>
      <c r="AA305">
        <f t="shared" si="28"/>
        <v>0</v>
      </c>
      <c r="AB305">
        <f t="shared" si="29"/>
        <v>1</v>
      </c>
    </row>
    <row r="306" spans="6:28" x14ac:dyDescent="0.3">
      <c r="F306" s="28"/>
      <c r="G306">
        <v>298</v>
      </c>
      <c r="H306" s="109">
        <v>936.96991114529374</v>
      </c>
      <c r="I306" s="370">
        <v>497094.53334508283</v>
      </c>
      <c r="J306">
        <v>0</v>
      </c>
      <c r="K306">
        <v>0</v>
      </c>
      <c r="L306">
        <v>0</v>
      </c>
      <c r="M306">
        <v>1</v>
      </c>
      <c r="N306" s="109">
        <v>530.5341478228105</v>
      </c>
      <c r="O306" s="109">
        <v>-3081325.6740003247</v>
      </c>
      <c r="P306" s="365">
        <v>1</v>
      </c>
      <c r="Q306" s="365">
        <v>0</v>
      </c>
      <c r="R306" s="365">
        <v>0</v>
      </c>
      <c r="S306" s="365">
        <v>0</v>
      </c>
      <c r="T306" s="109">
        <v>-3288.6068563652207</v>
      </c>
      <c r="V306" s="368">
        <f t="shared" si="24"/>
        <v>46351401.023919605</v>
      </c>
      <c r="W306" s="30">
        <f t="shared" si="25"/>
        <v>49929821.231265008</v>
      </c>
      <c r="X306" s="30"/>
      <c r="Y306">
        <f t="shared" si="26"/>
        <v>0</v>
      </c>
      <c r="Z306">
        <f t="shared" si="27"/>
        <v>1</v>
      </c>
      <c r="AA306">
        <f t="shared" si="28"/>
        <v>0</v>
      </c>
      <c r="AB306">
        <f t="shared" si="29"/>
        <v>1</v>
      </c>
    </row>
    <row r="307" spans="6:28" x14ac:dyDescent="0.3">
      <c r="F307" s="28"/>
      <c r="G307">
        <v>299</v>
      </c>
      <c r="H307" s="109">
        <v>1173.817489372399</v>
      </c>
      <c r="I307" s="370">
        <v>1432739.0567928243</v>
      </c>
      <c r="J307">
        <v>0</v>
      </c>
      <c r="K307">
        <v>0</v>
      </c>
      <c r="L307">
        <v>0</v>
      </c>
      <c r="M307">
        <v>1</v>
      </c>
      <c r="N307" s="109">
        <v>1220.580771512326</v>
      </c>
      <c r="O307" s="109">
        <v>-3286197.509108983</v>
      </c>
      <c r="P307" s="365">
        <v>1</v>
      </c>
      <c r="Q307" s="365">
        <v>0</v>
      </c>
      <c r="R307" s="365">
        <v>0</v>
      </c>
      <c r="S307" s="365">
        <v>0</v>
      </c>
      <c r="T307" s="109">
        <v>-2799.5813138429239</v>
      </c>
      <c r="V307" s="368">
        <f t="shared" si="24"/>
        <v>57258135.411827125</v>
      </c>
      <c r="W307" s="30">
        <f t="shared" si="25"/>
        <v>61977071.977728933</v>
      </c>
      <c r="X307" s="30"/>
      <c r="Y307">
        <f t="shared" si="26"/>
        <v>0</v>
      </c>
      <c r="Z307">
        <f t="shared" si="27"/>
        <v>1</v>
      </c>
      <c r="AA307">
        <f t="shared" si="28"/>
        <v>0</v>
      </c>
      <c r="AB307">
        <f t="shared" si="29"/>
        <v>1</v>
      </c>
    </row>
    <row r="308" spans="6:28" x14ac:dyDescent="0.3">
      <c r="F308" s="28"/>
      <c r="G308">
        <v>300</v>
      </c>
      <c r="H308" s="109">
        <v>977.62800915254775</v>
      </c>
      <c r="I308" s="370">
        <v>947134.90558029525</v>
      </c>
      <c r="J308">
        <v>0</v>
      </c>
      <c r="K308">
        <v>0</v>
      </c>
      <c r="L308">
        <v>0</v>
      </c>
      <c r="M308">
        <v>1</v>
      </c>
      <c r="N308" s="109">
        <v>968.80909375879548</v>
      </c>
      <c r="O308" s="109">
        <v>-2862435.9268768625</v>
      </c>
      <c r="P308" s="365">
        <v>1</v>
      </c>
      <c r="Q308" s="365">
        <v>0</v>
      </c>
      <c r="R308" s="365">
        <v>0</v>
      </c>
      <c r="S308" s="365">
        <v>0</v>
      </c>
      <c r="T308" s="109">
        <v>-2927.9397685814583</v>
      </c>
      <c r="V308" s="368">
        <f t="shared" si="24"/>
        <v>47934265.552047089</v>
      </c>
      <c r="W308" s="30">
        <f t="shared" si="25"/>
        <v>51743836.384504251</v>
      </c>
      <c r="X308" s="30"/>
      <c r="Y308">
        <f t="shared" si="26"/>
        <v>0</v>
      </c>
      <c r="Z308">
        <f t="shared" si="27"/>
        <v>1</v>
      </c>
      <c r="AA308">
        <f t="shared" si="28"/>
        <v>0</v>
      </c>
      <c r="AB308">
        <f t="shared" si="29"/>
        <v>1</v>
      </c>
    </row>
    <row r="309" spans="6:28" x14ac:dyDescent="0.3">
      <c r="F309" s="28"/>
      <c r="G309">
        <v>301</v>
      </c>
      <c r="H309" s="109">
        <v>1238.675561892509</v>
      </c>
      <c r="I309" s="370">
        <v>1465206.0959485965</v>
      </c>
      <c r="J309">
        <v>0</v>
      </c>
      <c r="K309">
        <v>0</v>
      </c>
      <c r="L309">
        <v>0</v>
      </c>
      <c r="M309">
        <v>1</v>
      </c>
      <c r="N309" s="109">
        <v>1182.8812491545268</v>
      </c>
      <c r="O309" s="109">
        <v>-2897192.1487875534</v>
      </c>
      <c r="P309" s="365">
        <v>1</v>
      </c>
      <c r="Q309" s="365">
        <v>0</v>
      </c>
      <c r="R309" s="365">
        <v>0</v>
      </c>
      <c r="S309" s="365">
        <v>0</v>
      </c>
      <c r="T309" s="109">
        <v>-2338.9434957133421</v>
      </c>
      <c r="V309" s="368">
        <f t="shared" si="24"/>
        <v>60468571.998676851</v>
      </c>
      <c r="W309" s="30">
        <f t="shared" si="25"/>
        <v>64830970.243413001</v>
      </c>
      <c r="X309" s="30"/>
      <c r="Y309">
        <f t="shared" si="26"/>
        <v>0</v>
      </c>
      <c r="Z309">
        <f t="shared" si="27"/>
        <v>1</v>
      </c>
      <c r="AA309">
        <f t="shared" si="28"/>
        <v>0</v>
      </c>
      <c r="AB309">
        <f t="shared" si="29"/>
        <v>1</v>
      </c>
    </row>
    <row r="310" spans="6:28" x14ac:dyDescent="0.3">
      <c r="F310" s="28"/>
      <c r="G310">
        <v>302</v>
      </c>
      <c r="H310" s="109">
        <v>1212.9524981661525</v>
      </c>
      <c r="I310" s="370">
        <v>2386576.5203817417</v>
      </c>
      <c r="J310">
        <v>0</v>
      </c>
      <c r="K310">
        <v>0</v>
      </c>
      <c r="L310">
        <v>0</v>
      </c>
      <c r="M310">
        <v>1</v>
      </c>
      <c r="N310" s="109">
        <v>1967.5762439089547</v>
      </c>
      <c r="O310" s="109">
        <v>-2442684.3764592721</v>
      </c>
      <c r="P310" s="365">
        <v>1</v>
      </c>
      <c r="Q310" s="365">
        <v>0</v>
      </c>
      <c r="R310" s="365">
        <v>0</v>
      </c>
      <c r="S310" s="365">
        <v>0</v>
      </c>
      <c r="T310" s="109">
        <v>-2013.8335014374723</v>
      </c>
      <c r="V310" s="368">
        <f t="shared" si="24"/>
        <v>58261048.387925886</v>
      </c>
      <c r="W310" s="30">
        <f t="shared" si="25"/>
        <v>63090309.284766898</v>
      </c>
      <c r="X310" s="30"/>
      <c r="Y310">
        <f t="shared" si="26"/>
        <v>0</v>
      </c>
      <c r="Z310">
        <f t="shared" si="27"/>
        <v>1</v>
      </c>
      <c r="AA310">
        <f t="shared" si="28"/>
        <v>0</v>
      </c>
      <c r="AB310">
        <f t="shared" si="29"/>
        <v>1</v>
      </c>
    </row>
    <row r="311" spans="6:28" x14ac:dyDescent="0.3">
      <c r="F311" s="28"/>
      <c r="G311">
        <v>303</v>
      </c>
      <c r="H311" s="109">
        <v>1222.861702940223</v>
      </c>
      <c r="I311" s="370">
        <v>1242468.8059277735</v>
      </c>
      <c r="J311">
        <v>0</v>
      </c>
      <c r="K311">
        <v>0</v>
      </c>
      <c r="L311">
        <v>0</v>
      </c>
      <c r="M311">
        <v>1</v>
      </c>
      <c r="N311" s="109">
        <v>1016.033786110406</v>
      </c>
      <c r="O311" s="109">
        <v>-3534427.2416874403</v>
      </c>
      <c r="P311" s="365">
        <v>1</v>
      </c>
      <c r="Q311" s="365">
        <v>0</v>
      </c>
      <c r="R311" s="365">
        <v>0</v>
      </c>
      <c r="S311" s="365">
        <v>0</v>
      </c>
      <c r="T311" s="109">
        <v>-2890.2918728989039</v>
      </c>
      <c r="V311" s="368">
        <f t="shared" si="24"/>
        <v>59900616.341083378</v>
      </c>
      <c r="W311" s="30">
        <f t="shared" si="25"/>
        <v>64677512.388698593</v>
      </c>
      <c r="X311" s="30"/>
      <c r="Y311">
        <f t="shared" si="26"/>
        <v>0</v>
      </c>
      <c r="Z311">
        <f t="shared" si="27"/>
        <v>1</v>
      </c>
      <c r="AA311">
        <f t="shared" si="28"/>
        <v>0</v>
      </c>
      <c r="AB311">
        <f t="shared" si="29"/>
        <v>1</v>
      </c>
    </row>
    <row r="312" spans="6:28" x14ac:dyDescent="0.3">
      <c r="F312" s="28"/>
      <c r="G312">
        <v>304</v>
      </c>
      <c r="H312" s="109">
        <v>1003.4961656667219</v>
      </c>
      <c r="I312" s="370">
        <v>1700690.9347339009</v>
      </c>
      <c r="J312">
        <v>0</v>
      </c>
      <c r="K312">
        <v>0</v>
      </c>
      <c r="L312">
        <v>0</v>
      </c>
      <c r="M312">
        <v>1</v>
      </c>
      <c r="N312" s="109">
        <v>1694.7657528954915</v>
      </c>
      <c r="O312" s="109">
        <v>-2859008.9713420738</v>
      </c>
      <c r="P312" s="365">
        <v>1</v>
      </c>
      <c r="Q312" s="365">
        <v>0</v>
      </c>
      <c r="R312" s="365">
        <v>0</v>
      </c>
      <c r="S312" s="365">
        <v>0</v>
      </c>
      <c r="T312" s="109">
        <v>-2849.0482267488792</v>
      </c>
      <c r="V312" s="368">
        <f t="shared" si="24"/>
        <v>48474117.348602198</v>
      </c>
      <c r="W312" s="30">
        <f t="shared" si="25"/>
        <v>53033817.254678167</v>
      </c>
      <c r="X312" s="30"/>
      <c r="Y312">
        <f t="shared" si="26"/>
        <v>0</v>
      </c>
      <c r="Z312">
        <f t="shared" si="27"/>
        <v>1</v>
      </c>
      <c r="AA312">
        <f t="shared" si="28"/>
        <v>0</v>
      </c>
      <c r="AB312">
        <f t="shared" si="29"/>
        <v>1</v>
      </c>
    </row>
    <row r="313" spans="6:28" x14ac:dyDescent="0.3">
      <c r="F313" s="28"/>
      <c r="G313">
        <v>305</v>
      </c>
      <c r="H313" s="109">
        <v>1238.8005609073953</v>
      </c>
      <c r="I313" s="370">
        <v>1033611.2649228793</v>
      </c>
      <c r="J313">
        <v>0</v>
      </c>
      <c r="K313">
        <v>0</v>
      </c>
      <c r="L313">
        <v>0</v>
      </c>
      <c r="M313">
        <v>1</v>
      </c>
      <c r="N313" s="109">
        <v>834.36454385020693</v>
      </c>
      <c r="O313" s="109">
        <v>-4587926.4178210832</v>
      </c>
      <c r="P313" s="365">
        <v>1</v>
      </c>
      <c r="Q313" s="365">
        <v>0</v>
      </c>
      <c r="R313" s="365">
        <v>0</v>
      </c>
      <c r="S313" s="365">
        <v>0</v>
      </c>
      <c r="T313" s="109">
        <v>-3703.5230388179061</v>
      </c>
      <c r="V313" s="368">
        <f t="shared" si="24"/>
        <v>60906416.780446887</v>
      </c>
      <c r="W313" s="30">
        <f t="shared" si="25"/>
        <v>66527954.463190854</v>
      </c>
      <c r="X313" s="30"/>
      <c r="Y313">
        <f t="shared" si="26"/>
        <v>0</v>
      </c>
      <c r="Z313">
        <f t="shared" si="27"/>
        <v>1</v>
      </c>
      <c r="AA313">
        <f t="shared" si="28"/>
        <v>0</v>
      </c>
      <c r="AB313">
        <f t="shared" si="29"/>
        <v>1</v>
      </c>
    </row>
    <row r="314" spans="6:28" x14ac:dyDescent="0.3">
      <c r="F314" s="28"/>
      <c r="G314">
        <v>306</v>
      </c>
      <c r="H314" s="109">
        <v>1136.979078139324</v>
      </c>
      <c r="I314" s="370">
        <v>1801119.7960602536</v>
      </c>
      <c r="J314">
        <v>0</v>
      </c>
      <c r="K314">
        <v>0</v>
      </c>
      <c r="L314">
        <v>0</v>
      </c>
      <c r="M314">
        <v>1</v>
      </c>
      <c r="N314" s="109">
        <v>1584.1274748940866</v>
      </c>
      <c r="O314" s="109">
        <v>-2440972.8559041223</v>
      </c>
      <c r="P314" s="365">
        <v>1</v>
      </c>
      <c r="Q314" s="365">
        <v>0</v>
      </c>
      <c r="R314" s="365">
        <v>0</v>
      </c>
      <c r="S314" s="365">
        <v>0</v>
      </c>
      <c r="T314" s="109">
        <v>-2146.8933798665807</v>
      </c>
      <c r="V314" s="368">
        <f t="shared" si="24"/>
        <v>55047834.110905945</v>
      </c>
      <c r="W314" s="30">
        <f t="shared" si="25"/>
        <v>59289926.762870327</v>
      </c>
      <c r="X314" s="30"/>
      <c r="Y314">
        <f t="shared" si="26"/>
        <v>0</v>
      </c>
      <c r="Z314">
        <f t="shared" si="27"/>
        <v>1</v>
      </c>
      <c r="AA314">
        <f t="shared" si="28"/>
        <v>0</v>
      </c>
      <c r="AB314">
        <f t="shared" si="29"/>
        <v>1</v>
      </c>
    </row>
    <row r="315" spans="6:28" x14ac:dyDescent="0.3">
      <c r="F315" s="28"/>
      <c r="G315">
        <v>307</v>
      </c>
      <c r="H315" s="109">
        <v>1310.9624387531512</v>
      </c>
      <c r="I315" s="370">
        <v>785999.48441506177</v>
      </c>
      <c r="J315">
        <v>0</v>
      </c>
      <c r="K315">
        <v>0</v>
      </c>
      <c r="L315">
        <v>0</v>
      </c>
      <c r="M315">
        <v>1</v>
      </c>
      <c r="N315" s="109">
        <v>599.55911869040381</v>
      </c>
      <c r="O315" s="109">
        <v>-4264141.4350815127</v>
      </c>
      <c r="P315" s="365">
        <v>1</v>
      </c>
      <c r="Q315" s="365">
        <v>0</v>
      </c>
      <c r="R315" s="365">
        <v>0</v>
      </c>
      <c r="S315" s="365">
        <v>0</v>
      </c>
      <c r="T315" s="109">
        <v>-3252.6800990096353</v>
      </c>
      <c r="V315" s="368">
        <f t="shared" si="24"/>
        <v>64762122.453242496</v>
      </c>
      <c r="W315" s="30">
        <f t="shared" si="25"/>
        <v>69812263.372739077</v>
      </c>
      <c r="X315" s="30"/>
      <c r="Y315">
        <f t="shared" si="26"/>
        <v>0</v>
      </c>
      <c r="Z315">
        <f t="shared" si="27"/>
        <v>1</v>
      </c>
      <c r="AA315">
        <f t="shared" si="28"/>
        <v>0</v>
      </c>
      <c r="AB315">
        <f t="shared" si="29"/>
        <v>1</v>
      </c>
    </row>
    <row r="316" spans="6:28" x14ac:dyDescent="0.3">
      <c r="F316" s="28"/>
      <c r="G316">
        <v>308</v>
      </c>
      <c r="H316" s="109">
        <v>1220.8369865664936</v>
      </c>
      <c r="I316" s="370">
        <v>1189573.2282372538</v>
      </c>
      <c r="J316">
        <v>0</v>
      </c>
      <c r="K316">
        <v>0</v>
      </c>
      <c r="L316">
        <v>0</v>
      </c>
      <c r="M316">
        <v>1</v>
      </c>
      <c r="N316" s="109">
        <v>974.391537385211</v>
      </c>
      <c r="O316" s="109">
        <v>-4098991.8068445246</v>
      </c>
      <c r="P316" s="365">
        <v>1</v>
      </c>
      <c r="Q316" s="365">
        <v>0</v>
      </c>
      <c r="R316" s="365">
        <v>0</v>
      </c>
      <c r="S316" s="365">
        <v>0</v>
      </c>
      <c r="T316" s="109">
        <v>-3357.5259039068037</v>
      </c>
      <c r="V316" s="368">
        <f t="shared" si="24"/>
        <v>59852276.100087419</v>
      </c>
      <c r="W316" s="30">
        <f t="shared" si="25"/>
        <v>65140841.135169201</v>
      </c>
      <c r="X316" s="30"/>
      <c r="Y316">
        <f t="shared" si="26"/>
        <v>0</v>
      </c>
      <c r="Z316">
        <f t="shared" si="27"/>
        <v>1</v>
      </c>
      <c r="AA316">
        <f t="shared" si="28"/>
        <v>0</v>
      </c>
      <c r="AB316">
        <f t="shared" si="29"/>
        <v>1</v>
      </c>
    </row>
    <row r="317" spans="6:28" x14ac:dyDescent="0.3">
      <c r="F317" s="28"/>
      <c r="G317">
        <v>309</v>
      </c>
      <c r="H317" s="109">
        <v>1493.6486575870294</v>
      </c>
      <c r="I317" s="370">
        <v>1457179.0298109853</v>
      </c>
      <c r="J317">
        <v>0</v>
      </c>
      <c r="K317">
        <v>0</v>
      </c>
      <c r="L317">
        <v>0</v>
      </c>
      <c r="M317">
        <v>1</v>
      </c>
      <c r="N317" s="109">
        <v>975.58352990792332</v>
      </c>
      <c r="O317" s="109">
        <v>-4510710.9115854576</v>
      </c>
      <c r="P317" s="365">
        <v>1</v>
      </c>
      <c r="Q317" s="365">
        <v>0</v>
      </c>
      <c r="R317" s="365">
        <v>0</v>
      </c>
      <c r="S317" s="365">
        <v>0</v>
      </c>
      <c r="T317" s="109">
        <v>-3019.9276708569832</v>
      </c>
      <c r="V317" s="368">
        <f t="shared" si="24"/>
        <v>73225253.849540487</v>
      </c>
      <c r="W317" s="30">
        <f t="shared" si="25"/>
        <v>79193143.790936917</v>
      </c>
      <c r="X317" s="30"/>
      <c r="Y317">
        <f t="shared" si="26"/>
        <v>0</v>
      </c>
      <c r="Z317">
        <f t="shared" si="27"/>
        <v>1</v>
      </c>
      <c r="AA317">
        <f t="shared" si="28"/>
        <v>0</v>
      </c>
      <c r="AB317">
        <f t="shared" si="29"/>
        <v>1</v>
      </c>
    </row>
    <row r="318" spans="6:28" x14ac:dyDescent="0.3">
      <c r="F318" s="28"/>
      <c r="G318">
        <v>310</v>
      </c>
      <c r="H318" s="109">
        <v>1393.35696504511</v>
      </c>
      <c r="I318" s="370">
        <v>907140.69271760748</v>
      </c>
      <c r="J318">
        <v>0</v>
      </c>
      <c r="K318">
        <v>0</v>
      </c>
      <c r="L318">
        <v>0</v>
      </c>
      <c r="M318">
        <v>1</v>
      </c>
      <c r="N318" s="109">
        <v>651.04687131501782</v>
      </c>
      <c r="O318" s="109">
        <v>-4884582.7020324459</v>
      </c>
      <c r="P318" s="365">
        <v>1</v>
      </c>
      <c r="Q318" s="365">
        <v>0</v>
      </c>
      <c r="R318" s="365">
        <v>0</v>
      </c>
      <c r="S318" s="365">
        <v>0</v>
      </c>
      <c r="T318" s="109">
        <v>-3505.62190778894</v>
      </c>
      <c r="V318" s="368">
        <f t="shared" si="24"/>
        <v>68760707.559537888</v>
      </c>
      <c r="W318" s="30">
        <f t="shared" si="25"/>
        <v>74552430.954287946</v>
      </c>
      <c r="X318" s="30"/>
      <c r="Y318">
        <f t="shared" si="26"/>
        <v>0</v>
      </c>
      <c r="Z318">
        <f t="shared" si="27"/>
        <v>1</v>
      </c>
      <c r="AA318">
        <f t="shared" si="28"/>
        <v>0</v>
      </c>
      <c r="AB318">
        <f t="shared" si="29"/>
        <v>1</v>
      </c>
    </row>
    <row r="319" spans="6:28" x14ac:dyDescent="0.3">
      <c r="F319" s="28"/>
      <c r="G319">
        <v>311</v>
      </c>
      <c r="H319" s="109">
        <v>1262.3368484560851</v>
      </c>
      <c r="I319" s="370">
        <v>1898866.6137186426</v>
      </c>
      <c r="J319">
        <v>0</v>
      </c>
      <c r="K319">
        <v>0</v>
      </c>
      <c r="L319">
        <v>0</v>
      </c>
      <c r="M319">
        <v>1</v>
      </c>
      <c r="N319" s="109">
        <v>1504.2471556154542</v>
      </c>
      <c r="O319" s="109">
        <v>-3144239.3671876835</v>
      </c>
      <c r="P319" s="365">
        <v>1</v>
      </c>
      <c r="Q319" s="365">
        <v>0</v>
      </c>
      <c r="R319" s="365">
        <v>0</v>
      </c>
      <c r="S319" s="365">
        <v>0</v>
      </c>
      <c r="T319" s="109">
        <v>-2490.8085120332817</v>
      </c>
      <c r="V319" s="368">
        <f t="shared" si="24"/>
        <v>61217975.809085615</v>
      </c>
      <c r="W319" s="30">
        <f t="shared" si="25"/>
        <v>66261081.789991945</v>
      </c>
      <c r="X319" s="30"/>
      <c r="Y319">
        <f t="shared" si="26"/>
        <v>0</v>
      </c>
      <c r="Z319">
        <f t="shared" si="27"/>
        <v>1</v>
      </c>
      <c r="AA319">
        <f t="shared" si="28"/>
        <v>0</v>
      </c>
      <c r="AB319">
        <f t="shared" si="29"/>
        <v>1</v>
      </c>
    </row>
    <row r="320" spans="6:28" x14ac:dyDescent="0.3">
      <c r="F320" s="28"/>
      <c r="G320">
        <v>312</v>
      </c>
      <c r="H320" s="109">
        <v>1186.8034119347358</v>
      </c>
      <c r="I320" s="370">
        <v>1163489.7730927174</v>
      </c>
      <c r="J320">
        <v>0</v>
      </c>
      <c r="K320">
        <v>0</v>
      </c>
      <c r="L320">
        <v>0</v>
      </c>
      <c r="M320">
        <v>1</v>
      </c>
      <c r="N320" s="109">
        <v>980.35593881213038</v>
      </c>
      <c r="O320" s="109">
        <v>-3797205.3475886337</v>
      </c>
      <c r="P320" s="365">
        <v>1</v>
      </c>
      <c r="Q320" s="365">
        <v>0</v>
      </c>
      <c r="R320" s="365">
        <v>0</v>
      </c>
      <c r="S320" s="365">
        <v>0</v>
      </c>
      <c r="T320" s="109">
        <v>-3199.5234504747514</v>
      </c>
      <c r="V320" s="368">
        <f t="shared" si="24"/>
        <v>58176680.823644072</v>
      </c>
      <c r="W320" s="30">
        <f t="shared" si="25"/>
        <v>63137375.944325425</v>
      </c>
      <c r="X320" s="30"/>
      <c r="Y320">
        <f t="shared" si="26"/>
        <v>0</v>
      </c>
      <c r="Z320">
        <f t="shared" si="27"/>
        <v>1</v>
      </c>
      <c r="AA320">
        <f t="shared" si="28"/>
        <v>0</v>
      </c>
      <c r="AB320">
        <f t="shared" si="29"/>
        <v>1</v>
      </c>
    </row>
    <row r="321" spans="6:28" x14ac:dyDescent="0.3">
      <c r="F321" s="28"/>
      <c r="G321">
        <v>313</v>
      </c>
      <c r="H321" s="109">
        <v>1081.0983895775207</v>
      </c>
      <c r="I321" s="370">
        <v>1379471.1689077725</v>
      </c>
      <c r="J321">
        <v>0</v>
      </c>
      <c r="K321">
        <v>0</v>
      </c>
      <c r="L321">
        <v>0</v>
      </c>
      <c r="M321">
        <v>1</v>
      </c>
      <c r="N321" s="109">
        <v>1275.9904021750065</v>
      </c>
      <c r="O321" s="109">
        <v>-2536410.0508756451</v>
      </c>
      <c r="P321" s="365">
        <v>1</v>
      </c>
      <c r="Q321" s="365">
        <v>0</v>
      </c>
      <c r="R321" s="365">
        <v>0</v>
      </c>
      <c r="S321" s="365">
        <v>0</v>
      </c>
      <c r="T321" s="109">
        <v>-2346.1417344880529</v>
      </c>
      <c r="V321" s="368">
        <f t="shared" si="24"/>
        <v>52675448.30996827</v>
      </c>
      <c r="W321" s="30">
        <f t="shared" si="25"/>
        <v>56591329.529751688</v>
      </c>
      <c r="X321" s="30"/>
      <c r="Y321">
        <f t="shared" si="26"/>
        <v>0</v>
      </c>
      <c r="Z321">
        <f t="shared" si="27"/>
        <v>1</v>
      </c>
      <c r="AA321">
        <f t="shared" si="28"/>
        <v>0</v>
      </c>
      <c r="AB321">
        <f t="shared" si="29"/>
        <v>1</v>
      </c>
    </row>
    <row r="322" spans="6:28" x14ac:dyDescent="0.3">
      <c r="F322" s="28"/>
      <c r="G322">
        <v>314</v>
      </c>
      <c r="H322" s="109">
        <v>1074.7804434531863</v>
      </c>
      <c r="I322" s="370">
        <v>1812127.6423921157</v>
      </c>
      <c r="J322">
        <v>0</v>
      </c>
      <c r="K322">
        <v>0</v>
      </c>
      <c r="L322">
        <v>0</v>
      </c>
      <c r="M322">
        <v>1</v>
      </c>
      <c r="N322" s="109">
        <v>1686.0444879047948</v>
      </c>
      <c r="O322" s="109">
        <v>-3305461.2042653156</v>
      </c>
      <c r="P322" s="365">
        <v>1</v>
      </c>
      <c r="Q322" s="365">
        <v>0</v>
      </c>
      <c r="R322" s="365">
        <v>0</v>
      </c>
      <c r="S322" s="365">
        <v>0</v>
      </c>
      <c r="T322" s="109">
        <v>-3075.4757628870925</v>
      </c>
      <c r="V322" s="368">
        <f t="shared" si="24"/>
        <v>51926894.530267201</v>
      </c>
      <c r="W322" s="30">
        <f t="shared" si="25"/>
        <v>57044483.376924634</v>
      </c>
      <c r="X322" s="30"/>
      <c r="Y322">
        <f t="shared" si="26"/>
        <v>0</v>
      </c>
      <c r="Z322">
        <f t="shared" si="27"/>
        <v>1</v>
      </c>
      <c r="AA322">
        <f t="shared" si="28"/>
        <v>0</v>
      </c>
      <c r="AB322">
        <f t="shared" si="29"/>
        <v>1</v>
      </c>
    </row>
    <row r="323" spans="6:28" x14ac:dyDescent="0.3">
      <c r="F323" s="28"/>
      <c r="G323">
        <v>315</v>
      </c>
      <c r="H323" s="109">
        <v>1466.7705862425719</v>
      </c>
      <c r="I323" s="370">
        <v>1450406.0868963497</v>
      </c>
      <c r="J323">
        <v>0</v>
      </c>
      <c r="K323">
        <v>0</v>
      </c>
      <c r="L323">
        <v>0</v>
      </c>
      <c r="M323">
        <v>1</v>
      </c>
      <c r="N323" s="109">
        <v>988.84317731776775</v>
      </c>
      <c r="O323" s="109">
        <v>-3839312.423808252</v>
      </c>
      <c r="P323" s="365">
        <v>1</v>
      </c>
      <c r="Q323" s="365">
        <v>0</v>
      </c>
      <c r="R323" s="365">
        <v>0</v>
      </c>
      <c r="S323" s="365">
        <v>0</v>
      </c>
      <c r="T323" s="109">
        <v>-2617.5275532647702</v>
      </c>
      <c r="V323" s="368">
        <f t="shared" si="24"/>
        <v>71888123.225232244</v>
      </c>
      <c r="W323" s="30">
        <f t="shared" si="25"/>
        <v>77177841.735936835</v>
      </c>
      <c r="X323" s="30"/>
      <c r="Y323">
        <f t="shared" si="26"/>
        <v>0</v>
      </c>
      <c r="Z323">
        <f t="shared" si="27"/>
        <v>1</v>
      </c>
      <c r="AA323">
        <f t="shared" si="28"/>
        <v>0</v>
      </c>
      <c r="AB323">
        <f t="shared" si="29"/>
        <v>1</v>
      </c>
    </row>
    <row r="324" spans="6:28" x14ac:dyDescent="0.3">
      <c r="F324" s="28"/>
      <c r="G324">
        <v>316</v>
      </c>
      <c r="H324" s="109">
        <v>1146.5787202861611</v>
      </c>
      <c r="I324" s="370">
        <v>1525735.9198863518</v>
      </c>
      <c r="J324">
        <v>0</v>
      </c>
      <c r="K324">
        <v>0</v>
      </c>
      <c r="L324">
        <v>0</v>
      </c>
      <c r="M324">
        <v>1</v>
      </c>
      <c r="N324" s="109">
        <v>1330.6857112310277</v>
      </c>
      <c r="O324" s="109">
        <v>-2816408.7381145428</v>
      </c>
      <c r="P324" s="365">
        <v>1</v>
      </c>
      <c r="Q324" s="365">
        <v>0</v>
      </c>
      <c r="R324" s="365">
        <v>0</v>
      </c>
      <c r="S324" s="365">
        <v>0</v>
      </c>
      <c r="T324" s="109">
        <v>-2456.3588075414727</v>
      </c>
      <c r="V324" s="368">
        <f t="shared" si="24"/>
        <v>55803200.094421707</v>
      </c>
      <c r="W324" s="30">
        <f t="shared" si="25"/>
        <v>60145344.752422601</v>
      </c>
      <c r="X324" s="30"/>
      <c r="Y324">
        <f t="shared" si="26"/>
        <v>0</v>
      </c>
      <c r="Z324">
        <f t="shared" si="27"/>
        <v>1</v>
      </c>
      <c r="AA324">
        <f t="shared" si="28"/>
        <v>0</v>
      </c>
      <c r="AB324">
        <f t="shared" si="29"/>
        <v>1</v>
      </c>
    </row>
    <row r="325" spans="6:28" x14ac:dyDescent="0.3">
      <c r="F325" s="28"/>
      <c r="G325">
        <v>317</v>
      </c>
      <c r="H325" s="109">
        <v>1184.1784746013145</v>
      </c>
      <c r="I325" s="370">
        <v>649387.30524462636</v>
      </c>
      <c r="J325">
        <v>0</v>
      </c>
      <c r="K325">
        <v>0</v>
      </c>
      <c r="L325">
        <v>0</v>
      </c>
      <c r="M325">
        <v>1</v>
      </c>
      <c r="N325" s="109">
        <v>548.38634477227765</v>
      </c>
      <c r="O325" s="109">
        <v>-4527132.1617590198</v>
      </c>
      <c r="P325" s="365">
        <v>1</v>
      </c>
      <c r="Q325" s="365">
        <v>0</v>
      </c>
      <c r="R325" s="365">
        <v>0</v>
      </c>
      <c r="S325" s="365">
        <v>0</v>
      </c>
      <c r="T325" s="109">
        <v>-3823.0150765772028</v>
      </c>
      <c r="V325" s="368">
        <f t="shared" si="24"/>
        <v>58559536.424821101</v>
      </c>
      <c r="W325" s="30">
        <f t="shared" si="25"/>
        <v>63736055.891824745</v>
      </c>
      <c r="X325" s="30"/>
      <c r="Y325">
        <f t="shared" si="26"/>
        <v>0</v>
      </c>
      <c r="Z325">
        <f t="shared" si="27"/>
        <v>1</v>
      </c>
      <c r="AA325">
        <f t="shared" si="28"/>
        <v>0</v>
      </c>
      <c r="AB325">
        <f t="shared" si="29"/>
        <v>1</v>
      </c>
    </row>
    <row r="326" spans="6:28" x14ac:dyDescent="0.3">
      <c r="F326" s="28"/>
      <c r="G326">
        <v>318</v>
      </c>
      <c r="H326" s="109">
        <v>1056.7352378185897</v>
      </c>
      <c r="I326" s="370">
        <v>973473.85408076795</v>
      </c>
      <c r="J326">
        <v>0</v>
      </c>
      <c r="K326">
        <v>0</v>
      </c>
      <c r="L326">
        <v>0</v>
      </c>
      <c r="M326">
        <v>1</v>
      </c>
      <c r="N326" s="109">
        <v>921.20885084735369</v>
      </c>
      <c r="O326" s="109">
        <v>-3568778.5301442095</v>
      </c>
      <c r="P326" s="365">
        <v>1</v>
      </c>
      <c r="Q326" s="365">
        <v>0</v>
      </c>
      <c r="R326" s="365">
        <v>0</v>
      </c>
      <c r="S326" s="365">
        <v>0</v>
      </c>
      <c r="T326" s="109">
        <v>-3377.1737729795132</v>
      </c>
      <c r="V326" s="368">
        <f t="shared" si="24"/>
        <v>51863288.036848716</v>
      </c>
      <c r="W326" s="30">
        <f t="shared" si="25"/>
        <v>56405540.42107369</v>
      </c>
      <c r="X326" s="30"/>
      <c r="Y326">
        <f t="shared" si="26"/>
        <v>0</v>
      </c>
      <c r="Z326">
        <f t="shared" si="27"/>
        <v>1</v>
      </c>
      <c r="AA326">
        <f t="shared" si="28"/>
        <v>0</v>
      </c>
      <c r="AB326">
        <f t="shared" si="29"/>
        <v>1</v>
      </c>
    </row>
    <row r="327" spans="6:28" x14ac:dyDescent="0.3">
      <c r="F327" s="28"/>
      <c r="G327">
        <v>319</v>
      </c>
      <c r="H327" s="109">
        <v>1112.9153175489628</v>
      </c>
      <c r="I327" s="370">
        <v>990336.87194407615</v>
      </c>
      <c r="J327">
        <v>0</v>
      </c>
      <c r="K327">
        <v>0</v>
      </c>
      <c r="L327">
        <v>0</v>
      </c>
      <c r="M327">
        <v>1</v>
      </c>
      <c r="N327" s="109">
        <v>889.85824557177614</v>
      </c>
      <c r="O327" s="109">
        <v>-3351467.8635020661</v>
      </c>
      <c r="P327" s="365">
        <v>1</v>
      </c>
      <c r="Q327" s="365">
        <v>0</v>
      </c>
      <c r="R327" s="365">
        <v>0</v>
      </c>
      <c r="S327" s="365">
        <v>0</v>
      </c>
      <c r="T327" s="109">
        <v>-3011.4311580176613</v>
      </c>
      <c r="V327" s="368">
        <f t="shared" si="24"/>
        <v>54655429.005504064</v>
      </c>
      <c r="W327" s="30">
        <f t="shared" si="25"/>
        <v>58997233.740950204</v>
      </c>
      <c r="X327" s="30"/>
      <c r="Y327">
        <f t="shared" si="26"/>
        <v>0</v>
      </c>
      <c r="Z327">
        <f t="shared" si="27"/>
        <v>1</v>
      </c>
      <c r="AA327">
        <f t="shared" si="28"/>
        <v>0</v>
      </c>
      <c r="AB327">
        <f t="shared" si="29"/>
        <v>1</v>
      </c>
    </row>
    <row r="328" spans="6:28" x14ac:dyDescent="0.3">
      <c r="F328" s="28"/>
      <c r="G328">
        <v>320</v>
      </c>
      <c r="H328" s="109">
        <v>1079.1194165225243</v>
      </c>
      <c r="I328" s="370">
        <v>2125320.3478065589</v>
      </c>
      <c r="J328">
        <v>0</v>
      </c>
      <c r="K328">
        <v>0</v>
      </c>
      <c r="L328">
        <v>0</v>
      </c>
      <c r="M328">
        <v>1</v>
      </c>
      <c r="N328" s="109">
        <v>1969.4950487087242</v>
      </c>
      <c r="O328" s="109">
        <v>-1498792.4935310066</v>
      </c>
      <c r="P328" s="365">
        <v>1</v>
      </c>
      <c r="Q328" s="365">
        <v>0</v>
      </c>
      <c r="R328" s="365">
        <v>0</v>
      </c>
      <c r="S328" s="365">
        <v>0</v>
      </c>
      <c r="T328" s="109">
        <v>-1388.9032766743128</v>
      </c>
      <c r="V328" s="368">
        <f t="shared" si="24"/>
        <v>51830650.478319652</v>
      </c>
      <c r="W328" s="30">
        <f t="shared" si="25"/>
        <v>55454763.319657214</v>
      </c>
      <c r="X328" s="30"/>
      <c r="Y328">
        <f t="shared" si="26"/>
        <v>0</v>
      </c>
      <c r="Z328">
        <f t="shared" si="27"/>
        <v>1</v>
      </c>
      <c r="AA328">
        <f t="shared" si="28"/>
        <v>0</v>
      </c>
      <c r="AB328">
        <f t="shared" si="29"/>
        <v>1</v>
      </c>
    </row>
    <row r="329" spans="6:28" x14ac:dyDescent="0.3">
      <c r="F329" s="28"/>
      <c r="G329">
        <v>321</v>
      </c>
      <c r="H329" s="109">
        <v>1247.3680331315991</v>
      </c>
      <c r="I329" s="370">
        <v>931131.05703727552</v>
      </c>
      <c r="J329">
        <v>0</v>
      </c>
      <c r="K329">
        <v>0</v>
      </c>
      <c r="L329">
        <v>0</v>
      </c>
      <c r="M329">
        <v>1</v>
      </c>
      <c r="N329" s="109">
        <v>746.47660698792322</v>
      </c>
      <c r="O329" s="109">
        <v>-3911230.9446496153</v>
      </c>
      <c r="P329" s="365">
        <v>1</v>
      </c>
      <c r="Q329" s="365">
        <v>0</v>
      </c>
      <c r="R329" s="365">
        <v>0</v>
      </c>
      <c r="S329" s="365">
        <v>0</v>
      </c>
      <c r="T329" s="109">
        <v>-3135.586964522583</v>
      </c>
      <c r="V329" s="368">
        <f t="shared" ref="V329:V392" si="30">H329*WTPinput-I329</f>
        <v>61437270.599542677</v>
      </c>
      <c r="W329" s="30">
        <f t="shared" ref="W329:W392" si="31">H329*WTPinput-O329</f>
        <v>66279632.601229571</v>
      </c>
      <c r="X329" s="30"/>
      <c r="Y329">
        <f t="shared" si="26"/>
        <v>0</v>
      </c>
      <c r="Z329">
        <f t="shared" si="27"/>
        <v>1</v>
      </c>
      <c r="AA329">
        <f t="shared" si="28"/>
        <v>0</v>
      </c>
      <c r="AB329">
        <f t="shared" si="29"/>
        <v>1</v>
      </c>
    </row>
    <row r="330" spans="6:28" x14ac:dyDescent="0.3">
      <c r="F330" s="28"/>
      <c r="G330">
        <v>322</v>
      </c>
      <c r="H330" s="109">
        <v>1219.1024775462211</v>
      </c>
      <c r="I330" s="370">
        <v>2151195.8759858767</v>
      </c>
      <c r="J330">
        <v>0</v>
      </c>
      <c r="K330">
        <v>0</v>
      </c>
      <c r="L330">
        <v>0</v>
      </c>
      <c r="M330">
        <v>1</v>
      </c>
      <c r="N330" s="109">
        <v>1764.5734592515553</v>
      </c>
      <c r="O330" s="109">
        <v>-1678312.4606832222</v>
      </c>
      <c r="P330" s="365">
        <v>1</v>
      </c>
      <c r="Q330" s="365">
        <v>0</v>
      </c>
      <c r="R330" s="365">
        <v>0</v>
      </c>
      <c r="S330" s="365">
        <v>0</v>
      </c>
      <c r="T330" s="109">
        <v>-1376.678738329929</v>
      </c>
      <c r="V330" s="368">
        <f t="shared" si="30"/>
        <v>58803928.001325175</v>
      </c>
      <c r="W330" s="30">
        <f t="shared" si="31"/>
        <v>62633436.33799427</v>
      </c>
      <c r="X330" s="30"/>
      <c r="Y330">
        <f t="shared" ref="Y330:Y393" si="32">IF(V330&lt;0,1,0)</f>
        <v>0</v>
      </c>
      <c r="Z330">
        <f t="shared" ref="Z330:Z393" si="33">IF(V330&gt;0,1,0)</f>
        <v>1</v>
      </c>
      <c r="AA330">
        <f t="shared" ref="AA330:AA393" si="34">IF(W330&lt;0,1,0)</f>
        <v>0</v>
      </c>
      <c r="AB330">
        <f t="shared" ref="AB330:AB393" si="35">IF(W330&gt;0,1,0)</f>
        <v>1</v>
      </c>
    </row>
    <row r="331" spans="6:28" x14ac:dyDescent="0.3">
      <c r="F331" s="28"/>
      <c r="G331">
        <v>323</v>
      </c>
      <c r="H331" s="109">
        <v>1193.1049188922043</v>
      </c>
      <c r="I331" s="370">
        <v>2823853.4326251573</v>
      </c>
      <c r="J331">
        <v>0</v>
      </c>
      <c r="K331">
        <v>0</v>
      </c>
      <c r="L331">
        <v>0</v>
      </c>
      <c r="M331">
        <v>1</v>
      </c>
      <c r="N331" s="109">
        <v>2366.8106533724626</v>
      </c>
      <c r="O331" s="109">
        <v>-1662970.9389781663</v>
      </c>
      <c r="P331" s="365">
        <v>1</v>
      </c>
      <c r="Q331" s="365">
        <v>0</v>
      </c>
      <c r="R331" s="365">
        <v>0</v>
      </c>
      <c r="S331" s="365">
        <v>0</v>
      </c>
      <c r="T331" s="109">
        <v>-1393.8178551155684</v>
      </c>
      <c r="V331" s="368">
        <f t="shared" si="30"/>
        <v>56831392.511985056</v>
      </c>
      <c r="W331" s="30">
        <f t="shared" si="31"/>
        <v>61318216.883588381</v>
      </c>
      <c r="X331" s="30"/>
      <c r="Y331">
        <f t="shared" si="32"/>
        <v>0</v>
      </c>
      <c r="Z331">
        <f t="shared" si="33"/>
        <v>1</v>
      </c>
      <c r="AA331">
        <f t="shared" si="34"/>
        <v>0</v>
      </c>
      <c r="AB331">
        <f t="shared" si="35"/>
        <v>1</v>
      </c>
    </row>
    <row r="332" spans="6:28" x14ac:dyDescent="0.3">
      <c r="F332" s="28"/>
      <c r="G332">
        <v>324</v>
      </c>
      <c r="H332" s="109">
        <v>1119.9895541587175</v>
      </c>
      <c r="I332" s="370">
        <v>1661457.9531229578</v>
      </c>
      <c r="J332">
        <v>0</v>
      </c>
      <c r="K332">
        <v>0</v>
      </c>
      <c r="L332">
        <v>0</v>
      </c>
      <c r="M332">
        <v>1</v>
      </c>
      <c r="N332" s="109">
        <v>1483.4584366913721</v>
      </c>
      <c r="O332" s="109">
        <v>-3167628.5107510397</v>
      </c>
      <c r="P332" s="365">
        <v>1</v>
      </c>
      <c r="Q332" s="365">
        <v>0</v>
      </c>
      <c r="R332" s="365">
        <v>0</v>
      </c>
      <c r="S332" s="365">
        <v>0</v>
      </c>
      <c r="T332" s="109">
        <v>-2828.2661199732443</v>
      </c>
      <c r="V332" s="368">
        <f t="shared" si="30"/>
        <v>54338019.754812919</v>
      </c>
      <c r="W332" s="30">
        <f t="shared" si="31"/>
        <v>59167106.218686916</v>
      </c>
      <c r="X332" s="30"/>
      <c r="Y332">
        <f t="shared" si="32"/>
        <v>0</v>
      </c>
      <c r="Z332">
        <f t="shared" si="33"/>
        <v>1</v>
      </c>
      <c r="AA332">
        <f t="shared" si="34"/>
        <v>0</v>
      </c>
      <c r="AB332">
        <f t="shared" si="35"/>
        <v>1</v>
      </c>
    </row>
    <row r="333" spans="6:28" x14ac:dyDescent="0.3">
      <c r="F333" s="28"/>
      <c r="G333">
        <v>325</v>
      </c>
      <c r="H333" s="109">
        <v>1314.6061045495735</v>
      </c>
      <c r="I333" s="370">
        <v>1515824.6500152487</v>
      </c>
      <c r="J333">
        <v>0</v>
      </c>
      <c r="K333">
        <v>0</v>
      </c>
      <c r="L333">
        <v>0</v>
      </c>
      <c r="M333">
        <v>1</v>
      </c>
      <c r="N333" s="109">
        <v>1153.06375405477</v>
      </c>
      <c r="O333" s="109">
        <v>-3829376.7144357539</v>
      </c>
      <c r="P333" s="365">
        <v>1</v>
      </c>
      <c r="Q333" s="365">
        <v>0</v>
      </c>
      <c r="R333" s="365">
        <v>0</v>
      </c>
      <c r="S333" s="365">
        <v>0</v>
      </c>
      <c r="T333" s="109">
        <v>-2912.9460917480083</v>
      </c>
      <c r="V333" s="368">
        <f t="shared" si="30"/>
        <v>64214480.577463426</v>
      </c>
      <c r="W333" s="30">
        <f t="shared" si="31"/>
        <v>69559681.941914424</v>
      </c>
      <c r="X333" s="30"/>
      <c r="Y333">
        <f t="shared" si="32"/>
        <v>0</v>
      </c>
      <c r="Z333">
        <f t="shared" si="33"/>
        <v>1</v>
      </c>
      <c r="AA333">
        <f t="shared" si="34"/>
        <v>0</v>
      </c>
      <c r="AB333">
        <f t="shared" si="35"/>
        <v>1</v>
      </c>
    </row>
    <row r="334" spans="6:28" x14ac:dyDescent="0.3">
      <c r="F334" s="28"/>
      <c r="G334">
        <v>326</v>
      </c>
      <c r="H334" s="109">
        <v>1021.9991823072196</v>
      </c>
      <c r="I334" s="370">
        <v>1024646.5683195692</v>
      </c>
      <c r="J334">
        <v>0</v>
      </c>
      <c r="K334">
        <v>0</v>
      </c>
      <c r="L334">
        <v>0</v>
      </c>
      <c r="M334">
        <v>1</v>
      </c>
      <c r="N334" s="109">
        <v>1002.5903993449124</v>
      </c>
      <c r="O334" s="109">
        <v>-3354460.2903424171</v>
      </c>
      <c r="P334" s="365">
        <v>1</v>
      </c>
      <c r="Q334" s="365">
        <v>0</v>
      </c>
      <c r="R334" s="365">
        <v>0</v>
      </c>
      <c r="S334" s="365">
        <v>0</v>
      </c>
      <c r="T334" s="109">
        <v>-3282.2533994298683</v>
      </c>
      <c r="V334" s="368">
        <f t="shared" si="30"/>
        <v>50075312.547041416</v>
      </c>
      <c r="W334" s="30">
        <f t="shared" si="31"/>
        <v>54454419.405703403</v>
      </c>
      <c r="X334" s="30"/>
      <c r="Y334">
        <f t="shared" si="32"/>
        <v>0</v>
      </c>
      <c r="Z334">
        <f t="shared" si="33"/>
        <v>1</v>
      </c>
      <c r="AA334">
        <f t="shared" si="34"/>
        <v>0</v>
      </c>
      <c r="AB334">
        <f t="shared" si="35"/>
        <v>1</v>
      </c>
    </row>
    <row r="335" spans="6:28" x14ac:dyDescent="0.3">
      <c r="F335" s="28"/>
      <c r="G335">
        <v>327</v>
      </c>
      <c r="H335" s="109">
        <v>1165.1379866408824</v>
      </c>
      <c r="I335" s="370">
        <v>1054713.2588963911</v>
      </c>
      <c r="J335">
        <v>0</v>
      </c>
      <c r="K335">
        <v>0</v>
      </c>
      <c r="L335">
        <v>0</v>
      </c>
      <c r="M335">
        <v>1</v>
      </c>
      <c r="N335" s="109">
        <v>905.22605132560466</v>
      </c>
      <c r="O335" s="109">
        <v>-3301636.5374246924</v>
      </c>
      <c r="P335" s="365">
        <v>1</v>
      </c>
      <c r="Q335" s="365">
        <v>0</v>
      </c>
      <c r="R335" s="365">
        <v>0</v>
      </c>
      <c r="S335" s="365">
        <v>0</v>
      </c>
      <c r="T335" s="109">
        <v>-2833.6871471707664</v>
      </c>
      <c r="V335" s="368">
        <f t="shared" si="30"/>
        <v>57202186.073147736</v>
      </c>
      <c r="W335" s="30">
        <f t="shared" si="31"/>
        <v>61558535.869468816</v>
      </c>
      <c r="X335" s="30"/>
      <c r="Y335">
        <f t="shared" si="32"/>
        <v>0</v>
      </c>
      <c r="Z335">
        <f t="shared" si="33"/>
        <v>1</v>
      </c>
      <c r="AA335">
        <f t="shared" si="34"/>
        <v>0</v>
      </c>
      <c r="AB335">
        <f t="shared" si="35"/>
        <v>1</v>
      </c>
    </row>
    <row r="336" spans="6:28" x14ac:dyDescent="0.3">
      <c r="F336" s="28"/>
      <c r="G336">
        <v>328</v>
      </c>
      <c r="H336" s="109">
        <v>1209.3352977057075</v>
      </c>
      <c r="I336" s="370">
        <v>1884472.4559720058</v>
      </c>
      <c r="J336">
        <v>0</v>
      </c>
      <c r="K336">
        <v>0</v>
      </c>
      <c r="L336">
        <v>0</v>
      </c>
      <c r="M336">
        <v>1</v>
      </c>
      <c r="N336" s="109">
        <v>1558.2712747631992</v>
      </c>
      <c r="O336" s="109">
        <v>-2239169.6063428516</v>
      </c>
      <c r="P336" s="365">
        <v>1</v>
      </c>
      <c r="Q336" s="365">
        <v>0</v>
      </c>
      <c r="R336" s="365">
        <v>0</v>
      </c>
      <c r="S336" s="365">
        <v>0</v>
      </c>
      <c r="T336" s="109">
        <v>-1851.5705367989308</v>
      </c>
      <c r="V336" s="368">
        <f t="shared" si="30"/>
        <v>58582292.429313369</v>
      </c>
      <c r="W336" s="30">
        <f t="shared" si="31"/>
        <v>62705934.49162823</v>
      </c>
      <c r="X336" s="30"/>
      <c r="Y336">
        <f t="shared" si="32"/>
        <v>0</v>
      </c>
      <c r="Z336">
        <f t="shared" si="33"/>
        <v>1</v>
      </c>
      <c r="AA336">
        <f t="shared" si="34"/>
        <v>0</v>
      </c>
      <c r="AB336">
        <f t="shared" si="35"/>
        <v>1</v>
      </c>
    </row>
    <row r="337" spans="6:28" x14ac:dyDescent="0.3">
      <c r="F337" s="28"/>
      <c r="G337">
        <v>329</v>
      </c>
      <c r="H337" s="109">
        <v>1122.1440197239208</v>
      </c>
      <c r="I337" s="370">
        <v>1258876.2473847393</v>
      </c>
      <c r="J337">
        <v>0</v>
      </c>
      <c r="K337">
        <v>0</v>
      </c>
      <c r="L337">
        <v>0</v>
      </c>
      <c r="M337">
        <v>1</v>
      </c>
      <c r="N337" s="109">
        <v>1121.8490900075897</v>
      </c>
      <c r="O337" s="109">
        <v>-2973431.9880662821</v>
      </c>
      <c r="P337" s="365">
        <v>1</v>
      </c>
      <c r="Q337" s="365">
        <v>0</v>
      </c>
      <c r="R337" s="365">
        <v>0</v>
      </c>
      <c r="S337" s="365">
        <v>0</v>
      </c>
      <c r="T337" s="109">
        <v>-2649.7775114444139</v>
      </c>
      <c r="V337" s="368">
        <f t="shared" si="30"/>
        <v>54848324.738811299</v>
      </c>
      <c r="W337" s="30">
        <f t="shared" si="31"/>
        <v>59080632.974262327</v>
      </c>
      <c r="X337" s="30"/>
      <c r="Y337">
        <f t="shared" si="32"/>
        <v>0</v>
      </c>
      <c r="Z337">
        <f t="shared" si="33"/>
        <v>1</v>
      </c>
      <c r="AA337">
        <f t="shared" si="34"/>
        <v>0</v>
      </c>
      <c r="AB337">
        <f t="shared" si="35"/>
        <v>1</v>
      </c>
    </row>
    <row r="338" spans="6:28" x14ac:dyDescent="0.3">
      <c r="F338" s="28"/>
      <c r="G338">
        <v>330</v>
      </c>
      <c r="H338" s="109">
        <v>1229.7660886720914</v>
      </c>
      <c r="I338" s="370">
        <v>1386196.8241152936</v>
      </c>
      <c r="J338">
        <v>0</v>
      </c>
      <c r="K338">
        <v>0</v>
      </c>
      <c r="L338">
        <v>0</v>
      </c>
      <c r="M338">
        <v>1</v>
      </c>
      <c r="N338" s="109">
        <v>1127.2036502584951</v>
      </c>
      <c r="O338" s="109">
        <v>-3235246.6473470153</v>
      </c>
      <c r="P338" s="365">
        <v>1</v>
      </c>
      <c r="Q338" s="365">
        <v>0</v>
      </c>
      <c r="R338" s="365">
        <v>0</v>
      </c>
      <c r="S338" s="365">
        <v>0</v>
      </c>
      <c r="T338" s="109">
        <v>-2630.7821277137782</v>
      </c>
      <c r="V338" s="368">
        <f t="shared" si="30"/>
        <v>60102107.609489277</v>
      </c>
      <c r="W338" s="30">
        <f t="shared" si="31"/>
        <v>64723551.080951586</v>
      </c>
      <c r="X338" s="30"/>
      <c r="Y338">
        <f t="shared" si="32"/>
        <v>0</v>
      </c>
      <c r="Z338">
        <f t="shared" si="33"/>
        <v>1</v>
      </c>
      <c r="AA338">
        <f t="shared" si="34"/>
        <v>0</v>
      </c>
      <c r="AB338">
        <f t="shared" si="35"/>
        <v>1</v>
      </c>
    </row>
    <row r="339" spans="6:28" x14ac:dyDescent="0.3">
      <c r="F339" s="28"/>
      <c r="G339">
        <v>331</v>
      </c>
      <c r="H339" s="109">
        <v>1180.175705605674</v>
      </c>
      <c r="I339" s="370">
        <v>1391865.9914665367</v>
      </c>
      <c r="J339">
        <v>0</v>
      </c>
      <c r="K339">
        <v>0</v>
      </c>
      <c r="L339">
        <v>0</v>
      </c>
      <c r="M339">
        <v>1</v>
      </c>
      <c r="N339" s="109">
        <v>1179.3718383248888</v>
      </c>
      <c r="O339" s="109">
        <v>-2940011.7861341322</v>
      </c>
      <c r="P339" s="365">
        <v>1</v>
      </c>
      <c r="Q339" s="365">
        <v>0</v>
      </c>
      <c r="R339" s="365">
        <v>0</v>
      </c>
      <c r="S339" s="365">
        <v>0</v>
      </c>
      <c r="T339" s="109">
        <v>-2491.1644699763569</v>
      </c>
      <c r="V339" s="368">
        <f t="shared" si="30"/>
        <v>57616919.28881716</v>
      </c>
      <c r="W339" s="30">
        <f t="shared" si="31"/>
        <v>61948797.066417828</v>
      </c>
      <c r="X339" s="30"/>
      <c r="Y339">
        <f t="shared" si="32"/>
        <v>0</v>
      </c>
      <c r="Z339">
        <f t="shared" si="33"/>
        <v>1</v>
      </c>
      <c r="AA339">
        <f t="shared" si="34"/>
        <v>0</v>
      </c>
      <c r="AB339">
        <f t="shared" si="35"/>
        <v>1</v>
      </c>
    </row>
    <row r="340" spans="6:28" x14ac:dyDescent="0.3">
      <c r="F340" s="28"/>
      <c r="G340">
        <v>332</v>
      </c>
      <c r="H340" s="109">
        <v>1237.392027886679</v>
      </c>
      <c r="I340" s="370">
        <v>506811.82710954914</v>
      </c>
      <c r="J340">
        <v>0</v>
      </c>
      <c r="K340">
        <v>0</v>
      </c>
      <c r="L340">
        <v>0</v>
      </c>
      <c r="M340">
        <v>1</v>
      </c>
      <c r="N340" s="109">
        <v>409.58064678590546</v>
      </c>
      <c r="O340" s="109">
        <v>-4055990.2765398002</v>
      </c>
      <c r="P340" s="365">
        <v>1</v>
      </c>
      <c r="Q340" s="365">
        <v>0</v>
      </c>
      <c r="R340" s="365">
        <v>0</v>
      </c>
      <c r="S340" s="365">
        <v>0</v>
      </c>
      <c r="T340" s="109">
        <v>-3277.8538936176578</v>
      </c>
      <c r="V340" s="368">
        <f t="shared" si="30"/>
        <v>61362789.567224406</v>
      </c>
      <c r="W340" s="30">
        <f t="shared" si="31"/>
        <v>65925591.670873754</v>
      </c>
      <c r="X340" s="30"/>
      <c r="Y340">
        <f t="shared" si="32"/>
        <v>0</v>
      </c>
      <c r="Z340">
        <f t="shared" si="33"/>
        <v>1</v>
      </c>
      <c r="AA340">
        <f t="shared" si="34"/>
        <v>0</v>
      </c>
      <c r="AB340">
        <f t="shared" si="35"/>
        <v>1</v>
      </c>
    </row>
    <row r="341" spans="6:28" x14ac:dyDescent="0.3">
      <c r="F341" s="28"/>
      <c r="G341">
        <v>333</v>
      </c>
      <c r="H341" s="109">
        <v>940.78658628732956</v>
      </c>
      <c r="I341" s="370">
        <v>765536.2617784387</v>
      </c>
      <c r="J341">
        <v>0</v>
      </c>
      <c r="K341">
        <v>0</v>
      </c>
      <c r="L341">
        <v>0</v>
      </c>
      <c r="M341">
        <v>1</v>
      </c>
      <c r="N341" s="109">
        <v>813.71936306990779</v>
      </c>
      <c r="O341" s="109">
        <v>-2896499.8548717955</v>
      </c>
      <c r="P341" s="365">
        <v>1</v>
      </c>
      <c r="Q341" s="365">
        <v>0</v>
      </c>
      <c r="R341" s="365">
        <v>0</v>
      </c>
      <c r="S341" s="365">
        <v>0</v>
      </c>
      <c r="T341" s="109">
        <v>-3078.8064977652257</v>
      </c>
      <c r="V341" s="368">
        <f t="shared" si="30"/>
        <v>46273793.052588038</v>
      </c>
      <c r="W341" s="30">
        <f t="shared" si="31"/>
        <v>49935829.169238269</v>
      </c>
      <c r="X341" s="30"/>
      <c r="Y341">
        <f t="shared" si="32"/>
        <v>0</v>
      </c>
      <c r="Z341">
        <f t="shared" si="33"/>
        <v>1</v>
      </c>
      <c r="AA341">
        <f t="shared" si="34"/>
        <v>0</v>
      </c>
      <c r="AB341">
        <f t="shared" si="35"/>
        <v>1</v>
      </c>
    </row>
    <row r="342" spans="6:28" x14ac:dyDescent="0.3">
      <c r="F342" s="28"/>
      <c r="G342">
        <v>334</v>
      </c>
      <c r="H342" s="109">
        <v>1309.6808082779316</v>
      </c>
      <c r="I342" s="370">
        <v>1314404.4654552417</v>
      </c>
      <c r="J342">
        <v>0</v>
      </c>
      <c r="K342">
        <v>0</v>
      </c>
      <c r="L342">
        <v>0</v>
      </c>
      <c r="M342">
        <v>1</v>
      </c>
      <c r="N342" s="109">
        <v>1003.6067239799605</v>
      </c>
      <c r="O342" s="109">
        <v>-3535846.8533144314</v>
      </c>
      <c r="P342" s="365">
        <v>1</v>
      </c>
      <c r="Q342" s="365">
        <v>0</v>
      </c>
      <c r="R342" s="365">
        <v>0</v>
      </c>
      <c r="S342" s="365">
        <v>0</v>
      </c>
      <c r="T342" s="109">
        <v>-2699.7775572229943</v>
      </c>
      <c r="V342" s="368">
        <f t="shared" si="30"/>
        <v>64169635.948441342</v>
      </c>
      <c r="W342" s="30">
        <f t="shared" si="31"/>
        <v>69019887.26721102</v>
      </c>
      <c r="X342" s="30"/>
      <c r="Y342">
        <f t="shared" si="32"/>
        <v>0</v>
      </c>
      <c r="Z342">
        <f t="shared" si="33"/>
        <v>1</v>
      </c>
      <c r="AA342">
        <f t="shared" si="34"/>
        <v>0</v>
      </c>
      <c r="AB342">
        <f t="shared" si="35"/>
        <v>1</v>
      </c>
    </row>
    <row r="343" spans="6:28" x14ac:dyDescent="0.3">
      <c r="F343" s="28"/>
      <c r="G343">
        <v>335</v>
      </c>
      <c r="H343" s="109">
        <v>1117.8275130258917</v>
      </c>
      <c r="I343" s="370">
        <v>778654.15544527955</v>
      </c>
      <c r="J343">
        <v>0</v>
      </c>
      <c r="K343">
        <v>0</v>
      </c>
      <c r="L343">
        <v>0</v>
      </c>
      <c r="M343">
        <v>1</v>
      </c>
      <c r="N343" s="109">
        <v>696.57809131706711</v>
      </c>
      <c r="O343" s="109">
        <v>-3525972.1787681514</v>
      </c>
      <c r="P343" s="365">
        <v>1</v>
      </c>
      <c r="Q343" s="365">
        <v>0</v>
      </c>
      <c r="R343" s="365">
        <v>0</v>
      </c>
      <c r="S343" s="365">
        <v>0</v>
      </c>
      <c r="T343" s="109">
        <v>-3154.3079211063227</v>
      </c>
      <c r="V343" s="368">
        <f t="shared" si="30"/>
        <v>55112721.495849304</v>
      </c>
      <c r="W343" s="30">
        <f t="shared" si="31"/>
        <v>59417347.830062732</v>
      </c>
      <c r="X343" s="30"/>
      <c r="Y343">
        <f t="shared" si="32"/>
        <v>0</v>
      </c>
      <c r="Z343">
        <f t="shared" si="33"/>
        <v>1</v>
      </c>
      <c r="AA343">
        <f t="shared" si="34"/>
        <v>0</v>
      </c>
      <c r="AB343">
        <f t="shared" si="35"/>
        <v>1</v>
      </c>
    </row>
    <row r="344" spans="6:28" x14ac:dyDescent="0.3">
      <c r="F344" s="28"/>
      <c r="G344">
        <v>336</v>
      </c>
      <c r="H344" s="109">
        <v>1103.538607586037</v>
      </c>
      <c r="I344" s="370">
        <v>1231289.8960391851</v>
      </c>
      <c r="J344">
        <v>0</v>
      </c>
      <c r="K344">
        <v>0</v>
      </c>
      <c r="L344">
        <v>0</v>
      </c>
      <c r="M344">
        <v>1</v>
      </c>
      <c r="N344" s="109">
        <v>1115.7651282655174</v>
      </c>
      <c r="O344" s="109">
        <v>-2042391.9325389459</v>
      </c>
      <c r="P344" s="365">
        <v>1</v>
      </c>
      <c r="Q344" s="365">
        <v>0</v>
      </c>
      <c r="R344" s="365">
        <v>0</v>
      </c>
      <c r="S344" s="365">
        <v>0</v>
      </c>
      <c r="T344" s="109">
        <v>-1850.766179360618</v>
      </c>
      <c r="V344" s="368">
        <f t="shared" si="30"/>
        <v>53945640.483262658</v>
      </c>
      <c r="W344" s="30">
        <f t="shared" si="31"/>
        <v>57219322.311840795</v>
      </c>
      <c r="X344" s="30"/>
      <c r="Y344">
        <f t="shared" si="32"/>
        <v>0</v>
      </c>
      <c r="Z344">
        <f t="shared" si="33"/>
        <v>1</v>
      </c>
      <c r="AA344">
        <f t="shared" si="34"/>
        <v>0</v>
      </c>
      <c r="AB344">
        <f t="shared" si="35"/>
        <v>1</v>
      </c>
    </row>
    <row r="345" spans="6:28" x14ac:dyDescent="0.3">
      <c r="F345" s="28"/>
      <c r="G345">
        <v>337</v>
      </c>
      <c r="H345" s="109">
        <v>1106.0856006632093</v>
      </c>
      <c r="I345" s="370">
        <v>2145604.538583809</v>
      </c>
      <c r="J345">
        <v>0</v>
      </c>
      <c r="K345">
        <v>0</v>
      </c>
      <c r="L345">
        <v>0</v>
      </c>
      <c r="M345">
        <v>1</v>
      </c>
      <c r="N345" s="109">
        <v>1939.8178018928224</v>
      </c>
      <c r="O345" s="109">
        <v>-2076894.3506881753</v>
      </c>
      <c r="P345" s="365">
        <v>1</v>
      </c>
      <c r="Q345" s="365">
        <v>0</v>
      </c>
      <c r="R345" s="365">
        <v>0</v>
      </c>
      <c r="S345" s="365">
        <v>0</v>
      </c>
      <c r="T345" s="109">
        <v>-1877.6976659336933</v>
      </c>
      <c r="V345" s="368">
        <f t="shared" si="30"/>
        <v>53158675.494576655</v>
      </c>
      <c r="W345" s="30">
        <f t="shared" si="31"/>
        <v>57381174.383848637</v>
      </c>
      <c r="X345" s="30"/>
      <c r="Y345">
        <f t="shared" si="32"/>
        <v>0</v>
      </c>
      <c r="Z345">
        <f t="shared" si="33"/>
        <v>1</v>
      </c>
      <c r="AA345">
        <f t="shared" si="34"/>
        <v>0</v>
      </c>
      <c r="AB345">
        <f t="shared" si="35"/>
        <v>1</v>
      </c>
    </row>
    <row r="346" spans="6:28" x14ac:dyDescent="0.3">
      <c r="F346" s="28"/>
      <c r="G346">
        <v>338</v>
      </c>
      <c r="H346" s="109">
        <v>1270.9767930107409</v>
      </c>
      <c r="I346" s="370">
        <v>1387836.3692968658</v>
      </c>
      <c r="J346">
        <v>0</v>
      </c>
      <c r="K346">
        <v>0</v>
      </c>
      <c r="L346">
        <v>0</v>
      </c>
      <c r="M346">
        <v>1</v>
      </c>
      <c r="N346" s="109">
        <v>1091.9446971248808</v>
      </c>
      <c r="O346" s="109">
        <v>-3507606.3791379868</v>
      </c>
      <c r="P346" s="365">
        <v>1</v>
      </c>
      <c r="Q346" s="365">
        <v>0</v>
      </c>
      <c r="R346" s="365">
        <v>0</v>
      </c>
      <c r="S346" s="365">
        <v>0</v>
      </c>
      <c r="T346" s="109">
        <v>-2759.7721676955466</v>
      </c>
      <c r="V346" s="368">
        <f t="shared" si="30"/>
        <v>62161003.28124018</v>
      </c>
      <c r="W346" s="30">
        <f t="shared" si="31"/>
        <v>67056446.029675029</v>
      </c>
      <c r="X346" s="30"/>
      <c r="Y346">
        <f t="shared" si="32"/>
        <v>0</v>
      </c>
      <c r="Z346">
        <f t="shared" si="33"/>
        <v>1</v>
      </c>
      <c r="AA346">
        <f t="shared" si="34"/>
        <v>0</v>
      </c>
      <c r="AB346">
        <f t="shared" si="35"/>
        <v>1</v>
      </c>
    </row>
    <row r="347" spans="6:28" x14ac:dyDescent="0.3">
      <c r="F347" s="28"/>
      <c r="G347">
        <v>339</v>
      </c>
      <c r="H347" s="109">
        <v>1203.7513812925899</v>
      </c>
      <c r="I347" s="370">
        <v>1252957.8892155164</v>
      </c>
      <c r="J347">
        <v>0</v>
      </c>
      <c r="K347">
        <v>0</v>
      </c>
      <c r="L347">
        <v>0</v>
      </c>
      <c r="M347">
        <v>1</v>
      </c>
      <c r="N347" s="109">
        <v>1040.8776336107614</v>
      </c>
      <c r="O347" s="109">
        <v>-4186713.395139785</v>
      </c>
      <c r="P347" s="365">
        <v>1</v>
      </c>
      <c r="Q347" s="365">
        <v>0</v>
      </c>
      <c r="R347" s="365">
        <v>0</v>
      </c>
      <c r="S347" s="365">
        <v>0</v>
      </c>
      <c r="T347" s="109">
        <v>-3478.0549041979798</v>
      </c>
      <c r="V347" s="368">
        <f t="shared" si="30"/>
        <v>58934611.175413981</v>
      </c>
      <c r="W347" s="30">
        <f t="shared" si="31"/>
        <v>64374282.459769279</v>
      </c>
      <c r="X347" s="30"/>
      <c r="Y347">
        <f t="shared" si="32"/>
        <v>0</v>
      </c>
      <c r="Z347">
        <f t="shared" si="33"/>
        <v>1</v>
      </c>
      <c r="AA347">
        <f t="shared" si="34"/>
        <v>0</v>
      </c>
      <c r="AB347">
        <f t="shared" si="35"/>
        <v>1</v>
      </c>
    </row>
    <row r="348" spans="6:28" x14ac:dyDescent="0.3">
      <c r="F348" s="28"/>
      <c r="G348">
        <v>340</v>
      </c>
      <c r="H348" s="109">
        <v>1014.7470186061328</v>
      </c>
      <c r="I348" s="370">
        <v>838160.98675029003</v>
      </c>
      <c r="J348">
        <v>0</v>
      </c>
      <c r="K348">
        <v>0</v>
      </c>
      <c r="L348">
        <v>0</v>
      </c>
      <c r="M348">
        <v>1</v>
      </c>
      <c r="N348" s="109">
        <v>825.98024077133709</v>
      </c>
      <c r="O348" s="109">
        <v>-3604797.8264568672</v>
      </c>
      <c r="P348" s="365">
        <v>1</v>
      </c>
      <c r="Q348" s="365">
        <v>0</v>
      </c>
      <c r="R348" s="365">
        <v>0</v>
      </c>
      <c r="S348" s="365">
        <v>0</v>
      </c>
      <c r="T348" s="109">
        <v>-3552.4103647118427</v>
      </c>
      <c r="V348" s="368">
        <f t="shared" si="30"/>
        <v>49899189.943556346</v>
      </c>
      <c r="W348" s="30">
        <f t="shared" si="31"/>
        <v>54342148.756763503</v>
      </c>
      <c r="X348" s="30"/>
      <c r="Y348">
        <f t="shared" si="32"/>
        <v>0</v>
      </c>
      <c r="Z348">
        <f t="shared" si="33"/>
        <v>1</v>
      </c>
      <c r="AA348">
        <f t="shared" si="34"/>
        <v>0</v>
      </c>
      <c r="AB348">
        <f t="shared" si="35"/>
        <v>1</v>
      </c>
    </row>
    <row r="349" spans="6:28" x14ac:dyDescent="0.3">
      <c r="F349" s="28"/>
      <c r="G349">
        <v>341</v>
      </c>
      <c r="H349" s="109">
        <v>938.52508277229208</v>
      </c>
      <c r="I349" s="370">
        <v>1848459.0834534001</v>
      </c>
      <c r="J349">
        <v>0</v>
      </c>
      <c r="K349">
        <v>0</v>
      </c>
      <c r="L349">
        <v>0</v>
      </c>
      <c r="M349">
        <v>1</v>
      </c>
      <c r="N349" s="109">
        <v>1969.5361555956188</v>
      </c>
      <c r="O349" s="109">
        <v>-1919302.803060618</v>
      </c>
      <c r="P349" s="365">
        <v>1</v>
      </c>
      <c r="Q349" s="365">
        <v>0</v>
      </c>
      <c r="R349" s="365">
        <v>0</v>
      </c>
      <c r="S349" s="365">
        <v>0</v>
      </c>
      <c r="T349" s="109">
        <v>-2045.0202538979827</v>
      </c>
      <c r="V349" s="368">
        <f t="shared" si="30"/>
        <v>45077795.0551612</v>
      </c>
      <c r="W349" s="30">
        <f t="shared" si="31"/>
        <v>48845556.941675223</v>
      </c>
      <c r="X349" s="30"/>
      <c r="Y349">
        <f t="shared" si="32"/>
        <v>0</v>
      </c>
      <c r="Z349">
        <f t="shared" si="33"/>
        <v>1</v>
      </c>
      <c r="AA349">
        <f t="shared" si="34"/>
        <v>0</v>
      </c>
      <c r="AB349">
        <f t="shared" si="35"/>
        <v>1</v>
      </c>
    </row>
    <row r="350" spans="6:28" x14ac:dyDescent="0.3">
      <c r="F350" s="28"/>
      <c r="G350">
        <v>342</v>
      </c>
      <c r="H350" s="109">
        <v>1328.8671338472341</v>
      </c>
      <c r="I350" s="370">
        <v>1187855.6439791368</v>
      </c>
      <c r="J350">
        <v>0</v>
      </c>
      <c r="K350">
        <v>0</v>
      </c>
      <c r="L350">
        <v>0</v>
      </c>
      <c r="M350">
        <v>1</v>
      </c>
      <c r="N350" s="109">
        <v>893.88593767094562</v>
      </c>
      <c r="O350" s="109">
        <v>-4485812.9018189711</v>
      </c>
      <c r="P350" s="365">
        <v>1</v>
      </c>
      <c r="Q350" s="365">
        <v>0</v>
      </c>
      <c r="R350" s="365">
        <v>0</v>
      </c>
      <c r="S350" s="365">
        <v>0</v>
      </c>
      <c r="T350" s="109">
        <v>-3375.6669779558702</v>
      </c>
      <c r="V350" s="368">
        <f t="shared" si="30"/>
        <v>65255501.048382565</v>
      </c>
      <c r="W350" s="30">
        <f t="shared" si="31"/>
        <v>70929169.594180673</v>
      </c>
      <c r="X350" s="30"/>
      <c r="Y350">
        <f t="shared" si="32"/>
        <v>0</v>
      </c>
      <c r="Z350">
        <f t="shared" si="33"/>
        <v>1</v>
      </c>
      <c r="AA350">
        <f t="shared" si="34"/>
        <v>0</v>
      </c>
      <c r="AB350">
        <f t="shared" si="35"/>
        <v>1</v>
      </c>
    </row>
    <row r="351" spans="6:28" x14ac:dyDescent="0.3">
      <c r="F351" s="28"/>
      <c r="G351">
        <v>343</v>
      </c>
      <c r="H351" s="109">
        <v>1275.592285215258</v>
      </c>
      <c r="I351" s="370">
        <v>2383066.8147339304</v>
      </c>
      <c r="J351">
        <v>0</v>
      </c>
      <c r="K351">
        <v>0</v>
      </c>
      <c r="L351">
        <v>0</v>
      </c>
      <c r="M351">
        <v>1</v>
      </c>
      <c r="N351" s="109">
        <v>1868.204160808157</v>
      </c>
      <c r="O351" s="109">
        <v>-2937159.6332747396</v>
      </c>
      <c r="P351" s="365">
        <v>1</v>
      </c>
      <c r="Q351" s="365">
        <v>0</v>
      </c>
      <c r="R351" s="365">
        <v>0</v>
      </c>
      <c r="S351" s="365">
        <v>0</v>
      </c>
      <c r="T351" s="109">
        <v>-2302.5849774397857</v>
      </c>
      <c r="V351" s="368">
        <f t="shared" si="30"/>
        <v>61396547.44602897</v>
      </c>
      <c r="W351" s="30">
        <f t="shared" si="31"/>
        <v>66716773.894037642</v>
      </c>
      <c r="X351" s="30"/>
      <c r="Y351">
        <f t="shared" si="32"/>
        <v>0</v>
      </c>
      <c r="Z351">
        <f t="shared" si="33"/>
        <v>1</v>
      </c>
      <c r="AA351">
        <f t="shared" si="34"/>
        <v>0</v>
      </c>
      <c r="AB351">
        <f t="shared" si="35"/>
        <v>1</v>
      </c>
    </row>
    <row r="352" spans="6:28" x14ac:dyDescent="0.3">
      <c r="F352" s="28"/>
      <c r="G352">
        <v>344</v>
      </c>
      <c r="H352" s="109">
        <v>1301.1632108413978</v>
      </c>
      <c r="I352" s="370">
        <v>1036032.766343882</v>
      </c>
      <c r="J352">
        <v>0</v>
      </c>
      <c r="K352">
        <v>0</v>
      </c>
      <c r="L352">
        <v>0</v>
      </c>
      <c r="M352">
        <v>1</v>
      </c>
      <c r="N352" s="109">
        <v>796.23582784355767</v>
      </c>
      <c r="O352" s="109">
        <v>-4278751.2742897822</v>
      </c>
      <c r="P352" s="365">
        <v>1</v>
      </c>
      <c r="Q352" s="365">
        <v>0</v>
      </c>
      <c r="R352" s="365">
        <v>0</v>
      </c>
      <c r="S352" s="365">
        <v>0</v>
      </c>
      <c r="T352" s="109">
        <v>-3288.404743262704</v>
      </c>
      <c r="V352" s="368">
        <f t="shared" si="30"/>
        <v>64022127.775726005</v>
      </c>
      <c r="W352" s="30">
        <f t="shared" si="31"/>
        <v>69336911.816359669</v>
      </c>
      <c r="X352" s="30"/>
      <c r="Y352">
        <f t="shared" si="32"/>
        <v>0</v>
      </c>
      <c r="Z352">
        <f t="shared" si="33"/>
        <v>1</v>
      </c>
      <c r="AA352">
        <f t="shared" si="34"/>
        <v>0</v>
      </c>
      <c r="AB352">
        <f t="shared" si="35"/>
        <v>1</v>
      </c>
    </row>
    <row r="353" spans="6:28" x14ac:dyDescent="0.3">
      <c r="F353" s="28"/>
      <c r="G353">
        <v>345</v>
      </c>
      <c r="H353" s="109">
        <v>1091.8460489518257</v>
      </c>
      <c r="I353" s="370">
        <v>1438758.1584022273</v>
      </c>
      <c r="J353">
        <v>0</v>
      </c>
      <c r="K353">
        <v>0</v>
      </c>
      <c r="L353">
        <v>0</v>
      </c>
      <c r="M353">
        <v>1</v>
      </c>
      <c r="N353" s="109">
        <v>1317.7298757305923</v>
      </c>
      <c r="O353" s="109">
        <v>-2849408.1307102288</v>
      </c>
      <c r="P353" s="365">
        <v>1</v>
      </c>
      <c r="Q353" s="365">
        <v>0</v>
      </c>
      <c r="R353" s="365">
        <v>0</v>
      </c>
      <c r="S353" s="365">
        <v>0</v>
      </c>
      <c r="T353" s="109">
        <v>-2609.7160249337958</v>
      </c>
      <c r="V353" s="368">
        <f t="shared" si="30"/>
        <v>53153544.289189056</v>
      </c>
      <c r="W353" s="30">
        <f t="shared" si="31"/>
        <v>57441710.578301512</v>
      </c>
      <c r="X353" s="30"/>
      <c r="Y353">
        <f t="shared" si="32"/>
        <v>0</v>
      </c>
      <c r="Z353">
        <f t="shared" si="33"/>
        <v>1</v>
      </c>
      <c r="AA353">
        <f t="shared" si="34"/>
        <v>0</v>
      </c>
      <c r="AB353">
        <f t="shared" si="35"/>
        <v>1</v>
      </c>
    </row>
    <row r="354" spans="6:28" x14ac:dyDescent="0.3">
      <c r="F354" s="28"/>
      <c r="G354">
        <v>346</v>
      </c>
      <c r="H354" s="109">
        <v>1150.0501946494696</v>
      </c>
      <c r="I354" s="370">
        <v>697576.35193515418</v>
      </c>
      <c r="J354">
        <v>0</v>
      </c>
      <c r="K354">
        <v>0</v>
      </c>
      <c r="L354">
        <v>0</v>
      </c>
      <c r="M354">
        <v>1</v>
      </c>
      <c r="N354" s="109">
        <v>606.56165720468618</v>
      </c>
      <c r="O354" s="109">
        <v>-4281107.1872513955</v>
      </c>
      <c r="P354" s="365">
        <v>1</v>
      </c>
      <c r="Q354" s="365">
        <v>0</v>
      </c>
      <c r="R354" s="365">
        <v>0</v>
      </c>
      <c r="S354" s="365">
        <v>0</v>
      </c>
      <c r="T354" s="109">
        <v>-3722.5394223390908</v>
      </c>
      <c r="V354" s="368">
        <f t="shared" si="30"/>
        <v>56804933.380538329</v>
      </c>
      <c r="W354" s="30">
        <f t="shared" si="31"/>
        <v>61783616.919724882</v>
      </c>
      <c r="X354" s="30"/>
      <c r="Y354">
        <f t="shared" si="32"/>
        <v>0</v>
      </c>
      <c r="Z354">
        <f t="shared" si="33"/>
        <v>1</v>
      </c>
      <c r="AA354">
        <f t="shared" si="34"/>
        <v>0</v>
      </c>
      <c r="AB354">
        <f t="shared" si="35"/>
        <v>1</v>
      </c>
    </row>
    <row r="355" spans="6:28" x14ac:dyDescent="0.3">
      <c r="F355" s="28"/>
      <c r="G355">
        <v>347</v>
      </c>
      <c r="H355" s="109">
        <v>1270.6149830980285</v>
      </c>
      <c r="I355" s="370">
        <v>775078.61681545898</v>
      </c>
      <c r="J355">
        <v>0</v>
      </c>
      <c r="K355">
        <v>0</v>
      </c>
      <c r="L355">
        <v>0</v>
      </c>
      <c r="M355">
        <v>1</v>
      </c>
      <c r="N355" s="109">
        <v>610.00273656906916</v>
      </c>
      <c r="O355" s="109">
        <v>-4374317.1302397382</v>
      </c>
      <c r="P355" s="365">
        <v>1</v>
      </c>
      <c r="Q355" s="365">
        <v>0</v>
      </c>
      <c r="R355" s="365">
        <v>0</v>
      </c>
      <c r="S355" s="365">
        <v>0</v>
      </c>
      <c r="T355" s="109">
        <v>-3442.6771196843802</v>
      </c>
      <c r="V355" s="368">
        <f t="shared" si="30"/>
        <v>62755670.538085967</v>
      </c>
      <c r="W355" s="30">
        <f t="shared" si="31"/>
        <v>67905066.285141155</v>
      </c>
      <c r="X355" s="30"/>
      <c r="Y355">
        <f t="shared" si="32"/>
        <v>0</v>
      </c>
      <c r="Z355">
        <f t="shared" si="33"/>
        <v>1</v>
      </c>
      <c r="AA355">
        <f t="shared" si="34"/>
        <v>0</v>
      </c>
      <c r="AB355">
        <f t="shared" si="35"/>
        <v>1</v>
      </c>
    </row>
    <row r="356" spans="6:28" x14ac:dyDescent="0.3">
      <c r="F356" s="28"/>
      <c r="G356">
        <v>348</v>
      </c>
      <c r="H356" s="109">
        <v>1102.6942245728278</v>
      </c>
      <c r="I356" s="370">
        <v>1671253.2795735656</v>
      </c>
      <c r="J356">
        <v>0</v>
      </c>
      <c r="K356">
        <v>0</v>
      </c>
      <c r="L356">
        <v>0</v>
      </c>
      <c r="M356">
        <v>1</v>
      </c>
      <c r="N356" s="109">
        <v>1515.6089896281007</v>
      </c>
      <c r="O356" s="109">
        <v>-2318845.4739468493</v>
      </c>
      <c r="P356" s="365">
        <v>1</v>
      </c>
      <c r="Q356" s="365">
        <v>0</v>
      </c>
      <c r="R356" s="365">
        <v>0</v>
      </c>
      <c r="S356" s="365">
        <v>0</v>
      </c>
      <c r="T356" s="109">
        <v>-2102.890740037335</v>
      </c>
      <c r="V356" s="368">
        <f t="shared" si="30"/>
        <v>53463457.949067824</v>
      </c>
      <c r="W356" s="30">
        <f t="shared" si="31"/>
        <v>57453556.702588238</v>
      </c>
      <c r="X356" s="30"/>
      <c r="Y356">
        <f t="shared" si="32"/>
        <v>0</v>
      </c>
      <c r="Z356">
        <f t="shared" si="33"/>
        <v>1</v>
      </c>
      <c r="AA356">
        <f t="shared" si="34"/>
        <v>0</v>
      </c>
      <c r="AB356">
        <f t="shared" si="35"/>
        <v>1</v>
      </c>
    </row>
    <row r="357" spans="6:28" x14ac:dyDescent="0.3">
      <c r="F357" s="28"/>
      <c r="G357">
        <v>349</v>
      </c>
      <c r="H357" s="109">
        <v>1117.9132922552672</v>
      </c>
      <c r="I357" s="370">
        <v>806946.82226449472</v>
      </c>
      <c r="J357">
        <v>0</v>
      </c>
      <c r="K357">
        <v>0</v>
      </c>
      <c r="L357">
        <v>0</v>
      </c>
      <c r="M357">
        <v>1</v>
      </c>
      <c r="N357" s="109">
        <v>721.83310445890504</v>
      </c>
      <c r="O357" s="109">
        <v>-3459947.6488416158</v>
      </c>
      <c r="P357" s="365">
        <v>1</v>
      </c>
      <c r="Q357" s="365">
        <v>0</v>
      </c>
      <c r="R357" s="365">
        <v>0</v>
      </c>
      <c r="S357" s="365">
        <v>0</v>
      </c>
      <c r="T357" s="109">
        <v>-3095.005375471967</v>
      </c>
      <c r="V357" s="368">
        <f t="shared" si="30"/>
        <v>55088717.790498868</v>
      </c>
      <c r="W357" s="30">
        <f t="shared" si="31"/>
        <v>59355612.26160498</v>
      </c>
      <c r="X357" s="30"/>
      <c r="Y357">
        <f t="shared" si="32"/>
        <v>0</v>
      </c>
      <c r="Z357">
        <f t="shared" si="33"/>
        <v>1</v>
      </c>
      <c r="AA357">
        <f t="shared" si="34"/>
        <v>0</v>
      </c>
      <c r="AB357">
        <f t="shared" si="35"/>
        <v>1</v>
      </c>
    </row>
    <row r="358" spans="6:28" x14ac:dyDescent="0.3">
      <c r="F358" s="28"/>
      <c r="G358">
        <v>350</v>
      </c>
      <c r="H358" s="109">
        <v>1348.0766370892597</v>
      </c>
      <c r="I358" s="370">
        <v>1762213.386184446</v>
      </c>
      <c r="J358">
        <v>0</v>
      </c>
      <c r="K358">
        <v>0</v>
      </c>
      <c r="L358">
        <v>0</v>
      </c>
      <c r="M358">
        <v>1</v>
      </c>
      <c r="N358" s="109">
        <v>1307.2056422470032</v>
      </c>
      <c r="O358" s="109">
        <v>-3760127.5137412283</v>
      </c>
      <c r="P358" s="365">
        <v>1</v>
      </c>
      <c r="Q358" s="365">
        <v>0</v>
      </c>
      <c r="R358" s="365">
        <v>0</v>
      </c>
      <c r="S358" s="365">
        <v>0</v>
      </c>
      <c r="T358" s="109">
        <v>-2789.2535263128816</v>
      </c>
      <c r="V358" s="368">
        <f t="shared" si="30"/>
        <v>65641618.468278535</v>
      </c>
      <c r="W358" s="30">
        <f t="shared" si="31"/>
        <v>71163959.368204206</v>
      </c>
      <c r="X358" s="30"/>
      <c r="Y358">
        <f t="shared" si="32"/>
        <v>0</v>
      </c>
      <c r="Z358">
        <f t="shared" si="33"/>
        <v>1</v>
      </c>
      <c r="AA358">
        <f t="shared" si="34"/>
        <v>0</v>
      </c>
      <c r="AB358">
        <f t="shared" si="35"/>
        <v>1</v>
      </c>
    </row>
    <row r="359" spans="6:28" x14ac:dyDescent="0.3">
      <c r="F359" s="28"/>
      <c r="G359">
        <v>351</v>
      </c>
      <c r="H359" s="109">
        <v>1042.8711558362047</v>
      </c>
      <c r="I359" s="370">
        <v>1006662.3053501339</v>
      </c>
      <c r="J359">
        <v>0</v>
      </c>
      <c r="K359">
        <v>0</v>
      </c>
      <c r="L359">
        <v>0</v>
      </c>
      <c r="M359">
        <v>1</v>
      </c>
      <c r="N359" s="109">
        <v>965.27965100632446</v>
      </c>
      <c r="O359" s="109">
        <v>-3087181.6507245372</v>
      </c>
      <c r="P359" s="365">
        <v>1</v>
      </c>
      <c r="Q359" s="365">
        <v>0</v>
      </c>
      <c r="R359" s="365">
        <v>0</v>
      </c>
      <c r="S359" s="365">
        <v>0</v>
      </c>
      <c r="T359" s="109">
        <v>-2960.2713944553816</v>
      </c>
      <c r="V359" s="368">
        <f t="shared" si="30"/>
        <v>51136895.486460105</v>
      </c>
      <c r="W359" s="30">
        <f t="shared" si="31"/>
        <v>55230739.442534775</v>
      </c>
      <c r="X359" s="30"/>
      <c r="Y359">
        <f t="shared" si="32"/>
        <v>0</v>
      </c>
      <c r="Z359">
        <f t="shared" si="33"/>
        <v>1</v>
      </c>
      <c r="AA359">
        <f t="shared" si="34"/>
        <v>0</v>
      </c>
      <c r="AB359">
        <f t="shared" si="35"/>
        <v>1</v>
      </c>
    </row>
    <row r="360" spans="6:28" x14ac:dyDescent="0.3">
      <c r="F360" s="28"/>
      <c r="G360">
        <v>352</v>
      </c>
      <c r="H360" s="109">
        <v>1185.9004076320052</v>
      </c>
      <c r="I360" s="370">
        <v>1595519.4213148938</v>
      </c>
      <c r="J360">
        <v>0</v>
      </c>
      <c r="K360">
        <v>0</v>
      </c>
      <c r="L360">
        <v>0</v>
      </c>
      <c r="M360">
        <v>1</v>
      </c>
      <c r="N360" s="109">
        <v>1345.4076000368461</v>
      </c>
      <c r="O360" s="109">
        <v>-1945385.9785652554</v>
      </c>
      <c r="P360" s="365">
        <v>1</v>
      </c>
      <c r="Q360" s="365">
        <v>0</v>
      </c>
      <c r="R360" s="365">
        <v>0</v>
      </c>
      <c r="S360" s="365">
        <v>0</v>
      </c>
      <c r="T360" s="109">
        <v>-1640.4294711811287</v>
      </c>
      <c r="V360" s="368">
        <f t="shared" si="30"/>
        <v>57699500.960285366</v>
      </c>
      <c r="W360" s="30">
        <f t="shared" si="31"/>
        <v>61240406.360165514</v>
      </c>
      <c r="X360" s="30"/>
      <c r="Y360">
        <f t="shared" si="32"/>
        <v>0</v>
      </c>
      <c r="Z360">
        <f t="shared" si="33"/>
        <v>1</v>
      </c>
      <c r="AA360">
        <f t="shared" si="34"/>
        <v>0</v>
      </c>
      <c r="AB360">
        <f t="shared" si="35"/>
        <v>1</v>
      </c>
    </row>
    <row r="361" spans="6:28" x14ac:dyDescent="0.3">
      <c r="F361" s="28"/>
      <c r="G361">
        <v>353</v>
      </c>
      <c r="H361" s="109">
        <v>1358.9882083307966</v>
      </c>
      <c r="I361" s="370">
        <v>1352439.4582410031</v>
      </c>
      <c r="J361">
        <v>0</v>
      </c>
      <c r="K361">
        <v>0</v>
      </c>
      <c r="L361">
        <v>0</v>
      </c>
      <c r="M361">
        <v>1</v>
      </c>
      <c r="N361" s="109">
        <v>995.18115753348798</v>
      </c>
      <c r="O361" s="109">
        <v>-4527849.7803935837</v>
      </c>
      <c r="P361" s="365">
        <v>1</v>
      </c>
      <c r="Q361" s="365">
        <v>0</v>
      </c>
      <c r="R361" s="365">
        <v>0</v>
      </c>
      <c r="S361" s="365">
        <v>0</v>
      </c>
      <c r="T361" s="109">
        <v>-3331.7800350563762</v>
      </c>
      <c r="V361" s="368">
        <f t="shared" si="30"/>
        <v>66596970.958298832</v>
      </c>
      <c r="W361" s="30">
        <f t="shared" si="31"/>
        <v>72477260.196933419</v>
      </c>
      <c r="X361" s="30"/>
      <c r="Y361">
        <f t="shared" si="32"/>
        <v>0</v>
      </c>
      <c r="Z361">
        <f t="shared" si="33"/>
        <v>1</v>
      </c>
      <c r="AA361">
        <f t="shared" si="34"/>
        <v>0</v>
      </c>
      <c r="AB361">
        <f t="shared" si="35"/>
        <v>1</v>
      </c>
    </row>
    <row r="362" spans="6:28" x14ac:dyDescent="0.3">
      <c r="F362" s="28"/>
      <c r="G362">
        <v>354</v>
      </c>
      <c r="H362" s="109">
        <v>1094.8332758455363</v>
      </c>
      <c r="I362" s="370">
        <v>734153.46185631398</v>
      </c>
      <c r="J362">
        <v>0</v>
      </c>
      <c r="K362">
        <v>0</v>
      </c>
      <c r="L362">
        <v>0</v>
      </c>
      <c r="M362">
        <v>1</v>
      </c>
      <c r="N362" s="109">
        <v>670.56188193524679</v>
      </c>
      <c r="O362" s="109">
        <v>-3243818.5558628906</v>
      </c>
      <c r="P362" s="365">
        <v>1</v>
      </c>
      <c r="Q362" s="365">
        <v>0</v>
      </c>
      <c r="R362" s="365">
        <v>0</v>
      </c>
      <c r="S362" s="365">
        <v>0</v>
      </c>
      <c r="T362" s="109">
        <v>-2962.8424961396063</v>
      </c>
      <c r="V362" s="368">
        <f t="shared" si="30"/>
        <v>54007510.330420502</v>
      </c>
      <c r="W362" s="30">
        <f t="shared" si="31"/>
        <v>57985482.348139703</v>
      </c>
      <c r="X362" s="30"/>
      <c r="Y362">
        <f t="shared" si="32"/>
        <v>0</v>
      </c>
      <c r="Z362">
        <f t="shared" si="33"/>
        <v>1</v>
      </c>
      <c r="AA362">
        <f t="shared" si="34"/>
        <v>0</v>
      </c>
      <c r="AB362">
        <f t="shared" si="35"/>
        <v>1</v>
      </c>
    </row>
    <row r="363" spans="6:28" x14ac:dyDescent="0.3">
      <c r="F363" s="28"/>
      <c r="G363">
        <v>355</v>
      </c>
      <c r="H363" s="109">
        <v>1039.1273067851216</v>
      </c>
      <c r="I363" s="370">
        <v>1269051.926084666</v>
      </c>
      <c r="J363">
        <v>0</v>
      </c>
      <c r="K363">
        <v>0</v>
      </c>
      <c r="L363">
        <v>0</v>
      </c>
      <c r="M363">
        <v>1</v>
      </c>
      <c r="N363" s="109">
        <v>1221.2670360967522</v>
      </c>
      <c r="O363" s="109">
        <v>-2534498.1812671921</v>
      </c>
      <c r="P363" s="365">
        <v>1</v>
      </c>
      <c r="Q363" s="365">
        <v>0</v>
      </c>
      <c r="R363" s="365">
        <v>0</v>
      </c>
      <c r="S363" s="365">
        <v>0</v>
      </c>
      <c r="T363" s="109">
        <v>-2439.0641692484119</v>
      </c>
      <c r="V363" s="368">
        <f t="shared" si="30"/>
        <v>50687313.413171411</v>
      </c>
      <c r="W363" s="30">
        <f t="shared" si="31"/>
        <v>54490863.520523272</v>
      </c>
      <c r="X363" s="30"/>
      <c r="Y363">
        <f t="shared" si="32"/>
        <v>0</v>
      </c>
      <c r="Z363">
        <f t="shared" si="33"/>
        <v>1</v>
      </c>
      <c r="AA363">
        <f t="shared" si="34"/>
        <v>0</v>
      </c>
      <c r="AB363">
        <f t="shared" si="35"/>
        <v>1</v>
      </c>
    </row>
    <row r="364" spans="6:28" x14ac:dyDescent="0.3">
      <c r="F364" s="28"/>
      <c r="G364">
        <v>356</v>
      </c>
      <c r="H364" s="109">
        <v>1293.8619243193898</v>
      </c>
      <c r="I364" s="370">
        <v>810666.67264266883</v>
      </c>
      <c r="J364">
        <v>0</v>
      </c>
      <c r="K364">
        <v>0</v>
      </c>
      <c r="L364">
        <v>0</v>
      </c>
      <c r="M364">
        <v>1</v>
      </c>
      <c r="N364" s="109">
        <v>626.54805540328721</v>
      </c>
      <c r="O364" s="109">
        <v>-4553350.0455847578</v>
      </c>
      <c r="P364" s="365">
        <v>1</v>
      </c>
      <c r="Q364" s="365">
        <v>0</v>
      </c>
      <c r="R364" s="365">
        <v>0</v>
      </c>
      <c r="S364" s="365">
        <v>0</v>
      </c>
      <c r="T364" s="109">
        <v>-3519.1931689155754</v>
      </c>
      <c r="V364" s="368">
        <f t="shared" si="30"/>
        <v>63882429.543326817</v>
      </c>
      <c r="W364" s="30">
        <f t="shared" si="31"/>
        <v>69246446.261554241</v>
      </c>
      <c r="X364" s="30"/>
      <c r="Y364">
        <f t="shared" si="32"/>
        <v>0</v>
      </c>
      <c r="Z364">
        <f t="shared" si="33"/>
        <v>1</v>
      </c>
      <c r="AA364">
        <f t="shared" si="34"/>
        <v>0</v>
      </c>
      <c r="AB364">
        <f t="shared" si="35"/>
        <v>1</v>
      </c>
    </row>
    <row r="365" spans="6:28" x14ac:dyDescent="0.3">
      <c r="F365" s="28"/>
      <c r="G365">
        <v>357</v>
      </c>
      <c r="H365" s="109">
        <v>1241.8105200921345</v>
      </c>
      <c r="I365" s="370">
        <v>1134623.6221677556</v>
      </c>
      <c r="J365">
        <v>0</v>
      </c>
      <c r="K365">
        <v>0</v>
      </c>
      <c r="L365">
        <v>0</v>
      </c>
      <c r="M365">
        <v>1</v>
      </c>
      <c r="N365" s="109">
        <v>913.68498157317401</v>
      </c>
      <c r="O365" s="109">
        <v>-3442766.9272952527</v>
      </c>
      <c r="P365" s="365">
        <v>1</v>
      </c>
      <c r="Q365" s="365">
        <v>0</v>
      </c>
      <c r="R365" s="365">
        <v>0</v>
      </c>
      <c r="S365" s="365">
        <v>0</v>
      </c>
      <c r="T365" s="109">
        <v>-2772.3770024430305</v>
      </c>
      <c r="V365" s="368">
        <f t="shared" si="30"/>
        <v>60955902.382438965</v>
      </c>
      <c r="W365" s="30">
        <f t="shared" si="31"/>
        <v>65533292.931901976</v>
      </c>
      <c r="X365" s="30"/>
      <c r="Y365">
        <f t="shared" si="32"/>
        <v>0</v>
      </c>
      <c r="Z365">
        <f t="shared" si="33"/>
        <v>1</v>
      </c>
      <c r="AA365">
        <f t="shared" si="34"/>
        <v>0</v>
      </c>
      <c r="AB365">
        <f t="shared" si="35"/>
        <v>1</v>
      </c>
    </row>
    <row r="366" spans="6:28" x14ac:dyDescent="0.3">
      <c r="F366" s="28"/>
      <c r="G366">
        <v>358</v>
      </c>
      <c r="H366" s="109">
        <v>1197.9713093555038</v>
      </c>
      <c r="I366" s="370">
        <v>1746956.8691678874</v>
      </c>
      <c r="J366">
        <v>0</v>
      </c>
      <c r="K366">
        <v>0</v>
      </c>
      <c r="L366">
        <v>0</v>
      </c>
      <c r="M366">
        <v>1</v>
      </c>
      <c r="N366" s="109">
        <v>1458.2626942107088</v>
      </c>
      <c r="O366" s="109">
        <v>-3335569.2653490612</v>
      </c>
      <c r="P366" s="365">
        <v>1</v>
      </c>
      <c r="Q366" s="365">
        <v>0</v>
      </c>
      <c r="R366" s="365">
        <v>0</v>
      </c>
      <c r="S366" s="365">
        <v>0</v>
      </c>
      <c r="T366" s="109">
        <v>-2784.3482054203478</v>
      </c>
      <c r="V366" s="368">
        <f t="shared" si="30"/>
        <v>58151608.598607302</v>
      </c>
      <c r="W366" s="30">
        <f t="shared" si="31"/>
        <v>63234134.733124249</v>
      </c>
      <c r="X366" s="30"/>
      <c r="Y366">
        <f t="shared" si="32"/>
        <v>0</v>
      </c>
      <c r="Z366">
        <f t="shared" si="33"/>
        <v>1</v>
      </c>
      <c r="AA366">
        <f t="shared" si="34"/>
        <v>0</v>
      </c>
      <c r="AB366">
        <f t="shared" si="35"/>
        <v>1</v>
      </c>
    </row>
    <row r="367" spans="6:28" x14ac:dyDescent="0.3">
      <c r="F367" s="28"/>
      <c r="G367">
        <v>359</v>
      </c>
      <c r="H367" s="109">
        <v>1077.0111547079359</v>
      </c>
      <c r="I367" s="370">
        <v>1548940.2605022392</v>
      </c>
      <c r="J367">
        <v>0</v>
      </c>
      <c r="K367">
        <v>0</v>
      </c>
      <c r="L367">
        <v>0</v>
      </c>
      <c r="M367">
        <v>1</v>
      </c>
      <c r="N367" s="109">
        <v>1438.1840464059828</v>
      </c>
      <c r="O367" s="109">
        <v>-2562027.8442312237</v>
      </c>
      <c r="P367" s="365">
        <v>1</v>
      </c>
      <c r="Q367" s="365">
        <v>0</v>
      </c>
      <c r="R367" s="365">
        <v>0</v>
      </c>
      <c r="S367" s="365">
        <v>0</v>
      </c>
      <c r="T367" s="109">
        <v>-2378.8312990370046</v>
      </c>
      <c r="V367" s="368">
        <f t="shared" si="30"/>
        <v>52301617.474894553</v>
      </c>
      <c r="W367" s="30">
        <f t="shared" si="31"/>
        <v>56412585.579628021</v>
      </c>
      <c r="X367" s="30"/>
      <c r="Y367">
        <f t="shared" si="32"/>
        <v>0</v>
      </c>
      <c r="Z367">
        <f t="shared" si="33"/>
        <v>1</v>
      </c>
      <c r="AA367">
        <f t="shared" si="34"/>
        <v>0</v>
      </c>
      <c r="AB367">
        <f t="shared" si="35"/>
        <v>1</v>
      </c>
    </row>
    <row r="368" spans="6:28" x14ac:dyDescent="0.3">
      <c r="F368" s="28"/>
      <c r="G368">
        <v>360</v>
      </c>
      <c r="H368" s="109">
        <v>1262.3875496117325</v>
      </c>
      <c r="I368" s="370">
        <v>1712897.3964734471</v>
      </c>
      <c r="J368">
        <v>0</v>
      </c>
      <c r="K368">
        <v>0</v>
      </c>
      <c r="L368">
        <v>0</v>
      </c>
      <c r="M368">
        <v>1</v>
      </c>
      <c r="N368" s="109">
        <v>1356.8712690490936</v>
      </c>
      <c r="O368" s="109">
        <v>-3076458.7304744315</v>
      </c>
      <c r="P368" s="365">
        <v>1</v>
      </c>
      <c r="Q368" s="365">
        <v>0</v>
      </c>
      <c r="R368" s="365">
        <v>0</v>
      </c>
      <c r="S368" s="365">
        <v>0</v>
      </c>
      <c r="T368" s="109">
        <v>-2437.0160585159806</v>
      </c>
      <c r="V368" s="368">
        <f t="shared" si="30"/>
        <v>61406480.084113181</v>
      </c>
      <c r="W368" s="30">
        <f t="shared" si="31"/>
        <v>66195836.21106106</v>
      </c>
      <c r="X368" s="30"/>
      <c r="Y368">
        <f t="shared" si="32"/>
        <v>0</v>
      </c>
      <c r="Z368">
        <f t="shared" si="33"/>
        <v>1</v>
      </c>
      <c r="AA368">
        <f t="shared" si="34"/>
        <v>0</v>
      </c>
      <c r="AB368">
        <f t="shared" si="35"/>
        <v>1</v>
      </c>
    </row>
    <row r="369" spans="6:28" x14ac:dyDescent="0.3">
      <c r="F369" s="28"/>
      <c r="G369">
        <v>361</v>
      </c>
      <c r="H369" s="109">
        <v>1221.5335898603225</v>
      </c>
      <c r="I369" s="370">
        <v>1830535.2690230939</v>
      </c>
      <c r="J369">
        <v>0</v>
      </c>
      <c r="K369">
        <v>0</v>
      </c>
      <c r="L369">
        <v>0</v>
      </c>
      <c r="M369">
        <v>1</v>
      </c>
      <c r="N369" s="109">
        <v>1498.5550002209993</v>
      </c>
      <c r="O369" s="109">
        <v>-3396260.9319899785</v>
      </c>
      <c r="P369" s="365">
        <v>1</v>
      </c>
      <c r="Q369" s="365">
        <v>0</v>
      </c>
      <c r="R369" s="365">
        <v>0</v>
      </c>
      <c r="S369" s="365">
        <v>0</v>
      </c>
      <c r="T369" s="109">
        <v>-2780.3254533330742</v>
      </c>
      <c r="V369" s="368">
        <f t="shared" si="30"/>
        <v>59246144.223993033</v>
      </c>
      <c r="W369" s="30">
        <f t="shared" si="31"/>
        <v>64472940.425006099</v>
      </c>
      <c r="X369" s="30"/>
      <c r="Y369">
        <f t="shared" si="32"/>
        <v>0</v>
      </c>
      <c r="Z369">
        <f t="shared" si="33"/>
        <v>1</v>
      </c>
      <c r="AA369">
        <f t="shared" si="34"/>
        <v>0</v>
      </c>
      <c r="AB369">
        <f t="shared" si="35"/>
        <v>1</v>
      </c>
    </row>
    <row r="370" spans="6:28" x14ac:dyDescent="0.3">
      <c r="F370" s="28"/>
      <c r="G370">
        <v>362</v>
      </c>
      <c r="H370" s="109">
        <v>1102.7310262953106</v>
      </c>
      <c r="I370" s="370">
        <v>1028067.2475840478</v>
      </c>
      <c r="J370">
        <v>0</v>
      </c>
      <c r="K370">
        <v>0</v>
      </c>
      <c r="L370">
        <v>0</v>
      </c>
      <c r="M370">
        <v>1</v>
      </c>
      <c r="N370" s="109">
        <v>932.29193980140371</v>
      </c>
      <c r="O370" s="109">
        <v>-4251212.9615985584</v>
      </c>
      <c r="P370" s="365">
        <v>1</v>
      </c>
      <c r="Q370" s="365">
        <v>0</v>
      </c>
      <c r="R370" s="365">
        <v>0</v>
      </c>
      <c r="S370" s="365">
        <v>0</v>
      </c>
      <c r="T370" s="109">
        <v>-3855.1676340156646</v>
      </c>
      <c r="V370" s="368">
        <f t="shared" si="30"/>
        <v>54108484.067181483</v>
      </c>
      <c r="W370" s="30">
        <f t="shared" si="31"/>
        <v>59387764.276364088</v>
      </c>
      <c r="X370" s="30"/>
      <c r="Y370">
        <f t="shared" si="32"/>
        <v>0</v>
      </c>
      <c r="Z370">
        <f t="shared" si="33"/>
        <v>1</v>
      </c>
      <c r="AA370">
        <f t="shared" si="34"/>
        <v>0</v>
      </c>
      <c r="AB370">
        <f t="shared" si="35"/>
        <v>1</v>
      </c>
    </row>
    <row r="371" spans="6:28" x14ac:dyDescent="0.3">
      <c r="F371" s="28"/>
      <c r="G371">
        <v>363</v>
      </c>
      <c r="H371" s="109">
        <v>992.69339434456924</v>
      </c>
      <c r="I371" s="370">
        <v>729876.50652857998</v>
      </c>
      <c r="J371">
        <v>0</v>
      </c>
      <c r="K371">
        <v>0</v>
      </c>
      <c r="L371">
        <v>0</v>
      </c>
      <c r="M371">
        <v>1</v>
      </c>
      <c r="N371" s="109">
        <v>735.24867868238869</v>
      </c>
      <c r="O371" s="109">
        <v>-2984889.3572736238</v>
      </c>
      <c r="P371" s="365">
        <v>1</v>
      </c>
      <c r="Q371" s="365">
        <v>0</v>
      </c>
      <c r="R371" s="365">
        <v>0</v>
      </c>
      <c r="S371" s="365">
        <v>0</v>
      </c>
      <c r="T371" s="109">
        <v>-3006.8592923844444</v>
      </c>
      <c r="V371" s="368">
        <f t="shared" si="30"/>
        <v>48904793.210699886</v>
      </c>
      <c r="W371" s="30">
        <f t="shared" si="31"/>
        <v>52619559.074502088</v>
      </c>
      <c r="X371" s="30"/>
      <c r="Y371">
        <f t="shared" si="32"/>
        <v>0</v>
      </c>
      <c r="Z371">
        <f t="shared" si="33"/>
        <v>1</v>
      </c>
      <c r="AA371">
        <f t="shared" si="34"/>
        <v>0</v>
      </c>
      <c r="AB371">
        <f t="shared" si="35"/>
        <v>1</v>
      </c>
    </row>
    <row r="372" spans="6:28" x14ac:dyDescent="0.3">
      <c r="F372" s="28"/>
      <c r="G372">
        <v>364</v>
      </c>
      <c r="H372" s="109">
        <v>1084.1867106061982</v>
      </c>
      <c r="I372" s="370">
        <v>527367.04815666599</v>
      </c>
      <c r="J372">
        <v>0</v>
      </c>
      <c r="K372">
        <v>0</v>
      </c>
      <c r="L372">
        <v>0</v>
      </c>
      <c r="M372">
        <v>1</v>
      </c>
      <c r="N372" s="109">
        <v>486.417185340522</v>
      </c>
      <c r="O372" s="109">
        <v>-3473555.807527022</v>
      </c>
      <c r="P372" s="365">
        <v>1</v>
      </c>
      <c r="Q372" s="365">
        <v>0</v>
      </c>
      <c r="R372" s="365">
        <v>0</v>
      </c>
      <c r="S372" s="365">
        <v>0</v>
      </c>
      <c r="T372" s="109">
        <v>-3203.83544047027</v>
      </c>
      <c r="V372" s="368">
        <f t="shared" si="30"/>
        <v>53681968.482153244</v>
      </c>
      <c r="W372" s="30">
        <f t="shared" si="31"/>
        <v>57682891.337836929</v>
      </c>
      <c r="X372" s="30"/>
      <c r="Y372">
        <f t="shared" si="32"/>
        <v>0</v>
      </c>
      <c r="Z372">
        <f t="shared" si="33"/>
        <v>1</v>
      </c>
      <c r="AA372">
        <f t="shared" si="34"/>
        <v>0</v>
      </c>
      <c r="AB372">
        <f t="shared" si="35"/>
        <v>1</v>
      </c>
    </row>
    <row r="373" spans="6:28" x14ac:dyDescent="0.3">
      <c r="F373" s="28"/>
      <c r="G373">
        <v>365</v>
      </c>
      <c r="H373" s="109">
        <v>1183.3138938388365</v>
      </c>
      <c r="I373" s="370">
        <v>1179679.4158850415</v>
      </c>
      <c r="J373">
        <v>0</v>
      </c>
      <c r="K373">
        <v>0</v>
      </c>
      <c r="L373">
        <v>0</v>
      </c>
      <c r="M373">
        <v>1</v>
      </c>
      <c r="N373" s="109">
        <v>996.92855972306359</v>
      </c>
      <c r="O373" s="109">
        <v>-3516576.2904842813</v>
      </c>
      <c r="P373" s="365">
        <v>1</v>
      </c>
      <c r="Q373" s="365">
        <v>0</v>
      </c>
      <c r="R373" s="365">
        <v>0</v>
      </c>
      <c r="S373" s="365">
        <v>0</v>
      </c>
      <c r="T373" s="109">
        <v>-2971.8034316963976</v>
      </c>
      <c r="V373" s="368">
        <f t="shared" si="30"/>
        <v>57986015.276056789</v>
      </c>
      <c r="W373" s="30">
        <f t="shared" si="31"/>
        <v>62682270.982426107</v>
      </c>
      <c r="X373" s="30"/>
      <c r="Y373">
        <f t="shared" si="32"/>
        <v>0</v>
      </c>
      <c r="Z373">
        <f t="shared" si="33"/>
        <v>1</v>
      </c>
      <c r="AA373">
        <f t="shared" si="34"/>
        <v>0</v>
      </c>
      <c r="AB373">
        <f t="shared" si="35"/>
        <v>1</v>
      </c>
    </row>
    <row r="374" spans="6:28" x14ac:dyDescent="0.3">
      <c r="F374" s="28"/>
      <c r="G374">
        <v>366</v>
      </c>
      <c r="H374" s="109">
        <v>1210.9281469626876</v>
      </c>
      <c r="I374" s="370">
        <v>1397449.4461185483</v>
      </c>
      <c r="J374">
        <v>0</v>
      </c>
      <c r="K374">
        <v>0</v>
      </c>
      <c r="L374">
        <v>0</v>
      </c>
      <c r="M374">
        <v>1</v>
      </c>
      <c r="N374" s="109">
        <v>1154.0316819158122</v>
      </c>
      <c r="O374" s="109">
        <v>-4028577.7690241565</v>
      </c>
      <c r="P374" s="365">
        <v>1</v>
      </c>
      <c r="Q374" s="365">
        <v>0</v>
      </c>
      <c r="R374" s="365">
        <v>0</v>
      </c>
      <c r="S374" s="365">
        <v>0</v>
      </c>
      <c r="T374" s="109">
        <v>-3326.8512084130202</v>
      </c>
      <c r="V374" s="368">
        <f t="shared" si="30"/>
        <v>59148957.902015835</v>
      </c>
      <c r="W374" s="30">
        <f t="shared" si="31"/>
        <v>64574985.11715854</v>
      </c>
      <c r="X374" s="30"/>
      <c r="Y374">
        <f t="shared" si="32"/>
        <v>0</v>
      </c>
      <c r="Z374">
        <f t="shared" si="33"/>
        <v>1</v>
      </c>
      <c r="AA374">
        <f t="shared" si="34"/>
        <v>0</v>
      </c>
      <c r="AB374">
        <f t="shared" si="35"/>
        <v>1</v>
      </c>
    </row>
    <row r="375" spans="6:28" x14ac:dyDescent="0.3">
      <c r="F375" s="28"/>
      <c r="G375">
        <v>367</v>
      </c>
      <c r="H375" s="109">
        <v>1082.666351801352</v>
      </c>
      <c r="I375" s="370">
        <v>2402792.4443268026</v>
      </c>
      <c r="J375">
        <v>0</v>
      </c>
      <c r="K375">
        <v>0</v>
      </c>
      <c r="L375">
        <v>0</v>
      </c>
      <c r="M375">
        <v>1</v>
      </c>
      <c r="N375" s="109">
        <v>2219.3286420410227</v>
      </c>
      <c r="O375" s="109">
        <v>-1338333.9871057686</v>
      </c>
      <c r="P375" s="365">
        <v>1</v>
      </c>
      <c r="Q375" s="365">
        <v>0</v>
      </c>
      <c r="R375" s="365">
        <v>0</v>
      </c>
      <c r="S375" s="365">
        <v>0</v>
      </c>
      <c r="T375" s="109">
        <v>-1236.1462835517461</v>
      </c>
      <c r="V375" s="368">
        <f t="shared" si="30"/>
        <v>51730525.1457408</v>
      </c>
      <c r="W375" s="30">
        <f t="shared" si="31"/>
        <v>55471651.577173375</v>
      </c>
      <c r="X375" s="30"/>
      <c r="Y375">
        <f t="shared" si="32"/>
        <v>0</v>
      </c>
      <c r="Z375">
        <f t="shared" si="33"/>
        <v>1</v>
      </c>
      <c r="AA375">
        <f t="shared" si="34"/>
        <v>0</v>
      </c>
      <c r="AB375">
        <f t="shared" si="35"/>
        <v>1</v>
      </c>
    </row>
    <row r="376" spans="6:28" x14ac:dyDescent="0.3">
      <c r="F376" s="28"/>
      <c r="G376">
        <v>368</v>
      </c>
      <c r="H376" s="109">
        <v>1159.9286759568713</v>
      </c>
      <c r="I376" s="370">
        <v>492313.42203279043</v>
      </c>
      <c r="J376">
        <v>0</v>
      </c>
      <c r="K376">
        <v>0</v>
      </c>
      <c r="L376">
        <v>0</v>
      </c>
      <c r="M376">
        <v>1</v>
      </c>
      <c r="N376" s="109">
        <v>424.43421930806352</v>
      </c>
      <c r="O376" s="109">
        <v>-3671115.2709827963</v>
      </c>
      <c r="P376" s="365">
        <v>1</v>
      </c>
      <c r="Q376" s="365">
        <v>0</v>
      </c>
      <c r="R376" s="365">
        <v>0</v>
      </c>
      <c r="S376" s="365">
        <v>0</v>
      </c>
      <c r="T376" s="109">
        <v>-3164.9491447862924</v>
      </c>
      <c r="V376" s="368">
        <f t="shared" si="30"/>
        <v>57504120.37581078</v>
      </c>
      <c r="W376" s="30">
        <f t="shared" si="31"/>
        <v>61667549.068826362</v>
      </c>
      <c r="X376" s="30"/>
      <c r="Y376">
        <f t="shared" si="32"/>
        <v>0</v>
      </c>
      <c r="Z376">
        <f t="shared" si="33"/>
        <v>1</v>
      </c>
      <c r="AA376">
        <f t="shared" si="34"/>
        <v>0</v>
      </c>
      <c r="AB376">
        <f t="shared" si="35"/>
        <v>1</v>
      </c>
    </row>
    <row r="377" spans="6:28" x14ac:dyDescent="0.3">
      <c r="F377" s="28"/>
      <c r="G377">
        <v>369</v>
      </c>
      <c r="H377" s="109">
        <v>1202.255885945553</v>
      </c>
      <c r="I377" s="370">
        <v>1809896.3838182127</v>
      </c>
      <c r="J377">
        <v>0</v>
      </c>
      <c r="K377">
        <v>0</v>
      </c>
      <c r="L377">
        <v>0</v>
      </c>
      <c r="M377">
        <v>1</v>
      </c>
      <c r="N377" s="109">
        <v>1505.4169457401001</v>
      </c>
      <c r="O377" s="109">
        <v>-2413975.0189964748</v>
      </c>
      <c r="P377" s="365">
        <v>1</v>
      </c>
      <c r="Q377" s="365">
        <v>0</v>
      </c>
      <c r="R377" s="365">
        <v>0</v>
      </c>
      <c r="S377" s="365">
        <v>0</v>
      </c>
      <c r="T377" s="109">
        <v>-2007.8712420675122</v>
      </c>
      <c r="V377" s="368">
        <f t="shared" si="30"/>
        <v>58302897.913459443</v>
      </c>
      <c r="W377" s="30">
        <f t="shared" si="31"/>
        <v>62526769.316274129</v>
      </c>
      <c r="X377" s="30"/>
      <c r="Y377">
        <f t="shared" si="32"/>
        <v>0</v>
      </c>
      <c r="Z377">
        <f t="shared" si="33"/>
        <v>1</v>
      </c>
      <c r="AA377">
        <f t="shared" si="34"/>
        <v>0</v>
      </c>
      <c r="AB377">
        <f t="shared" si="35"/>
        <v>1</v>
      </c>
    </row>
    <row r="378" spans="6:28" x14ac:dyDescent="0.3">
      <c r="F378" s="28"/>
      <c r="G378">
        <v>370</v>
      </c>
      <c r="H378" s="109">
        <v>1087.7732353649699</v>
      </c>
      <c r="I378" s="370">
        <v>526264.93954457343</v>
      </c>
      <c r="J378">
        <v>0</v>
      </c>
      <c r="K378">
        <v>0</v>
      </c>
      <c r="L378">
        <v>0</v>
      </c>
      <c r="M378">
        <v>1</v>
      </c>
      <c r="N378" s="109">
        <v>483.80022824150564</v>
      </c>
      <c r="O378" s="109">
        <v>-4290256.0333871236</v>
      </c>
      <c r="P378" s="365">
        <v>1</v>
      </c>
      <c r="Q378" s="365">
        <v>0</v>
      </c>
      <c r="R378" s="365">
        <v>0</v>
      </c>
      <c r="S378" s="365">
        <v>0</v>
      </c>
      <c r="T378" s="109">
        <v>-3944.0720675092325</v>
      </c>
      <c r="V378" s="368">
        <f t="shared" si="30"/>
        <v>53862396.828703918</v>
      </c>
      <c r="W378" s="30">
        <f t="shared" si="31"/>
        <v>58678917.801635616</v>
      </c>
      <c r="X378" s="30"/>
      <c r="Y378">
        <f t="shared" si="32"/>
        <v>0</v>
      </c>
      <c r="Z378">
        <f t="shared" si="33"/>
        <v>1</v>
      </c>
      <c r="AA378">
        <f t="shared" si="34"/>
        <v>0</v>
      </c>
      <c r="AB378">
        <f t="shared" si="35"/>
        <v>1</v>
      </c>
    </row>
    <row r="379" spans="6:28" x14ac:dyDescent="0.3">
      <c r="F379" s="28"/>
      <c r="G379">
        <v>371</v>
      </c>
      <c r="H379" s="109">
        <v>1393.1662935752684</v>
      </c>
      <c r="I379" s="370">
        <v>597995.77967813786</v>
      </c>
      <c r="J379">
        <v>0</v>
      </c>
      <c r="K379">
        <v>0</v>
      </c>
      <c r="L379">
        <v>0</v>
      </c>
      <c r="M379">
        <v>1</v>
      </c>
      <c r="N379" s="109">
        <v>429.23503277093175</v>
      </c>
      <c r="O379" s="109">
        <v>-4270614.7270050449</v>
      </c>
      <c r="P379" s="365">
        <v>1</v>
      </c>
      <c r="Q379" s="365">
        <v>0</v>
      </c>
      <c r="R379" s="365">
        <v>0</v>
      </c>
      <c r="S379" s="365">
        <v>0</v>
      </c>
      <c r="T379" s="109">
        <v>-3065.4019887643208</v>
      </c>
      <c r="V379" s="368">
        <f t="shared" si="30"/>
        <v>69060318.899085283</v>
      </c>
      <c r="W379" s="30">
        <f t="shared" si="31"/>
        <v>73928929.405768469</v>
      </c>
      <c r="X379" s="30"/>
      <c r="Y379">
        <f t="shared" si="32"/>
        <v>0</v>
      </c>
      <c r="Z379">
        <f t="shared" si="33"/>
        <v>1</v>
      </c>
      <c r="AA379">
        <f t="shared" si="34"/>
        <v>0</v>
      </c>
      <c r="AB379">
        <f t="shared" si="35"/>
        <v>1</v>
      </c>
    </row>
    <row r="380" spans="6:28" x14ac:dyDescent="0.3">
      <c r="F380" s="28"/>
      <c r="G380">
        <v>372</v>
      </c>
      <c r="H380" s="109">
        <v>1570.0013765532422</v>
      </c>
      <c r="I380" s="370">
        <v>1672080.8357289326</v>
      </c>
      <c r="J380">
        <v>0</v>
      </c>
      <c r="K380">
        <v>0</v>
      </c>
      <c r="L380">
        <v>0</v>
      </c>
      <c r="M380">
        <v>1</v>
      </c>
      <c r="N380" s="109">
        <v>1065.0187067987126</v>
      </c>
      <c r="O380" s="109">
        <v>-3529548.7579575279</v>
      </c>
      <c r="P380" s="365">
        <v>1</v>
      </c>
      <c r="Q380" s="365">
        <v>0</v>
      </c>
      <c r="R380" s="365">
        <v>0</v>
      </c>
      <c r="S380" s="365">
        <v>0</v>
      </c>
      <c r="T380" s="109">
        <v>-2248.1182568809254</v>
      </c>
      <c r="V380" s="368">
        <f t="shared" si="30"/>
        <v>76827987.991933182</v>
      </c>
      <c r="W380" s="30">
        <f t="shared" si="31"/>
        <v>82029617.585619643</v>
      </c>
      <c r="X380" s="30"/>
      <c r="Y380">
        <f t="shared" si="32"/>
        <v>0</v>
      </c>
      <c r="Z380">
        <f t="shared" si="33"/>
        <v>1</v>
      </c>
      <c r="AA380">
        <f t="shared" si="34"/>
        <v>0</v>
      </c>
      <c r="AB380">
        <f t="shared" si="35"/>
        <v>1</v>
      </c>
    </row>
    <row r="381" spans="6:28" x14ac:dyDescent="0.3">
      <c r="F381" s="28"/>
      <c r="G381">
        <v>373</v>
      </c>
      <c r="H381" s="109">
        <v>1016.7120576876769</v>
      </c>
      <c r="I381" s="370">
        <v>1143065.4810713124</v>
      </c>
      <c r="J381">
        <v>0</v>
      </c>
      <c r="K381">
        <v>0</v>
      </c>
      <c r="L381">
        <v>0</v>
      </c>
      <c r="M381">
        <v>1</v>
      </c>
      <c r="N381" s="109">
        <v>1124.2765072256575</v>
      </c>
      <c r="O381" s="109">
        <v>-3267500.2918383428</v>
      </c>
      <c r="P381" s="365">
        <v>1</v>
      </c>
      <c r="Q381" s="365">
        <v>0</v>
      </c>
      <c r="R381" s="365">
        <v>0</v>
      </c>
      <c r="S381" s="365">
        <v>0</v>
      </c>
      <c r="T381" s="109">
        <v>-3213.7912274490641</v>
      </c>
      <c r="V381" s="368">
        <f t="shared" si="30"/>
        <v>49692537.403312527</v>
      </c>
      <c r="W381" s="30">
        <f t="shared" si="31"/>
        <v>54103103.176222183</v>
      </c>
      <c r="X381" s="30"/>
      <c r="Y381">
        <f t="shared" si="32"/>
        <v>0</v>
      </c>
      <c r="Z381">
        <f t="shared" si="33"/>
        <v>1</v>
      </c>
      <c r="AA381">
        <f t="shared" si="34"/>
        <v>0</v>
      </c>
      <c r="AB381">
        <f t="shared" si="35"/>
        <v>1</v>
      </c>
    </row>
    <row r="382" spans="6:28" x14ac:dyDescent="0.3">
      <c r="F382" s="28"/>
      <c r="G382">
        <v>374</v>
      </c>
      <c r="H382" s="109">
        <v>1458.0604190973027</v>
      </c>
      <c r="I382" s="370">
        <v>1723908.3321238346</v>
      </c>
      <c r="J382">
        <v>0</v>
      </c>
      <c r="K382">
        <v>0</v>
      </c>
      <c r="L382">
        <v>0</v>
      </c>
      <c r="M382">
        <v>1</v>
      </c>
      <c r="N382" s="109">
        <v>1182.3298332116585</v>
      </c>
      <c r="O382" s="109">
        <v>-3492608.9602273484</v>
      </c>
      <c r="P382" s="365">
        <v>1</v>
      </c>
      <c r="Q382" s="365">
        <v>0</v>
      </c>
      <c r="R382" s="365">
        <v>0</v>
      </c>
      <c r="S382" s="365">
        <v>0</v>
      </c>
      <c r="T382" s="109">
        <v>-2395.3801327311603</v>
      </c>
      <c r="V382" s="368">
        <f t="shared" si="30"/>
        <v>71179112.622741297</v>
      </c>
      <c r="W382" s="30">
        <f t="shared" si="31"/>
        <v>76395629.915092483</v>
      </c>
      <c r="X382" s="30"/>
      <c r="Y382">
        <f t="shared" si="32"/>
        <v>0</v>
      </c>
      <c r="Z382">
        <f t="shared" si="33"/>
        <v>1</v>
      </c>
      <c r="AA382">
        <f t="shared" si="34"/>
        <v>0</v>
      </c>
      <c r="AB382">
        <f t="shared" si="35"/>
        <v>1</v>
      </c>
    </row>
    <row r="383" spans="6:28" x14ac:dyDescent="0.3">
      <c r="F383" s="28"/>
      <c r="G383">
        <v>375</v>
      </c>
      <c r="H383" s="109">
        <v>1044.3029146953122</v>
      </c>
      <c r="I383" s="370">
        <v>1403419.5150709823</v>
      </c>
      <c r="J383">
        <v>0</v>
      </c>
      <c r="K383">
        <v>0</v>
      </c>
      <c r="L383">
        <v>0</v>
      </c>
      <c r="M383">
        <v>1</v>
      </c>
      <c r="N383" s="109">
        <v>1343.8816413535019</v>
      </c>
      <c r="O383" s="109">
        <v>-2386448.140296292</v>
      </c>
      <c r="P383" s="365">
        <v>1</v>
      </c>
      <c r="Q383" s="365">
        <v>0</v>
      </c>
      <c r="R383" s="365">
        <v>0</v>
      </c>
      <c r="S383" s="365">
        <v>0</v>
      </c>
      <c r="T383" s="109">
        <v>-2285.2068175952249</v>
      </c>
      <c r="V383" s="368">
        <f t="shared" si="30"/>
        <v>50811726.219694629</v>
      </c>
      <c r="W383" s="30">
        <f t="shared" si="31"/>
        <v>54601593.875061907</v>
      </c>
      <c r="X383" s="30"/>
      <c r="Y383">
        <f t="shared" si="32"/>
        <v>0</v>
      </c>
      <c r="Z383">
        <f t="shared" si="33"/>
        <v>1</v>
      </c>
      <c r="AA383">
        <f t="shared" si="34"/>
        <v>0</v>
      </c>
      <c r="AB383">
        <f t="shared" si="35"/>
        <v>1</v>
      </c>
    </row>
    <row r="384" spans="6:28" x14ac:dyDescent="0.3">
      <c r="F384" s="28"/>
      <c r="G384">
        <v>376</v>
      </c>
      <c r="H384" s="109">
        <v>1095.0757663673285</v>
      </c>
      <c r="I384" s="370">
        <v>1296507.7613633603</v>
      </c>
      <c r="J384">
        <v>0</v>
      </c>
      <c r="K384">
        <v>0</v>
      </c>
      <c r="L384">
        <v>0</v>
      </c>
      <c r="M384">
        <v>1</v>
      </c>
      <c r="N384" s="109">
        <v>1183.9434322103921</v>
      </c>
      <c r="O384" s="109">
        <v>-2994293.3160784133</v>
      </c>
      <c r="P384" s="365">
        <v>1</v>
      </c>
      <c r="Q384" s="365">
        <v>0</v>
      </c>
      <c r="R384" s="365">
        <v>0</v>
      </c>
      <c r="S384" s="365">
        <v>0</v>
      </c>
      <c r="T384" s="109">
        <v>-2734.3252476596381</v>
      </c>
      <c r="V384" s="368">
        <f t="shared" si="30"/>
        <v>53457280.557003066</v>
      </c>
      <c r="W384" s="30">
        <f t="shared" si="31"/>
        <v>57748081.634444833</v>
      </c>
      <c r="X384" s="30"/>
      <c r="Y384">
        <f t="shared" si="32"/>
        <v>0</v>
      </c>
      <c r="Z384">
        <f t="shared" si="33"/>
        <v>1</v>
      </c>
      <c r="AA384">
        <f t="shared" si="34"/>
        <v>0</v>
      </c>
      <c r="AB384">
        <f t="shared" si="35"/>
        <v>1</v>
      </c>
    </row>
    <row r="385" spans="6:28" x14ac:dyDescent="0.3">
      <c r="F385" s="28"/>
      <c r="G385">
        <v>377</v>
      </c>
      <c r="H385" s="109">
        <v>1071.3126289094434</v>
      </c>
      <c r="I385" s="370">
        <v>962235.77680789214</v>
      </c>
      <c r="J385">
        <v>0</v>
      </c>
      <c r="K385">
        <v>0</v>
      </c>
      <c r="L385">
        <v>0</v>
      </c>
      <c r="M385">
        <v>1</v>
      </c>
      <c r="N385" s="109">
        <v>898.18392021329248</v>
      </c>
      <c r="O385" s="109">
        <v>-3254587.6857952988</v>
      </c>
      <c r="P385" s="365">
        <v>1</v>
      </c>
      <c r="Q385" s="365">
        <v>0</v>
      </c>
      <c r="R385" s="365">
        <v>0</v>
      </c>
      <c r="S385" s="365">
        <v>0</v>
      </c>
      <c r="T385" s="109">
        <v>-3037.9439184884327</v>
      </c>
      <c r="V385" s="368">
        <f t="shared" si="30"/>
        <v>52603395.668664284</v>
      </c>
      <c r="W385" s="30">
        <f t="shared" si="31"/>
        <v>56820219.131267473</v>
      </c>
      <c r="X385" s="30"/>
      <c r="Y385">
        <f t="shared" si="32"/>
        <v>0</v>
      </c>
      <c r="Z385">
        <f t="shared" si="33"/>
        <v>1</v>
      </c>
      <c r="AA385">
        <f t="shared" si="34"/>
        <v>0</v>
      </c>
      <c r="AB385">
        <f t="shared" si="35"/>
        <v>1</v>
      </c>
    </row>
    <row r="386" spans="6:28" x14ac:dyDescent="0.3">
      <c r="F386" s="28"/>
      <c r="G386">
        <v>378</v>
      </c>
      <c r="H386" s="109">
        <v>1092.0005004005143</v>
      </c>
      <c r="I386" s="370">
        <v>2163053.0460176296</v>
      </c>
      <c r="J386">
        <v>0</v>
      </c>
      <c r="K386">
        <v>0</v>
      </c>
      <c r="L386">
        <v>0</v>
      </c>
      <c r="M386">
        <v>1</v>
      </c>
      <c r="N386" s="109">
        <v>1980.8169000145001</v>
      </c>
      <c r="O386" s="109">
        <v>-1602403.5631390996</v>
      </c>
      <c r="P386" s="365">
        <v>1</v>
      </c>
      <c r="Q386" s="365">
        <v>0</v>
      </c>
      <c r="R386" s="365">
        <v>0</v>
      </c>
      <c r="S386" s="365">
        <v>0</v>
      </c>
      <c r="T386" s="109">
        <v>-1467.4018579216624</v>
      </c>
      <c r="V386" s="368">
        <f t="shared" si="30"/>
        <v>52436971.974008083</v>
      </c>
      <c r="W386" s="30">
        <f t="shared" si="31"/>
        <v>56202428.583164811</v>
      </c>
      <c r="X386" s="30"/>
      <c r="Y386">
        <f t="shared" si="32"/>
        <v>0</v>
      </c>
      <c r="Z386">
        <f t="shared" si="33"/>
        <v>1</v>
      </c>
      <c r="AA386">
        <f t="shared" si="34"/>
        <v>0</v>
      </c>
      <c r="AB386">
        <f t="shared" si="35"/>
        <v>1</v>
      </c>
    </row>
    <row r="387" spans="6:28" x14ac:dyDescent="0.3">
      <c r="F387" s="28"/>
      <c r="G387">
        <v>379</v>
      </c>
      <c r="H387" s="109">
        <v>1417.5572866137663</v>
      </c>
      <c r="I387" s="370">
        <v>1111261.2191644663</v>
      </c>
      <c r="J387">
        <v>0</v>
      </c>
      <c r="K387">
        <v>0</v>
      </c>
      <c r="L387">
        <v>0</v>
      </c>
      <c r="M387">
        <v>1</v>
      </c>
      <c r="N387" s="109">
        <v>783.92685054656647</v>
      </c>
      <c r="O387" s="109">
        <v>-4971812.0609620847</v>
      </c>
      <c r="P387" s="365">
        <v>1</v>
      </c>
      <c r="Q387" s="365">
        <v>0</v>
      </c>
      <c r="R387" s="365">
        <v>0</v>
      </c>
      <c r="S387" s="365">
        <v>0</v>
      </c>
      <c r="T387" s="109">
        <v>-3507.3094455594482</v>
      </c>
      <c r="V387" s="368">
        <f t="shared" si="30"/>
        <v>69766603.111523852</v>
      </c>
      <c r="W387" s="30">
        <f t="shared" si="31"/>
        <v>75849676.391650394</v>
      </c>
      <c r="X387" s="30"/>
      <c r="Y387">
        <f t="shared" si="32"/>
        <v>0</v>
      </c>
      <c r="Z387">
        <f t="shared" si="33"/>
        <v>1</v>
      </c>
      <c r="AA387">
        <f t="shared" si="34"/>
        <v>0</v>
      </c>
      <c r="AB387">
        <f t="shared" si="35"/>
        <v>1</v>
      </c>
    </row>
    <row r="388" spans="6:28" x14ac:dyDescent="0.3">
      <c r="F388" s="28"/>
      <c r="G388">
        <v>380</v>
      </c>
      <c r="H388" s="109">
        <v>1258.9928478654037</v>
      </c>
      <c r="I388" s="370">
        <v>1261795.8804736503</v>
      </c>
      <c r="J388">
        <v>0</v>
      </c>
      <c r="K388">
        <v>0</v>
      </c>
      <c r="L388">
        <v>0</v>
      </c>
      <c r="M388">
        <v>1</v>
      </c>
      <c r="N388" s="109">
        <v>1002.2264086829397</v>
      </c>
      <c r="O388" s="109">
        <v>-3525254.0780273448</v>
      </c>
      <c r="P388" s="365">
        <v>1</v>
      </c>
      <c r="Q388" s="365">
        <v>0</v>
      </c>
      <c r="R388" s="365">
        <v>0</v>
      </c>
      <c r="S388" s="365">
        <v>0</v>
      </c>
      <c r="T388" s="109">
        <v>-2800.05885974995</v>
      </c>
      <c r="V388" s="368">
        <f t="shared" si="30"/>
        <v>61687846.512796536</v>
      </c>
      <c r="W388" s="30">
        <f t="shared" si="31"/>
        <v>66474896.471297532</v>
      </c>
      <c r="X388" s="30"/>
      <c r="Y388">
        <f t="shared" si="32"/>
        <v>0</v>
      </c>
      <c r="Z388">
        <f t="shared" si="33"/>
        <v>1</v>
      </c>
      <c r="AA388">
        <f t="shared" si="34"/>
        <v>0</v>
      </c>
      <c r="AB388">
        <f t="shared" si="35"/>
        <v>1</v>
      </c>
    </row>
    <row r="389" spans="6:28" x14ac:dyDescent="0.3">
      <c r="F389" s="28"/>
      <c r="G389">
        <v>381</v>
      </c>
      <c r="H389" s="109">
        <v>955.91351921050227</v>
      </c>
      <c r="I389" s="370">
        <v>1050323.6304329003</v>
      </c>
      <c r="J389">
        <v>0</v>
      </c>
      <c r="K389">
        <v>0</v>
      </c>
      <c r="L389">
        <v>0</v>
      </c>
      <c r="M389">
        <v>1</v>
      </c>
      <c r="N389" s="109">
        <v>1098.7642807901411</v>
      </c>
      <c r="O389" s="109">
        <v>-2783596.7644226002</v>
      </c>
      <c r="P389" s="365">
        <v>1</v>
      </c>
      <c r="Q389" s="365">
        <v>0</v>
      </c>
      <c r="R389" s="365">
        <v>0</v>
      </c>
      <c r="S389" s="365">
        <v>0</v>
      </c>
      <c r="T389" s="109">
        <v>-2911.9755171174879</v>
      </c>
      <c r="V389" s="368">
        <f t="shared" si="30"/>
        <v>46745352.330092207</v>
      </c>
      <c r="W389" s="30">
        <f t="shared" si="31"/>
        <v>50579272.724947713</v>
      </c>
      <c r="X389" s="30"/>
      <c r="Y389">
        <f t="shared" si="32"/>
        <v>0</v>
      </c>
      <c r="Z389">
        <f t="shared" si="33"/>
        <v>1</v>
      </c>
      <c r="AA389">
        <f t="shared" si="34"/>
        <v>0</v>
      </c>
      <c r="AB389">
        <f t="shared" si="35"/>
        <v>1</v>
      </c>
    </row>
    <row r="390" spans="6:28" x14ac:dyDescent="0.3">
      <c r="F390" s="28"/>
      <c r="G390">
        <v>382</v>
      </c>
      <c r="H390" s="109">
        <v>1246.7270454615646</v>
      </c>
      <c r="I390" s="370">
        <v>1061096.2042457641</v>
      </c>
      <c r="J390">
        <v>0</v>
      </c>
      <c r="K390">
        <v>0</v>
      </c>
      <c r="L390">
        <v>0</v>
      </c>
      <c r="M390">
        <v>1</v>
      </c>
      <c r="N390" s="109">
        <v>851.10546699732811</v>
      </c>
      <c r="O390" s="109">
        <v>-4006341.4386232682</v>
      </c>
      <c r="P390" s="365">
        <v>1</v>
      </c>
      <c r="Q390" s="365">
        <v>0</v>
      </c>
      <c r="R390" s="365">
        <v>0</v>
      </c>
      <c r="S390" s="365">
        <v>0</v>
      </c>
      <c r="T390" s="109">
        <v>-3213.4872289868681</v>
      </c>
      <c r="V390" s="368">
        <f t="shared" si="30"/>
        <v>61275256.068832465</v>
      </c>
      <c r="W390" s="30">
        <f t="shared" si="31"/>
        <v>66342693.711701497</v>
      </c>
      <c r="X390" s="30"/>
      <c r="Y390">
        <f t="shared" si="32"/>
        <v>0</v>
      </c>
      <c r="Z390">
        <f t="shared" si="33"/>
        <v>1</v>
      </c>
      <c r="AA390">
        <f t="shared" si="34"/>
        <v>0</v>
      </c>
      <c r="AB390">
        <f t="shared" si="35"/>
        <v>1</v>
      </c>
    </row>
    <row r="391" spans="6:28" x14ac:dyDescent="0.3">
      <c r="F391" s="28"/>
      <c r="G391">
        <v>383</v>
      </c>
      <c r="H391" s="109">
        <v>1256.6310286702792</v>
      </c>
      <c r="I391" s="370">
        <v>1071093.0079652662</v>
      </c>
      <c r="J391">
        <v>0</v>
      </c>
      <c r="K391">
        <v>0</v>
      </c>
      <c r="L391">
        <v>0</v>
      </c>
      <c r="M391">
        <v>1</v>
      </c>
      <c r="N391" s="109">
        <v>852.35282555346225</v>
      </c>
      <c r="O391" s="109">
        <v>-4923145.2136704763</v>
      </c>
      <c r="P391" s="365">
        <v>1</v>
      </c>
      <c r="Q391" s="365">
        <v>0</v>
      </c>
      <c r="R391" s="365">
        <v>0</v>
      </c>
      <c r="S391" s="365">
        <v>0</v>
      </c>
      <c r="T391" s="109">
        <v>-3917.7332895241079</v>
      </c>
      <c r="V391" s="368">
        <f t="shared" si="30"/>
        <v>61760458.425548695</v>
      </c>
      <c r="W391" s="30">
        <f t="shared" si="31"/>
        <v>67754696.647184432</v>
      </c>
      <c r="X391" s="30"/>
      <c r="Y391">
        <f t="shared" si="32"/>
        <v>0</v>
      </c>
      <c r="Z391">
        <f t="shared" si="33"/>
        <v>1</v>
      </c>
      <c r="AA391">
        <f t="shared" si="34"/>
        <v>0</v>
      </c>
      <c r="AB391">
        <f t="shared" si="35"/>
        <v>1</v>
      </c>
    </row>
    <row r="392" spans="6:28" x14ac:dyDescent="0.3">
      <c r="F392" s="28"/>
      <c r="G392">
        <v>384</v>
      </c>
      <c r="H392" s="109">
        <v>1054.0731776425309</v>
      </c>
      <c r="I392" s="370">
        <v>2044936.8473424232</v>
      </c>
      <c r="J392">
        <v>0</v>
      </c>
      <c r="K392">
        <v>0</v>
      </c>
      <c r="L392">
        <v>0</v>
      </c>
      <c r="M392">
        <v>1</v>
      </c>
      <c r="N392" s="109">
        <v>1940.0330932582795</v>
      </c>
      <c r="O392" s="109">
        <v>-2110796.7035357798</v>
      </c>
      <c r="P392" s="365">
        <v>1</v>
      </c>
      <c r="Q392" s="365">
        <v>0</v>
      </c>
      <c r="R392" s="365">
        <v>0</v>
      </c>
      <c r="S392" s="365">
        <v>0</v>
      </c>
      <c r="T392" s="109">
        <v>-2002.5143873375523</v>
      </c>
      <c r="V392" s="368">
        <f t="shared" si="30"/>
        <v>50658722.034784123</v>
      </c>
      <c r="W392" s="30">
        <f t="shared" si="31"/>
        <v>54814455.585662328</v>
      </c>
      <c r="X392" s="30"/>
      <c r="Y392">
        <f t="shared" si="32"/>
        <v>0</v>
      </c>
      <c r="Z392">
        <f t="shared" si="33"/>
        <v>1</v>
      </c>
      <c r="AA392">
        <f t="shared" si="34"/>
        <v>0</v>
      </c>
      <c r="AB392">
        <f t="shared" si="35"/>
        <v>1</v>
      </c>
    </row>
    <row r="393" spans="6:28" x14ac:dyDescent="0.3">
      <c r="F393" s="28"/>
      <c r="G393">
        <v>385</v>
      </c>
      <c r="H393" s="109">
        <v>1226.6538334108482</v>
      </c>
      <c r="I393" s="370">
        <v>1635065.2548347304</v>
      </c>
      <c r="J393">
        <v>0</v>
      </c>
      <c r="K393">
        <v>0</v>
      </c>
      <c r="L393">
        <v>0</v>
      </c>
      <c r="M393">
        <v>1</v>
      </c>
      <c r="N393" s="109">
        <v>1332.947576814111</v>
      </c>
      <c r="O393" s="109">
        <v>-3180261.109729175</v>
      </c>
      <c r="P393" s="365">
        <v>1</v>
      </c>
      <c r="Q393" s="365">
        <v>0</v>
      </c>
      <c r="R393" s="365">
        <v>0</v>
      </c>
      <c r="S393" s="365">
        <v>0</v>
      </c>
      <c r="T393" s="109">
        <v>-2592.6312893720824</v>
      </c>
      <c r="V393" s="368">
        <f t="shared" ref="V393:V456" si="36">H393*WTPinput-I393</f>
        <v>59697626.415707678</v>
      </c>
      <c r="W393" s="30">
        <f t="shared" ref="W393:W456" si="37">H393*WTPinput-O393</f>
        <v>64512952.78027159</v>
      </c>
      <c r="X393" s="30"/>
      <c r="Y393">
        <f t="shared" si="32"/>
        <v>0</v>
      </c>
      <c r="Z393">
        <f t="shared" si="33"/>
        <v>1</v>
      </c>
      <c r="AA393">
        <f t="shared" si="34"/>
        <v>0</v>
      </c>
      <c r="AB393">
        <f t="shared" si="35"/>
        <v>1</v>
      </c>
    </row>
    <row r="394" spans="6:28" x14ac:dyDescent="0.3">
      <c r="F394" s="28"/>
      <c r="G394">
        <v>386</v>
      </c>
      <c r="H394" s="109">
        <v>1175.3571999748092</v>
      </c>
      <c r="I394" s="370">
        <v>1118679.1281852061</v>
      </c>
      <c r="J394">
        <v>0</v>
      </c>
      <c r="K394">
        <v>0</v>
      </c>
      <c r="L394">
        <v>0</v>
      </c>
      <c r="M394">
        <v>1</v>
      </c>
      <c r="N394" s="109">
        <v>951.77800264394705</v>
      </c>
      <c r="O394" s="109">
        <v>-3711308.450088311</v>
      </c>
      <c r="P394" s="365">
        <v>1</v>
      </c>
      <c r="Q394" s="365">
        <v>0</v>
      </c>
      <c r="R394" s="365">
        <v>0</v>
      </c>
      <c r="S394" s="365">
        <v>0</v>
      </c>
      <c r="T394" s="109">
        <v>-3157.6004725779139</v>
      </c>
      <c r="V394" s="368">
        <f t="shared" si="36"/>
        <v>57649180.870555252</v>
      </c>
      <c r="W394" s="30">
        <f t="shared" si="37"/>
        <v>62479168.448828772</v>
      </c>
      <c r="X394" s="30"/>
      <c r="Y394">
        <f t="shared" ref="Y394:Y457" si="38">IF(V394&lt;0,1,0)</f>
        <v>0</v>
      </c>
      <c r="Z394">
        <f t="shared" ref="Z394:Z457" si="39">IF(V394&gt;0,1,0)</f>
        <v>1</v>
      </c>
      <c r="AA394">
        <f t="shared" ref="AA394:AA457" si="40">IF(W394&lt;0,1,0)</f>
        <v>0</v>
      </c>
      <c r="AB394">
        <f t="shared" ref="AB394:AB457" si="41">IF(W394&gt;0,1,0)</f>
        <v>1</v>
      </c>
    </row>
    <row r="395" spans="6:28" x14ac:dyDescent="0.3">
      <c r="F395" s="28"/>
      <c r="G395">
        <v>387</v>
      </c>
      <c r="H395" s="109">
        <v>1250.0333587446949</v>
      </c>
      <c r="I395" s="370">
        <v>2047193.730404014</v>
      </c>
      <c r="J395">
        <v>0</v>
      </c>
      <c r="K395">
        <v>0</v>
      </c>
      <c r="L395">
        <v>0</v>
      </c>
      <c r="M395">
        <v>1</v>
      </c>
      <c r="N395" s="109">
        <v>1637.7112787292665</v>
      </c>
      <c r="O395" s="109">
        <v>-3245949.7895608186</v>
      </c>
      <c r="P395" s="365">
        <v>1</v>
      </c>
      <c r="Q395" s="365">
        <v>0</v>
      </c>
      <c r="R395" s="365">
        <v>0</v>
      </c>
      <c r="S395" s="365">
        <v>0</v>
      </c>
      <c r="T395" s="109">
        <v>-2596.6905337794005</v>
      </c>
      <c r="V395" s="368">
        <f t="shared" si="36"/>
        <v>60454474.206830733</v>
      </c>
      <c r="W395" s="30">
        <f t="shared" si="37"/>
        <v>65747617.726795562</v>
      </c>
      <c r="X395" s="30"/>
      <c r="Y395">
        <f t="shared" si="38"/>
        <v>0</v>
      </c>
      <c r="Z395">
        <f t="shared" si="39"/>
        <v>1</v>
      </c>
      <c r="AA395">
        <f t="shared" si="40"/>
        <v>0</v>
      </c>
      <c r="AB395">
        <f t="shared" si="41"/>
        <v>1</v>
      </c>
    </row>
    <row r="396" spans="6:28" x14ac:dyDescent="0.3">
      <c r="F396" s="28"/>
      <c r="G396">
        <v>388</v>
      </c>
      <c r="H396" s="109">
        <v>1023.0123822769165</v>
      </c>
      <c r="I396" s="370">
        <v>1227893.7392350279</v>
      </c>
      <c r="J396">
        <v>0</v>
      </c>
      <c r="K396">
        <v>0</v>
      </c>
      <c r="L396">
        <v>0</v>
      </c>
      <c r="M396">
        <v>1</v>
      </c>
      <c r="N396" s="109">
        <v>1200.2726071624934</v>
      </c>
      <c r="O396" s="109">
        <v>-2797208.0371024446</v>
      </c>
      <c r="P396" s="365">
        <v>1</v>
      </c>
      <c r="Q396" s="365">
        <v>0</v>
      </c>
      <c r="R396" s="365">
        <v>0</v>
      </c>
      <c r="S396" s="365">
        <v>0</v>
      </c>
      <c r="T396" s="109">
        <v>-2734.2856113595658</v>
      </c>
      <c r="V396" s="368">
        <f t="shared" si="36"/>
        <v>49922725.374610797</v>
      </c>
      <c r="W396" s="30">
        <f t="shared" si="37"/>
        <v>53947827.150948271</v>
      </c>
      <c r="X396" s="30"/>
      <c r="Y396">
        <f t="shared" si="38"/>
        <v>0</v>
      </c>
      <c r="Z396">
        <f t="shared" si="39"/>
        <v>1</v>
      </c>
      <c r="AA396">
        <f t="shared" si="40"/>
        <v>0</v>
      </c>
      <c r="AB396">
        <f t="shared" si="41"/>
        <v>1</v>
      </c>
    </row>
    <row r="397" spans="6:28" x14ac:dyDescent="0.3">
      <c r="F397" s="28"/>
      <c r="G397">
        <v>389</v>
      </c>
      <c r="H397" s="109">
        <v>1126.9966449149288</v>
      </c>
      <c r="I397" s="370">
        <v>440068.48788613291</v>
      </c>
      <c r="J397">
        <v>0</v>
      </c>
      <c r="K397">
        <v>0</v>
      </c>
      <c r="L397">
        <v>0</v>
      </c>
      <c r="M397">
        <v>1</v>
      </c>
      <c r="N397" s="109">
        <v>390.47896892306318</v>
      </c>
      <c r="O397" s="109">
        <v>-4215660.5369018754</v>
      </c>
      <c r="P397" s="365">
        <v>1</v>
      </c>
      <c r="Q397" s="365">
        <v>0</v>
      </c>
      <c r="R397" s="365">
        <v>0</v>
      </c>
      <c r="S397" s="365">
        <v>0</v>
      </c>
      <c r="T397" s="109">
        <v>-3740.6149840136341</v>
      </c>
      <c r="V397" s="368">
        <f t="shared" si="36"/>
        <v>55909763.75786031</v>
      </c>
      <c r="W397" s="30">
        <f t="shared" si="37"/>
        <v>60565492.782648318</v>
      </c>
      <c r="X397" s="30"/>
      <c r="Y397">
        <f t="shared" si="38"/>
        <v>0</v>
      </c>
      <c r="Z397">
        <f t="shared" si="39"/>
        <v>1</v>
      </c>
      <c r="AA397">
        <f t="shared" si="40"/>
        <v>0</v>
      </c>
      <c r="AB397">
        <f t="shared" si="41"/>
        <v>1</v>
      </c>
    </row>
    <row r="398" spans="6:28" x14ac:dyDescent="0.3">
      <c r="F398" s="28"/>
      <c r="G398">
        <v>390</v>
      </c>
      <c r="H398" s="109">
        <v>1488.9818258947707</v>
      </c>
      <c r="I398" s="370">
        <v>1947948.034865154</v>
      </c>
      <c r="J398">
        <v>0</v>
      </c>
      <c r="K398">
        <v>0</v>
      </c>
      <c r="L398">
        <v>0</v>
      </c>
      <c r="M398">
        <v>1</v>
      </c>
      <c r="N398" s="109">
        <v>1308.2416460621187</v>
      </c>
      <c r="O398" s="109">
        <v>-3574940.0160442931</v>
      </c>
      <c r="P398" s="365">
        <v>1</v>
      </c>
      <c r="Q398" s="365">
        <v>0</v>
      </c>
      <c r="R398" s="365">
        <v>0</v>
      </c>
      <c r="S398" s="365">
        <v>0</v>
      </c>
      <c r="T398" s="109">
        <v>-2400.9292483445938</v>
      </c>
      <c r="V398" s="368">
        <f t="shared" si="36"/>
        <v>72501143.259873375</v>
      </c>
      <c r="W398" s="30">
        <f t="shared" si="37"/>
        <v>78024031.31078282</v>
      </c>
      <c r="X398" s="30"/>
      <c r="Y398">
        <f t="shared" si="38"/>
        <v>0</v>
      </c>
      <c r="Z398">
        <f t="shared" si="39"/>
        <v>1</v>
      </c>
      <c r="AA398">
        <f t="shared" si="40"/>
        <v>0</v>
      </c>
      <c r="AB398">
        <f t="shared" si="41"/>
        <v>1</v>
      </c>
    </row>
    <row r="399" spans="6:28" x14ac:dyDescent="0.3">
      <c r="F399" s="28"/>
      <c r="G399">
        <v>391</v>
      </c>
      <c r="H399" s="109">
        <v>1190.5757361394644</v>
      </c>
      <c r="I399" s="370">
        <v>1253409.185074575</v>
      </c>
      <c r="J399">
        <v>0</v>
      </c>
      <c r="K399">
        <v>0</v>
      </c>
      <c r="L399">
        <v>0</v>
      </c>
      <c r="M399">
        <v>1</v>
      </c>
      <c r="N399" s="109">
        <v>1052.775684089492</v>
      </c>
      <c r="O399" s="109">
        <v>-2652352.0798461461</v>
      </c>
      <c r="P399" s="365">
        <v>1</v>
      </c>
      <c r="Q399" s="365">
        <v>0</v>
      </c>
      <c r="R399" s="365">
        <v>0</v>
      </c>
      <c r="S399" s="365">
        <v>0</v>
      </c>
      <c r="T399" s="109">
        <v>-2227.7894629757925</v>
      </c>
      <c r="V399" s="368">
        <f t="shared" si="36"/>
        <v>58275377.621898644</v>
      </c>
      <c r="W399" s="30">
        <f t="shared" si="37"/>
        <v>62181138.886819363</v>
      </c>
      <c r="X399" s="30"/>
      <c r="Y399">
        <f t="shared" si="38"/>
        <v>0</v>
      </c>
      <c r="Z399">
        <f t="shared" si="39"/>
        <v>1</v>
      </c>
      <c r="AA399">
        <f t="shared" si="40"/>
        <v>0</v>
      </c>
      <c r="AB399">
        <f t="shared" si="41"/>
        <v>1</v>
      </c>
    </row>
    <row r="400" spans="6:28" x14ac:dyDescent="0.3">
      <c r="F400" s="28"/>
      <c r="G400">
        <v>392</v>
      </c>
      <c r="H400" s="109">
        <v>940.22608224902797</v>
      </c>
      <c r="I400" s="370">
        <v>1297151.0565626726</v>
      </c>
      <c r="J400">
        <v>0</v>
      </c>
      <c r="K400">
        <v>0</v>
      </c>
      <c r="L400">
        <v>0</v>
      </c>
      <c r="M400">
        <v>1</v>
      </c>
      <c r="N400" s="109">
        <v>1379.6161168597635</v>
      </c>
      <c r="O400" s="109">
        <v>-2265095.9127029506</v>
      </c>
      <c r="P400" s="365">
        <v>1</v>
      </c>
      <c r="Q400" s="365">
        <v>0</v>
      </c>
      <c r="R400" s="365">
        <v>0</v>
      </c>
      <c r="S400" s="365">
        <v>0</v>
      </c>
      <c r="T400" s="109">
        <v>-2409.0970836342085</v>
      </c>
      <c r="V400" s="368">
        <f t="shared" si="36"/>
        <v>45714153.055888727</v>
      </c>
      <c r="W400" s="30">
        <f t="shared" si="37"/>
        <v>49276400.025154345</v>
      </c>
      <c r="X400" s="30"/>
      <c r="Y400">
        <f t="shared" si="38"/>
        <v>0</v>
      </c>
      <c r="Z400">
        <f t="shared" si="39"/>
        <v>1</v>
      </c>
      <c r="AA400">
        <f t="shared" si="40"/>
        <v>0</v>
      </c>
      <c r="AB400">
        <f t="shared" si="41"/>
        <v>1</v>
      </c>
    </row>
    <row r="401" spans="6:28" x14ac:dyDescent="0.3">
      <c r="F401" s="28"/>
      <c r="G401">
        <v>393</v>
      </c>
      <c r="H401" s="109">
        <v>1144.135437587749</v>
      </c>
      <c r="I401" s="370">
        <v>1670162.3883704385</v>
      </c>
      <c r="J401">
        <v>0</v>
      </c>
      <c r="K401">
        <v>0</v>
      </c>
      <c r="L401">
        <v>0</v>
      </c>
      <c r="M401">
        <v>1</v>
      </c>
      <c r="N401" s="109">
        <v>1459.7593374887017</v>
      </c>
      <c r="O401" s="109">
        <v>-3730739.6965428283</v>
      </c>
      <c r="P401" s="365">
        <v>1</v>
      </c>
      <c r="Q401" s="365">
        <v>0</v>
      </c>
      <c r="R401" s="365">
        <v>0</v>
      </c>
      <c r="S401" s="365">
        <v>0</v>
      </c>
      <c r="T401" s="109">
        <v>-3260.7500598081078</v>
      </c>
      <c r="V401" s="368">
        <f t="shared" si="36"/>
        <v>55536609.491017014</v>
      </c>
      <c r="W401" s="30">
        <f t="shared" si="37"/>
        <v>60937511.575930282</v>
      </c>
      <c r="X401" s="30"/>
      <c r="Y401">
        <f t="shared" si="38"/>
        <v>0</v>
      </c>
      <c r="Z401">
        <f t="shared" si="39"/>
        <v>1</v>
      </c>
      <c r="AA401">
        <f t="shared" si="40"/>
        <v>0</v>
      </c>
      <c r="AB401">
        <f t="shared" si="41"/>
        <v>1</v>
      </c>
    </row>
    <row r="402" spans="6:28" x14ac:dyDescent="0.3">
      <c r="F402" s="28"/>
      <c r="G402">
        <v>394</v>
      </c>
      <c r="H402" s="109">
        <v>1213.1339194141037</v>
      </c>
      <c r="I402" s="370">
        <v>695503.47751680063</v>
      </c>
      <c r="J402">
        <v>0</v>
      </c>
      <c r="K402">
        <v>0</v>
      </c>
      <c r="L402">
        <v>0</v>
      </c>
      <c r="M402">
        <v>1</v>
      </c>
      <c r="N402" s="109">
        <v>573.31137674618947</v>
      </c>
      <c r="O402" s="109">
        <v>-3539162.8951081089</v>
      </c>
      <c r="P402" s="365">
        <v>1</v>
      </c>
      <c r="Q402" s="365">
        <v>0</v>
      </c>
      <c r="R402" s="365">
        <v>0</v>
      </c>
      <c r="S402" s="365">
        <v>0</v>
      </c>
      <c r="T402" s="109">
        <v>-2917.3719722694641</v>
      </c>
      <c r="V402" s="368">
        <f t="shared" si="36"/>
        <v>59961192.493188389</v>
      </c>
      <c r="W402" s="30">
        <f t="shared" si="37"/>
        <v>64195858.8658133</v>
      </c>
      <c r="X402" s="30"/>
      <c r="Y402">
        <f t="shared" si="38"/>
        <v>0</v>
      </c>
      <c r="Z402">
        <f t="shared" si="39"/>
        <v>1</v>
      </c>
      <c r="AA402">
        <f t="shared" si="40"/>
        <v>0</v>
      </c>
      <c r="AB402">
        <f t="shared" si="41"/>
        <v>1</v>
      </c>
    </row>
    <row r="403" spans="6:28" x14ac:dyDescent="0.3">
      <c r="F403" s="28"/>
      <c r="G403">
        <v>395</v>
      </c>
      <c r="H403" s="109">
        <v>1182.9534806824158</v>
      </c>
      <c r="I403" s="370">
        <v>880999.67173985869</v>
      </c>
      <c r="J403">
        <v>0</v>
      </c>
      <c r="K403">
        <v>0</v>
      </c>
      <c r="L403">
        <v>0</v>
      </c>
      <c r="M403">
        <v>1</v>
      </c>
      <c r="N403" s="109">
        <v>744.74582993038098</v>
      </c>
      <c r="O403" s="109">
        <v>-3446305.1730328579</v>
      </c>
      <c r="P403" s="365">
        <v>1</v>
      </c>
      <c r="Q403" s="365">
        <v>0</v>
      </c>
      <c r="R403" s="365">
        <v>0</v>
      </c>
      <c r="S403" s="365">
        <v>0</v>
      </c>
      <c r="T403" s="109">
        <v>-2913.3057464311883</v>
      </c>
      <c r="V403" s="368">
        <f t="shared" si="36"/>
        <v>58266674.362380929</v>
      </c>
      <c r="W403" s="30">
        <f t="shared" si="37"/>
        <v>62593979.207153648</v>
      </c>
      <c r="X403" s="30"/>
      <c r="Y403">
        <f t="shared" si="38"/>
        <v>0</v>
      </c>
      <c r="Z403">
        <f t="shared" si="39"/>
        <v>1</v>
      </c>
      <c r="AA403">
        <f t="shared" si="40"/>
        <v>0</v>
      </c>
      <c r="AB403">
        <f t="shared" si="41"/>
        <v>1</v>
      </c>
    </row>
    <row r="404" spans="6:28" x14ac:dyDescent="0.3">
      <c r="F404" s="28"/>
      <c r="G404">
        <v>396</v>
      </c>
      <c r="H404" s="109">
        <v>985.89478722142667</v>
      </c>
      <c r="I404" s="370">
        <v>695427.73607018439</v>
      </c>
      <c r="J404">
        <v>0</v>
      </c>
      <c r="K404">
        <v>0</v>
      </c>
      <c r="L404">
        <v>0</v>
      </c>
      <c r="M404">
        <v>1</v>
      </c>
      <c r="N404" s="109">
        <v>705.3772320169445</v>
      </c>
      <c r="O404" s="109">
        <v>-3103001.7137494544</v>
      </c>
      <c r="P404" s="365">
        <v>1</v>
      </c>
      <c r="Q404" s="365">
        <v>0</v>
      </c>
      <c r="R404" s="365">
        <v>0</v>
      </c>
      <c r="S404" s="365">
        <v>0</v>
      </c>
      <c r="T404" s="109">
        <v>-3147.3964098083184</v>
      </c>
      <c r="V404" s="368">
        <f t="shared" si="36"/>
        <v>48599311.625001147</v>
      </c>
      <c r="W404" s="30">
        <f t="shared" si="37"/>
        <v>52397741.074820787</v>
      </c>
      <c r="X404" s="30"/>
      <c r="Y404">
        <f t="shared" si="38"/>
        <v>0</v>
      </c>
      <c r="Z404">
        <f t="shared" si="39"/>
        <v>1</v>
      </c>
      <c r="AA404">
        <f t="shared" si="40"/>
        <v>0</v>
      </c>
      <c r="AB404">
        <f t="shared" si="41"/>
        <v>1</v>
      </c>
    </row>
    <row r="405" spans="6:28" x14ac:dyDescent="0.3">
      <c r="F405" s="28"/>
      <c r="G405">
        <v>397</v>
      </c>
      <c r="H405" s="109">
        <v>1097.7658664746632</v>
      </c>
      <c r="I405" s="370">
        <v>1423675.9662750291</v>
      </c>
      <c r="J405">
        <v>0</v>
      </c>
      <c r="K405">
        <v>0</v>
      </c>
      <c r="L405">
        <v>0</v>
      </c>
      <c r="M405">
        <v>1</v>
      </c>
      <c r="N405" s="109">
        <v>1296.8848911717259</v>
      </c>
      <c r="O405" s="109">
        <v>-3361696.8776740222</v>
      </c>
      <c r="P405" s="365">
        <v>1</v>
      </c>
      <c r="Q405" s="365">
        <v>0</v>
      </c>
      <c r="R405" s="365">
        <v>0</v>
      </c>
      <c r="S405" s="365">
        <v>0</v>
      </c>
      <c r="T405" s="109">
        <v>-3062.3077109053211</v>
      </c>
      <c r="V405" s="368">
        <f t="shared" si="36"/>
        <v>53464617.35745813</v>
      </c>
      <c r="W405" s="30">
        <f t="shared" si="37"/>
        <v>58249990.201407179</v>
      </c>
      <c r="X405" s="30"/>
      <c r="Y405">
        <f t="shared" si="38"/>
        <v>0</v>
      </c>
      <c r="Z405">
        <f t="shared" si="39"/>
        <v>1</v>
      </c>
      <c r="AA405">
        <f t="shared" si="40"/>
        <v>0</v>
      </c>
      <c r="AB405">
        <f t="shared" si="41"/>
        <v>1</v>
      </c>
    </row>
    <row r="406" spans="6:28" x14ac:dyDescent="0.3">
      <c r="F406" s="28"/>
      <c r="G406">
        <v>398</v>
      </c>
      <c r="H406" s="109">
        <v>1201.7062569832196</v>
      </c>
      <c r="I406" s="370">
        <v>1380206.6136585171</v>
      </c>
      <c r="J406">
        <v>0</v>
      </c>
      <c r="K406">
        <v>0</v>
      </c>
      <c r="L406">
        <v>0</v>
      </c>
      <c r="M406">
        <v>1</v>
      </c>
      <c r="N406" s="109">
        <v>1148.5390923430882</v>
      </c>
      <c r="O406" s="109">
        <v>-2653385.9079387705</v>
      </c>
      <c r="P406" s="365">
        <v>1</v>
      </c>
      <c r="Q406" s="365">
        <v>0</v>
      </c>
      <c r="R406" s="365">
        <v>0</v>
      </c>
      <c r="S406" s="365">
        <v>0</v>
      </c>
      <c r="T406" s="109">
        <v>-2208.0153885524969</v>
      </c>
      <c r="V406" s="368">
        <f t="shared" si="36"/>
        <v>58705106.235502467</v>
      </c>
      <c r="W406" s="30">
        <f t="shared" si="37"/>
        <v>62738698.757099755</v>
      </c>
      <c r="X406" s="30"/>
      <c r="Y406">
        <f t="shared" si="38"/>
        <v>0</v>
      </c>
      <c r="Z406">
        <f t="shared" si="39"/>
        <v>1</v>
      </c>
      <c r="AA406">
        <f t="shared" si="40"/>
        <v>0</v>
      </c>
      <c r="AB406">
        <f t="shared" si="41"/>
        <v>1</v>
      </c>
    </row>
    <row r="407" spans="6:28" x14ac:dyDescent="0.3">
      <c r="F407" s="28"/>
      <c r="G407">
        <v>399</v>
      </c>
      <c r="H407" s="109">
        <v>1075.6024274538431</v>
      </c>
      <c r="I407" s="370">
        <v>1158679.4405520228</v>
      </c>
      <c r="J407">
        <v>0</v>
      </c>
      <c r="K407">
        <v>0</v>
      </c>
      <c r="L407">
        <v>0</v>
      </c>
      <c r="M407">
        <v>1</v>
      </c>
      <c r="N407" s="109">
        <v>1077.2376586159617</v>
      </c>
      <c r="O407" s="109">
        <v>-3215455.7478844505</v>
      </c>
      <c r="P407" s="365">
        <v>1</v>
      </c>
      <c r="Q407" s="365">
        <v>0</v>
      </c>
      <c r="R407" s="365">
        <v>0</v>
      </c>
      <c r="S407" s="365">
        <v>0</v>
      </c>
      <c r="T407" s="109">
        <v>-2989.4463472865618</v>
      </c>
      <c r="V407" s="368">
        <f t="shared" si="36"/>
        <v>52621441.932140127</v>
      </c>
      <c r="W407" s="30">
        <f t="shared" si="37"/>
        <v>56995577.120576605</v>
      </c>
      <c r="X407" s="30"/>
      <c r="Y407">
        <f t="shared" si="38"/>
        <v>0</v>
      </c>
      <c r="Z407">
        <f t="shared" si="39"/>
        <v>1</v>
      </c>
      <c r="AA407">
        <f t="shared" si="40"/>
        <v>0</v>
      </c>
      <c r="AB407">
        <f t="shared" si="41"/>
        <v>1</v>
      </c>
    </row>
    <row r="408" spans="6:28" x14ac:dyDescent="0.3">
      <c r="F408" s="28"/>
      <c r="G408">
        <v>400</v>
      </c>
      <c r="H408" s="109">
        <v>1241.2380393618296</v>
      </c>
      <c r="I408" s="370">
        <v>1504521.7835815009</v>
      </c>
      <c r="J408">
        <v>0</v>
      </c>
      <c r="K408">
        <v>0</v>
      </c>
      <c r="L408">
        <v>0</v>
      </c>
      <c r="M408">
        <v>1</v>
      </c>
      <c r="N408" s="109">
        <v>1212.113821741264</v>
      </c>
      <c r="O408" s="109">
        <v>-3717263.0493258638</v>
      </c>
      <c r="P408" s="365">
        <v>1</v>
      </c>
      <c r="Q408" s="365">
        <v>0</v>
      </c>
      <c r="R408" s="365">
        <v>0</v>
      </c>
      <c r="S408" s="365">
        <v>0</v>
      </c>
      <c r="T408" s="109">
        <v>-2994.8027142618498</v>
      </c>
      <c r="V408" s="368">
        <f t="shared" si="36"/>
        <v>60557380.184509978</v>
      </c>
      <c r="W408" s="30">
        <f t="shared" si="37"/>
        <v>65779165.017417341</v>
      </c>
      <c r="X408" s="30"/>
      <c r="Y408">
        <f t="shared" si="38"/>
        <v>0</v>
      </c>
      <c r="Z408">
        <f t="shared" si="39"/>
        <v>1</v>
      </c>
      <c r="AA408">
        <f t="shared" si="40"/>
        <v>0</v>
      </c>
      <c r="AB408">
        <f t="shared" si="41"/>
        <v>1</v>
      </c>
    </row>
    <row r="409" spans="6:28" x14ac:dyDescent="0.3">
      <c r="F409" s="28"/>
      <c r="G409">
        <v>401</v>
      </c>
      <c r="H409" s="109">
        <v>1011.6734522645565</v>
      </c>
      <c r="I409" s="370">
        <v>1310881.7573255564</v>
      </c>
      <c r="J409">
        <v>0</v>
      </c>
      <c r="K409">
        <v>0</v>
      </c>
      <c r="L409">
        <v>0</v>
      </c>
      <c r="M409">
        <v>1</v>
      </c>
      <c r="N409" s="109">
        <v>1295.7558136879484</v>
      </c>
      <c r="O409" s="109">
        <v>-2793788.370900814</v>
      </c>
      <c r="P409" s="365">
        <v>1</v>
      </c>
      <c r="Q409" s="365">
        <v>0</v>
      </c>
      <c r="R409" s="365">
        <v>0</v>
      </c>
      <c r="S409" s="365">
        <v>0</v>
      </c>
      <c r="T409" s="109">
        <v>-2761.5515309284083</v>
      </c>
      <c r="V409" s="368">
        <f t="shared" si="36"/>
        <v>49272790.855902269</v>
      </c>
      <c r="W409" s="30">
        <f t="shared" si="37"/>
        <v>53377460.984128647</v>
      </c>
      <c r="X409" s="30"/>
      <c r="Y409">
        <f t="shared" si="38"/>
        <v>0</v>
      </c>
      <c r="Z409">
        <f t="shared" si="39"/>
        <v>1</v>
      </c>
      <c r="AA409">
        <f t="shared" si="40"/>
        <v>0</v>
      </c>
      <c r="AB409">
        <f t="shared" si="41"/>
        <v>1</v>
      </c>
    </row>
    <row r="410" spans="6:28" x14ac:dyDescent="0.3">
      <c r="F410" s="28"/>
      <c r="G410">
        <v>402</v>
      </c>
      <c r="H410" s="109">
        <v>1217.7583500106484</v>
      </c>
      <c r="I410" s="370">
        <v>1534059.0710385139</v>
      </c>
      <c r="J410">
        <v>0</v>
      </c>
      <c r="K410">
        <v>0</v>
      </c>
      <c r="L410">
        <v>0</v>
      </c>
      <c r="M410">
        <v>1</v>
      </c>
      <c r="N410" s="109">
        <v>1259.7401372982577</v>
      </c>
      <c r="O410" s="109">
        <v>-3114259.0416644723</v>
      </c>
      <c r="P410" s="365">
        <v>1</v>
      </c>
      <c r="Q410" s="365">
        <v>0</v>
      </c>
      <c r="R410" s="365">
        <v>0</v>
      </c>
      <c r="S410" s="365">
        <v>0</v>
      </c>
      <c r="T410" s="109">
        <v>-2557.3703039172265</v>
      </c>
      <c r="V410" s="368">
        <f t="shared" si="36"/>
        <v>59353858.429493904</v>
      </c>
      <c r="W410" s="30">
        <f t="shared" si="37"/>
        <v>64002176.542196892</v>
      </c>
      <c r="X410" s="30"/>
      <c r="Y410">
        <f t="shared" si="38"/>
        <v>0</v>
      </c>
      <c r="Z410">
        <f t="shared" si="39"/>
        <v>1</v>
      </c>
      <c r="AA410">
        <f t="shared" si="40"/>
        <v>0</v>
      </c>
      <c r="AB410">
        <f t="shared" si="41"/>
        <v>1</v>
      </c>
    </row>
    <row r="411" spans="6:28" x14ac:dyDescent="0.3">
      <c r="F411" s="28"/>
      <c r="G411">
        <v>403</v>
      </c>
      <c r="H411" s="109">
        <v>1355.3310941488962</v>
      </c>
      <c r="I411" s="370">
        <v>1253793.9504942745</v>
      </c>
      <c r="J411">
        <v>0</v>
      </c>
      <c r="K411">
        <v>0</v>
      </c>
      <c r="L411">
        <v>0</v>
      </c>
      <c r="M411">
        <v>1</v>
      </c>
      <c r="N411" s="109">
        <v>925.08314455931247</v>
      </c>
      <c r="O411" s="109">
        <v>-4650627.0810941374</v>
      </c>
      <c r="P411" s="365">
        <v>1</v>
      </c>
      <c r="Q411" s="365">
        <v>0</v>
      </c>
      <c r="R411" s="365">
        <v>0</v>
      </c>
      <c r="S411" s="365">
        <v>0</v>
      </c>
      <c r="T411" s="109">
        <v>-3431.3586555870907</v>
      </c>
      <c r="V411" s="368">
        <f t="shared" si="36"/>
        <v>66512760.756950542</v>
      </c>
      <c r="W411" s="30">
        <f t="shared" si="37"/>
        <v>72417181.788538948</v>
      </c>
      <c r="X411" s="30"/>
      <c r="Y411">
        <f t="shared" si="38"/>
        <v>0</v>
      </c>
      <c r="Z411">
        <f t="shared" si="39"/>
        <v>1</v>
      </c>
      <c r="AA411">
        <f t="shared" si="40"/>
        <v>0</v>
      </c>
      <c r="AB411">
        <f t="shared" si="41"/>
        <v>1</v>
      </c>
    </row>
    <row r="412" spans="6:28" x14ac:dyDescent="0.3">
      <c r="F412" s="28"/>
      <c r="G412">
        <v>404</v>
      </c>
      <c r="H412" s="109">
        <v>1255.1318728786937</v>
      </c>
      <c r="I412" s="370">
        <v>1228302.5696593022</v>
      </c>
      <c r="J412">
        <v>0</v>
      </c>
      <c r="K412">
        <v>0</v>
      </c>
      <c r="L412">
        <v>0</v>
      </c>
      <c r="M412">
        <v>1</v>
      </c>
      <c r="N412" s="109">
        <v>978.62431526190358</v>
      </c>
      <c r="O412" s="109">
        <v>-3396351.7414982091</v>
      </c>
      <c r="P412" s="365">
        <v>1</v>
      </c>
      <c r="Q412" s="365">
        <v>0</v>
      </c>
      <c r="R412" s="365">
        <v>0</v>
      </c>
      <c r="S412" s="365">
        <v>0</v>
      </c>
      <c r="T412" s="109">
        <v>-2705.9720296231062</v>
      </c>
      <c r="V412" s="368">
        <f t="shared" si="36"/>
        <v>61528291.074275382</v>
      </c>
      <c r="W412" s="30">
        <f t="shared" si="37"/>
        <v>66152945.385432892</v>
      </c>
      <c r="X412" s="30"/>
      <c r="Y412">
        <f t="shared" si="38"/>
        <v>0</v>
      </c>
      <c r="Z412">
        <f t="shared" si="39"/>
        <v>1</v>
      </c>
      <c r="AA412">
        <f t="shared" si="40"/>
        <v>0</v>
      </c>
      <c r="AB412">
        <f t="shared" si="41"/>
        <v>1</v>
      </c>
    </row>
    <row r="413" spans="6:28" x14ac:dyDescent="0.3">
      <c r="F413" s="28"/>
      <c r="G413">
        <v>405</v>
      </c>
      <c r="H413" s="109">
        <v>1154.7944416229002</v>
      </c>
      <c r="I413" s="370">
        <v>1190435.5454499545</v>
      </c>
      <c r="J413">
        <v>0</v>
      </c>
      <c r="K413">
        <v>0</v>
      </c>
      <c r="L413">
        <v>0</v>
      </c>
      <c r="M413">
        <v>1</v>
      </c>
      <c r="N413" s="109">
        <v>1030.8635914258175</v>
      </c>
      <c r="O413" s="109">
        <v>-3023737.7166541442</v>
      </c>
      <c r="P413" s="365">
        <v>1</v>
      </c>
      <c r="Q413" s="365">
        <v>0</v>
      </c>
      <c r="R413" s="365">
        <v>0</v>
      </c>
      <c r="S413" s="365">
        <v>0</v>
      </c>
      <c r="T413" s="109">
        <v>-2618.4207402355596</v>
      </c>
      <c r="V413" s="368">
        <f t="shared" si="36"/>
        <v>56549286.535695054</v>
      </c>
      <c r="W413" s="30">
        <f t="shared" si="37"/>
        <v>60763459.797799155</v>
      </c>
      <c r="X413" s="30"/>
      <c r="Y413">
        <f t="shared" si="38"/>
        <v>0</v>
      </c>
      <c r="Z413">
        <f t="shared" si="39"/>
        <v>1</v>
      </c>
      <c r="AA413">
        <f t="shared" si="40"/>
        <v>0</v>
      </c>
      <c r="AB413">
        <f t="shared" si="41"/>
        <v>1</v>
      </c>
    </row>
    <row r="414" spans="6:28" x14ac:dyDescent="0.3">
      <c r="F414" s="28"/>
      <c r="G414">
        <v>406</v>
      </c>
      <c r="H414" s="109">
        <v>1202.3075543019222</v>
      </c>
      <c r="I414" s="370">
        <v>615046.85656790773</v>
      </c>
      <c r="J414">
        <v>0</v>
      </c>
      <c r="K414">
        <v>0</v>
      </c>
      <c r="L414">
        <v>0</v>
      </c>
      <c r="M414">
        <v>1</v>
      </c>
      <c r="N414" s="109">
        <v>511.55534569107249</v>
      </c>
      <c r="O414" s="109">
        <v>-3937581.7613700642</v>
      </c>
      <c r="P414" s="365">
        <v>1</v>
      </c>
      <c r="Q414" s="365">
        <v>0</v>
      </c>
      <c r="R414" s="365">
        <v>0</v>
      </c>
      <c r="S414" s="365">
        <v>0</v>
      </c>
      <c r="T414" s="109">
        <v>-3275.0203949739657</v>
      </c>
      <c r="V414" s="368">
        <f t="shared" si="36"/>
        <v>59500330.858528204</v>
      </c>
      <c r="W414" s="30">
        <f t="shared" si="37"/>
        <v>64052959.476466171</v>
      </c>
      <c r="X414" s="30"/>
      <c r="Y414">
        <f t="shared" si="38"/>
        <v>0</v>
      </c>
      <c r="Z414">
        <f t="shared" si="39"/>
        <v>1</v>
      </c>
      <c r="AA414">
        <f t="shared" si="40"/>
        <v>0</v>
      </c>
      <c r="AB414">
        <f t="shared" si="41"/>
        <v>1</v>
      </c>
    </row>
    <row r="415" spans="6:28" x14ac:dyDescent="0.3">
      <c r="F415" s="28"/>
      <c r="G415">
        <v>407</v>
      </c>
      <c r="H415" s="109">
        <v>1075.6071404794347</v>
      </c>
      <c r="I415" s="370">
        <v>456464.06409950071</v>
      </c>
      <c r="J415">
        <v>0</v>
      </c>
      <c r="K415">
        <v>0</v>
      </c>
      <c r="L415">
        <v>0</v>
      </c>
      <c r="M415">
        <v>1</v>
      </c>
      <c r="N415" s="109">
        <v>424.37805302783607</v>
      </c>
      <c r="O415" s="109">
        <v>-3817031.9436406777</v>
      </c>
      <c r="P415" s="365">
        <v>1</v>
      </c>
      <c r="Q415" s="365">
        <v>0</v>
      </c>
      <c r="R415" s="365">
        <v>0</v>
      </c>
      <c r="S415" s="365">
        <v>0</v>
      </c>
      <c r="T415" s="109">
        <v>-3548.72313504659</v>
      </c>
      <c r="V415" s="368">
        <f t="shared" si="36"/>
        <v>53323892.959872238</v>
      </c>
      <c r="W415" s="30">
        <f t="shared" si="37"/>
        <v>57597388.967612416</v>
      </c>
      <c r="X415" s="30"/>
      <c r="Y415">
        <f t="shared" si="38"/>
        <v>0</v>
      </c>
      <c r="Z415">
        <f t="shared" si="39"/>
        <v>1</v>
      </c>
      <c r="AA415">
        <f t="shared" si="40"/>
        <v>0</v>
      </c>
      <c r="AB415">
        <f t="shared" si="41"/>
        <v>1</v>
      </c>
    </row>
    <row r="416" spans="6:28" x14ac:dyDescent="0.3">
      <c r="F416" s="28"/>
      <c r="G416">
        <v>408</v>
      </c>
      <c r="H416" s="109">
        <v>1069.1260921634384</v>
      </c>
      <c r="I416" s="370">
        <v>1069100.8523436196</v>
      </c>
      <c r="J416">
        <v>0</v>
      </c>
      <c r="K416">
        <v>0</v>
      </c>
      <c r="L416">
        <v>0</v>
      </c>
      <c r="M416">
        <v>1</v>
      </c>
      <c r="N416" s="109">
        <v>999.9763921019196</v>
      </c>
      <c r="O416" s="109">
        <v>-2998203.3833687715</v>
      </c>
      <c r="P416" s="365">
        <v>1</v>
      </c>
      <c r="Q416" s="365">
        <v>0</v>
      </c>
      <c r="R416" s="365">
        <v>0</v>
      </c>
      <c r="S416" s="365">
        <v>0</v>
      </c>
      <c r="T416" s="109">
        <v>-2804.3496509394263</v>
      </c>
      <c r="V416" s="368">
        <f t="shared" si="36"/>
        <v>52387203.755828306</v>
      </c>
      <c r="W416" s="30">
        <f t="shared" si="37"/>
        <v>56454507.9915407</v>
      </c>
      <c r="X416" s="30"/>
      <c r="Y416">
        <f t="shared" si="38"/>
        <v>0</v>
      </c>
      <c r="Z416">
        <f t="shared" si="39"/>
        <v>1</v>
      </c>
      <c r="AA416">
        <f t="shared" si="40"/>
        <v>0</v>
      </c>
      <c r="AB416">
        <f t="shared" si="41"/>
        <v>1</v>
      </c>
    </row>
    <row r="417" spans="6:28" x14ac:dyDescent="0.3">
      <c r="F417" s="28"/>
      <c r="G417">
        <v>409</v>
      </c>
      <c r="H417" s="109">
        <v>1236.1257198813837</v>
      </c>
      <c r="I417" s="370">
        <v>987579.87748884596</v>
      </c>
      <c r="J417">
        <v>0</v>
      </c>
      <c r="K417">
        <v>0</v>
      </c>
      <c r="L417">
        <v>0</v>
      </c>
      <c r="M417">
        <v>1</v>
      </c>
      <c r="N417" s="109">
        <v>798.93158244746519</v>
      </c>
      <c r="O417" s="109">
        <v>-3359336.3078129753</v>
      </c>
      <c r="P417" s="365">
        <v>1</v>
      </c>
      <c r="Q417" s="365">
        <v>0</v>
      </c>
      <c r="R417" s="365">
        <v>0</v>
      </c>
      <c r="S417" s="365">
        <v>0</v>
      </c>
      <c r="T417" s="109">
        <v>-2717.6332097800951</v>
      </c>
      <c r="V417" s="368">
        <f t="shared" si="36"/>
        <v>60818706.116580345</v>
      </c>
      <c r="W417" s="30">
        <f t="shared" si="37"/>
        <v>65165622.301882163</v>
      </c>
      <c r="X417" s="30"/>
      <c r="Y417">
        <f t="shared" si="38"/>
        <v>0</v>
      </c>
      <c r="Z417">
        <f t="shared" si="39"/>
        <v>1</v>
      </c>
      <c r="AA417">
        <f t="shared" si="40"/>
        <v>0</v>
      </c>
      <c r="AB417">
        <f t="shared" si="41"/>
        <v>1</v>
      </c>
    </row>
    <row r="418" spans="6:28" x14ac:dyDescent="0.3">
      <c r="F418" s="28"/>
      <c r="G418">
        <v>410</v>
      </c>
      <c r="H418" s="109">
        <v>1027.1857260293909</v>
      </c>
      <c r="I418" s="370">
        <v>1725446.5715273961</v>
      </c>
      <c r="J418">
        <v>0</v>
      </c>
      <c r="K418">
        <v>0</v>
      </c>
      <c r="L418">
        <v>0</v>
      </c>
      <c r="M418">
        <v>1</v>
      </c>
      <c r="N418" s="109">
        <v>1679.7805185603074</v>
      </c>
      <c r="O418" s="109">
        <v>-1948164.3859126142</v>
      </c>
      <c r="P418" s="365">
        <v>1</v>
      </c>
      <c r="Q418" s="365">
        <v>0</v>
      </c>
      <c r="R418" s="365">
        <v>0</v>
      </c>
      <c r="S418" s="365">
        <v>0</v>
      </c>
      <c r="T418" s="109">
        <v>-1896.6038337032646</v>
      </c>
      <c r="V418" s="368">
        <f t="shared" si="36"/>
        <v>49633839.72994215</v>
      </c>
      <c r="W418" s="30">
        <f t="shared" si="37"/>
        <v>53307450.687382162</v>
      </c>
      <c r="X418" s="30"/>
      <c r="Y418">
        <f t="shared" si="38"/>
        <v>0</v>
      </c>
      <c r="Z418">
        <f t="shared" si="39"/>
        <v>1</v>
      </c>
      <c r="AA418">
        <f t="shared" si="40"/>
        <v>0</v>
      </c>
      <c r="AB418">
        <f t="shared" si="41"/>
        <v>1</v>
      </c>
    </row>
    <row r="419" spans="6:28" x14ac:dyDescent="0.3">
      <c r="F419" s="28"/>
      <c r="G419">
        <v>411</v>
      </c>
      <c r="H419" s="109">
        <v>1159.8636754481995</v>
      </c>
      <c r="I419" s="370">
        <v>852867.36489304027</v>
      </c>
      <c r="J419">
        <v>0</v>
      </c>
      <c r="K419">
        <v>0</v>
      </c>
      <c r="L419">
        <v>0</v>
      </c>
      <c r="M419">
        <v>1</v>
      </c>
      <c r="N419" s="109">
        <v>735.31690227601234</v>
      </c>
      <c r="O419" s="109">
        <v>-4051582.0946674505</v>
      </c>
      <c r="P419" s="365">
        <v>1</v>
      </c>
      <c r="Q419" s="365">
        <v>0</v>
      </c>
      <c r="R419" s="365">
        <v>0</v>
      </c>
      <c r="S419" s="365">
        <v>0</v>
      </c>
      <c r="T419" s="109">
        <v>-3493.1537045522359</v>
      </c>
      <c r="V419" s="368">
        <f t="shared" si="36"/>
        <v>57140316.407516934</v>
      </c>
      <c r="W419" s="30">
        <f t="shared" si="37"/>
        <v>62044765.867077425</v>
      </c>
      <c r="X419" s="30"/>
      <c r="Y419">
        <f t="shared" si="38"/>
        <v>0</v>
      </c>
      <c r="Z419">
        <f t="shared" si="39"/>
        <v>1</v>
      </c>
      <c r="AA419">
        <f t="shared" si="40"/>
        <v>0</v>
      </c>
      <c r="AB419">
        <f t="shared" si="41"/>
        <v>1</v>
      </c>
    </row>
    <row r="420" spans="6:28" x14ac:dyDescent="0.3">
      <c r="F420" s="28"/>
      <c r="G420">
        <v>412</v>
      </c>
      <c r="H420" s="109">
        <v>1291.7733072493793</v>
      </c>
      <c r="I420" s="370">
        <v>1507927.0113744321</v>
      </c>
      <c r="J420">
        <v>0</v>
      </c>
      <c r="K420">
        <v>0</v>
      </c>
      <c r="L420">
        <v>0</v>
      </c>
      <c r="M420">
        <v>1</v>
      </c>
      <c r="N420" s="109">
        <v>1167.3309882717092</v>
      </c>
      <c r="O420" s="109">
        <v>-3650575.8281327984</v>
      </c>
      <c r="P420" s="365">
        <v>1</v>
      </c>
      <c r="Q420" s="365">
        <v>0</v>
      </c>
      <c r="R420" s="365">
        <v>0</v>
      </c>
      <c r="S420" s="365">
        <v>0</v>
      </c>
      <c r="T420" s="109">
        <v>-2826.0189366399782</v>
      </c>
      <c r="V420" s="368">
        <f t="shared" si="36"/>
        <v>63080738.351094536</v>
      </c>
      <c r="W420" s="30">
        <f t="shared" si="37"/>
        <v>68239241.190601766</v>
      </c>
      <c r="X420" s="30"/>
      <c r="Y420">
        <f t="shared" si="38"/>
        <v>0</v>
      </c>
      <c r="Z420">
        <f t="shared" si="39"/>
        <v>1</v>
      </c>
      <c r="AA420">
        <f t="shared" si="40"/>
        <v>0</v>
      </c>
      <c r="AB420">
        <f t="shared" si="41"/>
        <v>1</v>
      </c>
    </row>
    <row r="421" spans="6:28" x14ac:dyDescent="0.3">
      <c r="F421" s="28"/>
      <c r="G421">
        <v>413</v>
      </c>
      <c r="H421" s="109">
        <v>1104.5173644091919</v>
      </c>
      <c r="I421" s="370">
        <v>1068346.1552055157</v>
      </c>
      <c r="J421">
        <v>0</v>
      </c>
      <c r="K421">
        <v>0</v>
      </c>
      <c r="L421">
        <v>0</v>
      </c>
      <c r="M421">
        <v>1</v>
      </c>
      <c r="N421" s="109">
        <v>967.25157035170355</v>
      </c>
      <c r="O421" s="109">
        <v>-3531484.2696903003</v>
      </c>
      <c r="P421" s="365">
        <v>1</v>
      </c>
      <c r="Q421" s="365">
        <v>0</v>
      </c>
      <c r="R421" s="365">
        <v>0</v>
      </c>
      <c r="S421" s="365">
        <v>0</v>
      </c>
      <c r="T421" s="109">
        <v>-3197.3098689845378</v>
      </c>
      <c r="V421" s="368">
        <f t="shared" si="36"/>
        <v>54157522.065254077</v>
      </c>
      <c r="W421" s="30">
        <f t="shared" si="37"/>
        <v>58757352.490149893</v>
      </c>
      <c r="X421" s="30"/>
      <c r="Y421">
        <f t="shared" si="38"/>
        <v>0</v>
      </c>
      <c r="Z421">
        <f t="shared" si="39"/>
        <v>1</v>
      </c>
      <c r="AA421">
        <f t="shared" si="40"/>
        <v>0</v>
      </c>
      <c r="AB421">
        <f t="shared" si="41"/>
        <v>1</v>
      </c>
    </row>
    <row r="422" spans="6:28" x14ac:dyDescent="0.3">
      <c r="F422" s="28"/>
      <c r="G422">
        <v>414</v>
      </c>
      <c r="H422" s="109">
        <v>1062.931065340832</v>
      </c>
      <c r="I422" s="370">
        <v>1550716.0656418437</v>
      </c>
      <c r="J422">
        <v>0</v>
      </c>
      <c r="K422">
        <v>0</v>
      </c>
      <c r="L422">
        <v>0</v>
      </c>
      <c r="M422">
        <v>1</v>
      </c>
      <c r="N422" s="109">
        <v>1458.9055830677053</v>
      </c>
      <c r="O422" s="109">
        <v>-1936381.4674154136</v>
      </c>
      <c r="P422" s="365">
        <v>1</v>
      </c>
      <c r="Q422" s="365">
        <v>0</v>
      </c>
      <c r="R422" s="365">
        <v>0</v>
      </c>
      <c r="S422" s="365">
        <v>0</v>
      </c>
      <c r="T422" s="109">
        <v>-1821.7375806910932</v>
      </c>
      <c r="V422" s="368">
        <f t="shared" si="36"/>
        <v>51595837.201399758</v>
      </c>
      <c r="W422" s="30">
        <f t="shared" si="37"/>
        <v>55082934.734457016</v>
      </c>
      <c r="X422" s="30"/>
      <c r="Y422">
        <f t="shared" si="38"/>
        <v>0</v>
      </c>
      <c r="Z422">
        <f t="shared" si="39"/>
        <v>1</v>
      </c>
      <c r="AA422">
        <f t="shared" si="40"/>
        <v>0</v>
      </c>
      <c r="AB422">
        <f t="shared" si="41"/>
        <v>1</v>
      </c>
    </row>
    <row r="423" spans="6:28" x14ac:dyDescent="0.3">
      <c r="F423" s="28"/>
      <c r="G423">
        <v>415</v>
      </c>
      <c r="H423" s="109">
        <v>1171.9219966210512</v>
      </c>
      <c r="I423" s="370">
        <v>251385.68065222297</v>
      </c>
      <c r="J423">
        <v>0</v>
      </c>
      <c r="K423">
        <v>0</v>
      </c>
      <c r="L423">
        <v>0</v>
      </c>
      <c r="M423">
        <v>1</v>
      </c>
      <c r="N423" s="109">
        <v>214.50717827383713</v>
      </c>
      <c r="O423" s="109">
        <v>-3965808.4505339162</v>
      </c>
      <c r="P423" s="365">
        <v>1</v>
      </c>
      <c r="Q423" s="365">
        <v>0</v>
      </c>
      <c r="R423" s="365">
        <v>0</v>
      </c>
      <c r="S423" s="365">
        <v>0</v>
      </c>
      <c r="T423" s="109">
        <v>-3384.0208324174728</v>
      </c>
      <c r="V423" s="368">
        <f t="shared" si="36"/>
        <v>58344714.150400341</v>
      </c>
      <c r="W423" s="30">
        <f t="shared" si="37"/>
        <v>62561908.281586483</v>
      </c>
      <c r="X423" s="30"/>
      <c r="Y423">
        <f t="shared" si="38"/>
        <v>0</v>
      </c>
      <c r="Z423">
        <f t="shared" si="39"/>
        <v>1</v>
      </c>
      <c r="AA423">
        <f t="shared" si="40"/>
        <v>0</v>
      </c>
      <c r="AB423">
        <f t="shared" si="41"/>
        <v>1</v>
      </c>
    </row>
    <row r="424" spans="6:28" x14ac:dyDescent="0.3">
      <c r="F424" s="28"/>
      <c r="G424">
        <v>416</v>
      </c>
      <c r="H424" s="109">
        <v>1146.1940661053522</v>
      </c>
      <c r="I424" s="370">
        <v>1869930.7393639055</v>
      </c>
      <c r="J424">
        <v>0</v>
      </c>
      <c r="K424">
        <v>0</v>
      </c>
      <c r="L424">
        <v>0</v>
      </c>
      <c r="M424">
        <v>1</v>
      </c>
      <c r="N424" s="109">
        <v>1631.4259466703879</v>
      </c>
      <c r="O424" s="109">
        <v>-3474059.4315270088</v>
      </c>
      <c r="P424" s="365">
        <v>1</v>
      </c>
      <c r="Q424" s="365">
        <v>0</v>
      </c>
      <c r="R424" s="365">
        <v>0</v>
      </c>
      <c r="S424" s="365">
        <v>0</v>
      </c>
      <c r="T424" s="109">
        <v>-3030.9522045699468</v>
      </c>
      <c r="V424" s="368">
        <f t="shared" si="36"/>
        <v>55439772.565903701</v>
      </c>
      <c r="W424" s="30">
        <f t="shared" si="37"/>
        <v>60783762.736794621</v>
      </c>
      <c r="X424" s="30"/>
      <c r="Y424">
        <f t="shared" si="38"/>
        <v>0</v>
      </c>
      <c r="Z424">
        <f t="shared" si="39"/>
        <v>1</v>
      </c>
      <c r="AA424">
        <f t="shared" si="40"/>
        <v>0</v>
      </c>
      <c r="AB424">
        <f t="shared" si="41"/>
        <v>1</v>
      </c>
    </row>
    <row r="425" spans="6:28" x14ac:dyDescent="0.3">
      <c r="F425" s="28"/>
      <c r="G425">
        <v>417</v>
      </c>
      <c r="H425" s="109">
        <v>1334.839035723744</v>
      </c>
      <c r="I425" s="370">
        <v>1189772.8745815118</v>
      </c>
      <c r="J425">
        <v>0</v>
      </c>
      <c r="K425">
        <v>0</v>
      </c>
      <c r="L425">
        <v>0</v>
      </c>
      <c r="M425">
        <v>1</v>
      </c>
      <c r="N425" s="109">
        <v>891.32310543826884</v>
      </c>
      <c r="O425" s="109">
        <v>-3552031.591834317</v>
      </c>
      <c r="P425" s="365">
        <v>1</v>
      </c>
      <c r="Q425" s="365">
        <v>0</v>
      </c>
      <c r="R425" s="365">
        <v>0</v>
      </c>
      <c r="S425" s="365">
        <v>0</v>
      </c>
      <c r="T425" s="109">
        <v>-2661.0186672495838</v>
      </c>
      <c r="V425" s="368">
        <f t="shared" si="36"/>
        <v>65552178.911605693</v>
      </c>
      <c r="W425" s="30">
        <f t="shared" si="37"/>
        <v>70293983.378021523</v>
      </c>
      <c r="X425" s="30"/>
      <c r="Y425">
        <f t="shared" si="38"/>
        <v>0</v>
      </c>
      <c r="Z425">
        <f t="shared" si="39"/>
        <v>1</v>
      </c>
      <c r="AA425">
        <f t="shared" si="40"/>
        <v>0</v>
      </c>
      <c r="AB425">
        <f t="shared" si="41"/>
        <v>1</v>
      </c>
    </row>
    <row r="426" spans="6:28" x14ac:dyDescent="0.3">
      <c r="F426" s="28"/>
      <c r="G426">
        <v>418</v>
      </c>
      <c r="H426" s="109">
        <v>1223.1137637209977</v>
      </c>
      <c r="I426" s="370">
        <v>969281.01755579689</v>
      </c>
      <c r="J426">
        <v>0</v>
      </c>
      <c r="K426">
        <v>0</v>
      </c>
      <c r="L426">
        <v>0</v>
      </c>
      <c r="M426">
        <v>1</v>
      </c>
      <c r="N426" s="109">
        <v>792.47004351174803</v>
      </c>
      <c r="O426" s="109">
        <v>-4504377.1674638325</v>
      </c>
      <c r="P426" s="365">
        <v>1</v>
      </c>
      <c r="Q426" s="365">
        <v>0</v>
      </c>
      <c r="R426" s="365">
        <v>0</v>
      </c>
      <c r="S426" s="365">
        <v>0</v>
      </c>
      <c r="T426" s="109">
        <v>-3682.713171144821</v>
      </c>
      <c r="V426" s="368">
        <f t="shared" si="36"/>
        <v>60186407.16849409</v>
      </c>
      <c r="W426" s="30">
        <f t="shared" si="37"/>
        <v>65660065.353513718</v>
      </c>
      <c r="X426" s="30"/>
      <c r="Y426">
        <f t="shared" si="38"/>
        <v>0</v>
      </c>
      <c r="Z426">
        <f t="shared" si="39"/>
        <v>1</v>
      </c>
      <c r="AA426">
        <f t="shared" si="40"/>
        <v>0</v>
      </c>
      <c r="AB426">
        <f t="shared" si="41"/>
        <v>1</v>
      </c>
    </row>
    <row r="427" spans="6:28" x14ac:dyDescent="0.3">
      <c r="F427" s="28"/>
      <c r="G427">
        <v>419</v>
      </c>
      <c r="H427" s="109">
        <v>1343.9321493257885</v>
      </c>
      <c r="I427" s="370">
        <v>2051286.4635612422</v>
      </c>
      <c r="J427">
        <v>0</v>
      </c>
      <c r="K427">
        <v>0</v>
      </c>
      <c r="L427">
        <v>0</v>
      </c>
      <c r="M427">
        <v>1</v>
      </c>
      <c r="N427" s="109">
        <v>1526.3318647376007</v>
      </c>
      <c r="O427" s="109">
        <v>-3243272.5188631597</v>
      </c>
      <c r="P427" s="365">
        <v>1</v>
      </c>
      <c r="Q427" s="365">
        <v>0</v>
      </c>
      <c r="R427" s="365">
        <v>0</v>
      </c>
      <c r="S427" s="365">
        <v>0</v>
      </c>
      <c r="T427" s="109">
        <v>-2413.2710274772539</v>
      </c>
      <c r="V427" s="368">
        <f t="shared" si="36"/>
        <v>65145321.002728187</v>
      </c>
      <c r="W427" s="30">
        <f t="shared" si="37"/>
        <v>70439879.985152587</v>
      </c>
      <c r="X427" s="30"/>
      <c r="Y427">
        <f t="shared" si="38"/>
        <v>0</v>
      </c>
      <c r="Z427">
        <f t="shared" si="39"/>
        <v>1</v>
      </c>
      <c r="AA427">
        <f t="shared" si="40"/>
        <v>0</v>
      </c>
      <c r="AB427">
        <f t="shared" si="41"/>
        <v>1</v>
      </c>
    </row>
    <row r="428" spans="6:28" x14ac:dyDescent="0.3">
      <c r="F428" s="28"/>
      <c r="G428">
        <v>420</v>
      </c>
      <c r="H428" s="109">
        <v>1177.9798422926833</v>
      </c>
      <c r="I428" s="370">
        <v>1472739.0869447549</v>
      </c>
      <c r="J428">
        <v>0</v>
      </c>
      <c r="K428">
        <v>0</v>
      </c>
      <c r="L428">
        <v>0</v>
      </c>
      <c r="M428">
        <v>1</v>
      </c>
      <c r="N428" s="109">
        <v>1250.2243536514059</v>
      </c>
      <c r="O428" s="109">
        <v>-3425706.5328125604</v>
      </c>
      <c r="P428" s="365">
        <v>1</v>
      </c>
      <c r="Q428" s="365">
        <v>0</v>
      </c>
      <c r="R428" s="365">
        <v>0</v>
      </c>
      <c r="S428" s="365">
        <v>0</v>
      </c>
      <c r="T428" s="109">
        <v>-2908.1198249922195</v>
      </c>
      <c r="V428" s="368">
        <f t="shared" si="36"/>
        <v>57426253.027689412</v>
      </c>
      <c r="W428" s="30">
        <f t="shared" si="37"/>
        <v>62324698.647446722</v>
      </c>
      <c r="X428" s="30"/>
      <c r="Y428">
        <f t="shared" si="38"/>
        <v>0</v>
      </c>
      <c r="Z428">
        <f t="shared" si="39"/>
        <v>1</v>
      </c>
      <c r="AA428">
        <f t="shared" si="40"/>
        <v>0</v>
      </c>
      <c r="AB428">
        <f t="shared" si="41"/>
        <v>1</v>
      </c>
    </row>
    <row r="429" spans="6:28" x14ac:dyDescent="0.3">
      <c r="F429" s="28"/>
      <c r="G429">
        <v>421</v>
      </c>
      <c r="H429" s="109">
        <v>1234.4380895970171</v>
      </c>
      <c r="I429" s="370">
        <v>1537624.6295588017</v>
      </c>
      <c r="J429">
        <v>0</v>
      </c>
      <c r="K429">
        <v>0</v>
      </c>
      <c r="L429">
        <v>0</v>
      </c>
      <c r="M429">
        <v>1</v>
      </c>
      <c r="N429" s="109">
        <v>1245.6069223048357</v>
      </c>
      <c r="O429" s="109">
        <v>-3560145.8976848093</v>
      </c>
      <c r="P429" s="365">
        <v>1</v>
      </c>
      <c r="Q429" s="365">
        <v>0</v>
      </c>
      <c r="R429" s="365">
        <v>0</v>
      </c>
      <c r="S429" s="365">
        <v>0</v>
      </c>
      <c r="T429" s="109">
        <v>-2884.0214245552165</v>
      </c>
      <c r="V429" s="368">
        <f t="shared" si="36"/>
        <v>60184279.850292057</v>
      </c>
      <c r="W429" s="30">
        <f t="shared" si="37"/>
        <v>65282050.377535671</v>
      </c>
      <c r="X429" s="30"/>
      <c r="Y429">
        <f t="shared" si="38"/>
        <v>0</v>
      </c>
      <c r="Z429">
        <f t="shared" si="39"/>
        <v>1</v>
      </c>
      <c r="AA429">
        <f t="shared" si="40"/>
        <v>0</v>
      </c>
      <c r="AB429">
        <f t="shared" si="41"/>
        <v>1</v>
      </c>
    </row>
    <row r="430" spans="6:28" x14ac:dyDescent="0.3">
      <c r="F430" s="28"/>
      <c r="G430">
        <v>422</v>
      </c>
      <c r="H430" s="109">
        <v>891.00775676000922</v>
      </c>
      <c r="I430" s="370">
        <v>1480538.7222467293</v>
      </c>
      <c r="J430">
        <v>0</v>
      </c>
      <c r="K430">
        <v>0</v>
      </c>
      <c r="L430">
        <v>0</v>
      </c>
      <c r="M430">
        <v>1</v>
      </c>
      <c r="N430" s="109">
        <v>1661.6451551784962</v>
      </c>
      <c r="O430" s="109">
        <v>-2852327.9592731805</v>
      </c>
      <c r="P430" s="365">
        <v>1</v>
      </c>
      <c r="Q430" s="365">
        <v>0</v>
      </c>
      <c r="R430" s="365">
        <v>0</v>
      </c>
      <c r="S430" s="365">
        <v>0</v>
      </c>
      <c r="T430" s="109">
        <v>-3201.2380786056929</v>
      </c>
      <c r="V430" s="368">
        <f t="shared" si="36"/>
        <v>43069849.115753733</v>
      </c>
      <c r="W430" s="30">
        <f t="shared" si="37"/>
        <v>47402715.797273643</v>
      </c>
      <c r="X430" s="30"/>
      <c r="Y430">
        <f t="shared" si="38"/>
        <v>0</v>
      </c>
      <c r="Z430">
        <f t="shared" si="39"/>
        <v>1</v>
      </c>
      <c r="AA430">
        <f t="shared" si="40"/>
        <v>0</v>
      </c>
      <c r="AB430">
        <f t="shared" si="41"/>
        <v>1</v>
      </c>
    </row>
    <row r="431" spans="6:28" x14ac:dyDescent="0.3">
      <c r="F431" s="28"/>
      <c r="G431">
        <v>423</v>
      </c>
      <c r="H431" s="109">
        <v>1276.1621851995733</v>
      </c>
      <c r="I431" s="370">
        <v>1380922.4868161781</v>
      </c>
      <c r="J431">
        <v>0</v>
      </c>
      <c r="K431">
        <v>0</v>
      </c>
      <c r="L431">
        <v>0</v>
      </c>
      <c r="M431">
        <v>1</v>
      </c>
      <c r="N431" s="109">
        <v>1082.0901158423071</v>
      </c>
      <c r="O431" s="109">
        <v>-3917516.1621626052</v>
      </c>
      <c r="P431" s="365">
        <v>1</v>
      </c>
      <c r="Q431" s="365">
        <v>0</v>
      </c>
      <c r="R431" s="365">
        <v>0</v>
      </c>
      <c r="S431" s="365">
        <v>0</v>
      </c>
      <c r="T431" s="109">
        <v>-3069.7635516836463</v>
      </c>
      <c r="V431" s="368">
        <f t="shared" si="36"/>
        <v>62427186.773162492</v>
      </c>
      <c r="W431" s="30">
        <f t="shared" si="37"/>
        <v>67725625.422141269</v>
      </c>
      <c r="X431" s="30"/>
      <c r="Y431">
        <f t="shared" si="38"/>
        <v>0</v>
      </c>
      <c r="Z431">
        <f t="shared" si="39"/>
        <v>1</v>
      </c>
      <c r="AA431">
        <f t="shared" si="40"/>
        <v>0</v>
      </c>
      <c r="AB431">
        <f t="shared" si="41"/>
        <v>1</v>
      </c>
    </row>
    <row r="432" spans="6:28" x14ac:dyDescent="0.3">
      <c r="F432" s="28"/>
      <c r="G432">
        <v>424</v>
      </c>
      <c r="H432" s="109">
        <v>1262.3036823450238</v>
      </c>
      <c r="I432" s="370">
        <v>1485596.7814695807</v>
      </c>
      <c r="J432">
        <v>0</v>
      </c>
      <c r="K432">
        <v>0</v>
      </c>
      <c r="L432">
        <v>0</v>
      </c>
      <c r="M432">
        <v>1</v>
      </c>
      <c r="N432" s="109">
        <v>1176.8933278478105</v>
      </c>
      <c r="O432" s="109">
        <v>-3086212.6250672932</v>
      </c>
      <c r="P432" s="365">
        <v>1</v>
      </c>
      <c r="Q432" s="365">
        <v>0</v>
      </c>
      <c r="R432" s="365">
        <v>0</v>
      </c>
      <c r="S432" s="365">
        <v>0</v>
      </c>
      <c r="T432" s="109">
        <v>-2444.9050321503719</v>
      </c>
      <c r="V432" s="368">
        <f t="shared" si="36"/>
        <v>61629587.335781612</v>
      </c>
      <c r="W432" s="30">
        <f t="shared" si="37"/>
        <v>66201396.742318489</v>
      </c>
      <c r="X432" s="30"/>
      <c r="Y432">
        <f t="shared" si="38"/>
        <v>0</v>
      </c>
      <c r="Z432">
        <f t="shared" si="39"/>
        <v>1</v>
      </c>
      <c r="AA432">
        <f t="shared" si="40"/>
        <v>0</v>
      </c>
      <c r="AB432">
        <f t="shared" si="41"/>
        <v>1</v>
      </c>
    </row>
    <row r="433" spans="6:28" x14ac:dyDescent="0.3">
      <c r="F433" s="28"/>
      <c r="G433">
        <v>425</v>
      </c>
      <c r="H433" s="109">
        <v>1092.4778599854762</v>
      </c>
      <c r="I433" s="370">
        <v>2848102.9366783663</v>
      </c>
      <c r="J433">
        <v>0</v>
      </c>
      <c r="K433">
        <v>0</v>
      </c>
      <c r="L433">
        <v>0</v>
      </c>
      <c r="M433">
        <v>1</v>
      </c>
      <c r="N433" s="109">
        <v>2607.0120420712506</v>
      </c>
      <c r="O433" s="109">
        <v>-1172660.8125258139</v>
      </c>
      <c r="P433" s="365">
        <v>1</v>
      </c>
      <c r="Q433" s="365">
        <v>0</v>
      </c>
      <c r="R433" s="365">
        <v>0</v>
      </c>
      <c r="S433" s="365">
        <v>0</v>
      </c>
      <c r="T433" s="109">
        <v>-1073.3954942953294</v>
      </c>
      <c r="V433" s="368">
        <f t="shared" si="36"/>
        <v>51775790.062595449</v>
      </c>
      <c r="W433" s="30">
        <f t="shared" si="37"/>
        <v>55796553.811799631</v>
      </c>
      <c r="X433" s="30"/>
      <c r="Y433">
        <f t="shared" si="38"/>
        <v>0</v>
      </c>
      <c r="Z433">
        <f t="shared" si="39"/>
        <v>1</v>
      </c>
      <c r="AA433">
        <f t="shared" si="40"/>
        <v>0</v>
      </c>
      <c r="AB433">
        <f t="shared" si="41"/>
        <v>1</v>
      </c>
    </row>
    <row r="434" spans="6:28" x14ac:dyDescent="0.3">
      <c r="F434" s="28"/>
      <c r="G434">
        <v>426</v>
      </c>
      <c r="H434" s="109">
        <v>1076.514484571846</v>
      </c>
      <c r="I434" s="370">
        <v>449901.28738246905</v>
      </c>
      <c r="J434">
        <v>0</v>
      </c>
      <c r="K434">
        <v>0</v>
      </c>
      <c r="L434">
        <v>0</v>
      </c>
      <c r="M434">
        <v>1</v>
      </c>
      <c r="N434" s="109">
        <v>417.92404452542496</v>
      </c>
      <c r="O434" s="109">
        <v>-4579070.6981174871</v>
      </c>
      <c r="P434" s="365">
        <v>1</v>
      </c>
      <c r="Q434" s="365">
        <v>0</v>
      </c>
      <c r="R434" s="365">
        <v>0</v>
      </c>
      <c r="S434" s="365">
        <v>0</v>
      </c>
      <c r="T434" s="109">
        <v>-4253.608069136837</v>
      </c>
      <c r="V434" s="368">
        <f t="shared" si="36"/>
        <v>53375822.94120983</v>
      </c>
      <c r="W434" s="30">
        <f t="shared" si="37"/>
        <v>58404794.926709786</v>
      </c>
      <c r="X434" s="30"/>
      <c r="Y434">
        <f t="shared" si="38"/>
        <v>0</v>
      </c>
      <c r="Z434">
        <f t="shared" si="39"/>
        <v>1</v>
      </c>
      <c r="AA434">
        <f t="shared" si="40"/>
        <v>0</v>
      </c>
      <c r="AB434">
        <f t="shared" si="41"/>
        <v>1</v>
      </c>
    </row>
    <row r="435" spans="6:28" x14ac:dyDescent="0.3">
      <c r="F435" s="28"/>
      <c r="G435">
        <v>427</v>
      </c>
      <c r="H435" s="109">
        <v>1212.0697762623677</v>
      </c>
      <c r="I435" s="370">
        <v>746534.83256697783</v>
      </c>
      <c r="J435">
        <v>0</v>
      </c>
      <c r="K435">
        <v>0</v>
      </c>
      <c r="L435">
        <v>0</v>
      </c>
      <c r="M435">
        <v>1</v>
      </c>
      <c r="N435" s="109">
        <v>615.91737306498192</v>
      </c>
      <c r="O435" s="109">
        <v>-4282055.5638090111</v>
      </c>
      <c r="P435" s="365">
        <v>1</v>
      </c>
      <c r="Q435" s="365">
        <v>0</v>
      </c>
      <c r="R435" s="365">
        <v>0</v>
      </c>
      <c r="S435" s="365">
        <v>0</v>
      </c>
      <c r="T435" s="109">
        <v>-3532.8457549807813</v>
      </c>
      <c r="V435" s="368">
        <f t="shared" si="36"/>
        <v>59856953.980551407</v>
      </c>
      <c r="W435" s="30">
        <f t="shared" si="37"/>
        <v>64885544.376927391</v>
      </c>
      <c r="X435" s="30"/>
      <c r="Y435">
        <f t="shared" si="38"/>
        <v>0</v>
      </c>
      <c r="Z435">
        <f t="shared" si="39"/>
        <v>1</v>
      </c>
      <c r="AA435">
        <f t="shared" si="40"/>
        <v>0</v>
      </c>
      <c r="AB435">
        <f t="shared" si="41"/>
        <v>1</v>
      </c>
    </row>
    <row r="436" spans="6:28" x14ac:dyDescent="0.3">
      <c r="F436" s="28"/>
      <c r="G436">
        <v>428</v>
      </c>
      <c r="H436" s="109">
        <v>1296.1297481294969</v>
      </c>
      <c r="I436" s="370">
        <v>1811688.8056986623</v>
      </c>
      <c r="J436">
        <v>0</v>
      </c>
      <c r="K436">
        <v>0</v>
      </c>
      <c r="L436">
        <v>0</v>
      </c>
      <c r="M436">
        <v>1</v>
      </c>
      <c r="N436" s="109">
        <v>1397.7680925178918</v>
      </c>
      <c r="O436" s="109">
        <v>-2786256.069826392</v>
      </c>
      <c r="P436" s="365">
        <v>1</v>
      </c>
      <c r="Q436" s="365">
        <v>0</v>
      </c>
      <c r="R436" s="365">
        <v>0</v>
      </c>
      <c r="S436" s="365">
        <v>0</v>
      </c>
      <c r="T436" s="109">
        <v>-2149.6737296920801</v>
      </c>
      <c r="V436" s="368">
        <f t="shared" si="36"/>
        <v>62994798.600776181</v>
      </c>
      <c r="W436" s="30">
        <f t="shared" si="37"/>
        <v>67592743.476301238</v>
      </c>
      <c r="X436" s="30"/>
      <c r="Y436">
        <f t="shared" si="38"/>
        <v>0</v>
      </c>
      <c r="Z436">
        <f t="shared" si="39"/>
        <v>1</v>
      </c>
      <c r="AA436">
        <f t="shared" si="40"/>
        <v>0</v>
      </c>
      <c r="AB436">
        <f t="shared" si="41"/>
        <v>1</v>
      </c>
    </row>
    <row r="437" spans="6:28" x14ac:dyDescent="0.3">
      <c r="F437" s="28"/>
      <c r="G437">
        <v>429</v>
      </c>
      <c r="H437" s="109">
        <v>1285.1633463025209</v>
      </c>
      <c r="I437" s="370">
        <v>1873980.8266736721</v>
      </c>
      <c r="J437">
        <v>0</v>
      </c>
      <c r="K437">
        <v>0</v>
      </c>
      <c r="L437">
        <v>0</v>
      </c>
      <c r="M437">
        <v>1</v>
      </c>
      <c r="N437" s="109">
        <v>1458.1654791705726</v>
      </c>
      <c r="O437" s="109">
        <v>-2599712.7552101729</v>
      </c>
      <c r="P437" s="365">
        <v>1</v>
      </c>
      <c r="Q437" s="365">
        <v>0</v>
      </c>
      <c r="R437" s="365">
        <v>0</v>
      </c>
      <c r="S437" s="365">
        <v>0</v>
      </c>
      <c r="T437" s="109">
        <v>-2022.86562458358</v>
      </c>
      <c r="V437" s="368">
        <f t="shared" si="36"/>
        <v>62384186.488452375</v>
      </c>
      <c r="W437" s="30">
        <f t="shared" si="37"/>
        <v>66857880.070336223</v>
      </c>
      <c r="X437" s="30"/>
      <c r="Y437">
        <f t="shared" si="38"/>
        <v>0</v>
      </c>
      <c r="Z437">
        <f t="shared" si="39"/>
        <v>1</v>
      </c>
      <c r="AA437">
        <f t="shared" si="40"/>
        <v>0</v>
      </c>
      <c r="AB437">
        <f t="shared" si="41"/>
        <v>1</v>
      </c>
    </row>
    <row r="438" spans="6:28" x14ac:dyDescent="0.3">
      <c r="F438" s="28"/>
      <c r="G438">
        <v>430</v>
      </c>
      <c r="H438" s="109">
        <v>1179.700141648078</v>
      </c>
      <c r="I438" s="370">
        <v>330665.39314069308</v>
      </c>
      <c r="J438">
        <v>0</v>
      </c>
      <c r="K438">
        <v>0</v>
      </c>
      <c r="L438">
        <v>0</v>
      </c>
      <c r="M438">
        <v>1</v>
      </c>
      <c r="N438" s="109">
        <v>280.29613752418743</v>
      </c>
      <c r="O438" s="109">
        <v>-3773178.2049294738</v>
      </c>
      <c r="P438" s="365">
        <v>1</v>
      </c>
      <c r="Q438" s="365">
        <v>0</v>
      </c>
      <c r="R438" s="365">
        <v>0</v>
      </c>
      <c r="S438" s="365">
        <v>0</v>
      </c>
      <c r="T438" s="109">
        <v>-3198.4214222931482</v>
      </c>
      <c r="V438" s="368">
        <f t="shared" si="36"/>
        <v>58654341.689263202</v>
      </c>
      <c r="W438" s="30">
        <f t="shared" si="37"/>
        <v>62758185.287333369</v>
      </c>
      <c r="X438" s="30"/>
      <c r="Y438">
        <f t="shared" si="38"/>
        <v>0</v>
      </c>
      <c r="Z438">
        <f t="shared" si="39"/>
        <v>1</v>
      </c>
      <c r="AA438">
        <f t="shared" si="40"/>
        <v>0</v>
      </c>
      <c r="AB438">
        <f t="shared" si="41"/>
        <v>1</v>
      </c>
    </row>
    <row r="439" spans="6:28" x14ac:dyDescent="0.3">
      <c r="F439" s="28"/>
      <c r="G439">
        <v>431</v>
      </c>
      <c r="H439" s="109">
        <v>1162.7696972068225</v>
      </c>
      <c r="I439" s="370">
        <v>1228465.681165684</v>
      </c>
      <c r="J439">
        <v>0</v>
      </c>
      <c r="K439">
        <v>0</v>
      </c>
      <c r="L439">
        <v>0</v>
      </c>
      <c r="M439">
        <v>1</v>
      </c>
      <c r="N439" s="109">
        <v>1056.4995666095142</v>
      </c>
      <c r="O439" s="109">
        <v>-3468380.7927541896</v>
      </c>
      <c r="P439" s="365">
        <v>1</v>
      </c>
      <c r="Q439" s="365">
        <v>0</v>
      </c>
      <c r="R439" s="365">
        <v>0</v>
      </c>
      <c r="S439" s="365">
        <v>0</v>
      </c>
      <c r="T439" s="109">
        <v>-2982.8613534441524</v>
      </c>
      <c r="V439" s="368">
        <f t="shared" si="36"/>
        <v>56910019.179175436</v>
      </c>
      <c r="W439" s="30">
        <f t="shared" si="37"/>
        <v>61606865.653095312</v>
      </c>
      <c r="X439" s="30"/>
      <c r="Y439">
        <f t="shared" si="38"/>
        <v>0</v>
      </c>
      <c r="Z439">
        <f t="shared" si="39"/>
        <v>1</v>
      </c>
      <c r="AA439">
        <f t="shared" si="40"/>
        <v>0</v>
      </c>
      <c r="AB439">
        <f t="shared" si="41"/>
        <v>1</v>
      </c>
    </row>
    <row r="440" spans="6:28" x14ac:dyDescent="0.3">
      <c r="F440" s="28"/>
      <c r="G440">
        <v>432</v>
      </c>
      <c r="H440" s="109">
        <v>1194.4434838764064</v>
      </c>
      <c r="I440" s="370">
        <v>1311989.8206872991</v>
      </c>
      <c r="J440">
        <v>0</v>
      </c>
      <c r="K440">
        <v>0</v>
      </c>
      <c r="L440">
        <v>0</v>
      </c>
      <c r="M440">
        <v>1</v>
      </c>
      <c r="N440" s="109">
        <v>1098.4109657741292</v>
      </c>
      <c r="O440" s="109">
        <v>-2733554.5375538156</v>
      </c>
      <c r="P440" s="365">
        <v>1</v>
      </c>
      <c r="Q440" s="365">
        <v>0</v>
      </c>
      <c r="R440" s="365">
        <v>0</v>
      </c>
      <c r="S440" s="365">
        <v>0</v>
      </c>
      <c r="T440" s="109">
        <v>-2288.559127705591</v>
      </c>
      <c r="V440" s="368">
        <f t="shared" si="36"/>
        <v>58410184.373133019</v>
      </c>
      <c r="W440" s="30">
        <f t="shared" si="37"/>
        <v>62455728.731374137</v>
      </c>
      <c r="X440" s="30"/>
      <c r="Y440">
        <f t="shared" si="38"/>
        <v>0</v>
      </c>
      <c r="Z440">
        <f t="shared" si="39"/>
        <v>1</v>
      </c>
      <c r="AA440">
        <f t="shared" si="40"/>
        <v>0</v>
      </c>
      <c r="AB440">
        <f t="shared" si="41"/>
        <v>1</v>
      </c>
    </row>
    <row r="441" spans="6:28" x14ac:dyDescent="0.3">
      <c r="F441" s="28"/>
      <c r="G441">
        <v>433</v>
      </c>
      <c r="H441" s="109">
        <v>1136.5373159166265</v>
      </c>
      <c r="I441" s="370">
        <v>1145620.3980785839</v>
      </c>
      <c r="J441">
        <v>0</v>
      </c>
      <c r="K441">
        <v>0</v>
      </c>
      <c r="L441">
        <v>0</v>
      </c>
      <c r="M441">
        <v>1</v>
      </c>
      <c r="N441" s="109">
        <v>1007.9918908378576</v>
      </c>
      <c r="O441" s="109">
        <v>-3042190.9866134394</v>
      </c>
      <c r="P441" s="365">
        <v>1</v>
      </c>
      <c r="Q441" s="365">
        <v>0</v>
      </c>
      <c r="R441" s="365">
        <v>0</v>
      </c>
      <c r="S441" s="365">
        <v>0</v>
      </c>
      <c r="T441" s="109">
        <v>-2676.7189638290829</v>
      </c>
      <c r="V441" s="368">
        <f t="shared" si="36"/>
        <v>55681245.397752747</v>
      </c>
      <c r="W441" s="30">
        <f t="shared" si="37"/>
        <v>59869056.782444768</v>
      </c>
      <c r="X441" s="30"/>
      <c r="Y441">
        <f t="shared" si="38"/>
        <v>0</v>
      </c>
      <c r="Z441">
        <f t="shared" si="39"/>
        <v>1</v>
      </c>
      <c r="AA441">
        <f t="shared" si="40"/>
        <v>0</v>
      </c>
      <c r="AB441">
        <f t="shared" si="41"/>
        <v>1</v>
      </c>
    </row>
    <row r="442" spans="6:28" x14ac:dyDescent="0.3">
      <c r="F442" s="28"/>
      <c r="G442">
        <v>434</v>
      </c>
      <c r="H442" s="109">
        <v>1020.1826259806257</v>
      </c>
      <c r="I442" s="370">
        <v>1373146.8745882181</v>
      </c>
      <c r="J442">
        <v>0</v>
      </c>
      <c r="K442">
        <v>0</v>
      </c>
      <c r="L442">
        <v>0</v>
      </c>
      <c r="M442">
        <v>1</v>
      </c>
      <c r="N442" s="109">
        <v>1345.9814347145091</v>
      </c>
      <c r="O442" s="109">
        <v>-2835427.2944419216</v>
      </c>
      <c r="P442" s="365">
        <v>1</v>
      </c>
      <c r="Q442" s="365">
        <v>0</v>
      </c>
      <c r="R442" s="365">
        <v>0</v>
      </c>
      <c r="S442" s="365">
        <v>0</v>
      </c>
      <c r="T442" s="109">
        <v>-2779.3330549189036</v>
      </c>
      <c r="V442" s="368">
        <f t="shared" si="36"/>
        <v>49635984.424443066</v>
      </c>
      <c r="W442" s="30">
        <f t="shared" si="37"/>
        <v>53844558.593473211</v>
      </c>
      <c r="X442" s="30"/>
      <c r="Y442">
        <f t="shared" si="38"/>
        <v>0</v>
      </c>
      <c r="Z442">
        <f t="shared" si="39"/>
        <v>1</v>
      </c>
      <c r="AA442">
        <f t="shared" si="40"/>
        <v>0</v>
      </c>
      <c r="AB442">
        <f t="shared" si="41"/>
        <v>1</v>
      </c>
    </row>
    <row r="443" spans="6:28" x14ac:dyDescent="0.3">
      <c r="F443" s="28"/>
      <c r="G443">
        <v>435</v>
      </c>
      <c r="H443" s="109">
        <v>961.1576647111724</v>
      </c>
      <c r="I443" s="370">
        <v>739980.8821269261</v>
      </c>
      <c r="J443">
        <v>0</v>
      </c>
      <c r="K443">
        <v>0</v>
      </c>
      <c r="L443">
        <v>0</v>
      </c>
      <c r="M443">
        <v>1</v>
      </c>
      <c r="N443" s="109">
        <v>769.88501397352968</v>
      </c>
      <c r="O443" s="109">
        <v>-3455336.3390519246</v>
      </c>
      <c r="P443" s="365">
        <v>1</v>
      </c>
      <c r="Q443" s="365">
        <v>0</v>
      </c>
      <c r="R443" s="365">
        <v>0</v>
      </c>
      <c r="S443" s="365">
        <v>0</v>
      </c>
      <c r="T443" s="109">
        <v>-3594.9735052992082</v>
      </c>
      <c r="V443" s="368">
        <f t="shared" si="36"/>
        <v>47317902.353431694</v>
      </c>
      <c r="W443" s="30">
        <f t="shared" si="37"/>
        <v>51513219.574610546</v>
      </c>
      <c r="X443" s="30"/>
      <c r="Y443">
        <f t="shared" si="38"/>
        <v>0</v>
      </c>
      <c r="Z443">
        <f t="shared" si="39"/>
        <v>1</v>
      </c>
      <c r="AA443">
        <f t="shared" si="40"/>
        <v>0</v>
      </c>
      <c r="AB443">
        <f t="shared" si="41"/>
        <v>1</v>
      </c>
    </row>
    <row r="444" spans="6:28" x14ac:dyDescent="0.3">
      <c r="F444" s="28"/>
      <c r="G444">
        <v>436</v>
      </c>
      <c r="H444" s="109">
        <v>1220.5166010599496</v>
      </c>
      <c r="I444" s="370">
        <v>1590505.5069552464</v>
      </c>
      <c r="J444">
        <v>0</v>
      </c>
      <c r="K444">
        <v>0</v>
      </c>
      <c r="L444">
        <v>0</v>
      </c>
      <c r="M444">
        <v>1</v>
      </c>
      <c r="N444" s="109">
        <v>1303.1412318144485</v>
      </c>
      <c r="O444" s="109">
        <v>-4056658.3097877242</v>
      </c>
      <c r="P444" s="365">
        <v>1</v>
      </c>
      <c r="Q444" s="365">
        <v>0</v>
      </c>
      <c r="R444" s="365">
        <v>0</v>
      </c>
      <c r="S444" s="365">
        <v>0</v>
      </c>
      <c r="T444" s="109">
        <v>-3323.7223535220628</v>
      </c>
      <c r="V444" s="368">
        <f t="shared" si="36"/>
        <v>59435324.546042234</v>
      </c>
      <c r="W444" s="30">
        <f t="shared" si="37"/>
        <v>65082488.362785205</v>
      </c>
      <c r="X444" s="30"/>
      <c r="Y444">
        <f t="shared" si="38"/>
        <v>0</v>
      </c>
      <c r="Z444">
        <f t="shared" si="39"/>
        <v>1</v>
      </c>
      <c r="AA444">
        <f t="shared" si="40"/>
        <v>0</v>
      </c>
      <c r="AB444">
        <f t="shared" si="41"/>
        <v>1</v>
      </c>
    </row>
    <row r="445" spans="6:28" x14ac:dyDescent="0.3">
      <c r="F445" s="28"/>
      <c r="G445">
        <v>437</v>
      </c>
      <c r="H445" s="109">
        <v>1453.0385505727027</v>
      </c>
      <c r="I445" s="370">
        <v>662828.06913697009</v>
      </c>
      <c r="J445">
        <v>0</v>
      </c>
      <c r="K445">
        <v>0</v>
      </c>
      <c r="L445">
        <v>0</v>
      </c>
      <c r="M445">
        <v>1</v>
      </c>
      <c r="N445" s="109">
        <v>456.16688481921011</v>
      </c>
      <c r="O445" s="109">
        <v>-4454813.0357853444</v>
      </c>
      <c r="P445" s="365">
        <v>1</v>
      </c>
      <c r="Q445" s="365">
        <v>0</v>
      </c>
      <c r="R445" s="365">
        <v>0</v>
      </c>
      <c r="S445" s="365">
        <v>0</v>
      </c>
      <c r="T445" s="109">
        <v>-3065.860182463513</v>
      </c>
      <c r="V445" s="368">
        <f t="shared" si="36"/>
        <v>71989099.459498152</v>
      </c>
      <c r="W445" s="30">
        <f t="shared" si="37"/>
        <v>77106740.564420477</v>
      </c>
      <c r="X445" s="30"/>
      <c r="Y445">
        <f t="shared" si="38"/>
        <v>0</v>
      </c>
      <c r="Z445">
        <f t="shared" si="39"/>
        <v>1</v>
      </c>
      <c r="AA445">
        <f t="shared" si="40"/>
        <v>0</v>
      </c>
      <c r="AB445">
        <f t="shared" si="41"/>
        <v>1</v>
      </c>
    </row>
    <row r="446" spans="6:28" x14ac:dyDescent="0.3">
      <c r="F446" s="28"/>
      <c r="G446">
        <v>438</v>
      </c>
      <c r="H446" s="109">
        <v>1072.3306105226147</v>
      </c>
      <c r="I446" s="370">
        <v>1645526.9514797854</v>
      </c>
      <c r="J446">
        <v>0</v>
      </c>
      <c r="K446">
        <v>0</v>
      </c>
      <c r="L446">
        <v>0</v>
      </c>
      <c r="M446">
        <v>1</v>
      </c>
      <c r="N446" s="109">
        <v>1534.5332263506082</v>
      </c>
      <c r="O446" s="109">
        <v>-2804414.2655385183</v>
      </c>
      <c r="P446" s="365">
        <v>1</v>
      </c>
      <c r="Q446" s="365">
        <v>0</v>
      </c>
      <c r="R446" s="365">
        <v>0</v>
      </c>
      <c r="S446" s="365">
        <v>0</v>
      </c>
      <c r="T446" s="109">
        <v>-2615.2515259932284</v>
      </c>
      <c r="V446" s="368">
        <f t="shared" si="36"/>
        <v>51971003.574650951</v>
      </c>
      <c r="W446" s="30">
        <f t="shared" si="37"/>
        <v>56420944.791669257</v>
      </c>
      <c r="X446" s="30"/>
      <c r="Y446">
        <f t="shared" si="38"/>
        <v>0</v>
      </c>
      <c r="Z446">
        <f t="shared" si="39"/>
        <v>1</v>
      </c>
      <c r="AA446">
        <f t="shared" si="40"/>
        <v>0</v>
      </c>
      <c r="AB446">
        <f t="shared" si="41"/>
        <v>1</v>
      </c>
    </row>
    <row r="447" spans="6:28" x14ac:dyDescent="0.3">
      <c r="F447" s="28"/>
      <c r="G447">
        <v>439</v>
      </c>
      <c r="H447" s="109">
        <v>1066.2545483117865</v>
      </c>
      <c r="I447" s="370">
        <v>1130264.6757883043</v>
      </c>
      <c r="J447">
        <v>0</v>
      </c>
      <c r="K447">
        <v>0</v>
      </c>
      <c r="L447">
        <v>0</v>
      </c>
      <c r="M447">
        <v>1</v>
      </c>
      <c r="N447" s="109">
        <v>1060.0326887963722</v>
      </c>
      <c r="O447" s="109">
        <v>-2887141.8843108225</v>
      </c>
      <c r="P447" s="365">
        <v>1</v>
      </c>
      <c r="Q447" s="365">
        <v>0</v>
      </c>
      <c r="R447" s="365">
        <v>0</v>
      </c>
      <c r="S447" s="365">
        <v>0</v>
      </c>
      <c r="T447" s="109">
        <v>-2707.7416822109399</v>
      </c>
      <c r="V447" s="368">
        <f t="shared" si="36"/>
        <v>52182462.739801019</v>
      </c>
      <c r="W447" s="30">
        <f t="shared" si="37"/>
        <v>56199869.299900144</v>
      </c>
      <c r="X447" s="30"/>
      <c r="Y447">
        <f t="shared" si="38"/>
        <v>0</v>
      </c>
      <c r="Z447">
        <f t="shared" si="39"/>
        <v>1</v>
      </c>
      <c r="AA447">
        <f t="shared" si="40"/>
        <v>0</v>
      </c>
      <c r="AB447">
        <f t="shared" si="41"/>
        <v>1</v>
      </c>
    </row>
    <row r="448" spans="6:28" x14ac:dyDescent="0.3">
      <c r="F448" s="28"/>
      <c r="G448">
        <v>440</v>
      </c>
      <c r="H448" s="109">
        <v>1093.0487867654447</v>
      </c>
      <c r="I448" s="370">
        <v>1329393.8726122449</v>
      </c>
      <c r="J448">
        <v>0</v>
      </c>
      <c r="K448">
        <v>0</v>
      </c>
      <c r="L448">
        <v>0</v>
      </c>
      <c r="M448">
        <v>1</v>
      </c>
      <c r="N448" s="109">
        <v>1216.225559836349</v>
      </c>
      <c r="O448" s="109">
        <v>-2948176.2892618566</v>
      </c>
      <c r="P448" s="365">
        <v>1</v>
      </c>
      <c r="Q448" s="365">
        <v>0</v>
      </c>
      <c r="R448" s="365">
        <v>0</v>
      </c>
      <c r="S448" s="365">
        <v>0</v>
      </c>
      <c r="T448" s="109">
        <v>-2697.2046673105178</v>
      </c>
      <c r="V448" s="368">
        <f t="shared" si="36"/>
        <v>53323045.465659991</v>
      </c>
      <c r="W448" s="30">
        <f t="shared" si="37"/>
        <v>57600615.627534091</v>
      </c>
      <c r="X448" s="30"/>
      <c r="Y448">
        <f t="shared" si="38"/>
        <v>0</v>
      </c>
      <c r="Z448">
        <f t="shared" si="39"/>
        <v>1</v>
      </c>
      <c r="AA448">
        <f t="shared" si="40"/>
        <v>0</v>
      </c>
      <c r="AB448">
        <f t="shared" si="41"/>
        <v>1</v>
      </c>
    </row>
    <row r="449" spans="6:28" x14ac:dyDescent="0.3">
      <c r="F449" s="28"/>
      <c r="G449">
        <v>441</v>
      </c>
      <c r="H449" s="109">
        <v>1055.309031391982</v>
      </c>
      <c r="I449" s="370">
        <v>818532.39788675809</v>
      </c>
      <c r="J449">
        <v>0</v>
      </c>
      <c r="K449">
        <v>0</v>
      </c>
      <c r="L449">
        <v>0</v>
      </c>
      <c r="M449">
        <v>1</v>
      </c>
      <c r="N449" s="109">
        <v>775.63289381413813</v>
      </c>
      <c r="O449" s="109">
        <v>-3210485.2921064585</v>
      </c>
      <c r="P449" s="365">
        <v>1</v>
      </c>
      <c r="Q449" s="365">
        <v>0</v>
      </c>
      <c r="R449" s="365">
        <v>0</v>
      </c>
      <c r="S449" s="365">
        <v>0</v>
      </c>
      <c r="T449" s="109">
        <v>-3042.2228907410554</v>
      </c>
      <c r="V449" s="368">
        <f t="shared" si="36"/>
        <v>51946919.171712339</v>
      </c>
      <c r="W449" s="30">
        <f t="shared" si="37"/>
        <v>55975936.861705557</v>
      </c>
      <c r="X449" s="30"/>
      <c r="Y449">
        <f t="shared" si="38"/>
        <v>0</v>
      </c>
      <c r="Z449">
        <f t="shared" si="39"/>
        <v>1</v>
      </c>
      <c r="AA449">
        <f t="shared" si="40"/>
        <v>0</v>
      </c>
      <c r="AB449">
        <f t="shared" si="41"/>
        <v>1</v>
      </c>
    </row>
    <row r="450" spans="6:28" x14ac:dyDescent="0.3">
      <c r="F450" s="28"/>
      <c r="G450">
        <v>442</v>
      </c>
      <c r="H450" s="109">
        <v>1270.7807742145233</v>
      </c>
      <c r="I450" s="370">
        <v>1132548.7744856037</v>
      </c>
      <c r="J450">
        <v>0</v>
      </c>
      <c r="K450">
        <v>0</v>
      </c>
      <c r="L450">
        <v>0</v>
      </c>
      <c r="M450">
        <v>1</v>
      </c>
      <c r="N450" s="109">
        <v>891.22278009410275</v>
      </c>
      <c r="O450" s="109">
        <v>-4424540.4777835784</v>
      </c>
      <c r="P450" s="365">
        <v>1</v>
      </c>
      <c r="Q450" s="365">
        <v>0</v>
      </c>
      <c r="R450" s="365">
        <v>0</v>
      </c>
      <c r="S450" s="365">
        <v>0</v>
      </c>
      <c r="T450" s="109">
        <v>-3481.7496200463152</v>
      </c>
      <c r="V450" s="368">
        <f t="shared" si="36"/>
        <v>62406489.936240561</v>
      </c>
      <c r="W450" s="30">
        <f t="shared" si="37"/>
        <v>67963579.188509747</v>
      </c>
      <c r="X450" s="30"/>
      <c r="Y450">
        <f t="shared" si="38"/>
        <v>0</v>
      </c>
      <c r="Z450">
        <f t="shared" si="39"/>
        <v>1</v>
      </c>
      <c r="AA450">
        <f t="shared" si="40"/>
        <v>0</v>
      </c>
      <c r="AB450">
        <f t="shared" si="41"/>
        <v>1</v>
      </c>
    </row>
    <row r="451" spans="6:28" x14ac:dyDescent="0.3">
      <c r="F451" s="28"/>
      <c r="G451">
        <v>443</v>
      </c>
      <c r="H451" s="109">
        <v>1183.56177521059</v>
      </c>
      <c r="I451" s="370">
        <v>890393.39940958575</v>
      </c>
      <c r="J451">
        <v>0</v>
      </c>
      <c r="K451">
        <v>0</v>
      </c>
      <c r="L451">
        <v>0</v>
      </c>
      <c r="M451">
        <v>1</v>
      </c>
      <c r="N451" s="109">
        <v>752.29989516276737</v>
      </c>
      <c r="O451" s="109">
        <v>-3098848.3921268499</v>
      </c>
      <c r="P451" s="365">
        <v>1</v>
      </c>
      <c r="Q451" s="365">
        <v>0</v>
      </c>
      <c r="R451" s="365">
        <v>0</v>
      </c>
      <c r="S451" s="365">
        <v>0</v>
      </c>
      <c r="T451" s="109">
        <v>-2618.2396703167224</v>
      </c>
      <c r="V451" s="368">
        <f t="shared" si="36"/>
        <v>58287695.361119911</v>
      </c>
      <c r="W451" s="30">
        <f t="shared" si="37"/>
        <v>62276937.152656347</v>
      </c>
      <c r="X451" s="30"/>
      <c r="Y451">
        <f t="shared" si="38"/>
        <v>0</v>
      </c>
      <c r="Z451">
        <f t="shared" si="39"/>
        <v>1</v>
      </c>
      <c r="AA451">
        <f t="shared" si="40"/>
        <v>0</v>
      </c>
      <c r="AB451">
        <f t="shared" si="41"/>
        <v>1</v>
      </c>
    </row>
    <row r="452" spans="6:28" x14ac:dyDescent="0.3">
      <c r="F452" s="28"/>
      <c r="G452">
        <v>444</v>
      </c>
      <c r="H452" s="109">
        <v>1035.1929574428068</v>
      </c>
      <c r="I452" s="370">
        <v>2172469.2687149844</v>
      </c>
      <c r="J452">
        <v>0</v>
      </c>
      <c r="K452">
        <v>0</v>
      </c>
      <c r="L452">
        <v>0</v>
      </c>
      <c r="M452">
        <v>1</v>
      </c>
      <c r="N452" s="109">
        <v>2098.6128751122333</v>
      </c>
      <c r="O452" s="109">
        <v>-1580658.9886945421</v>
      </c>
      <c r="P452" s="365">
        <v>1</v>
      </c>
      <c r="Q452" s="365">
        <v>0</v>
      </c>
      <c r="R452" s="365">
        <v>0</v>
      </c>
      <c r="S452" s="365">
        <v>0</v>
      </c>
      <c r="T452" s="109">
        <v>-1526.9220847475401</v>
      </c>
      <c r="V452" s="368">
        <f t="shared" si="36"/>
        <v>49587178.603425354</v>
      </c>
      <c r="W452" s="30">
        <f t="shared" si="37"/>
        <v>53340306.860834882</v>
      </c>
      <c r="X452" s="30"/>
      <c r="Y452">
        <f t="shared" si="38"/>
        <v>0</v>
      </c>
      <c r="Z452">
        <f t="shared" si="39"/>
        <v>1</v>
      </c>
      <c r="AA452">
        <f t="shared" si="40"/>
        <v>0</v>
      </c>
      <c r="AB452">
        <f t="shared" si="41"/>
        <v>1</v>
      </c>
    </row>
    <row r="453" spans="6:28" x14ac:dyDescent="0.3">
      <c r="F453" s="28"/>
      <c r="G453">
        <v>445</v>
      </c>
      <c r="H453" s="109">
        <v>1269.4463072660874</v>
      </c>
      <c r="I453" s="370">
        <v>1694551.9233479109</v>
      </c>
      <c r="J453">
        <v>0</v>
      </c>
      <c r="K453">
        <v>0</v>
      </c>
      <c r="L453">
        <v>0</v>
      </c>
      <c r="M453">
        <v>1</v>
      </c>
      <c r="N453" s="109">
        <v>1334.874829796734</v>
      </c>
      <c r="O453" s="109">
        <v>-3379875.3433497474</v>
      </c>
      <c r="P453" s="365">
        <v>1</v>
      </c>
      <c r="Q453" s="365">
        <v>0</v>
      </c>
      <c r="R453" s="365">
        <v>0</v>
      </c>
      <c r="S453" s="365">
        <v>0</v>
      </c>
      <c r="T453" s="109">
        <v>-2662.4799520892971</v>
      </c>
      <c r="V453" s="368">
        <f t="shared" si="36"/>
        <v>61777763.439956456</v>
      </c>
      <c r="W453" s="30">
        <f t="shared" si="37"/>
        <v>66852190.706654117</v>
      </c>
      <c r="X453" s="30"/>
      <c r="Y453">
        <f t="shared" si="38"/>
        <v>0</v>
      </c>
      <c r="Z453">
        <f t="shared" si="39"/>
        <v>1</v>
      </c>
      <c r="AA453">
        <f t="shared" si="40"/>
        <v>0</v>
      </c>
      <c r="AB453">
        <f t="shared" si="41"/>
        <v>1</v>
      </c>
    </row>
    <row r="454" spans="6:28" x14ac:dyDescent="0.3">
      <c r="F454" s="28"/>
      <c r="G454">
        <v>446</v>
      </c>
      <c r="H454" s="109">
        <v>1323.9678624055741</v>
      </c>
      <c r="I454" s="370">
        <v>1277523.0710701563</v>
      </c>
      <c r="J454">
        <v>0</v>
      </c>
      <c r="K454">
        <v>0</v>
      </c>
      <c r="L454">
        <v>0</v>
      </c>
      <c r="M454">
        <v>1</v>
      </c>
      <c r="N454" s="109">
        <v>964.92000096510628</v>
      </c>
      <c r="O454" s="109">
        <v>-4009046.6188719282</v>
      </c>
      <c r="P454" s="365">
        <v>1</v>
      </c>
      <c r="Q454" s="365">
        <v>0</v>
      </c>
      <c r="R454" s="365">
        <v>0</v>
      </c>
      <c r="S454" s="365">
        <v>0</v>
      </c>
      <c r="T454" s="109">
        <v>-3028.0543302521855</v>
      </c>
      <c r="V454" s="368">
        <f t="shared" si="36"/>
        <v>64920870.049208552</v>
      </c>
      <c r="W454" s="30">
        <f t="shared" si="37"/>
        <v>70207439.739150643</v>
      </c>
      <c r="X454" s="30"/>
      <c r="Y454">
        <f t="shared" si="38"/>
        <v>0</v>
      </c>
      <c r="Z454">
        <f t="shared" si="39"/>
        <v>1</v>
      </c>
      <c r="AA454">
        <f t="shared" si="40"/>
        <v>0</v>
      </c>
      <c r="AB454">
        <f t="shared" si="41"/>
        <v>1</v>
      </c>
    </row>
    <row r="455" spans="6:28" x14ac:dyDescent="0.3">
      <c r="F455" s="28"/>
      <c r="G455">
        <v>447</v>
      </c>
      <c r="H455" s="109">
        <v>1132.7092428166361</v>
      </c>
      <c r="I455" s="370">
        <v>1774206.3770542669</v>
      </c>
      <c r="J455">
        <v>0</v>
      </c>
      <c r="K455">
        <v>0</v>
      </c>
      <c r="L455">
        <v>0</v>
      </c>
      <c r="M455">
        <v>1</v>
      </c>
      <c r="N455" s="109">
        <v>1566.3387478347581</v>
      </c>
      <c r="O455" s="109">
        <v>-2322449.3065204625</v>
      </c>
      <c r="P455" s="365">
        <v>1</v>
      </c>
      <c r="Q455" s="365">
        <v>0</v>
      </c>
      <c r="R455" s="365">
        <v>0</v>
      </c>
      <c r="S455" s="365">
        <v>0</v>
      </c>
      <c r="T455" s="109">
        <v>-2050.349038156849</v>
      </c>
      <c r="V455" s="368">
        <f t="shared" si="36"/>
        <v>54861255.763777539</v>
      </c>
      <c r="W455" s="30">
        <f t="shared" si="37"/>
        <v>58957911.447352268</v>
      </c>
      <c r="X455" s="30"/>
      <c r="Y455">
        <f t="shared" si="38"/>
        <v>0</v>
      </c>
      <c r="Z455">
        <f t="shared" si="39"/>
        <v>1</v>
      </c>
      <c r="AA455">
        <f t="shared" si="40"/>
        <v>0</v>
      </c>
      <c r="AB455">
        <f t="shared" si="41"/>
        <v>1</v>
      </c>
    </row>
    <row r="456" spans="6:28" x14ac:dyDescent="0.3">
      <c r="F456" s="28"/>
      <c r="G456">
        <v>448</v>
      </c>
      <c r="H456" s="109">
        <v>1030.2801668394022</v>
      </c>
      <c r="I456" s="370">
        <v>1171152.2102679901</v>
      </c>
      <c r="J456">
        <v>0</v>
      </c>
      <c r="K456">
        <v>0</v>
      </c>
      <c r="L456">
        <v>0</v>
      </c>
      <c r="M456">
        <v>1</v>
      </c>
      <c r="N456" s="109">
        <v>1136.7317822498146</v>
      </c>
      <c r="O456" s="109">
        <v>-3129578.216368855</v>
      </c>
      <c r="P456" s="365">
        <v>1</v>
      </c>
      <c r="Q456" s="365">
        <v>0</v>
      </c>
      <c r="R456" s="365">
        <v>0</v>
      </c>
      <c r="S456" s="365">
        <v>0</v>
      </c>
      <c r="T456" s="109">
        <v>-3037.5992056311093</v>
      </c>
      <c r="V456" s="368">
        <f t="shared" si="36"/>
        <v>50342856.131702118</v>
      </c>
      <c r="W456" s="30">
        <f t="shared" si="37"/>
        <v>54643586.558338962</v>
      </c>
      <c r="X456" s="30"/>
      <c r="Y456">
        <f t="shared" si="38"/>
        <v>0</v>
      </c>
      <c r="Z456">
        <f t="shared" si="39"/>
        <v>1</v>
      </c>
      <c r="AA456">
        <f t="shared" si="40"/>
        <v>0</v>
      </c>
      <c r="AB456">
        <f t="shared" si="41"/>
        <v>1</v>
      </c>
    </row>
    <row r="457" spans="6:28" x14ac:dyDescent="0.3">
      <c r="F457" s="28"/>
      <c r="G457">
        <v>449</v>
      </c>
      <c r="H457" s="109">
        <v>1125.2354409790933</v>
      </c>
      <c r="I457" s="370">
        <v>1762700.1789413651</v>
      </c>
      <c r="J457">
        <v>0</v>
      </c>
      <c r="K457">
        <v>0</v>
      </c>
      <c r="L457">
        <v>0</v>
      </c>
      <c r="M457">
        <v>1</v>
      </c>
      <c r="N457" s="109">
        <v>1566.5167615122389</v>
      </c>
      <c r="O457" s="109">
        <v>-3190685.1782256193</v>
      </c>
      <c r="P457" s="365">
        <v>1</v>
      </c>
      <c r="Q457" s="365">
        <v>0</v>
      </c>
      <c r="R457" s="365">
        <v>0</v>
      </c>
      <c r="S457" s="365">
        <v>0</v>
      </c>
      <c r="T457" s="109">
        <v>-2835.5711720645154</v>
      </c>
      <c r="V457" s="368">
        <f t="shared" ref="V457:V520" si="42">H457*WTPinput-I457</f>
        <v>54499071.870013304</v>
      </c>
      <c r="W457" s="30">
        <f t="shared" ref="W457:W520" si="43">H457*WTPinput-O457</f>
        <v>59452457.227180287</v>
      </c>
      <c r="X457" s="30"/>
      <c r="Y457">
        <f t="shared" si="38"/>
        <v>0</v>
      </c>
      <c r="Z457">
        <f t="shared" si="39"/>
        <v>1</v>
      </c>
      <c r="AA457">
        <f t="shared" si="40"/>
        <v>0</v>
      </c>
      <c r="AB457">
        <f t="shared" si="41"/>
        <v>1</v>
      </c>
    </row>
    <row r="458" spans="6:28" x14ac:dyDescent="0.3">
      <c r="F458" s="28"/>
      <c r="G458">
        <v>450</v>
      </c>
      <c r="H458" s="109">
        <v>971.94524218346487</v>
      </c>
      <c r="I458" s="370">
        <v>978995.57036449434</v>
      </c>
      <c r="J458">
        <v>0</v>
      </c>
      <c r="K458">
        <v>0</v>
      </c>
      <c r="L458">
        <v>0</v>
      </c>
      <c r="M458">
        <v>1</v>
      </c>
      <c r="N458" s="109">
        <v>1007.2538327006889</v>
      </c>
      <c r="O458" s="109">
        <v>-2361934.7794796368</v>
      </c>
      <c r="P458" s="365">
        <v>1</v>
      </c>
      <c r="Q458" s="365">
        <v>0</v>
      </c>
      <c r="R458" s="365">
        <v>0</v>
      </c>
      <c r="S458" s="365">
        <v>0</v>
      </c>
      <c r="T458" s="109">
        <v>-2430.1109537545294</v>
      </c>
      <c r="V458" s="368">
        <f t="shared" si="42"/>
        <v>47618266.538808748</v>
      </c>
      <c r="W458" s="30">
        <f t="shared" si="43"/>
        <v>50959196.888652883</v>
      </c>
      <c r="X458" s="30"/>
      <c r="Y458">
        <f t="shared" ref="Y458:Y521" si="44">IF(V458&lt;0,1,0)</f>
        <v>0</v>
      </c>
      <c r="Z458">
        <f t="shared" ref="Z458:Z521" si="45">IF(V458&gt;0,1,0)</f>
        <v>1</v>
      </c>
      <c r="AA458">
        <f t="shared" ref="AA458:AA521" si="46">IF(W458&lt;0,1,0)</f>
        <v>0</v>
      </c>
      <c r="AB458">
        <f t="shared" ref="AB458:AB521" si="47">IF(W458&gt;0,1,0)</f>
        <v>1</v>
      </c>
    </row>
    <row r="459" spans="6:28" x14ac:dyDescent="0.3">
      <c r="F459" s="28"/>
      <c r="G459">
        <v>451</v>
      </c>
      <c r="H459" s="109">
        <v>1108.5361704107854</v>
      </c>
      <c r="I459" s="370">
        <v>1176489.5246140016</v>
      </c>
      <c r="J459">
        <v>0</v>
      </c>
      <c r="K459">
        <v>0</v>
      </c>
      <c r="L459">
        <v>0</v>
      </c>
      <c r="M459">
        <v>1</v>
      </c>
      <c r="N459" s="109">
        <v>1061.3000784431192</v>
      </c>
      <c r="O459" s="109">
        <v>-3039350.4772044653</v>
      </c>
      <c r="P459" s="365">
        <v>1</v>
      </c>
      <c r="Q459" s="365">
        <v>0</v>
      </c>
      <c r="R459" s="365">
        <v>0</v>
      </c>
      <c r="S459" s="365">
        <v>0</v>
      </c>
      <c r="T459" s="109">
        <v>-2741.7693335871813</v>
      </c>
      <c r="V459" s="368">
        <f t="shared" si="42"/>
        <v>54250318.99592527</v>
      </c>
      <c r="W459" s="30">
        <f t="shared" si="43"/>
        <v>58466158.997743733</v>
      </c>
      <c r="X459" s="30"/>
      <c r="Y459">
        <f t="shared" si="44"/>
        <v>0</v>
      </c>
      <c r="Z459">
        <f t="shared" si="45"/>
        <v>1</v>
      </c>
      <c r="AA459">
        <f t="shared" si="46"/>
        <v>0</v>
      </c>
      <c r="AB459">
        <f t="shared" si="47"/>
        <v>1</v>
      </c>
    </row>
    <row r="460" spans="6:28" x14ac:dyDescent="0.3">
      <c r="F460" s="28"/>
      <c r="G460">
        <v>452</v>
      </c>
      <c r="H460" s="109">
        <v>1353.0640046635017</v>
      </c>
      <c r="I460" s="370">
        <v>1059315.6183657243</v>
      </c>
      <c r="J460">
        <v>0</v>
      </c>
      <c r="K460">
        <v>0</v>
      </c>
      <c r="L460">
        <v>0</v>
      </c>
      <c r="M460">
        <v>1</v>
      </c>
      <c r="N460" s="109">
        <v>782.90133705032622</v>
      </c>
      <c r="O460" s="109">
        <v>-4493090.7916052882</v>
      </c>
      <c r="P460" s="365">
        <v>1</v>
      </c>
      <c r="Q460" s="365">
        <v>0</v>
      </c>
      <c r="R460" s="365">
        <v>0</v>
      </c>
      <c r="S460" s="365">
        <v>0</v>
      </c>
      <c r="T460" s="109">
        <v>-3320.6786789976659</v>
      </c>
      <c r="V460" s="368">
        <f t="shared" si="42"/>
        <v>66593884.614809357</v>
      </c>
      <c r="W460" s="30">
        <f t="shared" si="43"/>
        <v>72146291.024780378</v>
      </c>
      <c r="X460" s="30"/>
      <c r="Y460">
        <f t="shared" si="44"/>
        <v>0</v>
      </c>
      <c r="Z460">
        <f t="shared" si="45"/>
        <v>1</v>
      </c>
      <c r="AA460">
        <f t="shared" si="46"/>
        <v>0</v>
      </c>
      <c r="AB460">
        <f t="shared" si="47"/>
        <v>1</v>
      </c>
    </row>
    <row r="461" spans="6:28" x14ac:dyDescent="0.3">
      <c r="F461" s="28"/>
      <c r="G461">
        <v>453</v>
      </c>
      <c r="H461" s="109">
        <v>1203.0426129651169</v>
      </c>
      <c r="I461" s="370">
        <v>1824688.5020299603</v>
      </c>
      <c r="J461">
        <v>0</v>
      </c>
      <c r="K461">
        <v>0</v>
      </c>
      <c r="L461">
        <v>0</v>
      </c>
      <c r="M461">
        <v>1</v>
      </c>
      <c r="N461" s="109">
        <v>1516.7280712797731</v>
      </c>
      <c r="O461" s="109">
        <v>-3664881.2700630869</v>
      </c>
      <c r="P461" s="365">
        <v>1</v>
      </c>
      <c r="Q461" s="365">
        <v>0</v>
      </c>
      <c r="R461" s="365">
        <v>0</v>
      </c>
      <c r="S461" s="365">
        <v>0</v>
      </c>
      <c r="T461" s="109">
        <v>-3046.3436877188597</v>
      </c>
      <c r="V461" s="368">
        <f t="shared" si="42"/>
        <v>58327442.146225877</v>
      </c>
      <c r="W461" s="30">
        <f t="shared" si="43"/>
        <v>63817011.918318927</v>
      </c>
      <c r="X461" s="30"/>
      <c r="Y461">
        <f t="shared" si="44"/>
        <v>0</v>
      </c>
      <c r="Z461">
        <f t="shared" si="45"/>
        <v>1</v>
      </c>
      <c r="AA461">
        <f t="shared" si="46"/>
        <v>0</v>
      </c>
      <c r="AB461">
        <f t="shared" si="47"/>
        <v>1</v>
      </c>
    </row>
    <row r="462" spans="6:28" x14ac:dyDescent="0.3">
      <c r="F462" s="28"/>
      <c r="G462">
        <v>454</v>
      </c>
      <c r="H462" s="109">
        <v>1306.1690604666655</v>
      </c>
      <c r="I462" s="370">
        <v>1076504.3253576206</v>
      </c>
      <c r="J462">
        <v>0</v>
      </c>
      <c r="K462">
        <v>0</v>
      </c>
      <c r="L462">
        <v>0</v>
      </c>
      <c r="M462">
        <v>1</v>
      </c>
      <c r="N462" s="109">
        <v>824.16921204136406</v>
      </c>
      <c r="O462" s="109">
        <v>-3975030.7569678677</v>
      </c>
      <c r="P462" s="365">
        <v>1</v>
      </c>
      <c r="Q462" s="365">
        <v>0</v>
      </c>
      <c r="R462" s="365">
        <v>0</v>
      </c>
      <c r="S462" s="365">
        <v>0</v>
      </c>
      <c r="T462" s="109">
        <v>-3043.2743182170279</v>
      </c>
      <c r="V462" s="368">
        <f t="shared" si="42"/>
        <v>64231948.69797565</v>
      </c>
      <c r="W462" s="30">
        <f t="shared" si="43"/>
        <v>69283483.780301139</v>
      </c>
      <c r="X462" s="30"/>
      <c r="Y462">
        <f t="shared" si="44"/>
        <v>0</v>
      </c>
      <c r="Z462">
        <f t="shared" si="45"/>
        <v>1</v>
      </c>
      <c r="AA462">
        <f t="shared" si="46"/>
        <v>0</v>
      </c>
      <c r="AB462">
        <f t="shared" si="47"/>
        <v>1</v>
      </c>
    </row>
    <row r="463" spans="6:28" x14ac:dyDescent="0.3">
      <c r="F463" s="28"/>
      <c r="G463">
        <v>455</v>
      </c>
      <c r="H463" s="109">
        <v>1261.1503881731696</v>
      </c>
      <c r="I463" s="370">
        <v>1482424.2576224324</v>
      </c>
      <c r="J463">
        <v>0</v>
      </c>
      <c r="K463">
        <v>0</v>
      </c>
      <c r="L463">
        <v>0</v>
      </c>
      <c r="M463">
        <v>1</v>
      </c>
      <c r="N463" s="109">
        <v>1175.4539914702698</v>
      </c>
      <c r="O463" s="109">
        <v>-2633800.188824622</v>
      </c>
      <c r="P463" s="365">
        <v>1</v>
      </c>
      <c r="Q463" s="365">
        <v>0</v>
      </c>
      <c r="R463" s="365">
        <v>0</v>
      </c>
      <c r="S463" s="365">
        <v>0</v>
      </c>
      <c r="T463" s="109">
        <v>-2088.4108775003388</v>
      </c>
      <c r="V463" s="368">
        <f t="shared" si="42"/>
        <v>61575095.151036046</v>
      </c>
      <c r="W463" s="30">
        <f t="shared" si="43"/>
        <v>65691319.597483106</v>
      </c>
      <c r="X463" s="30"/>
      <c r="Y463">
        <f t="shared" si="44"/>
        <v>0</v>
      </c>
      <c r="Z463">
        <f t="shared" si="45"/>
        <v>1</v>
      </c>
      <c r="AA463">
        <f t="shared" si="46"/>
        <v>0</v>
      </c>
      <c r="AB463">
        <f t="shared" si="47"/>
        <v>1</v>
      </c>
    </row>
    <row r="464" spans="6:28" x14ac:dyDescent="0.3">
      <c r="F464" s="28"/>
      <c r="G464">
        <v>456</v>
      </c>
      <c r="H464" s="109">
        <v>1208.4918900261982</v>
      </c>
      <c r="I464" s="370">
        <v>1081137.258176896</v>
      </c>
      <c r="J464">
        <v>0</v>
      </c>
      <c r="K464">
        <v>0</v>
      </c>
      <c r="L464">
        <v>0</v>
      </c>
      <c r="M464">
        <v>1</v>
      </c>
      <c r="N464" s="109">
        <v>894.61689159822049</v>
      </c>
      <c r="O464" s="109">
        <v>-4425429.0768040279</v>
      </c>
      <c r="P464" s="365">
        <v>1</v>
      </c>
      <c r="Q464" s="365">
        <v>0</v>
      </c>
      <c r="R464" s="365">
        <v>0</v>
      </c>
      <c r="S464" s="365">
        <v>0</v>
      </c>
      <c r="T464" s="109">
        <v>-3661.94354577596</v>
      </c>
      <c r="V464" s="368">
        <f t="shared" si="42"/>
        <v>59343457.243133016</v>
      </c>
      <c r="W464" s="30">
        <f t="shared" si="43"/>
        <v>64850023.578113936</v>
      </c>
      <c r="X464" s="30"/>
      <c r="Y464">
        <f t="shared" si="44"/>
        <v>0</v>
      </c>
      <c r="Z464">
        <f t="shared" si="45"/>
        <v>1</v>
      </c>
      <c r="AA464">
        <f t="shared" si="46"/>
        <v>0</v>
      </c>
      <c r="AB464">
        <f t="shared" si="47"/>
        <v>1</v>
      </c>
    </row>
    <row r="465" spans="6:28" x14ac:dyDescent="0.3">
      <c r="F465" s="28"/>
      <c r="G465">
        <v>457</v>
      </c>
      <c r="H465" s="109">
        <v>1049.4399753791949</v>
      </c>
      <c r="I465" s="370">
        <v>1996468.3252880762</v>
      </c>
      <c r="J465">
        <v>0</v>
      </c>
      <c r="K465">
        <v>0</v>
      </c>
      <c r="L465">
        <v>0</v>
      </c>
      <c r="M465">
        <v>1</v>
      </c>
      <c r="N465" s="109">
        <v>1902.4130699487512</v>
      </c>
      <c r="O465" s="109">
        <v>-1875391.6206712313</v>
      </c>
      <c r="P465" s="365">
        <v>1</v>
      </c>
      <c r="Q465" s="365">
        <v>0</v>
      </c>
      <c r="R465" s="365">
        <v>0</v>
      </c>
      <c r="S465" s="365">
        <v>0</v>
      </c>
      <c r="T465" s="109">
        <v>-1787.0403878922132</v>
      </c>
      <c r="V465" s="368">
        <f t="shared" si="42"/>
        <v>50475530.443671666</v>
      </c>
      <c r="W465" s="30">
        <f t="shared" si="43"/>
        <v>54347390.389630973</v>
      </c>
      <c r="X465" s="30"/>
      <c r="Y465">
        <f t="shared" si="44"/>
        <v>0</v>
      </c>
      <c r="Z465">
        <f t="shared" si="45"/>
        <v>1</v>
      </c>
      <c r="AA465">
        <f t="shared" si="46"/>
        <v>0</v>
      </c>
      <c r="AB465">
        <f t="shared" si="47"/>
        <v>1</v>
      </c>
    </row>
    <row r="466" spans="6:28" x14ac:dyDescent="0.3">
      <c r="F466" s="28"/>
      <c r="G466">
        <v>458</v>
      </c>
      <c r="H466" s="109">
        <v>1073.6353777045733</v>
      </c>
      <c r="I466" s="370">
        <v>539467.60656304879</v>
      </c>
      <c r="J466">
        <v>0</v>
      </c>
      <c r="K466">
        <v>0</v>
      </c>
      <c r="L466">
        <v>0</v>
      </c>
      <c r="M466">
        <v>1</v>
      </c>
      <c r="N466" s="109">
        <v>502.46817286929166</v>
      </c>
      <c r="O466" s="109">
        <v>-4063456.9974316601</v>
      </c>
      <c r="P466" s="365">
        <v>1</v>
      </c>
      <c r="Q466" s="365">
        <v>0</v>
      </c>
      <c r="R466" s="365">
        <v>0</v>
      </c>
      <c r="S466" s="365">
        <v>0</v>
      </c>
      <c r="T466" s="109">
        <v>-3784.7644384812556</v>
      </c>
      <c r="V466" s="368">
        <f t="shared" si="42"/>
        <v>53142301.278665617</v>
      </c>
      <c r="W466" s="30">
        <f t="shared" si="43"/>
        <v>57745225.882660322</v>
      </c>
      <c r="X466" s="30"/>
      <c r="Y466">
        <f t="shared" si="44"/>
        <v>0</v>
      </c>
      <c r="Z466">
        <f t="shared" si="45"/>
        <v>1</v>
      </c>
      <c r="AA466">
        <f t="shared" si="46"/>
        <v>0</v>
      </c>
      <c r="AB466">
        <f t="shared" si="47"/>
        <v>1</v>
      </c>
    </row>
    <row r="467" spans="6:28" x14ac:dyDescent="0.3">
      <c r="F467" s="28"/>
      <c r="G467">
        <v>459</v>
      </c>
      <c r="H467" s="109">
        <v>1176.4527465811625</v>
      </c>
      <c r="I467" s="370">
        <v>892569.05780389975</v>
      </c>
      <c r="J467">
        <v>0</v>
      </c>
      <c r="K467">
        <v>0</v>
      </c>
      <c r="L467">
        <v>0</v>
      </c>
      <c r="M467">
        <v>1</v>
      </c>
      <c r="N467" s="109">
        <v>758.69520505413868</v>
      </c>
      <c r="O467" s="109">
        <v>-3405654.4286842193</v>
      </c>
      <c r="P467" s="365">
        <v>1</v>
      </c>
      <c r="Q467" s="365">
        <v>0</v>
      </c>
      <c r="R467" s="365">
        <v>0</v>
      </c>
      <c r="S467" s="365">
        <v>0</v>
      </c>
      <c r="T467" s="109">
        <v>-2894.8501659596968</v>
      </c>
      <c r="V467" s="368">
        <f t="shared" si="42"/>
        <v>57930068.271254227</v>
      </c>
      <c r="W467" s="30">
        <f t="shared" si="43"/>
        <v>62228291.757742345</v>
      </c>
      <c r="X467" s="30"/>
      <c r="Y467">
        <f t="shared" si="44"/>
        <v>0</v>
      </c>
      <c r="Z467">
        <f t="shared" si="45"/>
        <v>1</v>
      </c>
      <c r="AA467">
        <f t="shared" si="46"/>
        <v>0</v>
      </c>
      <c r="AB467">
        <f t="shared" si="47"/>
        <v>1</v>
      </c>
    </row>
    <row r="468" spans="6:28" x14ac:dyDescent="0.3">
      <c r="F468" s="28"/>
      <c r="G468">
        <v>460</v>
      </c>
      <c r="H468" s="109">
        <v>1189.7339547730735</v>
      </c>
      <c r="I468" s="370">
        <v>1129933.1622698861</v>
      </c>
      <c r="J468">
        <v>0</v>
      </c>
      <c r="K468">
        <v>0</v>
      </c>
      <c r="L468">
        <v>0</v>
      </c>
      <c r="M468">
        <v>1</v>
      </c>
      <c r="N468" s="109">
        <v>949.73599579698168</v>
      </c>
      <c r="O468" s="109">
        <v>-3346471.5492340242</v>
      </c>
      <c r="P468" s="365">
        <v>1</v>
      </c>
      <c r="Q468" s="365">
        <v>0</v>
      </c>
      <c r="R468" s="365">
        <v>0</v>
      </c>
      <c r="S468" s="365">
        <v>0</v>
      </c>
      <c r="T468" s="109">
        <v>-2812.7898138977807</v>
      </c>
      <c r="V468" s="368">
        <f t="shared" si="42"/>
        <v>58356764.576383792</v>
      </c>
      <c r="W468" s="30">
        <f t="shared" si="43"/>
        <v>62833169.2878877</v>
      </c>
      <c r="X468" s="30"/>
      <c r="Y468">
        <f t="shared" si="44"/>
        <v>0</v>
      </c>
      <c r="Z468">
        <f t="shared" si="45"/>
        <v>1</v>
      </c>
      <c r="AA468">
        <f t="shared" si="46"/>
        <v>0</v>
      </c>
      <c r="AB468">
        <f t="shared" si="47"/>
        <v>1</v>
      </c>
    </row>
    <row r="469" spans="6:28" x14ac:dyDescent="0.3">
      <c r="F469" s="28"/>
      <c r="G469">
        <v>461</v>
      </c>
      <c r="H469" s="109">
        <v>1113.8410649600628</v>
      </c>
      <c r="I469" s="370">
        <v>1424414.9313947514</v>
      </c>
      <c r="J469">
        <v>0</v>
      </c>
      <c r="K469">
        <v>0</v>
      </c>
      <c r="L469">
        <v>0</v>
      </c>
      <c r="M469">
        <v>1</v>
      </c>
      <c r="N469" s="109">
        <v>1278.8314026165165</v>
      </c>
      <c r="O469" s="109">
        <v>-2756220.0001036623</v>
      </c>
      <c r="P469" s="365">
        <v>1</v>
      </c>
      <c r="Q469" s="365">
        <v>0</v>
      </c>
      <c r="R469" s="365">
        <v>0</v>
      </c>
      <c r="S469" s="365">
        <v>0</v>
      </c>
      <c r="T469" s="109">
        <v>-2474.5182116287729</v>
      </c>
      <c r="V469" s="368">
        <f t="shared" si="42"/>
        <v>54267638.316608392</v>
      </c>
      <c r="W469" s="30">
        <f t="shared" si="43"/>
        <v>58448273.2481068</v>
      </c>
      <c r="X469" s="30"/>
      <c r="Y469">
        <f t="shared" si="44"/>
        <v>0</v>
      </c>
      <c r="Z469">
        <f t="shared" si="45"/>
        <v>1</v>
      </c>
      <c r="AA469">
        <f t="shared" si="46"/>
        <v>0</v>
      </c>
      <c r="AB469">
        <f t="shared" si="47"/>
        <v>1</v>
      </c>
    </row>
    <row r="470" spans="6:28" x14ac:dyDescent="0.3">
      <c r="F470" s="28"/>
      <c r="G470">
        <v>462</v>
      </c>
      <c r="H470" s="109">
        <v>994.79678194154985</v>
      </c>
      <c r="I470" s="370">
        <v>1244372.2285207158</v>
      </c>
      <c r="J470">
        <v>0</v>
      </c>
      <c r="K470">
        <v>0</v>
      </c>
      <c r="L470">
        <v>0</v>
      </c>
      <c r="M470">
        <v>1</v>
      </c>
      <c r="N470" s="109">
        <v>1250.8808342665407</v>
      </c>
      <c r="O470" s="109">
        <v>-3085183.81259953</v>
      </c>
      <c r="P470" s="365">
        <v>1</v>
      </c>
      <c r="Q470" s="365">
        <v>0</v>
      </c>
      <c r="R470" s="365">
        <v>0</v>
      </c>
      <c r="S470" s="365">
        <v>0</v>
      </c>
      <c r="T470" s="109">
        <v>-3101.3206602640603</v>
      </c>
      <c r="V470" s="368">
        <f t="shared" si="42"/>
        <v>48495466.868556775</v>
      </c>
      <c r="W470" s="30">
        <f t="shared" si="43"/>
        <v>52825022.909677021</v>
      </c>
      <c r="X470" s="30"/>
      <c r="Y470">
        <f t="shared" si="44"/>
        <v>0</v>
      </c>
      <c r="Z470">
        <f t="shared" si="45"/>
        <v>1</v>
      </c>
      <c r="AA470">
        <f t="shared" si="46"/>
        <v>0</v>
      </c>
      <c r="AB470">
        <f t="shared" si="47"/>
        <v>1</v>
      </c>
    </row>
    <row r="471" spans="6:28" x14ac:dyDescent="0.3">
      <c r="F471" s="28"/>
      <c r="G471">
        <v>463</v>
      </c>
      <c r="H471" s="109">
        <v>1276.780183156865</v>
      </c>
      <c r="I471" s="370">
        <v>3081538.8456530333</v>
      </c>
      <c r="J471">
        <v>0</v>
      </c>
      <c r="K471">
        <v>0</v>
      </c>
      <c r="L471">
        <v>0</v>
      </c>
      <c r="M471">
        <v>1</v>
      </c>
      <c r="N471" s="109">
        <v>2413.5233976093409</v>
      </c>
      <c r="O471" s="109">
        <v>-2134393.5368229146</v>
      </c>
      <c r="P471" s="365">
        <v>1</v>
      </c>
      <c r="Q471" s="365">
        <v>0</v>
      </c>
      <c r="R471" s="365">
        <v>0</v>
      </c>
      <c r="S471" s="365">
        <v>0</v>
      </c>
      <c r="T471" s="109">
        <v>-1671.700081955833</v>
      </c>
      <c r="V471" s="368">
        <f t="shared" si="42"/>
        <v>60757470.312190212</v>
      </c>
      <c r="W471" s="30">
        <f t="shared" si="43"/>
        <v>65973402.694666162</v>
      </c>
      <c r="X471" s="30"/>
      <c r="Y471">
        <f t="shared" si="44"/>
        <v>0</v>
      </c>
      <c r="Z471">
        <f t="shared" si="45"/>
        <v>1</v>
      </c>
      <c r="AA471">
        <f t="shared" si="46"/>
        <v>0</v>
      </c>
      <c r="AB471">
        <f t="shared" si="47"/>
        <v>1</v>
      </c>
    </row>
    <row r="472" spans="6:28" x14ac:dyDescent="0.3">
      <c r="F472" s="28"/>
      <c r="G472">
        <v>464</v>
      </c>
      <c r="H472" s="109">
        <v>1155.6234142889734</v>
      </c>
      <c r="I472" s="370">
        <v>1168250.2969423092</v>
      </c>
      <c r="J472">
        <v>0</v>
      </c>
      <c r="K472">
        <v>0</v>
      </c>
      <c r="L472">
        <v>0</v>
      </c>
      <c r="M472">
        <v>1</v>
      </c>
      <c r="N472" s="109">
        <v>1010.9264683435865</v>
      </c>
      <c r="O472" s="109">
        <v>-4178142.1613142476</v>
      </c>
      <c r="P472" s="365">
        <v>1</v>
      </c>
      <c r="Q472" s="365">
        <v>0</v>
      </c>
      <c r="R472" s="365">
        <v>0</v>
      </c>
      <c r="S472" s="365">
        <v>0</v>
      </c>
      <c r="T472" s="109">
        <v>-3615.487631742868</v>
      </c>
      <c r="V472" s="368">
        <f t="shared" si="42"/>
        <v>56612920.417506367</v>
      </c>
      <c r="W472" s="30">
        <f t="shared" si="43"/>
        <v>61959312.875762925</v>
      </c>
      <c r="X472" s="30"/>
      <c r="Y472">
        <f t="shared" si="44"/>
        <v>0</v>
      </c>
      <c r="Z472">
        <f t="shared" si="45"/>
        <v>1</v>
      </c>
      <c r="AA472">
        <f t="shared" si="46"/>
        <v>0</v>
      </c>
      <c r="AB472">
        <f t="shared" si="47"/>
        <v>1</v>
      </c>
    </row>
    <row r="473" spans="6:28" x14ac:dyDescent="0.3">
      <c r="F473" s="28"/>
      <c r="G473">
        <v>465</v>
      </c>
      <c r="H473" s="109">
        <v>1204.6318586536217</v>
      </c>
      <c r="I473" s="370">
        <v>1154028.4189565263</v>
      </c>
      <c r="J473">
        <v>0</v>
      </c>
      <c r="K473">
        <v>0</v>
      </c>
      <c r="L473">
        <v>0</v>
      </c>
      <c r="M473">
        <v>1</v>
      </c>
      <c r="N473" s="109">
        <v>957.99261049458437</v>
      </c>
      <c r="O473" s="109">
        <v>-3425499.5069167865</v>
      </c>
      <c r="P473" s="365">
        <v>1</v>
      </c>
      <c r="Q473" s="365">
        <v>0</v>
      </c>
      <c r="R473" s="365">
        <v>0</v>
      </c>
      <c r="S473" s="365">
        <v>0</v>
      </c>
      <c r="T473" s="109">
        <v>-2843.6069346076874</v>
      </c>
      <c r="V473" s="368">
        <f t="shared" si="42"/>
        <v>59077564.513724558</v>
      </c>
      <c r="W473" s="30">
        <f t="shared" si="43"/>
        <v>63657092.439597867</v>
      </c>
      <c r="X473" s="30"/>
      <c r="Y473">
        <f t="shared" si="44"/>
        <v>0</v>
      </c>
      <c r="Z473">
        <f t="shared" si="45"/>
        <v>1</v>
      </c>
      <c r="AA473">
        <f t="shared" si="46"/>
        <v>0</v>
      </c>
      <c r="AB473">
        <f t="shared" si="47"/>
        <v>1</v>
      </c>
    </row>
    <row r="474" spans="6:28" x14ac:dyDescent="0.3">
      <c r="F474" s="28"/>
      <c r="G474">
        <v>466</v>
      </c>
      <c r="H474" s="109">
        <v>1292.3265829405791</v>
      </c>
      <c r="I474" s="370">
        <v>641449.96637290693</v>
      </c>
      <c r="J474">
        <v>0</v>
      </c>
      <c r="K474">
        <v>0</v>
      </c>
      <c r="L474">
        <v>0</v>
      </c>
      <c r="M474">
        <v>1</v>
      </c>
      <c r="N474" s="109">
        <v>496.35283746415104</v>
      </c>
      <c r="O474" s="109">
        <v>-4057531.7222496322</v>
      </c>
      <c r="P474" s="365">
        <v>1</v>
      </c>
      <c r="Q474" s="365">
        <v>0</v>
      </c>
      <c r="R474" s="365">
        <v>0</v>
      </c>
      <c r="S474" s="365">
        <v>0</v>
      </c>
      <c r="T474" s="109">
        <v>-3139.7107943234164</v>
      </c>
      <c r="V474" s="368">
        <f t="shared" si="42"/>
        <v>63974879.180656046</v>
      </c>
      <c r="W474" s="30">
        <f t="shared" si="43"/>
        <v>68673860.86927858</v>
      </c>
      <c r="X474" s="30"/>
      <c r="Y474">
        <f t="shared" si="44"/>
        <v>0</v>
      </c>
      <c r="Z474">
        <f t="shared" si="45"/>
        <v>1</v>
      </c>
      <c r="AA474">
        <f t="shared" si="46"/>
        <v>0</v>
      </c>
      <c r="AB474">
        <f t="shared" si="47"/>
        <v>1</v>
      </c>
    </row>
    <row r="475" spans="6:28" x14ac:dyDescent="0.3">
      <c r="F475" s="28"/>
      <c r="G475">
        <v>467</v>
      </c>
      <c r="H475" s="109">
        <v>954.59772171792429</v>
      </c>
      <c r="I475" s="370">
        <v>217738.91941641233</v>
      </c>
      <c r="J475">
        <v>0</v>
      </c>
      <c r="K475">
        <v>0</v>
      </c>
      <c r="L475">
        <v>0</v>
      </c>
      <c r="M475">
        <v>1</v>
      </c>
      <c r="N475" s="109">
        <v>228.09494980206162</v>
      </c>
      <c r="O475" s="109">
        <v>-2951287.11096083</v>
      </c>
      <c r="P475" s="365">
        <v>1</v>
      </c>
      <c r="Q475" s="365">
        <v>0</v>
      </c>
      <c r="R475" s="365">
        <v>0</v>
      </c>
      <c r="S475" s="365">
        <v>0</v>
      </c>
      <c r="T475" s="109">
        <v>-3091.6553054930828</v>
      </c>
      <c r="V475" s="368">
        <f t="shared" si="42"/>
        <v>47512147.166479804</v>
      </c>
      <c r="W475" s="30">
        <f t="shared" si="43"/>
        <v>50681173.19685705</v>
      </c>
      <c r="X475" s="30"/>
      <c r="Y475">
        <f t="shared" si="44"/>
        <v>0</v>
      </c>
      <c r="Z475">
        <f t="shared" si="45"/>
        <v>1</v>
      </c>
      <c r="AA475">
        <f t="shared" si="46"/>
        <v>0</v>
      </c>
      <c r="AB475">
        <f t="shared" si="47"/>
        <v>1</v>
      </c>
    </row>
    <row r="476" spans="6:28" x14ac:dyDescent="0.3">
      <c r="F476" s="28"/>
      <c r="G476">
        <v>468</v>
      </c>
      <c r="H476" s="109">
        <v>1268.5579056954739</v>
      </c>
      <c r="I476" s="370">
        <v>696647.77898986603</v>
      </c>
      <c r="J476">
        <v>0</v>
      </c>
      <c r="K476">
        <v>0</v>
      </c>
      <c r="L476">
        <v>0</v>
      </c>
      <c r="M476">
        <v>1</v>
      </c>
      <c r="N476" s="109">
        <v>549.16513929881353</v>
      </c>
      <c r="O476" s="109">
        <v>-3790632.623378207</v>
      </c>
      <c r="P476" s="365">
        <v>1</v>
      </c>
      <c r="Q476" s="365">
        <v>0</v>
      </c>
      <c r="R476" s="365">
        <v>0</v>
      </c>
      <c r="S476" s="365">
        <v>0</v>
      </c>
      <c r="T476" s="109">
        <v>-2988.1431555936988</v>
      </c>
      <c r="V476" s="368">
        <f t="shared" si="42"/>
        <v>62731247.505783826</v>
      </c>
      <c r="W476" s="30">
        <f t="shared" si="43"/>
        <v>67218527.908151895</v>
      </c>
      <c r="X476" s="30"/>
      <c r="Y476">
        <f t="shared" si="44"/>
        <v>0</v>
      </c>
      <c r="Z476">
        <f t="shared" si="45"/>
        <v>1</v>
      </c>
      <c r="AA476">
        <f t="shared" si="46"/>
        <v>0</v>
      </c>
      <c r="AB476">
        <f t="shared" si="47"/>
        <v>1</v>
      </c>
    </row>
    <row r="477" spans="6:28" x14ac:dyDescent="0.3">
      <c r="F477" s="28"/>
      <c r="G477">
        <v>469</v>
      </c>
      <c r="H477" s="109">
        <v>1119.9642714095171</v>
      </c>
      <c r="I477" s="370">
        <v>627087.25363324478</v>
      </c>
      <c r="J477">
        <v>0</v>
      </c>
      <c r="K477">
        <v>0</v>
      </c>
      <c r="L477">
        <v>0</v>
      </c>
      <c r="M477">
        <v>1</v>
      </c>
      <c r="N477" s="109">
        <v>559.91719525483779</v>
      </c>
      <c r="O477" s="109">
        <v>-4040964.3720270512</v>
      </c>
      <c r="P477" s="365">
        <v>1</v>
      </c>
      <c r="Q477" s="365">
        <v>0</v>
      </c>
      <c r="R477" s="365">
        <v>0</v>
      </c>
      <c r="S477" s="365">
        <v>0</v>
      </c>
      <c r="T477" s="109">
        <v>-3608.1190044940859</v>
      </c>
      <c r="V477" s="368">
        <f t="shared" si="42"/>
        <v>55371126.316842608</v>
      </c>
      <c r="W477" s="30">
        <f t="shared" si="43"/>
        <v>60039177.942502908</v>
      </c>
      <c r="X477" s="30"/>
      <c r="Y477">
        <f t="shared" si="44"/>
        <v>0</v>
      </c>
      <c r="Z477">
        <f t="shared" si="45"/>
        <v>1</v>
      </c>
      <c r="AA477">
        <f t="shared" si="46"/>
        <v>0</v>
      </c>
      <c r="AB477">
        <f t="shared" si="47"/>
        <v>1</v>
      </c>
    </row>
    <row r="478" spans="6:28" x14ac:dyDescent="0.3">
      <c r="F478" s="28"/>
      <c r="G478">
        <v>470</v>
      </c>
      <c r="H478" s="109">
        <v>1132.1911577030769</v>
      </c>
      <c r="I478" s="370">
        <v>1233641.296983995</v>
      </c>
      <c r="J478">
        <v>0</v>
      </c>
      <c r="K478">
        <v>0</v>
      </c>
      <c r="L478">
        <v>0</v>
      </c>
      <c r="M478">
        <v>1</v>
      </c>
      <c r="N478" s="109">
        <v>1089.6051330119326</v>
      </c>
      <c r="O478" s="109">
        <v>-3206507.0120538347</v>
      </c>
      <c r="P478" s="365">
        <v>1</v>
      </c>
      <c r="Q478" s="365">
        <v>0</v>
      </c>
      <c r="R478" s="365">
        <v>0</v>
      </c>
      <c r="S478" s="365">
        <v>0</v>
      </c>
      <c r="T478" s="109">
        <v>-2832.1251144188482</v>
      </c>
      <c r="V478" s="368">
        <f t="shared" si="42"/>
        <v>55375916.58816985</v>
      </c>
      <c r="W478" s="30">
        <f t="shared" si="43"/>
        <v>59816064.897207677</v>
      </c>
      <c r="X478" s="30"/>
      <c r="Y478">
        <f t="shared" si="44"/>
        <v>0</v>
      </c>
      <c r="Z478">
        <f t="shared" si="45"/>
        <v>1</v>
      </c>
      <c r="AA478">
        <f t="shared" si="46"/>
        <v>0</v>
      </c>
      <c r="AB478">
        <f t="shared" si="47"/>
        <v>1</v>
      </c>
    </row>
    <row r="479" spans="6:28" x14ac:dyDescent="0.3">
      <c r="F479" s="28"/>
      <c r="G479">
        <v>471</v>
      </c>
      <c r="H479" s="109">
        <v>1309.8248130961219</v>
      </c>
      <c r="I479" s="370">
        <v>1338895.8449338584</v>
      </c>
      <c r="J479">
        <v>0</v>
      </c>
      <c r="K479">
        <v>0</v>
      </c>
      <c r="L479">
        <v>0</v>
      </c>
      <c r="M479">
        <v>1</v>
      </c>
      <c r="N479" s="109">
        <v>1022.1945954505314</v>
      </c>
      <c r="O479" s="109">
        <v>-4044136.9262497346</v>
      </c>
      <c r="P479" s="365">
        <v>1</v>
      </c>
      <c r="Q479" s="365">
        <v>0</v>
      </c>
      <c r="R479" s="365">
        <v>0</v>
      </c>
      <c r="S479" s="365">
        <v>0</v>
      </c>
      <c r="T479" s="109">
        <v>-3087.540322808768</v>
      </c>
      <c r="V479" s="368">
        <f t="shared" si="42"/>
        <v>64152344.80987224</v>
      </c>
      <c r="W479" s="30">
        <f t="shared" si="43"/>
        <v>69535377.581055835</v>
      </c>
      <c r="X479" s="30"/>
      <c r="Y479">
        <f t="shared" si="44"/>
        <v>0</v>
      </c>
      <c r="Z479">
        <f t="shared" si="45"/>
        <v>1</v>
      </c>
      <c r="AA479">
        <f t="shared" si="46"/>
        <v>0</v>
      </c>
      <c r="AB479">
        <f t="shared" si="47"/>
        <v>1</v>
      </c>
    </row>
    <row r="480" spans="6:28" x14ac:dyDescent="0.3">
      <c r="F480" s="28"/>
      <c r="G480">
        <v>472</v>
      </c>
      <c r="H480" s="109">
        <v>1172.1240445056392</v>
      </c>
      <c r="I480" s="370">
        <v>1131732.2828646388</v>
      </c>
      <c r="J480">
        <v>0</v>
      </c>
      <c r="K480">
        <v>0</v>
      </c>
      <c r="L480">
        <v>0</v>
      </c>
      <c r="M480">
        <v>1</v>
      </c>
      <c r="N480" s="109">
        <v>965.53968683575965</v>
      </c>
      <c r="O480" s="109">
        <v>-3514154.0106291282</v>
      </c>
      <c r="P480" s="365">
        <v>1</v>
      </c>
      <c r="Q480" s="365">
        <v>0</v>
      </c>
      <c r="R480" s="365">
        <v>0</v>
      </c>
      <c r="S480" s="365">
        <v>0</v>
      </c>
      <c r="T480" s="109">
        <v>-2998.1076039705977</v>
      </c>
      <c r="V480" s="368">
        <f t="shared" si="42"/>
        <v>57474469.942417324</v>
      </c>
      <c r="W480" s="30">
        <f t="shared" si="43"/>
        <v>62120356.235911086</v>
      </c>
      <c r="X480" s="30"/>
      <c r="Y480">
        <f t="shared" si="44"/>
        <v>0</v>
      </c>
      <c r="Z480">
        <f t="shared" si="45"/>
        <v>1</v>
      </c>
      <c r="AA480">
        <f t="shared" si="46"/>
        <v>0</v>
      </c>
      <c r="AB480">
        <f t="shared" si="47"/>
        <v>1</v>
      </c>
    </row>
    <row r="481" spans="6:28" x14ac:dyDescent="0.3">
      <c r="F481" s="28"/>
      <c r="G481">
        <v>473</v>
      </c>
      <c r="H481" s="109">
        <v>1299.868596209315</v>
      </c>
      <c r="I481" s="370">
        <v>464122.18491384783</v>
      </c>
      <c r="J481">
        <v>0</v>
      </c>
      <c r="K481">
        <v>0</v>
      </c>
      <c r="L481">
        <v>0</v>
      </c>
      <c r="M481">
        <v>1</v>
      </c>
      <c r="N481" s="109">
        <v>357.0531561938829</v>
      </c>
      <c r="O481" s="109">
        <v>-4239136.3052733745</v>
      </c>
      <c r="P481" s="365">
        <v>1</v>
      </c>
      <c r="Q481" s="365">
        <v>0</v>
      </c>
      <c r="R481" s="365">
        <v>0</v>
      </c>
      <c r="S481" s="365">
        <v>0</v>
      </c>
      <c r="T481" s="109">
        <v>-3261.2037229267407</v>
      </c>
      <c r="V481" s="368">
        <f t="shared" si="42"/>
        <v>64529307.625551902</v>
      </c>
      <c r="W481" s="30">
        <f t="shared" si="43"/>
        <v>69232566.115739122</v>
      </c>
      <c r="X481" s="30"/>
      <c r="Y481">
        <f t="shared" si="44"/>
        <v>0</v>
      </c>
      <c r="Z481">
        <f t="shared" si="45"/>
        <v>1</v>
      </c>
      <c r="AA481">
        <f t="shared" si="46"/>
        <v>0</v>
      </c>
      <c r="AB481">
        <f t="shared" si="47"/>
        <v>1</v>
      </c>
    </row>
    <row r="482" spans="6:28" x14ac:dyDescent="0.3">
      <c r="F482" s="28"/>
      <c r="G482">
        <v>474</v>
      </c>
      <c r="H482" s="109">
        <v>1255.3461852355613</v>
      </c>
      <c r="I482" s="370">
        <v>1170937.0232209226</v>
      </c>
      <c r="J482">
        <v>0</v>
      </c>
      <c r="K482">
        <v>0</v>
      </c>
      <c r="L482">
        <v>0</v>
      </c>
      <c r="M482">
        <v>1</v>
      </c>
      <c r="N482" s="109">
        <v>932.76025130964206</v>
      </c>
      <c r="O482" s="109">
        <v>-4388379.1256822394</v>
      </c>
      <c r="P482" s="365">
        <v>1</v>
      </c>
      <c r="Q482" s="365">
        <v>0</v>
      </c>
      <c r="R482" s="365">
        <v>0</v>
      </c>
      <c r="S482" s="365">
        <v>0</v>
      </c>
      <c r="T482" s="109">
        <v>-3495.7521497217722</v>
      </c>
      <c r="V482" s="368">
        <f t="shared" si="42"/>
        <v>61596372.238557145</v>
      </c>
      <c r="W482" s="30">
        <f t="shared" si="43"/>
        <v>67155688.387460306</v>
      </c>
      <c r="X482" s="30"/>
      <c r="Y482">
        <f t="shared" si="44"/>
        <v>0</v>
      </c>
      <c r="Z482">
        <f t="shared" si="45"/>
        <v>1</v>
      </c>
      <c r="AA482">
        <f t="shared" si="46"/>
        <v>0</v>
      </c>
      <c r="AB482">
        <f t="shared" si="47"/>
        <v>1</v>
      </c>
    </row>
    <row r="483" spans="6:28" x14ac:dyDescent="0.3">
      <c r="F483" s="28"/>
      <c r="G483">
        <v>475</v>
      </c>
      <c r="H483" s="109">
        <v>1102.9658627254539</v>
      </c>
      <c r="I483" s="370">
        <v>1798211.3579987078</v>
      </c>
      <c r="J483">
        <v>0</v>
      </c>
      <c r="K483">
        <v>0</v>
      </c>
      <c r="L483">
        <v>0</v>
      </c>
      <c r="M483">
        <v>1</v>
      </c>
      <c r="N483" s="109">
        <v>1630.3418072752372</v>
      </c>
      <c r="O483" s="109">
        <v>-1867848.3432211205</v>
      </c>
      <c r="P483" s="365">
        <v>1</v>
      </c>
      <c r="Q483" s="365">
        <v>0</v>
      </c>
      <c r="R483" s="365">
        <v>0</v>
      </c>
      <c r="S483" s="365">
        <v>0</v>
      </c>
      <c r="T483" s="109">
        <v>-1693.4779274180114</v>
      </c>
      <c r="V483" s="368">
        <f t="shared" si="42"/>
        <v>53350081.778273992</v>
      </c>
      <c r="W483" s="30">
        <f t="shared" si="43"/>
        <v>57016141.479493819</v>
      </c>
      <c r="X483" s="30"/>
      <c r="Y483">
        <f t="shared" si="44"/>
        <v>0</v>
      </c>
      <c r="Z483">
        <f t="shared" si="45"/>
        <v>1</v>
      </c>
      <c r="AA483">
        <f t="shared" si="46"/>
        <v>0</v>
      </c>
      <c r="AB483">
        <f t="shared" si="47"/>
        <v>1</v>
      </c>
    </row>
    <row r="484" spans="6:28" x14ac:dyDescent="0.3">
      <c r="F484" s="28"/>
      <c r="G484">
        <v>476</v>
      </c>
      <c r="H484" s="109">
        <v>1105.9366562942669</v>
      </c>
      <c r="I484" s="370">
        <v>1274533.3959247742</v>
      </c>
      <c r="J484">
        <v>0</v>
      </c>
      <c r="K484">
        <v>0</v>
      </c>
      <c r="L484">
        <v>0</v>
      </c>
      <c r="M484">
        <v>1</v>
      </c>
      <c r="N484" s="109">
        <v>1152.4470128293201</v>
      </c>
      <c r="O484" s="109">
        <v>-3936583.9563733926</v>
      </c>
      <c r="P484" s="365">
        <v>1</v>
      </c>
      <c r="Q484" s="365">
        <v>0</v>
      </c>
      <c r="R484" s="365">
        <v>0</v>
      </c>
      <c r="S484" s="365">
        <v>0</v>
      </c>
      <c r="T484" s="109">
        <v>-3559.5021956899031</v>
      </c>
      <c r="V484" s="368">
        <f t="shared" si="42"/>
        <v>54022299.418788567</v>
      </c>
      <c r="W484" s="30">
        <f t="shared" si="43"/>
        <v>59233416.771086738</v>
      </c>
      <c r="X484" s="30"/>
      <c r="Y484">
        <f t="shared" si="44"/>
        <v>0</v>
      </c>
      <c r="Z484">
        <f t="shared" si="45"/>
        <v>1</v>
      </c>
      <c r="AA484">
        <f t="shared" si="46"/>
        <v>0</v>
      </c>
      <c r="AB484">
        <f t="shared" si="47"/>
        <v>1</v>
      </c>
    </row>
    <row r="485" spans="6:28" x14ac:dyDescent="0.3">
      <c r="F485" s="28"/>
      <c r="G485">
        <v>477</v>
      </c>
      <c r="H485" s="109">
        <v>952.55581613518734</v>
      </c>
      <c r="I485" s="370">
        <v>427675.94913977588</v>
      </c>
      <c r="J485">
        <v>0</v>
      </c>
      <c r="K485">
        <v>0</v>
      </c>
      <c r="L485">
        <v>0</v>
      </c>
      <c r="M485">
        <v>1</v>
      </c>
      <c r="N485" s="109">
        <v>448.97731124564342</v>
      </c>
      <c r="O485" s="109">
        <v>-3328036.9651879556</v>
      </c>
      <c r="P485" s="365">
        <v>1</v>
      </c>
      <c r="Q485" s="365">
        <v>0</v>
      </c>
      <c r="R485" s="365">
        <v>0</v>
      </c>
      <c r="S485" s="365">
        <v>0</v>
      </c>
      <c r="T485" s="109">
        <v>-3493.797328004177</v>
      </c>
      <c r="V485" s="368">
        <f t="shared" si="42"/>
        <v>47200114.857619591</v>
      </c>
      <c r="W485" s="30">
        <f t="shared" si="43"/>
        <v>50955827.771947324</v>
      </c>
      <c r="X485" s="30"/>
      <c r="Y485">
        <f t="shared" si="44"/>
        <v>0</v>
      </c>
      <c r="Z485">
        <f t="shared" si="45"/>
        <v>1</v>
      </c>
      <c r="AA485">
        <f t="shared" si="46"/>
        <v>0</v>
      </c>
      <c r="AB485">
        <f t="shared" si="47"/>
        <v>1</v>
      </c>
    </row>
    <row r="486" spans="6:28" x14ac:dyDescent="0.3">
      <c r="F486" s="28"/>
      <c r="G486">
        <v>478</v>
      </c>
      <c r="H486" s="109">
        <v>1174.2317093184392</v>
      </c>
      <c r="I486" s="370">
        <v>1079678.9716056387</v>
      </c>
      <c r="J486">
        <v>0</v>
      </c>
      <c r="K486">
        <v>0</v>
      </c>
      <c r="L486">
        <v>0</v>
      </c>
      <c r="M486">
        <v>1</v>
      </c>
      <c r="N486" s="109">
        <v>919.47693375808944</v>
      </c>
      <c r="O486" s="109">
        <v>-3308416.2742622355</v>
      </c>
      <c r="P486" s="365">
        <v>1</v>
      </c>
      <c r="Q486" s="365">
        <v>0</v>
      </c>
      <c r="R486" s="365">
        <v>0</v>
      </c>
      <c r="S486" s="365">
        <v>0</v>
      </c>
      <c r="T486" s="109">
        <v>-2817.5156981432087</v>
      </c>
      <c r="V486" s="368">
        <f t="shared" si="42"/>
        <v>57631906.494316325</v>
      </c>
      <c r="W486" s="30">
        <f t="shared" si="43"/>
        <v>62020001.740184195</v>
      </c>
      <c r="X486" s="30"/>
      <c r="Y486">
        <f t="shared" si="44"/>
        <v>0</v>
      </c>
      <c r="Z486">
        <f t="shared" si="45"/>
        <v>1</v>
      </c>
      <c r="AA486">
        <f t="shared" si="46"/>
        <v>0</v>
      </c>
      <c r="AB486">
        <f t="shared" si="47"/>
        <v>1</v>
      </c>
    </row>
    <row r="487" spans="6:28" x14ac:dyDescent="0.3">
      <c r="F487" s="28"/>
      <c r="G487">
        <v>479</v>
      </c>
      <c r="H487" s="109">
        <v>1169.6008927733928</v>
      </c>
      <c r="I487" s="370">
        <v>1747942.4079981381</v>
      </c>
      <c r="J487">
        <v>0</v>
      </c>
      <c r="K487">
        <v>0</v>
      </c>
      <c r="L487">
        <v>0</v>
      </c>
      <c r="M487">
        <v>1</v>
      </c>
      <c r="N487" s="109">
        <v>1494.4776622505515</v>
      </c>
      <c r="O487" s="109">
        <v>-3880049.8453820879</v>
      </c>
      <c r="P487" s="365">
        <v>1</v>
      </c>
      <c r="Q487" s="365">
        <v>0</v>
      </c>
      <c r="R487" s="365">
        <v>0</v>
      </c>
      <c r="S487" s="365">
        <v>0</v>
      </c>
      <c r="T487" s="109">
        <v>-3317.4135462410572</v>
      </c>
      <c r="V487" s="368">
        <f t="shared" si="42"/>
        <v>56732102.230671503</v>
      </c>
      <c r="W487" s="30">
        <f t="shared" si="43"/>
        <v>62360094.484051727</v>
      </c>
      <c r="X487" s="30"/>
      <c r="Y487">
        <f t="shared" si="44"/>
        <v>0</v>
      </c>
      <c r="Z487">
        <f t="shared" si="45"/>
        <v>1</v>
      </c>
      <c r="AA487">
        <f t="shared" si="46"/>
        <v>0</v>
      </c>
      <c r="AB487">
        <f t="shared" si="47"/>
        <v>1</v>
      </c>
    </row>
    <row r="488" spans="6:28" x14ac:dyDescent="0.3">
      <c r="F488" s="28"/>
      <c r="G488">
        <v>480</v>
      </c>
      <c r="H488" s="109">
        <v>1336.3836426532944</v>
      </c>
      <c r="I488" s="370">
        <v>1816807.5059331795</v>
      </c>
      <c r="J488">
        <v>0</v>
      </c>
      <c r="K488">
        <v>0</v>
      </c>
      <c r="L488">
        <v>0</v>
      </c>
      <c r="M488">
        <v>1</v>
      </c>
      <c r="N488" s="109">
        <v>1359.4954681771155</v>
      </c>
      <c r="O488" s="109">
        <v>-3511110.5351881296</v>
      </c>
      <c r="P488" s="365">
        <v>1</v>
      </c>
      <c r="Q488" s="365">
        <v>0</v>
      </c>
      <c r="R488" s="365">
        <v>0</v>
      </c>
      <c r="S488" s="365">
        <v>0</v>
      </c>
      <c r="T488" s="109">
        <v>-2627.3222921354159</v>
      </c>
      <c r="V488" s="368">
        <f t="shared" si="42"/>
        <v>65002374.626731537</v>
      </c>
      <c r="W488" s="30">
        <f t="shared" si="43"/>
        <v>70330292.667852849</v>
      </c>
      <c r="X488" s="30"/>
      <c r="Y488">
        <f t="shared" si="44"/>
        <v>0</v>
      </c>
      <c r="Z488">
        <f t="shared" si="45"/>
        <v>1</v>
      </c>
      <c r="AA488">
        <f t="shared" si="46"/>
        <v>0</v>
      </c>
      <c r="AB488">
        <f t="shared" si="47"/>
        <v>1</v>
      </c>
    </row>
    <row r="489" spans="6:28" x14ac:dyDescent="0.3">
      <c r="F489" s="28"/>
      <c r="G489">
        <v>481</v>
      </c>
      <c r="H489" s="109">
        <v>1275.701600419372</v>
      </c>
      <c r="I489" s="370">
        <v>1203128.463105849</v>
      </c>
      <c r="J489">
        <v>0</v>
      </c>
      <c r="K489">
        <v>0</v>
      </c>
      <c r="L489">
        <v>0</v>
      </c>
      <c r="M489">
        <v>1</v>
      </c>
      <c r="N489" s="109">
        <v>943.1111967801362</v>
      </c>
      <c r="O489" s="109">
        <v>-3604605.396994147</v>
      </c>
      <c r="P489" s="365">
        <v>1</v>
      </c>
      <c r="Q489" s="365">
        <v>0</v>
      </c>
      <c r="R489" s="365">
        <v>0</v>
      </c>
      <c r="S489" s="365">
        <v>0</v>
      </c>
      <c r="T489" s="109">
        <v>-2825.5866386066891</v>
      </c>
      <c r="V489" s="368">
        <f t="shared" si="42"/>
        <v>62581951.557862751</v>
      </c>
      <c r="W489" s="30">
        <f t="shared" si="43"/>
        <v>67389685.417962745</v>
      </c>
      <c r="X489" s="30"/>
      <c r="Y489">
        <f t="shared" si="44"/>
        <v>0</v>
      </c>
      <c r="Z489">
        <f t="shared" si="45"/>
        <v>1</v>
      </c>
      <c r="AA489">
        <f t="shared" si="46"/>
        <v>0</v>
      </c>
      <c r="AB489">
        <f t="shared" si="47"/>
        <v>1</v>
      </c>
    </row>
    <row r="490" spans="6:28" x14ac:dyDescent="0.3">
      <c r="F490" s="28"/>
      <c r="G490">
        <v>482</v>
      </c>
      <c r="H490" s="109">
        <v>1334.2528920616096</v>
      </c>
      <c r="I490" s="370">
        <v>642894.34919332375</v>
      </c>
      <c r="J490">
        <v>0</v>
      </c>
      <c r="K490">
        <v>0</v>
      </c>
      <c r="L490">
        <v>0</v>
      </c>
      <c r="M490">
        <v>1</v>
      </c>
      <c r="N490" s="109">
        <v>481.83845282880441</v>
      </c>
      <c r="O490" s="109">
        <v>-5143609.8533506067</v>
      </c>
      <c r="P490" s="365">
        <v>1</v>
      </c>
      <c r="Q490" s="365">
        <v>0</v>
      </c>
      <c r="R490" s="365">
        <v>0</v>
      </c>
      <c r="S490" s="365">
        <v>0</v>
      </c>
      <c r="T490" s="109">
        <v>-3855.0486822651751</v>
      </c>
      <c r="V490" s="368">
        <f t="shared" si="42"/>
        <v>66069750.253887154</v>
      </c>
      <c r="W490" s="30">
        <f t="shared" si="43"/>
        <v>71856254.456431091</v>
      </c>
      <c r="X490" s="30"/>
      <c r="Y490">
        <f t="shared" si="44"/>
        <v>0</v>
      </c>
      <c r="Z490">
        <f t="shared" si="45"/>
        <v>1</v>
      </c>
      <c r="AA490">
        <f t="shared" si="46"/>
        <v>0</v>
      </c>
      <c r="AB490">
        <f t="shared" si="47"/>
        <v>1</v>
      </c>
    </row>
    <row r="491" spans="6:28" x14ac:dyDescent="0.3">
      <c r="F491" s="28"/>
      <c r="G491">
        <v>483</v>
      </c>
      <c r="H491" s="109">
        <v>1148.2337011291747</v>
      </c>
      <c r="I491" s="370">
        <v>2484057.5252553481</v>
      </c>
      <c r="J491">
        <v>0</v>
      </c>
      <c r="K491">
        <v>0</v>
      </c>
      <c r="L491">
        <v>0</v>
      </c>
      <c r="M491">
        <v>1</v>
      </c>
      <c r="N491" s="109">
        <v>2163.3727722958506</v>
      </c>
      <c r="O491" s="109">
        <v>-2154904.7987054335</v>
      </c>
      <c r="P491" s="365">
        <v>1</v>
      </c>
      <c r="Q491" s="365">
        <v>0</v>
      </c>
      <c r="R491" s="365">
        <v>0</v>
      </c>
      <c r="S491" s="365">
        <v>0</v>
      </c>
      <c r="T491" s="109">
        <v>-1876.7127254550157</v>
      </c>
      <c r="V491" s="368">
        <f t="shared" si="42"/>
        <v>54927627.531203389</v>
      </c>
      <c r="W491" s="30">
        <f t="shared" si="43"/>
        <v>59566589.85516417</v>
      </c>
      <c r="X491" s="30"/>
      <c r="Y491">
        <f t="shared" si="44"/>
        <v>0</v>
      </c>
      <c r="Z491">
        <f t="shared" si="45"/>
        <v>1</v>
      </c>
      <c r="AA491">
        <f t="shared" si="46"/>
        <v>0</v>
      </c>
      <c r="AB491">
        <f t="shared" si="47"/>
        <v>1</v>
      </c>
    </row>
    <row r="492" spans="6:28" x14ac:dyDescent="0.3">
      <c r="F492" s="28"/>
      <c r="G492">
        <v>484</v>
      </c>
      <c r="H492" s="109">
        <v>1107.5683019731223</v>
      </c>
      <c r="I492" s="370">
        <v>1003966.8026064015</v>
      </c>
      <c r="J492">
        <v>0</v>
      </c>
      <c r="K492">
        <v>0</v>
      </c>
      <c r="L492">
        <v>0</v>
      </c>
      <c r="M492">
        <v>1</v>
      </c>
      <c r="N492" s="109">
        <v>906.46039690540465</v>
      </c>
      <c r="O492" s="109">
        <v>-2687546.0271829576</v>
      </c>
      <c r="P492" s="365">
        <v>1</v>
      </c>
      <c r="Q492" s="365">
        <v>0</v>
      </c>
      <c r="R492" s="365">
        <v>0</v>
      </c>
      <c r="S492" s="365">
        <v>0</v>
      </c>
      <c r="T492" s="109">
        <v>-2426.5284790067758</v>
      </c>
      <c r="V492" s="368">
        <f t="shared" si="42"/>
        <v>54374448.296049714</v>
      </c>
      <c r="W492" s="30">
        <f t="shared" si="43"/>
        <v>58065961.125839077</v>
      </c>
      <c r="X492" s="30"/>
      <c r="Y492">
        <f t="shared" si="44"/>
        <v>0</v>
      </c>
      <c r="Z492">
        <f t="shared" si="45"/>
        <v>1</v>
      </c>
      <c r="AA492">
        <f t="shared" si="46"/>
        <v>0</v>
      </c>
      <c r="AB492">
        <f t="shared" si="47"/>
        <v>1</v>
      </c>
    </row>
    <row r="493" spans="6:28" x14ac:dyDescent="0.3">
      <c r="F493" s="28"/>
      <c r="G493">
        <v>485</v>
      </c>
      <c r="H493" s="109">
        <v>1135.2404026517615</v>
      </c>
      <c r="I493" s="370">
        <v>332179.02084124886</v>
      </c>
      <c r="J493">
        <v>0</v>
      </c>
      <c r="K493">
        <v>0</v>
      </c>
      <c r="L493">
        <v>0</v>
      </c>
      <c r="M493">
        <v>1</v>
      </c>
      <c r="N493" s="109">
        <v>292.60676422837446</v>
      </c>
      <c r="O493" s="109">
        <v>-4347448.3183390787</v>
      </c>
      <c r="P493" s="365">
        <v>1</v>
      </c>
      <c r="Q493" s="365">
        <v>0</v>
      </c>
      <c r="R493" s="365">
        <v>0</v>
      </c>
      <c r="S493" s="365">
        <v>0</v>
      </c>
      <c r="T493" s="109">
        <v>-3829.539812170226</v>
      </c>
      <c r="V493" s="368">
        <f t="shared" si="42"/>
        <v>56429841.111746825</v>
      </c>
      <c r="W493" s="30">
        <f t="shared" si="43"/>
        <v>61109468.450927153</v>
      </c>
      <c r="X493" s="30"/>
      <c r="Y493">
        <f t="shared" si="44"/>
        <v>0</v>
      </c>
      <c r="Z493">
        <f t="shared" si="45"/>
        <v>1</v>
      </c>
      <c r="AA493">
        <f t="shared" si="46"/>
        <v>0</v>
      </c>
      <c r="AB493">
        <f t="shared" si="47"/>
        <v>1</v>
      </c>
    </row>
    <row r="494" spans="6:28" x14ac:dyDescent="0.3">
      <c r="F494" s="28"/>
      <c r="G494">
        <v>486</v>
      </c>
      <c r="H494" s="109">
        <v>1309.7151621145094</v>
      </c>
      <c r="I494" s="370">
        <v>1100895.4498897118</v>
      </c>
      <c r="J494">
        <v>0</v>
      </c>
      <c r="K494">
        <v>0</v>
      </c>
      <c r="L494">
        <v>0</v>
      </c>
      <c r="M494">
        <v>1</v>
      </c>
      <c r="N494" s="109">
        <v>840.56097213713076</v>
      </c>
      <c r="O494" s="109">
        <v>-4944143.5875438396</v>
      </c>
      <c r="P494" s="365">
        <v>1</v>
      </c>
      <c r="Q494" s="365">
        <v>0</v>
      </c>
      <c r="R494" s="365">
        <v>0</v>
      </c>
      <c r="S494" s="365">
        <v>0</v>
      </c>
      <c r="T494" s="109">
        <v>-3774.9762166314213</v>
      </c>
      <c r="V494" s="368">
        <f t="shared" si="42"/>
        <v>64384862.655835763</v>
      </c>
      <c r="W494" s="30">
        <f t="shared" si="43"/>
        <v>70429901.693269312</v>
      </c>
      <c r="X494" s="30"/>
      <c r="Y494">
        <f t="shared" si="44"/>
        <v>0</v>
      </c>
      <c r="Z494">
        <f t="shared" si="45"/>
        <v>1</v>
      </c>
      <c r="AA494">
        <f t="shared" si="46"/>
        <v>0</v>
      </c>
      <c r="AB494">
        <f t="shared" si="47"/>
        <v>1</v>
      </c>
    </row>
    <row r="495" spans="6:28" x14ac:dyDescent="0.3">
      <c r="F495" s="28"/>
      <c r="G495">
        <v>487</v>
      </c>
      <c r="H495" s="109">
        <v>1210.3913808581201</v>
      </c>
      <c r="I495" s="370">
        <v>1054560.0782251656</v>
      </c>
      <c r="J495">
        <v>0</v>
      </c>
      <c r="K495">
        <v>0</v>
      </c>
      <c r="L495">
        <v>0</v>
      </c>
      <c r="M495">
        <v>1</v>
      </c>
      <c r="N495" s="109">
        <v>871.25544258050138</v>
      </c>
      <c r="O495" s="109">
        <v>-4010374.0966859004</v>
      </c>
      <c r="P495" s="365">
        <v>1</v>
      </c>
      <c r="Q495" s="365">
        <v>0</v>
      </c>
      <c r="R495" s="365">
        <v>0</v>
      </c>
      <c r="S495" s="365">
        <v>0</v>
      </c>
      <c r="T495" s="109">
        <v>-3313.2870574827639</v>
      </c>
      <c r="V495" s="368">
        <f t="shared" si="42"/>
        <v>59465008.964680843</v>
      </c>
      <c r="W495" s="30">
        <f t="shared" si="43"/>
        <v>64529943.13959191</v>
      </c>
      <c r="X495" s="30"/>
      <c r="Y495">
        <f t="shared" si="44"/>
        <v>0</v>
      </c>
      <c r="Z495">
        <f t="shared" si="45"/>
        <v>1</v>
      </c>
      <c r="AA495">
        <f t="shared" si="46"/>
        <v>0</v>
      </c>
      <c r="AB495">
        <f t="shared" si="47"/>
        <v>1</v>
      </c>
    </row>
    <row r="496" spans="6:28" x14ac:dyDescent="0.3">
      <c r="F496" s="28"/>
      <c r="G496">
        <v>488</v>
      </c>
      <c r="H496" s="109">
        <v>1231.0172374123795</v>
      </c>
      <c r="I496" s="370">
        <v>1365929.9551725578</v>
      </c>
      <c r="J496">
        <v>0</v>
      </c>
      <c r="K496">
        <v>0</v>
      </c>
      <c r="L496">
        <v>0</v>
      </c>
      <c r="M496">
        <v>1</v>
      </c>
      <c r="N496" s="109">
        <v>1109.5944992969939</v>
      </c>
      <c r="O496" s="109">
        <v>-3524030.1975889704</v>
      </c>
      <c r="P496" s="365">
        <v>1</v>
      </c>
      <c r="Q496" s="365">
        <v>0</v>
      </c>
      <c r="R496" s="365">
        <v>0</v>
      </c>
      <c r="S496" s="365">
        <v>0</v>
      </c>
      <c r="T496" s="109">
        <v>-2862.6976865056299</v>
      </c>
      <c r="V496" s="368">
        <f t="shared" si="42"/>
        <v>60184931.915446416</v>
      </c>
      <c r="W496" s="30">
        <f t="shared" si="43"/>
        <v>65074892.068207949</v>
      </c>
      <c r="X496" s="30"/>
      <c r="Y496">
        <f t="shared" si="44"/>
        <v>0</v>
      </c>
      <c r="Z496">
        <f t="shared" si="45"/>
        <v>1</v>
      </c>
      <c r="AA496">
        <f t="shared" si="46"/>
        <v>0</v>
      </c>
      <c r="AB496">
        <f t="shared" si="47"/>
        <v>1</v>
      </c>
    </row>
    <row r="497" spans="6:28" x14ac:dyDescent="0.3">
      <c r="F497" s="28"/>
      <c r="G497">
        <v>489</v>
      </c>
      <c r="H497" s="109">
        <v>1177.1451061649277</v>
      </c>
      <c r="I497" s="370">
        <v>1160743.2617299471</v>
      </c>
      <c r="J497">
        <v>0</v>
      </c>
      <c r="K497">
        <v>0</v>
      </c>
      <c r="L497">
        <v>0</v>
      </c>
      <c r="M497">
        <v>1</v>
      </c>
      <c r="N497" s="109">
        <v>986.06642091184756</v>
      </c>
      <c r="O497" s="109">
        <v>-2951874.0606447342</v>
      </c>
      <c r="P497" s="365">
        <v>1</v>
      </c>
      <c r="Q497" s="365">
        <v>0</v>
      </c>
      <c r="R497" s="365">
        <v>0</v>
      </c>
      <c r="S497" s="365">
        <v>0</v>
      </c>
      <c r="T497" s="109">
        <v>-2507.6552119065195</v>
      </c>
      <c r="V497" s="368">
        <f t="shared" si="42"/>
        <v>57696512.046516441</v>
      </c>
      <c r="W497" s="30">
        <f t="shared" si="43"/>
        <v>61809129.36889112</v>
      </c>
      <c r="X497" s="30"/>
      <c r="Y497">
        <f t="shared" si="44"/>
        <v>0</v>
      </c>
      <c r="Z497">
        <f t="shared" si="45"/>
        <v>1</v>
      </c>
      <c r="AA497">
        <f t="shared" si="46"/>
        <v>0</v>
      </c>
      <c r="AB497">
        <f t="shared" si="47"/>
        <v>1</v>
      </c>
    </row>
    <row r="498" spans="6:28" x14ac:dyDescent="0.3">
      <c r="F498" s="28"/>
      <c r="G498">
        <v>490</v>
      </c>
      <c r="H498" s="109">
        <v>961.54735534890642</v>
      </c>
      <c r="I498" s="370">
        <v>1279712.138708571</v>
      </c>
      <c r="J498">
        <v>0</v>
      </c>
      <c r="K498">
        <v>0</v>
      </c>
      <c r="L498">
        <v>0</v>
      </c>
      <c r="M498">
        <v>1</v>
      </c>
      <c r="N498" s="109">
        <v>1330.8883141217891</v>
      </c>
      <c r="O498" s="109">
        <v>-2542661.7509981459</v>
      </c>
      <c r="P498" s="365">
        <v>1</v>
      </c>
      <c r="Q498" s="365">
        <v>0</v>
      </c>
      <c r="R498" s="365">
        <v>0</v>
      </c>
      <c r="S498" s="365">
        <v>0</v>
      </c>
      <c r="T498" s="109">
        <v>-2644.3437620142145</v>
      </c>
      <c r="V498" s="368">
        <f t="shared" si="42"/>
        <v>46797655.628736749</v>
      </c>
      <c r="W498" s="30">
        <f t="shared" si="43"/>
        <v>50620029.518443465</v>
      </c>
      <c r="X498" s="30"/>
      <c r="Y498">
        <f t="shared" si="44"/>
        <v>0</v>
      </c>
      <c r="Z498">
        <f t="shared" si="45"/>
        <v>1</v>
      </c>
      <c r="AA498">
        <f t="shared" si="46"/>
        <v>0</v>
      </c>
      <c r="AB498">
        <f t="shared" si="47"/>
        <v>1</v>
      </c>
    </row>
    <row r="499" spans="6:28" x14ac:dyDescent="0.3">
      <c r="F499" s="28"/>
      <c r="G499">
        <v>491</v>
      </c>
      <c r="H499" s="109">
        <v>1333.5674063678016</v>
      </c>
      <c r="I499" s="370">
        <v>264244.46981186705</v>
      </c>
      <c r="J499">
        <v>0</v>
      </c>
      <c r="K499">
        <v>0</v>
      </c>
      <c r="L499">
        <v>0</v>
      </c>
      <c r="M499">
        <v>1</v>
      </c>
      <c r="N499" s="109">
        <v>198.14856643173513</v>
      </c>
      <c r="O499" s="109">
        <v>-5527215.9519846803</v>
      </c>
      <c r="P499" s="365">
        <v>1</v>
      </c>
      <c r="Q499" s="365">
        <v>0</v>
      </c>
      <c r="R499" s="365">
        <v>0</v>
      </c>
      <c r="S499" s="365">
        <v>0</v>
      </c>
      <c r="T499" s="109">
        <v>-4144.6843448573745</v>
      </c>
      <c r="V499" s="368">
        <f t="shared" si="42"/>
        <v>66414125.848578215</v>
      </c>
      <c r="W499" s="30">
        <f t="shared" si="43"/>
        <v>72205586.27037476</v>
      </c>
      <c r="X499" s="30"/>
      <c r="Y499">
        <f t="shared" si="44"/>
        <v>0</v>
      </c>
      <c r="Z499">
        <f t="shared" si="45"/>
        <v>1</v>
      </c>
      <c r="AA499">
        <f t="shared" si="46"/>
        <v>0</v>
      </c>
      <c r="AB499">
        <f t="shared" si="47"/>
        <v>1</v>
      </c>
    </row>
    <row r="500" spans="6:28" x14ac:dyDescent="0.3">
      <c r="F500" s="28"/>
      <c r="G500">
        <v>492</v>
      </c>
      <c r="H500" s="109">
        <v>1104.2686257357709</v>
      </c>
      <c r="I500" s="370">
        <v>1560254.9990117352</v>
      </c>
      <c r="J500">
        <v>0</v>
      </c>
      <c r="K500">
        <v>0</v>
      </c>
      <c r="L500">
        <v>0</v>
      </c>
      <c r="M500">
        <v>1</v>
      </c>
      <c r="N500" s="109">
        <v>1412.9306607548883</v>
      </c>
      <c r="O500" s="109">
        <v>-2207620.4640365229</v>
      </c>
      <c r="P500" s="365">
        <v>1</v>
      </c>
      <c r="Q500" s="365">
        <v>0</v>
      </c>
      <c r="R500" s="365">
        <v>0</v>
      </c>
      <c r="S500" s="365">
        <v>0</v>
      </c>
      <c r="T500" s="109">
        <v>-1999.1697786085265</v>
      </c>
      <c r="V500" s="368">
        <f t="shared" si="42"/>
        <v>53653176.287776813</v>
      </c>
      <c r="W500" s="30">
        <f t="shared" si="43"/>
        <v>57421051.75082507</v>
      </c>
      <c r="X500" s="30"/>
      <c r="Y500">
        <f t="shared" si="44"/>
        <v>0</v>
      </c>
      <c r="Z500">
        <f t="shared" si="45"/>
        <v>1</v>
      </c>
      <c r="AA500">
        <f t="shared" si="46"/>
        <v>0</v>
      </c>
      <c r="AB500">
        <f t="shared" si="47"/>
        <v>1</v>
      </c>
    </row>
    <row r="501" spans="6:28" x14ac:dyDescent="0.3">
      <c r="F501" s="28"/>
      <c r="G501">
        <v>493</v>
      </c>
      <c r="H501" s="109">
        <v>1208.0394327811155</v>
      </c>
      <c r="I501" s="370">
        <v>1247942.8153981795</v>
      </c>
      <c r="J501">
        <v>0</v>
      </c>
      <c r="K501">
        <v>0</v>
      </c>
      <c r="L501">
        <v>0</v>
      </c>
      <c r="M501">
        <v>1</v>
      </c>
      <c r="N501" s="109">
        <v>1033.0315232551636</v>
      </c>
      <c r="O501" s="109">
        <v>-2939929.2827249751</v>
      </c>
      <c r="P501" s="365">
        <v>1</v>
      </c>
      <c r="Q501" s="365">
        <v>0</v>
      </c>
      <c r="R501" s="365">
        <v>0</v>
      </c>
      <c r="S501" s="365">
        <v>0</v>
      </c>
      <c r="T501" s="109">
        <v>-2433.636852363958</v>
      </c>
      <c r="V501" s="368">
        <f t="shared" si="42"/>
        <v>59154028.823657595</v>
      </c>
      <c r="W501" s="30">
        <f t="shared" si="43"/>
        <v>63341900.92178075</v>
      </c>
      <c r="X501" s="30"/>
      <c r="Y501">
        <f t="shared" si="44"/>
        <v>0</v>
      </c>
      <c r="Z501">
        <f t="shared" si="45"/>
        <v>1</v>
      </c>
      <c r="AA501">
        <f t="shared" si="46"/>
        <v>0</v>
      </c>
      <c r="AB501">
        <f t="shared" si="47"/>
        <v>1</v>
      </c>
    </row>
    <row r="502" spans="6:28" x14ac:dyDescent="0.3">
      <c r="F502" s="28"/>
      <c r="G502">
        <v>494</v>
      </c>
      <c r="H502" s="109">
        <v>1081.4672883223539</v>
      </c>
      <c r="I502" s="370">
        <v>1274844.1094561554</v>
      </c>
      <c r="J502">
        <v>0</v>
      </c>
      <c r="K502">
        <v>0</v>
      </c>
      <c r="L502">
        <v>0</v>
      </c>
      <c r="M502">
        <v>1</v>
      </c>
      <c r="N502" s="109">
        <v>1178.8096812745773</v>
      </c>
      <c r="O502" s="109">
        <v>-2782804.1215759902</v>
      </c>
      <c r="P502" s="365">
        <v>1</v>
      </c>
      <c r="Q502" s="365">
        <v>0</v>
      </c>
      <c r="R502" s="365">
        <v>0</v>
      </c>
      <c r="S502" s="365">
        <v>0</v>
      </c>
      <c r="T502" s="109">
        <v>-2573.1745672056959</v>
      </c>
      <c r="V502" s="368">
        <f t="shared" si="42"/>
        <v>52798520.306661531</v>
      </c>
      <c r="W502" s="30">
        <f t="shared" si="43"/>
        <v>56856168.537693679</v>
      </c>
      <c r="X502" s="30"/>
      <c r="Y502">
        <f t="shared" si="44"/>
        <v>0</v>
      </c>
      <c r="Z502">
        <f t="shared" si="45"/>
        <v>1</v>
      </c>
      <c r="AA502">
        <f t="shared" si="46"/>
        <v>0</v>
      </c>
      <c r="AB502">
        <f t="shared" si="47"/>
        <v>1</v>
      </c>
    </row>
    <row r="503" spans="6:28" x14ac:dyDescent="0.3">
      <c r="F503" s="28"/>
      <c r="G503">
        <v>495</v>
      </c>
      <c r="H503" s="109">
        <v>1282.0658877248206</v>
      </c>
      <c r="I503" s="370">
        <v>1446269.5589649542</v>
      </c>
      <c r="J503">
        <v>0</v>
      </c>
      <c r="K503">
        <v>0</v>
      </c>
      <c r="L503">
        <v>0</v>
      </c>
      <c r="M503">
        <v>1</v>
      </c>
      <c r="N503" s="109">
        <v>1128.0774044550337</v>
      </c>
      <c r="O503" s="109">
        <v>-4172580.1894489466</v>
      </c>
      <c r="P503" s="365">
        <v>1</v>
      </c>
      <c r="Q503" s="365">
        <v>0</v>
      </c>
      <c r="R503" s="365">
        <v>0</v>
      </c>
      <c r="S503" s="365">
        <v>0</v>
      </c>
      <c r="T503" s="109">
        <v>-3254.5754702620548</v>
      </c>
      <c r="V503" s="368">
        <f t="shared" si="42"/>
        <v>62657024.827276081</v>
      </c>
      <c r="W503" s="30">
        <f t="shared" si="43"/>
        <v>68275874.575689986</v>
      </c>
      <c r="X503" s="30"/>
      <c r="Y503">
        <f t="shared" si="44"/>
        <v>0</v>
      </c>
      <c r="Z503">
        <f t="shared" si="45"/>
        <v>1</v>
      </c>
      <c r="AA503">
        <f t="shared" si="46"/>
        <v>0</v>
      </c>
      <c r="AB503">
        <f t="shared" si="47"/>
        <v>1</v>
      </c>
    </row>
    <row r="504" spans="6:28" x14ac:dyDescent="0.3">
      <c r="F504" s="28"/>
      <c r="G504">
        <v>496</v>
      </c>
      <c r="H504" s="109">
        <v>1098.601163610896</v>
      </c>
      <c r="I504" s="370">
        <v>1337508.3300195022</v>
      </c>
      <c r="J504">
        <v>0</v>
      </c>
      <c r="K504">
        <v>0</v>
      </c>
      <c r="L504">
        <v>0</v>
      </c>
      <c r="M504">
        <v>1</v>
      </c>
      <c r="N504" s="109">
        <v>1217.464876537508</v>
      </c>
      <c r="O504" s="109">
        <v>-3074635.4656960038</v>
      </c>
      <c r="P504" s="365">
        <v>1</v>
      </c>
      <c r="Q504" s="365">
        <v>0</v>
      </c>
      <c r="R504" s="365">
        <v>0</v>
      </c>
      <c r="S504" s="365">
        <v>0</v>
      </c>
      <c r="T504" s="109">
        <v>-2798.6821492071367</v>
      </c>
      <c r="V504" s="368">
        <f t="shared" si="42"/>
        <v>53592549.850525297</v>
      </c>
      <c r="W504" s="30">
        <f t="shared" si="43"/>
        <v>58004693.646240808</v>
      </c>
      <c r="X504" s="30"/>
      <c r="Y504">
        <f t="shared" si="44"/>
        <v>0</v>
      </c>
      <c r="Z504">
        <f t="shared" si="45"/>
        <v>1</v>
      </c>
      <c r="AA504">
        <f t="shared" si="46"/>
        <v>0</v>
      </c>
      <c r="AB504">
        <f t="shared" si="47"/>
        <v>1</v>
      </c>
    </row>
    <row r="505" spans="6:28" x14ac:dyDescent="0.3">
      <c r="F505" s="28"/>
      <c r="G505">
        <v>497</v>
      </c>
      <c r="H505" s="109">
        <v>1229.9114173621492</v>
      </c>
      <c r="I505" s="370">
        <v>1046966.3191073118</v>
      </c>
      <c r="J505">
        <v>0</v>
      </c>
      <c r="K505">
        <v>0</v>
      </c>
      <c r="L505">
        <v>0</v>
      </c>
      <c r="M505">
        <v>1</v>
      </c>
      <c r="N505" s="109">
        <v>851.25343526998984</v>
      </c>
      <c r="O505" s="109">
        <v>-3627947.2826142432</v>
      </c>
      <c r="P505" s="365">
        <v>1</v>
      </c>
      <c r="Q505" s="365">
        <v>0</v>
      </c>
      <c r="R505" s="365">
        <v>0</v>
      </c>
      <c r="S505" s="365">
        <v>0</v>
      </c>
      <c r="T505" s="109">
        <v>-2949.7630735027064</v>
      </c>
      <c r="V505" s="368">
        <f t="shared" si="42"/>
        <v>60448604.549000151</v>
      </c>
      <c r="W505" s="30">
        <f t="shared" si="43"/>
        <v>65123518.150721706</v>
      </c>
      <c r="X505" s="30"/>
      <c r="Y505">
        <f t="shared" si="44"/>
        <v>0</v>
      </c>
      <c r="Z505">
        <f t="shared" si="45"/>
        <v>1</v>
      </c>
      <c r="AA505">
        <f t="shared" si="46"/>
        <v>0</v>
      </c>
      <c r="AB505">
        <f t="shared" si="47"/>
        <v>1</v>
      </c>
    </row>
    <row r="506" spans="6:28" x14ac:dyDescent="0.3">
      <c r="F506" s="28"/>
      <c r="G506">
        <v>498</v>
      </c>
      <c r="H506" s="109">
        <v>1274.6502444224825</v>
      </c>
      <c r="I506" s="370">
        <v>1319031.2551875107</v>
      </c>
      <c r="J506">
        <v>0</v>
      </c>
      <c r="K506">
        <v>0</v>
      </c>
      <c r="L506">
        <v>0</v>
      </c>
      <c r="M506">
        <v>1</v>
      </c>
      <c r="N506" s="109">
        <v>1034.8181871530855</v>
      </c>
      <c r="O506" s="109">
        <v>-3672101.4329469143</v>
      </c>
      <c r="P506" s="365">
        <v>1</v>
      </c>
      <c r="Q506" s="365">
        <v>0</v>
      </c>
      <c r="R506" s="365">
        <v>0</v>
      </c>
      <c r="S506" s="365">
        <v>0</v>
      </c>
      <c r="T506" s="109">
        <v>-2880.8698299906318</v>
      </c>
      <c r="V506" s="368">
        <f t="shared" si="42"/>
        <v>62413480.965936616</v>
      </c>
      <c r="W506" s="30">
        <f t="shared" si="43"/>
        <v>67404613.654071048</v>
      </c>
      <c r="X506" s="30"/>
      <c r="Y506">
        <f t="shared" si="44"/>
        <v>0</v>
      </c>
      <c r="Z506">
        <f t="shared" si="45"/>
        <v>1</v>
      </c>
      <c r="AA506">
        <f t="shared" si="46"/>
        <v>0</v>
      </c>
      <c r="AB506">
        <f t="shared" si="47"/>
        <v>1</v>
      </c>
    </row>
    <row r="507" spans="6:28" x14ac:dyDescent="0.3">
      <c r="F507" s="28"/>
      <c r="G507">
        <v>499</v>
      </c>
      <c r="H507" s="109">
        <v>1296.8087742112475</v>
      </c>
      <c r="I507" s="370">
        <v>1258886.4351027007</v>
      </c>
      <c r="J507">
        <v>0</v>
      </c>
      <c r="K507">
        <v>0</v>
      </c>
      <c r="L507">
        <v>0</v>
      </c>
      <c r="M507">
        <v>1</v>
      </c>
      <c r="N507" s="109">
        <v>970.75718497385083</v>
      </c>
      <c r="O507" s="109">
        <v>-3767456.3293482196</v>
      </c>
      <c r="P507" s="365">
        <v>1</v>
      </c>
      <c r="Q507" s="365">
        <v>0</v>
      </c>
      <c r="R507" s="365">
        <v>0</v>
      </c>
      <c r="S507" s="365">
        <v>0</v>
      </c>
      <c r="T507" s="109">
        <v>-2905.1749219075755</v>
      </c>
      <c r="V507" s="368">
        <f t="shared" si="42"/>
        <v>63581552.275459677</v>
      </c>
      <c r="W507" s="30">
        <f t="shared" si="43"/>
        <v>68607895.0399106</v>
      </c>
      <c r="X507" s="30"/>
      <c r="Y507">
        <f t="shared" si="44"/>
        <v>0</v>
      </c>
      <c r="Z507">
        <f t="shared" si="45"/>
        <v>1</v>
      </c>
      <c r="AA507">
        <f t="shared" si="46"/>
        <v>0</v>
      </c>
      <c r="AB507">
        <f t="shared" si="47"/>
        <v>1</v>
      </c>
    </row>
    <row r="508" spans="6:28" x14ac:dyDescent="0.3">
      <c r="F508" s="28"/>
      <c r="G508">
        <v>500</v>
      </c>
      <c r="H508" s="109">
        <v>1247.2457770704277</v>
      </c>
      <c r="I508" s="370">
        <v>1548386.8108722721</v>
      </c>
      <c r="J508">
        <v>0</v>
      </c>
      <c r="K508">
        <v>0</v>
      </c>
      <c r="L508">
        <v>0</v>
      </c>
      <c r="M508">
        <v>1</v>
      </c>
      <c r="N508" s="109">
        <v>1241.4448213319868</v>
      </c>
      <c r="O508" s="109">
        <v>-3561672.8538681683</v>
      </c>
      <c r="P508" s="365">
        <v>1</v>
      </c>
      <c r="Q508" s="365">
        <v>0</v>
      </c>
      <c r="R508" s="365">
        <v>0</v>
      </c>
      <c r="S508" s="365">
        <v>0</v>
      </c>
      <c r="T508" s="109">
        <v>-2855.6303170927094</v>
      </c>
      <c r="V508" s="368">
        <f t="shared" si="42"/>
        <v>60813902.042649113</v>
      </c>
      <c r="W508" s="30">
        <f t="shared" si="43"/>
        <v>65923961.707389556</v>
      </c>
      <c r="X508" s="30"/>
      <c r="Y508">
        <f t="shared" si="44"/>
        <v>0</v>
      </c>
      <c r="Z508">
        <f t="shared" si="45"/>
        <v>1</v>
      </c>
      <c r="AA508">
        <f t="shared" si="46"/>
        <v>0</v>
      </c>
      <c r="AB508">
        <f t="shared" si="47"/>
        <v>1</v>
      </c>
    </row>
    <row r="509" spans="6:28" x14ac:dyDescent="0.3">
      <c r="F509" s="28"/>
      <c r="G509">
        <v>501</v>
      </c>
      <c r="H509" s="109">
        <v>1079.4073777877129</v>
      </c>
      <c r="I509" s="370">
        <v>720670.49594396213</v>
      </c>
      <c r="J509">
        <v>0</v>
      </c>
      <c r="K509">
        <v>0</v>
      </c>
      <c r="L509">
        <v>0</v>
      </c>
      <c r="M509">
        <v>1</v>
      </c>
      <c r="N509" s="109">
        <v>667.653854118548</v>
      </c>
      <c r="O509" s="109">
        <v>-3511938.8612345485</v>
      </c>
      <c r="P509" s="365">
        <v>1</v>
      </c>
      <c r="Q509" s="365">
        <v>0</v>
      </c>
      <c r="R509" s="365">
        <v>0</v>
      </c>
      <c r="S509" s="365">
        <v>0</v>
      </c>
      <c r="T509" s="109">
        <v>-3253.5805605038599</v>
      </c>
      <c r="V509" s="368">
        <f t="shared" si="42"/>
        <v>53249698.393441685</v>
      </c>
      <c r="W509" s="30">
        <f t="shared" si="43"/>
        <v>57482307.750620194</v>
      </c>
      <c r="X509" s="30"/>
      <c r="Y509">
        <f t="shared" si="44"/>
        <v>0</v>
      </c>
      <c r="Z509">
        <f t="shared" si="45"/>
        <v>1</v>
      </c>
      <c r="AA509">
        <f t="shared" si="46"/>
        <v>0</v>
      </c>
      <c r="AB509">
        <f t="shared" si="47"/>
        <v>1</v>
      </c>
    </row>
    <row r="510" spans="6:28" x14ac:dyDescent="0.3">
      <c r="F510" s="28"/>
      <c r="G510">
        <v>502</v>
      </c>
      <c r="H510" s="109">
        <v>1258.924306916706</v>
      </c>
      <c r="I510" s="370">
        <v>1464857.9276528896</v>
      </c>
      <c r="J510">
        <v>0</v>
      </c>
      <c r="K510">
        <v>0</v>
      </c>
      <c r="L510">
        <v>0</v>
      </c>
      <c r="M510">
        <v>1</v>
      </c>
      <c r="N510" s="109">
        <v>1163.5790329924964</v>
      </c>
      <c r="O510" s="109">
        <v>-4322822.6503174212</v>
      </c>
      <c r="P510" s="365">
        <v>1</v>
      </c>
      <c r="Q510" s="365">
        <v>0</v>
      </c>
      <c r="R510" s="365">
        <v>0</v>
      </c>
      <c r="S510" s="365">
        <v>0</v>
      </c>
      <c r="T510" s="109">
        <v>-3433.7430984271491</v>
      </c>
      <c r="V510" s="368">
        <f t="shared" si="42"/>
        <v>61481357.41818241</v>
      </c>
      <c r="W510" s="30">
        <f t="shared" si="43"/>
        <v>67269037.996152714</v>
      </c>
      <c r="X510" s="30"/>
      <c r="Y510">
        <f t="shared" si="44"/>
        <v>0</v>
      </c>
      <c r="Z510">
        <f t="shared" si="45"/>
        <v>1</v>
      </c>
      <c r="AA510">
        <f t="shared" si="46"/>
        <v>0</v>
      </c>
      <c r="AB510">
        <f t="shared" si="47"/>
        <v>1</v>
      </c>
    </row>
    <row r="511" spans="6:28" x14ac:dyDescent="0.3">
      <c r="F511" s="28"/>
      <c r="G511">
        <v>503</v>
      </c>
      <c r="H511" s="109">
        <v>1181.7040739245131</v>
      </c>
      <c r="I511" s="370">
        <v>1094200.3931353192</v>
      </c>
      <c r="J511">
        <v>0</v>
      </c>
      <c r="K511">
        <v>0</v>
      </c>
      <c r="L511">
        <v>0</v>
      </c>
      <c r="M511">
        <v>1</v>
      </c>
      <c r="N511" s="109">
        <v>925.95127433335438</v>
      </c>
      <c r="O511" s="109">
        <v>-3687917.9126864756</v>
      </c>
      <c r="P511" s="365">
        <v>1</v>
      </c>
      <c r="Q511" s="365">
        <v>0</v>
      </c>
      <c r="R511" s="365">
        <v>0</v>
      </c>
      <c r="S511" s="365">
        <v>0</v>
      </c>
      <c r="T511" s="109">
        <v>-3120.8472527632657</v>
      </c>
      <c r="V511" s="368">
        <f t="shared" si="42"/>
        <v>57991003.303090334</v>
      </c>
      <c r="W511" s="30">
        <f t="shared" si="43"/>
        <v>62773121.608912125</v>
      </c>
      <c r="X511" s="30"/>
      <c r="Y511">
        <f t="shared" si="44"/>
        <v>0</v>
      </c>
      <c r="Z511">
        <f t="shared" si="45"/>
        <v>1</v>
      </c>
      <c r="AA511">
        <f t="shared" si="46"/>
        <v>0</v>
      </c>
      <c r="AB511">
        <f t="shared" si="47"/>
        <v>1</v>
      </c>
    </row>
    <row r="512" spans="6:28" x14ac:dyDescent="0.3">
      <c r="F512" s="28"/>
      <c r="G512">
        <v>504</v>
      </c>
      <c r="H512" s="109">
        <v>1334.4881801404408</v>
      </c>
      <c r="I512" s="370">
        <v>1582862.8011860007</v>
      </c>
      <c r="J512">
        <v>0</v>
      </c>
      <c r="K512">
        <v>0</v>
      </c>
      <c r="L512">
        <v>0</v>
      </c>
      <c r="M512">
        <v>1</v>
      </c>
      <c r="N512" s="109">
        <v>1186.1197609254366</v>
      </c>
      <c r="O512" s="109">
        <v>-4134952.6292675044</v>
      </c>
      <c r="P512" s="365">
        <v>1</v>
      </c>
      <c r="Q512" s="365">
        <v>0</v>
      </c>
      <c r="R512" s="365">
        <v>0</v>
      </c>
      <c r="S512" s="365">
        <v>0</v>
      </c>
      <c r="T512" s="109">
        <v>-3098.5307257141417</v>
      </c>
      <c r="V512" s="368">
        <f t="shared" si="42"/>
        <v>65141546.205836035</v>
      </c>
      <c r="W512" s="30">
        <f t="shared" si="43"/>
        <v>70859361.636289537</v>
      </c>
      <c r="X512" s="30"/>
      <c r="Y512">
        <f t="shared" si="44"/>
        <v>0</v>
      </c>
      <c r="Z512">
        <f t="shared" si="45"/>
        <v>1</v>
      </c>
      <c r="AA512">
        <f t="shared" si="46"/>
        <v>0</v>
      </c>
      <c r="AB512">
        <f t="shared" si="47"/>
        <v>1</v>
      </c>
    </row>
    <row r="513" spans="6:28" x14ac:dyDescent="0.3">
      <c r="F513" s="28"/>
      <c r="G513">
        <v>505</v>
      </c>
      <c r="H513" s="109">
        <v>1165.3646962061903</v>
      </c>
      <c r="I513" s="370">
        <v>1246950.8626467127</v>
      </c>
      <c r="J513">
        <v>0</v>
      </c>
      <c r="K513">
        <v>0</v>
      </c>
      <c r="L513">
        <v>0</v>
      </c>
      <c r="M513">
        <v>1</v>
      </c>
      <c r="N513" s="109">
        <v>1070.0091282206538</v>
      </c>
      <c r="O513" s="109">
        <v>-3647889.8432136443</v>
      </c>
      <c r="P513" s="365">
        <v>1</v>
      </c>
      <c r="Q513" s="365">
        <v>0</v>
      </c>
      <c r="R513" s="365">
        <v>0</v>
      </c>
      <c r="S513" s="365">
        <v>0</v>
      </c>
      <c r="T513" s="109">
        <v>-3130.2560092040198</v>
      </c>
      <c r="V513" s="368">
        <f t="shared" si="42"/>
        <v>57021283.947662801</v>
      </c>
      <c r="W513" s="30">
        <f t="shared" si="43"/>
        <v>61916124.653523162</v>
      </c>
      <c r="X513" s="30"/>
      <c r="Y513">
        <f t="shared" si="44"/>
        <v>0</v>
      </c>
      <c r="Z513">
        <f t="shared" si="45"/>
        <v>1</v>
      </c>
      <c r="AA513">
        <f t="shared" si="46"/>
        <v>0</v>
      </c>
      <c r="AB513">
        <f t="shared" si="47"/>
        <v>1</v>
      </c>
    </row>
    <row r="514" spans="6:28" x14ac:dyDescent="0.3">
      <c r="F514" s="28"/>
      <c r="G514">
        <v>506</v>
      </c>
      <c r="H514" s="109">
        <v>1194.7284370341949</v>
      </c>
      <c r="I514" s="370">
        <v>1702598.8406039362</v>
      </c>
      <c r="J514">
        <v>0</v>
      </c>
      <c r="K514">
        <v>0</v>
      </c>
      <c r="L514">
        <v>0</v>
      </c>
      <c r="M514">
        <v>1</v>
      </c>
      <c r="N514" s="109">
        <v>1425.0927556646125</v>
      </c>
      <c r="O514" s="109">
        <v>-2795812.3095334359</v>
      </c>
      <c r="P514" s="365">
        <v>1</v>
      </c>
      <c r="Q514" s="365">
        <v>0</v>
      </c>
      <c r="R514" s="365">
        <v>0</v>
      </c>
      <c r="S514" s="365">
        <v>0</v>
      </c>
      <c r="T514" s="109">
        <v>-2340.1236823941235</v>
      </c>
      <c r="V514" s="368">
        <f t="shared" si="42"/>
        <v>58033823.011105813</v>
      </c>
      <c r="W514" s="30">
        <f t="shared" si="43"/>
        <v>62532234.161243185</v>
      </c>
      <c r="X514" s="30"/>
      <c r="Y514">
        <f t="shared" si="44"/>
        <v>0</v>
      </c>
      <c r="Z514">
        <f t="shared" si="45"/>
        <v>1</v>
      </c>
      <c r="AA514">
        <f t="shared" si="46"/>
        <v>0</v>
      </c>
      <c r="AB514">
        <f t="shared" si="47"/>
        <v>1</v>
      </c>
    </row>
    <row r="515" spans="6:28" x14ac:dyDescent="0.3">
      <c r="F515" s="28"/>
      <c r="G515">
        <v>507</v>
      </c>
      <c r="H515" s="109">
        <v>988.19349600598071</v>
      </c>
      <c r="I515" s="370">
        <v>262385.71859606606</v>
      </c>
      <c r="J515">
        <v>0</v>
      </c>
      <c r="K515">
        <v>0</v>
      </c>
      <c r="L515">
        <v>0</v>
      </c>
      <c r="M515">
        <v>1</v>
      </c>
      <c r="N515" s="109">
        <v>265.5205884845027</v>
      </c>
      <c r="O515" s="109">
        <v>-3938275.2072039056</v>
      </c>
      <c r="P515" s="365">
        <v>1</v>
      </c>
      <c r="Q515" s="365">
        <v>0</v>
      </c>
      <c r="R515" s="365">
        <v>0</v>
      </c>
      <c r="S515" s="365">
        <v>0</v>
      </c>
      <c r="T515" s="109">
        <v>-3985.3279981313199</v>
      </c>
      <c r="V515" s="368">
        <f t="shared" si="42"/>
        <v>49147289.08170297</v>
      </c>
      <c r="W515" s="30">
        <f t="shared" si="43"/>
        <v>53347950.007502936</v>
      </c>
      <c r="X515" s="30"/>
      <c r="Y515">
        <f t="shared" si="44"/>
        <v>0</v>
      </c>
      <c r="Z515">
        <f t="shared" si="45"/>
        <v>1</v>
      </c>
      <c r="AA515">
        <f t="shared" si="46"/>
        <v>0</v>
      </c>
      <c r="AB515">
        <f t="shared" si="47"/>
        <v>1</v>
      </c>
    </row>
    <row r="516" spans="6:28" x14ac:dyDescent="0.3">
      <c r="F516" s="28"/>
      <c r="G516">
        <v>508</v>
      </c>
      <c r="H516" s="109">
        <v>1134.0833507625211</v>
      </c>
      <c r="I516" s="370">
        <v>779752.29155817768</v>
      </c>
      <c r="J516">
        <v>0</v>
      </c>
      <c r="K516">
        <v>0</v>
      </c>
      <c r="L516">
        <v>0</v>
      </c>
      <c r="M516">
        <v>1</v>
      </c>
      <c r="N516" s="109">
        <v>687.56171319673933</v>
      </c>
      <c r="O516" s="109">
        <v>-3541761.7655834132</v>
      </c>
      <c r="P516" s="365">
        <v>1</v>
      </c>
      <c r="Q516" s="365">
        <v>0</v>
      </c>
      <c r="R516" s="365">
        <v>0</v>
      </c>
      <c r="S516" s="365">
        <v>0</v>
      </c>
      <c r="T516" s="109">
        <v>-3123.0171602484479</v>
      </c>
      <c r="V516" s="368">
        <f t="shared" si="42"/>
        <v>55924415.246567883</v>
      </c>
      <c r="W516" s="30">
        <f t="shared" si="43"/>
        <v>60245929.30370947</v>
      </c>
      <c r="X516" s="30"/>
      <c r="Y516">
        <f t="shared" si="44"/>
        <v>0</v>
      </c>
      <c r="Z516">
        <f t="shared" si="45"/>
        <v>1</v>
      </c>
      <c r="AA516">
        <f t="shared" si="46"/>
        <v>0</v>
      </c>
      <c r="AB516">
        <f t="shared" si="47"/>
        <v>1</v>
      </c>
    </row>
    <row r="517" spans="6:28" x14ac:dyDescent="0.3">
      <c r="F517" s="28"/>
      <c r="G517">
        <v>509</v>
      </c>
      <c r="H517" s="109">
        <v>1384.4506010984915</v>
      </c>
      <c r="I517" s="370">
        <v>997702.10904289165</v>
      </c>
      <c r="J517">
        <v>0</v>
      </c>
      <c r="K517">
        <v>0</v>
      </c>
      <c r="L517">
        <v>0</v>
      </c>
      <c r="M517">
        <v>1</v>
      </c>
      <c r="N517" s="109">
        <v>720.6483989036991</v>
      </c>
      <c r="O517" s="109">
        <v>-4350360.5834557954</v>
      </c>
      <c r="P517" s="365">
        <v>1</v>
      </c>
      <c r="Q517" s="365">
        <v>0</v>
      </c>
      <c r="R517" s="365">
        <v>0</v>
      </c>
      <c r="S517" s="365">
        <v>0</v>
      </c>
      <c r="T517" s="109">
        <v>-3142.3010542983652</v>
      </c>
      <c r="V517" s="368">
        <f t="shared" si="42"/>
        <v>68224827.94588168</v>
      </c>
      <c r="W517" s="30">
        <f t="shared" si="43"/>
        <v>73572890.638380378</v>
      </c>
      <c r="X517" s="30"/>
      <c r="Y517">
        <f t="shared" si="44"/>
        <v>0</v>
      </c>
      <c r="Z517">
        <f t="shared" si="45"/>
        <v>1</v>
      </c>
      <c r="AA517">
        <f t="shared" si="46"/>
        <v>0</v>
      </c>
      <c r="AB517">
        <f t="shared" si="47"/>
        <v>1</v>
      </c>
    </row>
    <row r="518" spans="6:28" x14ac:dyDescent="0.3">
      <c r="F518" s="28"/>
      <c r="G518">
        <v>510</v>
      </c>
      <c r="H518" s="109">
        <v>1096.9782879191334</v>
      </c>
      <c r="I518" s="370">
        <v>1443807.2174524392</v>
      </c>
      <c r="J518">
        <v>0</v>
      </c>
      <c r="K518">
        <v>0</v>
      </c>
      <c r="L518">
        <v>0</v>
      </c>
      <c r="M518">
        <v>1</v>
      </c>
      <c r="N518" s="109">
        <v>1316.1675425602164</v>
      </c>
      <c r="O518" s="109">
        <v>-2390369.6309124236</v>
      </c>
      <c r="P518" s="365">
        <v>1</v>
      </c>
      <c r="Q518" s="365">
        <v>0</v>
      </c>
      <c r="R518" s="365">
        <v>0</v>
      </c>
      <c r="S518" s="365">
        <v>0</v>
      </c>
      <c r="T518" s="109">
        <v>-2179.0491728389029</v>
      </c>
      <c r="V518" s="368">
        <f t="shared" si="42"/>
        <v>53405107.178504236</v>
      </c>
      <c r="W518" s="30">
        <f t="shared" si="43"/>
        <v>57239284.026869096</v>
      </c>
      <c r="X518" s="30"/>
      <c r="Y518">
        <f t="shared" si="44"/>
        <v>0</v>
      </c>
      <c r="Z518">
        <f t="shared" si="45"/>
        <v>1</v>
      </c>
      <c r="AA518">
        <f t="shared" si="46"/>
        <v>0</v>
      </c>
      <c r="AB518">
        <f t="shared" si="47"/>
        <v>1</v>
      </c>
    </row>
    <row r="519" spans="6:28" x14ac:dyDescent="0.3">
      <c r="F519" s="28"/>
      <c r="G519">
        <v>511</v>
      </c>
      <c r="H519" s="109">
        <v>1141.0153204548042</v>
      </c>
      <c r="I519" s="370">
        <v>873401.20088742126</v>
      </c>
      <c r="J519">
        <v>0</v>
      </c>
      <c r="K519">
        <v>0</v>
      </c>
      <c r="L519">
        <v>0</v>
      </c>
      <c r="M519">
        <v>1</v>
      </c>
      <c r="N519" s="109">
        <v>765.45966143494638</v>
      </c>
      <c r="O519" s="109">
        <v>-4040787.0540363663</v>
      </c>
      <c r="P519" s="365">
        <v>1</v>
      </c>
      <c r="Q519" s="365">
        <v>0</v>
      </c>
      <c r="R519" s="365">
        <v>0</v>
      </c>
      <c r="S519" s="365">
        <v>0</v>
      </c>
      <c r="T519" s="109">
        <v>-3541.3959669057945</v>
      </c>
      <c r="V519" s="368">
        <f t="shared" si="42"/>
        <v>56177364.821852788</v>
      </c>
      <c r="W519" s="30">
        <f t="shared" si="43"/>
        <v>61091553.076776572</v>
      </c>
      <c r="X519" s="30"/>
      <c r="Y519">
        <f t="shared" si="44"/>
        <v>0</v>
      </c>
      <c r="Z519">
        <f t="shared" si="45"/>
        <v>1</v>
      </c>
      <c r="AA519">
        <f t="shared" si="46"/>
        <v>0</v>
      </c>
      <c r="AB519">
        <f t="shared" si="47"/>
        <v>1</v>
      </c>
    </row>
    <row r="520" spans="6:28" x14ac:dyDescent="0.3">
      <c r="F520" s="28"/>
      <c r="G520">
        <v>512</v>
      </c>
      <c r="H520" s="109">
        <v>1359.8263493821942</v>
      </c>
      <c r="I520" s="370">
        <v>1273152.1123866581</v>
      </c>
      <c r="J520">
        <v>0</v>
      </c>
      <c r="K520">
        <v>0</v>
      </c>
      <c r="L520">
        <v>0</v>
      </c>
      <c r="M520">
        <v>1</v>
      </c>
      <c r="N520" s="109">
        <v>936.26080489254048</v>
      </c>
      <c r="O520" s="109">
        <v>-4327060.4837327711</v>
      </c>
      <c r="P520" s="365">
        <v>1</v>
      </c>
      <c r="Q520" s="365">
        <v>0</v>
      </c>
      <c r="R520" s="365">
        <v>0</v>
      </c>
      <c r="S520" s="365">
        <v>0</v>
      </c>
      <c r="T520" s="109">
        <v>-3182.0684204999202</v>
      </c>
      <c r="V520" s="368">
        <f t="shared" si="42"/>
        <v>66718165.356723055</v>
      </c>
      <c r="W520" s="30">
        <f t="shared" si="43"/>
        <v>72318377.952842489</v>
      </c>
      <c r="X520" s="30"/>
      <c r="Y520">
        <f t="shared" si="44"/>
        <v>0</v>
      </c>
      <c r="Z520">
        <f t="shared" si="45"/>
        <v>1</v>
      </c>
      <c r="AA520">
        <f t="shared" si="46"/>
        <v>0</v>
      </c>
      <c r="AB520">
        <f t="shared" si="47"/>
        <v>1</v>
      </c>
    </row>
    <row r="521" spans="6:28" x14ac:dyDescent="0.3">
      <c r="F521" s="28"/>
      <c r="G521">
        <v>513</v>
      </c>
      <c r="H521" s="109">
        <v>1139.6135894499821</v>
      </c>
      <c r="I521" s="370">
        <v>1252616.8130974029</v>
      </c>
      <c r="J521">
        <v>0</v>
      </c>
      <c r="K521">
        <v>0</v>
      </c>
      <c r="L521">
        <v>0</v>
      </c>
      <c r="M521">
        <v>1</v>
      </c>
      <c r="N521" s="109">
        <v>1099.1592454614026</v>
      </c>
      <c r="O521" s="109">
        <v>-3380432.0317805405</v>
      </c>
      <c r="P521" s="365">
        <v>1</v>
      </c>
      <c r="Q521" s="365">
        <v>0</v>
      </c>
      <c r="R521" s="365">
        <v>0</v>
      </c>
      <c r="S521" s="365">
        <v>0</v>
      </c>
      <c r="T521" s="109">
        <v>-2966.2967018601953</v>
      </c>
      <c r="V521" s="368">
        <f t="shared" ref="V521:V584" si="48">H521*WTPinput-I521</f>
        <v>55728062.6594017</v>
      </c>
      <c r="W521" s="30">
        <f t="shared" ref="W521:W584" si="49">H521*WTPinput-O521</f>
        <v>60361111.504279643</v>
      </c>
      <c r="X521" s="30"/>
      <c r="Y521">
        <f t="shared" si="44"/>
        <v>0</v>
      </c>
      <c r="Z521">
        <f t="shared" si="45"/>
        <v>1</v>
      </c>
      <c r="AA521">
        <f t="shared" si="46"/>
        <v>0</v>
      </c>
      <c r="AB521">
        <f t="shared" si="47"/>
        <v>1</v>
      </c>
    </row>
    <row r="522" spans="6:28" x14ac:dyDescent="0.3">
      <c r="F522" s="28"/>
      <c r="G522">
        <v>514</v>
      </c>
      <c r="H522" s="109">
        <v>1249.4800346704287</v>
      </c>
      <c r="I522" s="370">
        <v>880340.00490176596</v>
      </c>
      <c r="J522">
        <v>0</v>
      </c>
      <c r="K522">
        <v>0</v>
      </c>
      <c r="L522">
        <v>0</v>
      </c>
      <c r="M522">
        <v>1</v>
      </c>
      <c r="N522" s="109">
        <v>704.56508345407087</v>
      </c>
      <c r="O522" s="109">
        <v>-3633996.9385123667</v>
      </c>
      <c r="P522" s="365">
        <v>1</v>
      </c>
      <c r="Q522" s="365">
        <v>0</v>
      </c>
      <c r="R522" s="365">
        <v>0</v>
      </c>
      <c r="S522" s="365">
        <v>0</v>
      </c>
      <c r="T522" s="109">
        <v>-2908.4073676062335</v>
      </c>
      <c r="V522" s="368">
        <f t="shared" si="48"/>
        <v>61593661.728619672</v>
      </c>
      <c r="W522" s="30">
        <f t="shared" si="49"/>
        <v>66107998.672033809</v>
      </c>
      <c r="X522" s="30"/>
      <c r="Y522">
        <f t="shared" ref="Y522:Y585" si="50">IF(V522&lt;0,1,0)</f>
        <v>0</v>
      </c>
      <c r="Z522">
        <f t="shared" ref="Z522:Z585" si="51">IF(V522&gt;0,1,0)</f>
        <v>1</v>
      </c>
      <c r="AA522">
        <f t="shared" ref="AA522:AA585" si="52">IF(W522&lt;0,1,0)</f>
        <v>0</v>
      </c>
      <c r="AB522">
        <f t="shared" ref="AB522:AB585" si="53">IF(W522&gt;0,1,0)</f>
        <v>1</v>
      </c>
    </row>
    <row r="523" spans="6:28" x14ac:dyDescent="0.3">
      <c r="F523" s="28"/>
      <c r="G523">
        <v>515</v>
      </c>
      <c r="H523" s="109">
        <v>983.46727707579703</v>
      </c>
      <c r="I523" s="370">
        <v>786842.67010790447</v>
      </c>
      <c r="J523">
        <v>0</v>
      </c>
      <c r="K523">
        <v>0</v>
      </c>
      <c r="L523">
        <v>0</v>
      </c>
      <c r="M523">
        <v>1</v>
      </c>
      <c r="N523" s="109">
        <v>800.07000583432887</v>
      </c>
      <c r="O523" s="109">
        <v>-3097481.6086494918</v>
      </c>
      <c r="P523" s="365">
        <v>1</v>
      </c>
      <c r="Q523" s="365">
        <v>0</v>
      </c>
      <c r="R523" s="365">
        <v>0</v>
      </c>
      <c r="S523" s="365">
        <v>0</v>
      </c>
      <c r="T523" s="109">
        <v>-3149.5522838944089</v>
      </c>
      <c r="V523" s="368">
        <f t="shared" si="48"/>
        <v>48386521.18368195</v>
      </c>
      <c r="W523" s="30">
        <f t="shared" si="49"/>
        <v>52270845.462439343</v>
      </c>
      <c r="X523" s="30"/>
      <c r="Y523">
        <f t="shared" si="50"/>
        <v>0</v>
      </c>
      <c r="Z523">
        <f t="shared" si="51"/>
        <v>1</v>
      </c>
      <c r="AA523">
        <f t="shared" si="52"/>
        <v>0</v>
      </c>
      <c r="AB523">
        <f t="shared" si="53"/>
        <v>1</v>
      </c>
    </row>
    <row r="524" spans="6:28" x14ac:dyDescent="0.3">
      <c r="F524" s="28"/>
      <c r="G524">
        <v>516</v>
      </c>
      <c r="H524" s="109">
        <v>1199.6665848696939</v>
      </c>
      <c r="I524" s="370">
        <v>403425.57799800794</v>
      </c>
      <c r="J524">
        <v>0</v>
      </c>
      <c r="K524">
        <v>0</v>
      </c>
      <c r="L524">
        <v>0</v>
      </c>
      <c r="M524">
        <v>1</v>
      </c>
      <c r="N524" s="109">
        <v>336.28141609181142</v>
      </c>
      <c r="O524" s="109">
        <v>-4041372.6886594235</v>
      </c>
      <c r="P524" s="365">
        <v>1</v>
      </c>
      <c r="Q524" s="365">
        <v>0</v>
      </c>
      <c r="R524" s="365">
        <v>0</v>
      </c>
      <c r="S524" s="365">
        <v>0</v>
      </c>
      <c r="T524" s="109">
        <v>-3368.7465664457027</v>
      </c>
      <c r="V524" s="368">
        <f t="shared" si="48"/>
        <v>59579903.665486693</v>
      </c>
      <c r="W524" s="30">
        <f t="shared" si="49"/>
        <v>64024701.93214412</v>
      </c>
      <c r="X524" s="30"/>
      <c r="Y524">
        <f t="shared" si="50"/>
        <v>0</v>
      </c>
      <c r="Z524">
        <f t="shared" si="51"/>
        <v>1</v>
      </c>
      <c r="AA524">
        <f t="shared" si="52"/>
        <v>0</v>
      </c>
      <c r="AB524">
        <f t="shared" si="53"/>
        <v>1</v>
      </c>
    </row>
    <row r="525" spans="6:28" x14ac:dyDescent="0.3">
      <c r="F525" s="28"/>
      <c r="G525">
        <v>517</v>
      </c>
      <c r="H525" s="109">
        <v>1399.726756079348</v>
      </c>
      <c r="I525" s="370">
        <v>537284.80057788058</v>
      </c>
      <c r="J525">
        <v>0</v>
      </c>
      <c r="K525">
        <v>0</v>
      </c>
      <c r="L525">
        <v>0</v>
      </c>
      <c r="M525">
        <v>1</v>
      </c>
      <c r="N525" s="109">
        <v>383.84977513955795</v>
      </c>
      <c r="O525" s="109">
        <v>-4690434.2946178205</v>
      </c>
      <c r="P525" s="365">
        <v>1</v>
      </c>
      <c r="Q525" s="365">
        <v>0</v>
      </c>
      <c r="R525" s="365">
        <v>0</v>
      </c>
      <c r="S525" s="365">
        <v>0</v>
      </c>
      <c r="T525" s="109">
        <v>-3350.9642323018711</v>
      </c>
      <c r="V525" s="368">
        <f t="shared" si="48"/>
        <v>69449053.003389522</v>
      </c>
      <c r="W525" s="30">
        <f t="shared" si="49"/>
        <v>74676772.098585218</v>
      </c>
      <c r="X525" s="30"/>
      <c r="Y525">
        <f t="shared" si="50"/>
        <v>0</v>
      </c>
      <c r="Z525">
        <f t="shared" si="51"/>
        <v>1</v>
      </c>
      <c r="AA525">
        <f t="shared" si="52"/>
        <v>0</v>
      </c>
      <c r="AB525">
        <f t="shared" si="53"/>
        <v>1</v>
      </c>
    </row>
    <row r="526" spans="6:28" x14ac:dyDescent="0.3">
      <c r="F526" s="28"/>
      <c r="G526">
        <v>518</v>
      </c>
      <c r="H526" s="109">
        <v>1380.9917852227009</v>
      </c>
      <c r="I526" s="370">
        <v>1835594.274289181</v>
      </c>
      <c r="J526">
        <v>0</v>
      </c>
      <c r="K526">
        <v>0</v>
      </c>
      <c r="L526">
        <v>0</v>
      </c>
      <c r="M526">
        <v>1</v>
      </c>
      <c r="N526" s="109">
        <v>1329.1855128545681</v>
      </c>
      <c r="O526" s="109">
        <v>-4320372.0894086352</v>
      </c>
      <c r="P526" s="365">
        <v>1</v>
      </c>
      <c r="Q526" s="365">
        <v>0</v>
      </c>
      <c r="R526" s="365">
        <v>0</v>
      </c>
      <c r="S526" s="365">
        <v>0</v>
      </c>
      <c r="T526" s="109">
        <v>-3128.4560383622597</v>
      </c>
      <c r="V526" s="368">
        <f t="shared" si="48"/>
        <v>67213994.986845866</v>
      </c>
      <c r="W526" s="30">
        <f t="shared" si="49"/>
        <v>73369961.350543678</v>
      </c>
      <c r="X526" s="30"/>
      <c r="Y526">
        <f t="shared" si="50"/>
        <v>0</v>
      </c>
      <c r="Z526">
        <f t="shared" si="51"/>
        <v>1</v>
      </c>
      <c r="AA526">
        <f t="shared" si="52"/>
        <v>0</v>
      </c>
      <c r="AB526">
        <f t="shared" si="53"/>
        <v>1</v>
      </c>
    </row>
    <row r="527" spans="6:28" x14ac:dyDescent="0.3">
      <c r="F527" s="28"/>
      <c r="G527">
        <v>519</v>
      </c>
      <c r="H527" s="109">
        <v>1148.3157737611327</v>
      </c>
      <c r="I527" s="370">
        <v>2315170.1858351021</v>
      </c>
      <c r="J527">
        <v>0</v>
      </c>
      <c r="K527">
        <v>0</v>
      </c>
      <c r="L527">
        <v>0</v>
      </c>
      <c r="M527">
        <v>1</v>
      </c>
      <c r="N527" s="109">
        <v>2016.1441989533212</v>
      </c>
      <c r="O527" s="109">
        <v>-1669790.2025043501</v>
      </c>
      <c r="P527" s="365">
        <v>1</v>
      </c>
      <c r="Q527" s="365">
        <v>0</v>
      </c>
      <c r="R527" s="365">
        <v>0</v>
      </c>
      <c r="S527" s="365">
        <v>0</v>
      </c>
      <c r="T527" s="109">
        <v>-1454.1211055868437</v>
      </c>
      <c r="V527" s="368">
        <f t="shared" si="48"/>
        <v>55100618.502221532</v>
      </c>
      <c r="W527" s="30">
        <f t="shared" si="49"/>
        <v>59085578.890560985</v>
      </c>
      <c r="X527" s="30"/>
      <c r="Y527">
        <f t="shared" si="50"/>
        <v>0</v>
      </c>
      <c r="Z527">
        <f t="shared" si="51"/>
        <v>1</v>
      </c>
      <c r="AA527">
        <f t="shared" si="52"/>
        <v>0</v>
      </c>
      <c r="AB527">
        <f t="shared" si="53"/>
        <v>1</v>
      </c>
    </row>
    <row r="528" spans="6:28" x14ac:dyDescent="0.3">
      <c r="F528" s="28"/>
      <c r="G528">
        <v>520</v>
      </c>
      <c r="H528" s="109">
        <v>1138.0138653221802</v>
      </c>
      <c r="I528" s="370">
        <v>1543012.9285767388</v>
      </c>
      <c r="J528">
        <v>0</v>
      </c>
      <c r="K528">
        <v>0</v>
      </c>
      <c r="L528">
        <v>0</v>
      </c>
      <c r="M528">
        <v>1</v>
      </c>
      <c r="N528" s="109">
        <v>1355.8823627688405</v>
      </c>
      <c r="O528" s="109">
        <v>-3000887.1384352059</v>
      </c>
      <c r="P528" s="365">
        <v>1</v>
      </c>
      <c r="Q528" s="365">
        <v>0</v>
      </c>
      <c r="R528" s="365">
        <v>0</v>
      </c>
      <c r="S528" s="365">
        <v>0</v>
      </c>
      <c r="T528" s="109">
        <v>-2636.9512972371672</v>
      </c>
      <c r="V528" s="368">
        <f t="shared" si="48"/>
        <v>55357680.337532274</v>
      </c>
      <c r="W528" s="30">
        <f t="shared" si="49"/>
        <v>59901580.404544219</v>
      </c>
      <c r="X528" s="30"/>
      <c r="Y528">
        <f t="shared" si="50"/>
        <v>0</v>
      </c>
      <c r="Z528">
        <f t="shared" si="51"/>
        <v>1</v>
      </c>
      <c r="AA528">
        <f t="shared" si="52"/>
        <v>0</v>
      </c>
      <c r="AB528">
        <f t="shared" si="53"/>
        <v>1</v>
      </c>
    </row>
    <row r="529" spans="6:28" x14ac:dyDescent="0.3">
      <c r="F529" s="28"/>
      <c r="G529">
        <v>521</v>
      </c>
      <c r="H529" s="109">
        <v>1158.6665934729535</v>
      </c>
      <c r="I529" s="370">
        <v>1836735.6237914939</v>
      </c>
      <c r="J529">
        <v>0</v>
      </c>
      <c r="K529">
        <v>0</v>
      </c>
      <c r="L529">
        <v>0</v>
      </c>
      <c r="M529">
        <v>1</v>
      </c>
      <c r="N529" s="109">
        <v>1585.2149653215736</v>
      </c>
      <c r="O529" s="109">
        <v>-2498838.7511496739</v>
      </c>
      <c r="P529" s="365">
        <v>1</v>
      </c>
      <c r="Q529" s="365">
        <v>0</v>
      </c>
      <c r="R529" s="365">
        <v>0</v>
      </c>
      <c r="S529" s="365">
        <v>0</v>
      </c>
      <c r="T529" s="109">
        <v>-2156.6503817631674</v>
      </c>
      <c r="V529" s="368">
        <f t="shared" si="48"/>
        <v>56096594.049856186</v>
      </c>
      <c r="W529" s="30">
        <f t="shared" si="49"/>
        <v>60432168.424797356</v>
      </c>
      <c r="X529" s="30"/>
      <c r="Y529">
        <f t="shared" si="50"/>
        <v>0</v>
      </c>
      <c r="Z529">
        <f t="shared" si="51"/>
        <v>1</v>
      </c>
      <c r="AA529">
        <f t="shared" si="52"/>
        <v>0</v>
      </c>
      <c r="AB529">
        <f t="shared" si="53"/>
        <v>1</v>
      </c>
    </row>
    <row r="530" spans="6:28" x14ac:dyDescent="0.3">
      <c r="F530" s="28"/>
      <c r="G530">
        <v>522</v>
      </c>
      <c r="H530" s="109">
        <v>1171.1684110524657</v>
      </c>
      <c r="I530" s="370">
        <v>68910.905286676163</v>
      </c>
      <c r="J530">
        <v>0</v>
      </c>
      <c r="K530">
        <v>0</v>
      </c>
      <c r="L530">
        <v>0</v>
      </c>
      <c r="M530">
        <v>1</v>
      </c>
      <c r="N530" s="109">
        <v>58.839450105002115</v>
      </c>
      <c r="O530" s="109">
        <v>-3978708.862178864</v>
      </c>
      <c r="P530" s="365">
        <v>1</v>
      </c>
      <c r="Q530" s="365">
        <v>0</v>
      </c>
      <c r="R530" s="365">
        <v>0</v>
      </c>
      <c r="S530" s="365">
        <v>0</v>
      </c>
      <c r="T530" s="109">
        <v>-3397.2132655144051</v>
      </c>
      <c r="V530" s="368">
        <f t="shared" si="48"/>
        <v>58489509.64733661</v>
      </c>
      <c r="W530" s="30">
        <f t="shared" si="49"/>
        <v>62537129.414802149</v>
      </c>
      <c r="X530" s="30"/>
      <c r="Y530">
        <f t="shared" si="50"/>
        <v>0</v>
      </c>
      <c r="Z530">
        <f t="shared" si="51"/>
        <v>1</v>
      </c>
      <c r="AA530">
        <f t="shared" si="52"/>
        <v>0</v>
      </c>
      <c r="AB530">
        <f t="shared" si="53"/>
        <v>1</v>
      </c>
    </row>
    <row r="531" spans="6:28" x14ac:dyDescent="0.3">
      <c r="F531" s="28"/>
      <c r="G531">
        <v>523</v>
      </c>
      <c r="H531" s="109">
        <v>1218.4374039811664</v>
      </c>
      <c r="I531" s="370">
        <v>960979.41667362116</v>
      </c>
      <c r="J531">
        <v>0</v>
      </c>
      <c r="K531">
        <v>0</v>
      </c>
      <c r="L531">
        <v>0</v>
      </c>
      <c r="M531">
        <v>1</v>
      </c>
      <c r="N531" s="109">
        <v>788.69822408084508</v>
      </c>
      <c r="O531" s="109">
        <v>-3979395.810421316</v>
      </c>
      <c r="P531" s="365">
        <v>1</v>
      </c>
      <c r="Q531" s="365">
        <v>0</v>
      </c>
      <c r="R531" s="365">
        <v>0</v>
      </c>
      <c r="S531" s="365">
        <v>0</v>
      </c>
      <c r="T531" s="109">
        <v>-3265.9829691856917</v>
      </c>
      <c r="V531" s="368">
        <f t="shared" si="48"/>
        <v>59960890.782384701</v>
      </c>
      <c r="W531" s="30">
        <f t="shared" si="49"/>
        <v>64901266.009479642</v>
      </c>
      <c r="X531" s="30"/>
      <c r="Y531">
        <f t="shared" si="50"/>
        <v>0</v>
      </c>
      <c r="Z531">
        <f t="shared" si="51"/>
        <v>1</v>
      </c>
      <c r="AA531">
        <f t="shared" si="52"/>
        <v>0</v>
      </c>
      <c r="AB531">
        <f t="shared" si="53"/>
        <v>1</v>
      </c>
    </row>
    <row r="532" spans="6:28" x14ac:dyDescent="0.3">
      <c r="F532" s="28"/>
      <c r="G532">
        <v>524</v>
      </c>
      <c r="H532" s="109">
        <v>984.70800681687979</v>
      </c>
      <c r="I532" s="370">
        <v>1072660.2988280756</v>
      </c>
      <c r="J532">
        <v>0</v>
      </c>
      <c r="K532">
        <v>0</v>
      </c>
      <c r="L532">
        <v>0</v>
      </c>
      <c r="M532">
        <v>1</v>
      </c>
      <c r="N532" s="109">
        <v>1089.3181444675222</v>
      </c>
      <c r="O532" s="109">
        <v>-3243634.8194084824</v>
      </c>
      <c r="P532" s="365">
        <v>1</v>
      </c>
      <c r="Q532" s="365">
        <v>0</v>
      </c>
      <c r="R532" s="365">
        <v>0</v>
      </c>
      <c r="S532" s="365">
        <v>0</v>
      </c>
      <c r="T532" s="109">
        <v>-3294.0067481462875</v>
      </c>
      <c r="V532" s="368">
        <f t="shared" si="48"/>
        <v>48162740.042015918</v>
      </c>
      <c r="W532" s="30">
        <f t="shared" si="49"/>
        <v>52479035.160252474</v>
      </c>
      <c r="X532" s="30"/>
      <c r="Y532">
        <f t="shared" si="50"/>
        <v>0</v>
      </c>
      <c r="Z532">
        <f t="shared" si="51"/>
        <v>1</v>
      </c>
      <c r="AA532">
        <f t="shared" si="52"/>
        <v>0</v>
      </c>
      <c r="AB532">
        <f t="shared" si="53"/>
        <v>1</v>
      </c>
    </row>
    <row r="533" spans="6:28" x14ac:dyDescent="0.3">
      <c r="F533" s="28"/>
      <c r="G533">
        <v>525</v>
      </c>
      <c r="H533" s="109">
        <v>1154.9148254645334</v>
      </c>
      <c r="I533" s="370">
        <v>1321294.8894087782</v>
      </c>
      <c r="J533">
        <v>0</v>
      </c>
      <c r="K533">
        <v>0</v>
      </c>
      <c r="L533">
        <v>0</v>
      </c>
      <c r="M533">
        <v>1</v>
      </c>
      <c r="N533" s="109">
        <v>1144.0626271961855</v>
      </c>
      <c r="O533" s="109">
        <v>-2632666.0528371311</v>
      </c>
      <c r="P533" s="365">
        <v>1</v>
      </c>
      <c r="Q533" s="365">
        <v>0</v>
      </c>
      <c r="R533" s="365">
        <v>0</v>
      </c>
      <c r="S533" s="365">
        <v>0</v>
      </c>
      <c r="T533" s="109">
        <v>-2279.5326501919412</v>
      </c>
      <c r="V533" s="368">
        <f t="shared" si="48"/>
        <v>56424446.383817896</v>
      </c>
      <c r="W533" s="30">
        <f t="shared" si="49"/>
        <v>60378407.326063804</v>
      </c>
      <c r="X533" s="30"/>
      <c r="Y533">
        <f t="shared" si="50"/>
        <v>0</v>
      </c>
      <c r="Z533">
        <f t="shared" si="51"/>
        <v>1</v>
      </c>
      <c r="AA533">
        <f t="shared" si="52"/>
        <v>0</v>
      </c>
      <c r="AB533">
        <f t="shared" si="53"/>
        <v>1</v>
      </c>
    </row>
    <row r="534" spans="6:28" x14ac:dyDescent="0.3">
      <c r="F534" s="28"/>
      <c r="G534">
        <v>526</v>
      </c>
      <c r="H534" s="109">
        <v>1234.6041823945561</v>
      </c>
      <c r="I534" s="370">
        <v>819107.66481487628</v>
      </c>
      <c r="J534">
        <v>0</v>
      </c>
      <c r="K534">
        <v>0</v>
      </c>
      <c r="L534">
        <v>0</v>
      </c>
      <c r="M534">
        <v>1</v>
      </c>
      <c r="N534" s="109">
        <v>663.4577109776103</v>
      </c>
      <c r="O534" s="109">
        <v>-3411088.8509325669</v>
      </c>
      <c r="P534" s="365">
        <v>1</v>
      </c>
      <c r="Q534" s="365">
        <v>0</v>
      </c>
      <c r="R534" s="365">
        <v>0</v>
      </c>
      <c r="S534" s="365">
        <v>0</v>
      </c>
      <c r="T534" s="109">
        <v>-2762.9007738469231</v>
      </c>
      <c r="V534" s="368">
        <f t="shared" si="48"/>
        <v>60911101.454912931</v>
      </c>
      <c r="W534" s="30">
        <f t="shared" si="49"/>
        <v>65141297.970660374</v>
      </c>
      <c r="X534" s="30"/>
      <c r="Y534">
        <f t="shared" si="50"/>
        <v>0</v>
      </c>
      <c r="Z534">
        <f t="shared" si="51"/>
        <v>1</v>
      </c>
      <c r="AA534">
        <f t="shared" si="52"/>
        <v>0</v>
      </c>
      <c r="AB534">
        <f t="shared" si="53"/>
        <v>1</v>
      </c>
    </row>
    <row r="535" spans="6:28" x14ac:dyDescent="0.3">
      <c r="F535" s="28"/>
      <c r="G535">
        <v>527</v>
      </c>
      <c r="H535" s="109">
        <v>1383.7243117480321</v>
      </c>
      <c r="I535" s="370">
        <v>1145492.994286732</v>
      </c>
      <c r="J535">
        <v>0</v>
      </c>
      <c r="K535">
        <v>0</v>
      </c>
      <c r="L535">
        <v>0</v>
      </c>
      <c r="M535">
        <v>1</v>
      </c>
      <c r="N535" s="109">
        <v>827.83325013611488</v>
      </c>
      <c r="O535" s="109">
        <v>-5314167.9017727692</v>
      </c>
      <c r="P535" s="365">
        <v>1</v>
      </c>
      <c r="Q535" s="365">
        <v>0</v>
      </c>
      <c r="R535" s="365">
        <v>0</v>
      </c>
      <c r="S535" s="365">
        <v>0</v>
      </c>
      <c r="T535" s="109">
        <v>-3840.4817033672584</v>
      </c>
      <c r="V535" s="368">
        <f t="shared" si="48"/>
        <v>68040722.593114868</v>
      </c>
      <c r="W535" s="30">
        <f t="shared" si="49"/>
        <v>74500383.489174366</v>
      </c>
      <c r="X535" s="30"/>
      <c r="Y535">
        <f t="shared" si="50"/>
        <v>0</v>
      </c>
      <c r="Z535">
        <f t="shared" si="51"/>
        <v>1</v>
      </c>
      <c r="AA535">
        <f t="shared" si="52"/>
        <v>0</v>
      </c>
      <c r="AB535">
        <f t="shared" si="53"/>
        <v>1</v>
      </c>
    </row>
    <row r="536" spans="6:28" x14ac:dyDescent="0.3">
      <c r="F536" s="28"/>
      <c r="G536">
        <v>528</v>
      </c>
      <c r="H536" s="109">
        <v>1226.1876172894699</v>
      </c>
      <c r="I536" s="370">
        <v>1442050.9531041416</v>
      </c>
      <c r="J536">
        <v>0</v>
      </c>
      <c r="K536">
        <v>0</v>
      </c>
      <c r="L536">
        <v>0</v>
      </c>
      <c r="M536">
        <v>1</v>
      </c>
      <c r="N536" s="109">
        <v>1176.0442959714803</v>
      </c>
      <c r="O536" s="109">
        <v>-3173881.7796680671</v>
      </c>
      <c r="P536" s="365">
        <v>1</v>
      </c>
      <c r="Q536" s="365">
        <v>0</v>
      </c>
      <c r="R536" s="365">
        <v>0</v>
      </c>
      <c r="S536" s="365">
        <v>0</v>
      </c>
      <c r="T536" s="109">
        <v>-2588.4144766394252</v>
      </c>
      <c r="V536" s="368">
        <f t="shared" si="48"/>
        <v>59867329.911369361</v>
      </c>
      <c r="W536" s="30">
        <f t="shared" si="49"/>
        <v>64483262.64414157</v>
      </c>
      <c r="X536" s="30"/>
      <c r="Y536">
        <f t="shared" si="50"/>
        <v>0</v>
      </c>
      <c r="Z536">
        <f t="shared" si="51"/>
        <v>1</v>
      </c>
      <c r="AA536">
        <f t="shared" si="52"/>
        <v>0</v>
      </c>
      <c r="AB536">
        <f t="shared" si="53"/>
        <v>1</v>
      </c>
    </row>
    <row r="537" spans="6:28" x14ac:dyDescent="0.3">
      <c r="F537" s="28"/>
      <c r="G537">
        <v>529</v>
      </c>
      <c r="H537" s="109">
        <v>1139.6464824020295</v>
      </c>
      <c r="I537" s="370">
        <v>1121877.1685908155</v>
      </c>
      <c r="J537">
        <v>0</v>
      </c>
      <c r="K537">
        <v>0</v>
      </c>
      <c r="L537">
        <v>0</v>
      </c>
      <c r="M537">
        <v>1</v>
      </c>
      <c r="N537" s="109">
        <v>984.40804750806433</v>
      </c>
      <c r="O537" s="109">
        <v>-3705518.179822376</v>
      </c>
      <c r="P537" s="365">
        <v>1</v>
      </c>
      <c r="Q537" s="365">
        <v>0</v>
      </c>
      <c r="R537" s="365">
        <v>0</v>
      </c>
      <c r="S537" s="365">
        <v>0</v>
      </c>
      <c r="T537" s="109">
        <v>-3251.4628325902136</v>
      </c>
      <c r="V537" s="368">
        <f t="shared" si="48"/>
        <v>55860446.95151066</v>
      </c>
      <c r="W537" s="30">
        <f t="shared" si="49"/>
        <v>60687842.299923852</v>
      </c>
      <c r="X537" s="30"/>
      <c r="Y537">
        <f t="shared" si="50"/>
        <v>0</v>
      </c>
      <c r="Z537">
        <f t="shared" si="51"/>
        <v>1</v>
      </c>
      <c r="AA537">
        <f t="shared" si="52"/>
        <v>0</v>
      </c>
      <c r="AB537">
        <f t="shared" si="53"/>
        <v>1</v>
      </c>
    </row>
    <row r="538" spans="6:28" x14ac:dyDescent="0.3">
      <c r="F538" s="28"/>
      <c r="G538">
        <v>530</v>
      </c>
      <c r="H538" s="109">
        <v>1293.7183463494366</v>
      </c>
      <c r="I538" s="370">
        <v>1836068.6206270398</v>
      </c>
      <c r="J538">
        <v>0</v>
      </c>
      <c r="K538">
        <v>0</v>
      </c>
      <c r="L538">
        <v>0</v>
      </c>
      <c r="M538">
        <v>1</v>
      </c>
      <c r="N538" s="109">
        <v>1419.2181983103089</v>
      </c>
      <c r="O538" s="109">
        <v>-2521262.8460018551</v>
      </c>
      <c r="P538" s="365">
        <v>1</v>
      </c>
      <c r="Q538" s="365">
        <v>0</v>
      </c>
      <c r="R538" s="365">
        <v>0</v>
      </c>
      <c r="S538" s="365">
        <v>0</v>
      </c>
      <c r="T538" s="109">
        <v>-1948.8498815188445</v>
      </c>
      <c r="V538" s="368">
        <f t="shared" si="48"/>
        <v>62849848.696844794</v>
      </c>
      <c r="W538" s="30">
        <f t="shared" si="49"/>
        <v>67207180.163473681</v>
      </c>
      <c r="X538" s="30"/>
      <c r="Y538">
        <f t="shared" si="50"/>
        <v>0</v>
      </c>
      <c r="Z538">
        <f t="shared" si="51"/>
        <v>1</v>
      </c>
      <c r="AA538">
        <f t="shared" si="52"/>
        <v>0</v>
      </c>
      <c r="AB538">
        <f t="shared" si="53"/>
        <v>1</v>
      </c>
    </row>
    <row r="539" spans="6:28" x14ac:dyDescent="0.3">
      <c r="F539" s="28"/>
      <c r="G539">
        <v>531</v>
      </c>
      <c r="H539" s="109">
        <v>1224.9461121700733</v>
      </c>
      <c r="I539" s="370">
        <v>1555130.6450324394</v>
      </c>
      <c r="J539">
        <v>0</v>
      </c>
      <c r="K539">
        <v>0</v>
      </c>
      <c r="L539">
        <v>0</v>
      </c>
      <c r="M539">
        <v>1</v>
      </c>
      <c r="N539" s="109">
        <v>1269.5502517065197</v>
      </c>
      <c r="O539" s="109">
        <v>-2811687.9840579201</v>
      </c>
      <c r="P539" s="365">
        <v>1</v>
      </c>
      <c r="Q539" s="365">
        <v>0</v>
      </c>
      <c r="R539" s="365">
        <v>0</v>
      </c>
      <c r="S539" s="365">
        <v>0</v>
      </c>
      <c r="T539" s="109">
        <v>-2295.3564700710208</v>
      </c>
      <c r="V539" s="368">
        <f t="shared" si="48"/>
        <v>59692174.963471234</v>
      </c>
      <c r="W539" s="30">
        <f t="shared" si="49"/>
        <v>64058993.592561588</v>
      </c>
      <c r="X539" s="30"/>
      <c r="Y539">
        <f t="shared" si="50"/>
        <v>0</v>
      </c>
      <c r="Z539">
        <f t="shared" si="51"/>
        <v>1</v>
      </c>
      <c r="AA539">
        <f t="shared" si="52"/>
        <v>0</v>
      </c>
      <c r="AB539">
        <f t="shared" si="53"/>
        <v>1</v>
      </c>
    </row>
    <row r="540" spans="6:28" x14ac:dyDescent="0.3">
      <c r="F540" s="28"/>
      <c r="G540">
        <v>532</v>
      </c>
      <c r="H540" s="109">
        <v>1113.9728909092373</v>
      </c>
      <c r="I540" s="370">
        <v>1463027.7167800439</v>
      </c>
      <c r="J540">
        <v>0</v>
      </c>
      <c r="K540">
        <v>0</v>
      </c>
      <c r="L540">
        <v>0</v>
      </c>
      <c r="M540">
        <v>1</v>
      </c>
      <c r="N540" s="109">
        <v>1313.3422982904945</v>
      </c>
      <c r="O540" s="109">
        <v>-3131708.4279422043</v>
      </c>
      <c r="P540" s="365">
        <v>1</v>
      </c>
      <c r="Q540" s="365">
        <v>0</v>
      </c>
      <c r="R540" s="365">
        <v>0</v>
      </c>
      <c r="S540" s="365">
        <v>0</v>
      </c>
      <c r="T540" s="109">
        <v>-2811.2968039878137</v>
      </c>
      <c r="V540" s="368">
        <f t="shared" si="48"/>
        <v>54235616.828681819</v>
      </c>
      <c r="W540" s="30">
        <f t="shared" si="49"/>
        <v>58830352.973404065</v>
      </c>
      <c r="X540" s="30"/>
      <c r="Y540">
        <f t="shared" si="50"/>
        <v>0</v>
      </c>
      <c r="Z540">
        <f t="shared" si="51"/>
        <v>1</v>
      </c>
      <c r="AA540">
        <f t="shared" si="52"/>
        <v>0</v>
      </c>
      <c r="AB540">
        <f t="shared" si="53"/>
        <v>1</v>
      </c>
    </row>
    <row r="541" spans="6:28" x14ac:dyDescent="0.3">
      <c r="F541" s="28"/>
      <c r="G541">
        <v>533</v>
      </c>
      <c r="H541" s="109">
        <v>1067.4190987126931</v>
      </c>
      <c r="I541" s="370">
        <v>2071883.8775637357</v>
      </c>
      <c r="J541">
        <v>0</v>
      </c>
      <c r="K541">
        <v>0</v>
      </c>
      <c r="L541">
        <v>0</v>
      </c>
      <c r="M541">
        <v>1</v>
      </c>
      <c r="N541" s="109">
        <v>1941.0219285587325</v>
      </c>
      <c r="O541" s="109">
        <v>-1506518.5189724539</v>
      </c>
      <c r="P541" s="365">
        <v>1</v>
      </c>
      <c r="Q541" s="365">
        <v>0</v>
      </c>
      <c r="R541" s="365">
        <v>0</v>
      </c>
      <c r="S541" s="365">
        <v>0</v>
      </c>
      <c r="T541" s="109">
        <v>-1411.3655271760779</v>
      </c>
      <c r="V541" s="368">
        <f t="shared" si="48"/>
        <v>51299071.05807092</v>
      </c>
      <c r="W541" s="30">
        <f t="shared" si="49"/>
        <v>54877473.454607114</v>
      </c>
      <c r="X541" s="30"/>
      <c r="Y541">
        <f t="shared" si="50"/>
        <v>0</v>
      </c>
      <c r="Z541">
        <f t="shared" si="51"/>
        <v>1</v>
      </c>
      <c r="AA541">
        <f t="shared" si="52"/>
        <v>0</v>
      </c>
      <c r="AB541">
        <f t="shared" si="53"/>
        <v>1</v>
      </c>
    </row>
    <row r="542" spans="6:28" x14ac:dyDescent="0.3">
      <c r="F542" s="28"/>
      <c r="G542">
        <v>534</v>
      </c>
      <c r="H542" s="109">
        <v>1153.557074004224</v>
      </c>
      <c r="I542" s="370">
        <v>1964316.7970018168</v>
      </c>
      <c r="J542">
        <v>0</v>
      </c>
      <c r="K542">
        <v>0</v>
      </c>
      <c r="L542">
        <v>0</v>
      </c>
      <c r="M542">
        <v>1</v>
      </c>
      <c r="N542" s="109">
        <v>1702.8345118488901</v>
      </c>
      <c r="O542" s="109">
        <v>-3012057.8930759784</v>
      </c>
      <c r="P542" s="365">
        <v>1</v>
      </c>
      <c r="Q542" s="365">
        <v>0</v>
      </c>
      <c r="R542" s="365">
        <v>0</v>
      </c>
      <c r="S542" s="365">
        <v>0</v>
      </c>
      <c r="T542" s="109">
        <v>-2611.1043492807266</v>
      </c>
      <c r="V542" s="368">
        <f t="shared" si="48"/>
        <v>55713536.903209381</v>
      </c>
      <c r="W542" s="30">
        <f t="shared" si="49"/>
        <v>60689911.593287177</v>
      </c>
      <c r="X542" s="30"/>
      <c r="Y542">
        <f t="shared" si="50"/>
        <v>0</v>
      </c>
      <c r="Z542">
        <f t="shared" si="51"/>
        <v>1</v>
      </c>
      <c r="AA542">
        <f t="shared" si="52"/>
        <v>0</v>
      </c>
      <c r="AB542">
        <f t="shared" si="53"/>
        <v>1</v>
      </c>
    </row>
    <row r="543" spans="6:28" x14ac:dyDescent="0.3">
      <c r="F543" s="28"/>
      <c r="G543">
        <v>535</v>
      </c>
      <c r="H543" s="109">
        <v>1172.8101483610444</v>
      </c>
      <c r="I543" s="370">
        <v>1099530.5321624549</v>
      </c>
      <c r="J543">
        <v>0</v>
      </c>
      <c r="K543">
        <v>0</v>
      </c>
      <c r="L543">
        <v>0</v>
      </c>
      <c r="M543">
        <v>1</v>
      </c>
      <c r="N543" s="109">
        <v>937.51792112219118</v>
      </c>
      <c r="O543" s="109">
        <v>-4363155.8531484269</v>
      </c>
      <c r="P543" s="365">
        <v>1</v>
      </c>
      <c r="Q543" s="365">
        <v>0</v>
      </c>
      <c r="R543" s="365">
        <v>0</v>
      </c>
      <c r="S543" s="365">
        <v>0</v>
      </c>
      <c r="T543" s="109">
        <v>-3720.2575875095931</v>
      </c>
      <c r="V543" s="368">
        <f t="shared" si="48"/>
        <v>57540976.885889761</v>
      </c>
      <c r="W543" s="30">
        <f t="shared" si="49"/>
        <v>63003663.271200642</v>
      </c>
      <c r="X543" s="30"/>
      <c r="Y543">
        <f t="shared" si="50"/>
        <v>0</v>
      </c>
      <c r="Z543">
        <f t="shared" si="51"/>
        <v>1</v>
      </c>
      <c r="AA543">
        <f t="shared" si="52"/>
        <v>0</v>
      </c>
      <c r="AB543">
        <f t="shared" si="53"/>
        <v>1</v>
      </c>
    </row>
    <row r="544" spans="6:28" x14ac:dyDescent="0.3">
      <c r="F544" s="28"/>
      <c r="G544">
        <v>536</v>
      </c>
      <c r="H544" s="109">
        <v>923.33844989349745</v>
      </c>
      <c r="I544" s="370">
        <v>1155577.8063317931</v>
      </c>
      <c r="J544">
        <v>0</v>
      </c>
      <c r="K544">
        <v>0</v>
      </c>
      <c r="L544">
        <v>0</v>
      </c>
      <c r="M544">
        <v>1</v>
      </c>
      <c r="N544" s="109">
        <v>1251.5213749249619</v>
      </c>
      <c r="O544" s="109">
        <v>-2539433.9882850437</v>
      </c>
      <c r="P544" s="365">
        <v>1</v>
      </c>
      <c r="Q544" s="365">
        <v>0</v>
      </c>
      <c r="R544" s="365">
        <v>0</v>
      </c>
      <c r="S544" s="365">
        <v>0</v>
      </c>
      <c r="T544" s="109">
        <v>-2750.2742776258856</v>
      </c>
      <c r="V544" s="368">
        <f t="shared" si="48"/>
        <v>45011344.688343085</v>
      </c>
      <c r="W544" s="30">
        <f t="shared" si="49"/>
        <v>48706356.482959919</v>
      </c>
      <c r="X544" s="30"/>
      <c r="Y544">
        <f t="shared" si="50"/>
        <v>0</v>
      </c>
      <c r="Z544">
        <f t="shared" si="51"/>
        <v>1</v>
      </c>
      <c r="AA544">
        <f t="shared" si="52"/>
        <v>0</v>
      </c>
      <c r="AB544">
        <f t="shared" si="53"/>
        <v>1</v>
      </c>
    </row>
    <row r="545" spans="6:28" x14ac:dyDescent="0.3">
      <c r="F545" s="28"/>
      <c r="G545">
        <v>537</v>
      </c>
      <c r="H545" s="109">
        <v>1130.864953972763</v>
      </c>
      <c r="I545" s="370">
        <v>877829.75587688794</v>
      </c>
      <c r="J545">
        <v>0</v>
      </c>
      <c r="K545">
        <v>0</v>
      </c>
      <c r="L545">
        <v>0</v>
      </c>
      <c r="M545">
        <v>1</v>
      </c>
      <c r="N545" s="109">
        <v>776.24631729283431</v>
      </c>
      <c r="O545" s="109">
        <v>-3152449.0235862653</v>
      </c>
      <c r="P545" s="365">
        <v>1</v>
      </c>
      <c r="Q545" s="365">
        <v>0</v>
      </c>
      <c r="R545" s="365">
        <v>0</v>
      </c>
      <c r="S545" s="365">
        <v>0</v>
      </c>
      <c r="T545" s="109">
        <v>-2787.6441059665135</v>
      </c>
      <c r="V545" s="368">
        <f t="shared" si="48"/>
        <v>55665417.942761257</v>
      </c>
      <c r="W545" s="30">
        <f t="shared" si="49"/>
        <v>59695696.722224414</v>
      </c>
      <c r="X545" s="30"/>
      <c r="Y545">
        <f t="shared" si="50"/>
        <v>0</v>
      </c>
      <c r="Z545">
        <f t="shared" si="51"/>
        <v>1</v>
      </c>
      <c r="AA545">
        <f t="shared" si="52"/>
        <v>0</v>
      </c>
      <c r="AB545">
        <f t="shared" si="53"/>
        <v>1</v>
      </c>
    </row>
    <row r="546" spans="6:28" x14ac:dyDescent="0.3">
      <c r="F546" s="28"/>
      <c r="G546">
        <v>538</v>
      </c>
      <c r="H546" s="109">
        <v>1295.5726961077598</v>
      </c>
      <c r="I546" s="370">
        <v>439254.03932579962</v>
      </c>
      <c r="J546">
        <v>0</v>
      </c>
      <c r="K546">
        <v>0</v>
      </c>
      <c r="L546">
        <v>0</v>
      </c>
      <c r="M546">
        <v>1</v>
      </c>
      <c r="N546" s="109">
        <v>339.04237148979286</v>
      </c>
      <c r="O546" s="109">
        <v>-4390677.7304866342</v>
      </c>
      <c r="P546" s="365">
        <v>1</v>
      </c>
      <c r="Q546" s="365">
        <v>0</v>
      </c>
      <c r="R546" s="365">
        <v>0</v>
      </c>
      <c r="S546" s="365">
        <v>0</v>
      </c>
      <c r="T546" s="109">
        <v>-3388.9860010768839</v>
      </c>
      <c r="V546" s="368">
        <f t="shared" si="48"/>
        <v>64339380.766062193</v>
      </c>
      <c r="W546" s="30">
        <f t="shared" si="49"/>
        <v>69169312.53587462</v>
      </c>
      <c r="X546" s="30"/>
      <c r="Y546">
        <f t="shared" si="50"/>
        <v>0</v>
      </c>
      <c r="Z546">
        <f t="shared" si="51"/>
        <v>1</v>
      </c>
      <c r="AA546">
        <f t="shared" si="52"/>
        <v>0</v>
      </c>
      <c r="AB546">
        <f t="shared" si="53"/>
        <v>1</v>
      </c>
    </row>
    <row r="547" spans="6:28" x14ac:dyDescent="0.3">
      <c r="F547" s="28"/>
      <c r="G547">
        <v>539</v>
      </c>
      <c r="H547" s="109">
        <v>1132.8372190131922</v>
      </c>
      <c r="I547" s="370">
        <v>957998.5382009208</v>
      </c>
      <c r="J547">
        <v>0</v>
      </c>
      <c r="K547">
        <v>0</v>
      </c>
      <c r="L547">
        <v>0</v>
      </c>
      <c r="M547">
        <v>1</v>
      </c>
      <c r="N547" s="109">
        <v>845.66301505826902</v>
      </c>
      <c r="O547" s="109">
        <v>-3753553.180134262</v>
      </c>
      <c r="P547" s="365">
        <v>1</v>
      </c>
      <c r="Q547" s="365">
        <v>0</v>
      </c>
      <c r="R547" s="365">
        <v>0</v>
      </c>
      <c r="S547" s="365">
        <v>0</v>
      </c>
      <c r="T547" s="109">
        <v>-3313.4091263385217</v>
      </c>
      <c r="V547" s="368">
        <f t="shared" si="48"/>
        <v>55683862.412458688</v>
      </c>
      <c r="W547" s="30">
        <f t="shared" si="49"/>
        <v>60395414.130793869</v>
      </c>
      <c r="X547" s="30"/>
      <c r="Y547">
        <f t="shared" si="50"/>
        <v>0</v>
      </c>
      <c r="Z547">
        <f t="shared" si="51"/>
        <v>1</v>
      </c>
      <c r="AA547">
        <f t="shared" si="52"/>
        <v>0</v>
      </c>
      <c r="AB547">
        <f t="shared" si="53"/>
        <v>1</v>
      </c>
    </row>
    <row r="548" spans="6:28" x14ac:dyDescent="0.3">
      <c r="F548" s="28"/>
      <c r="G548">
        <v>540</v>
      </c>
      <c r="H548" s="109">
        <v>1074.4460351405869</v>
      </c>
      <c r="I548" s="370">
        <v>1564380.0900240513</v>
      </c>
      <c r="J548">
        <v>0</v>
      </c>
      <c r="K548">
        <v>0</v>
      </c>
      <c r="L548">
        <v>0</v>
      </c>
      <c r="M548">
        <v>1</v>
      </c>
      <c r="N548" s="109">
        <v>1455.9875869609016</v>
      </c>
      <c r="O548" s="109">
        <v>-2506605.4625291587</v>
      </c>
      <c r="P548" s="365">
        <v>1</v>
      </c>
      <c r="Q548" s="365">
        <v>0</v>
      </c>
      <c r="R548" s="365">
        <v>0</v>
      </c>
      <c r="S548" s="365">
        <v>0</v>
      </c>
      <c r="T548" s="109">
        <v>-2332.9282072330225</v>
      </c>
      <c r="V548" s="368">
        <f t="shared" si="48"/>
        <v>52157921.667005293</v>
      </c>
      <c r="W548" s="30">
        <f t="shared" si="49"/>
        <v>56228907.219558507</v>
      </c>
      <c r="X548" s="30"/>
      <c r="Y548">
        <f t="shared" si="50"/>
        <v>0</v>
      </c>
      <c r="Z548">
        <f t="shared" si="51"/>
        <v>1</v>
      </c>
      <c r="AA548">
        <f t="shared" si="52"/>
        <v>0</v>
      </c>
      <c r="AB548">
        <f t="shared" si="53"/>
        <v>1</v>
      </c>
    </row>
    <row r="549" spans="6:28" x14ac:dyDescent="0.3">
      <c r="F549" s="28"/>
      <c r="G549">
        <v>541</v>
      </c>
      <c r="H549" s="109">
        <v>1264.1884089288433</v>
      </c>
      <c r="I549" s="370">
        <v>1355778.305322642</v>
      </c>
      <c r="J549">
        <v>0</v>
      </c>
      <c r="K549">
        <v>0</v>
      </c>
      <c r="L549">
        <v>0</v>
      </c>
      <c r="M549">
        <v>1</v>
      </c>
      <c r="N549" s="109">
        <v>1072.4495619062063</v>
      </c>
      <c r="O549" s="109">
        <v>-3447226.6490266477</v>
      </c>
      <c r="P549" s="365">
        <v>1</v>
      </c>
      <c r="Q549" s="365">
        <v>0</v>
      </c>
      <c r="R549" s="365">
        <v>0</v>
      </c>
      <c r="S549" s="365">
        <v>0</v>
      </c>
      <c r="T549" s="109">
        <v>-2726.8298179916947</v>
      </c>
      <c r="V549" s="368">
        <f t="shared" si="48"/>
        <v>61853642.141119525</v>
      </c>
      <c r="W549" s="30">
        <f t="shared" si="49"/>
        <v>66656647.095468812</v>
      </c>
      <c r="X549" s="30"/>
      <c r="Y549">
        <f t="shared" si="50"/>
        <v>0</v>
      </c>
      <c r="Z549">
        <f t="shared" si="51"/>
        <v>1</v>
      </c>
      <c r="AA549">
        <f t="shared" si="52"/>
        <v>0</v>
      </c>
      <c r="AB549">
        <f t="shared" si="53"/>
        <v>1</v>
      </c>
    </row>
    <row r="550" spans="6:28" x14ac:dyDescent="0.3">
      <c r="F550" s="28"/>
      <c r="G550">
        <v>542</v>
      </c>
      <c r="H550" s="109">
        <v>1104.769439489326</v>
      </c>
      <c r="I550" s="370">
        <v>685727.65587251529</v>
      </c>
      <c r="J550">
        <v>0</v>
      </c>
      <c r="K550">
        <v>0</v>
      </c>
      <c r="L550">
        <v>0</v>
      </c>
      <c r="M550">
        <v>1</v>
      </c>
      <c r="N550" s="109">
        <v>620.69752417254529</v>
      </c>
      <c r="O550" s="109">
        <v>-3443599.3378706197</v>
      </c>
      <c r="P550" s="365">
        <v>1</v>
      </c>
      <c r="Q550" s="365">
        <v>0</v>
      </c>
      <c r="R550" s="365">
        <v>0</v>
      </c>
      <c r="S550" s="365">
        <v>0</v>
      </c>
      <c r="T550" s="109">
        <v>-3117.029865944161</v>
      </c>
      <c r="V550" s="368">
        <f t="shared" si="48"/>
        <v>54552744.318593785</v>
      </c>
      <c r="W550" s="30">
        <f t="shared" si="49"/>
        <v>58682071.312336922</v>
      </c>
      <c r="X550" s="30"/>
      <c r="Y550">
        <f t="shared" si="50"/>
        <v>0</v>
      </c>
      <c r="Z550">
        <f t="shared" si="51"/>
        <v>1</v>
      </c>
      <c r="AA550">
        <f t="shared" si="52"/>
        <v>0</v>
      </c>
      <c r="AB550">
        <f t="shared" si="53"/>
        <v>1</v>
      </c>
    </row>
    <row r="551" spans="6:28" x14ac:dyDescent="0.3">
      <c r="F551" s="28"/>
      <c r="G551">
        <v>543</v>
      </c>
      <c r="H551" s="109">
        <v>1237.7930962425817</v>
      </c>
      <c r="I551" s="370">
        <v>1067264.3692646076</v>
      </c>
      <c r="J551">
        <v>0</v>
      </c>
      <c r="K551">
        <v>0</v>
      </c>
      <c r="L551">
        <v>0</v>
      </c>
      <c r="M551">
        <v>1</v>
      </c>
      <c r="N551" s="109">
        <v>862.23163831206728</v>
      </c>
      <c r="O551" s="109">
        <v>-3063443.5895810532</v>
      </c>
      <c r="P551" s="365">
        <v>1</v>
      </c>
      <c r="Q551" s="365">
        <v>0</v>
      </c>
      <c r="R551" s="365">
        <v>0</v>
      </c>
      <c r="S551" s="365">
        <v>0</v>
      </c>
      <c r="T551" s="109">
        <v>-2474.9237969418132</v>
      </c>
      <c r="V551" s="368">
        <f t="shared" si="48"/>
        <v>60822390.44286447</v>
      </c>
      <c r="W551" s="30">
        <f t="shared" si="49"/>
        <v>64953098.40171013</v>
      </c>
      <c r="X551" s="30"/>
      <c r="Y551">
        <f t="shared" si="50"/>
        <v>0</v>
      </c>
      <c r="Z551">
        <f t="shared" si="51"/>
        <v>1</v>
      </c>
      <c r="AA551">
        <f t="shared" si="52"/>
        <v>0</v>
      </c>
      <c r="AB551">
        <f t="shared" si="53"/>
        <v>1</v>
      </c>
    </row>
    <row r="552" spans="6:28" x14ac:dyDescent="0.3">
      <c r="F552" s="28"/>
      <c r="G552">
        <v>544</v>
      </c>
      <c r="H552" s="109">
        <v>1338.2398234243665</v>
      </c>
      <c r="I552" s="370">
        <v>1168659.5229406764</v>
      </c>
      <c r="J552">
        <v>0</v>
      </c>
      <c r="K552">
        <v>0</v>
      </c>
      <c r="L552">
        <v>0</v>
      </c>
      <c r="M552">
        <v>1</v>
      </c>
      <c r="N552" s="109">
        <v>873.28108346846375</v>
      </c>
      <c r="O552" s="109">
        <v>-4792645.8857897548</v>
      </c>
      <c r="P552" s="365">
        <v>1</v>
      </c>
      <c r="Q552" s="365">
        <v>0</v>
      </c>
      <c r="R552" s="365">
        <v>0</v>
      </c>
      <c r="S552" s="365">
        <v>0</v>
      </c>
      <c r="T552" s="109">
        <v>-3581.3056837047725</v>
      </c>
      <c r="V552" s="368">
        <f t="shared" si="48"/>
        <v>65743331.648277648</v>
      </c>
      <c r="W552" s="30">
        <f t="shared" si="49"/>
        <v>71704637.057008073</v>
      </c>
      <c r="X552" s="30"/>
      <c r="Y552">
        <f t="shared" si="50"/>
        <v>0</v>
      </c>
      <c r="Z552">
        <f t="shared" si="51"/>
        <v>1</v>
      </c>
      <c r="AA552">
        <f t="shared" si="52"/>
        <v>0</v>
      </c>
      <c r="AB552">
        <f t="shared" si="53"/>
        <v>1</v>
      </c>
    </row>
    <row r="553" spans="6:28" x14ac:dyDescent="0.3">
      <c r="F553" s="28"/>
      <c r="G553">
        <v>545</v>
      </c>
      <c r="H553" s="109">
        <v>1261.7821503993036</v>
      </c>
      <c r="I553" s="370">
        <v>1542354.6084490719</v>
      </c>
      <c r="J553">
        <v>0</v>
      </c>
      <c r="K553">
        <v>0</v>
      </c>
      <c r="L553">
        <v>0</v>
      </c>
      <c r="M553">
        <v>1</v>
      </c>
      <c r="N553" s="109">
        <v>1222.362044003379</v>
      </c>
      <c r="O553" s="109">
        <v>-3590770.145957611</v>
      </c>
      <c r="P553" s="365">
        <v>1</v>
      </c>
      <c r="Q553" s="365">
        <v>0</v>
      </c>
      <c r="R553" s="365">
        <v>0</v>
      </c>
      <c r="S553" s="365">
        <v>0</v>
      </c>
      <c r="T553" s="109">
        <v>-2845.7924728300172</v>
      </c>
      <c r="V553" s="368">
        <f t="shared" si="48"/>
        <v>61546752.911516108</v>
      </c>
      <c r="W553" s="30">
        <f t="shared" si="49"/>
        <v>66679877.665922791</v>
      </c>
      <c r="X553" s="30"/>
      <c r="Y553">
        <f t="shared" si="50"/>
        <v>0</v>
      </c>
      <c r="Z553">
        <f t="shared" si="51"/>
        <v>1</v>
      </c>
      <c r="AA553">
        <f t="shared" si="52"/>
        <v>0</v>
      </c>
      <c r="AB553">
        <f t="shared" si="53"/>
        <v>1</v>
      </c>
    </row>
    <row r="554" spans="6:28" x14ac:dyDescent="0.3">
      <c r="F554" s="28"/>
      <c r="G554">
        <v>546</v>
      </c>
      <c r="H554" s="109">
        <v>1012.5866263149874</v>
      </c>
      <c r="I554" s="370">
        <v>1204729.0171115776</v>
      </c>
      <c r="J554">
        <v>0</v>
      </c>
      <c r="K554">
        <v>0</v>
      </c>
      <c r="L554">
        <v>0</v>
      </c>
      <c r="M554">
        <v>1</v>
      </c>
      <c r="N554" s="109">
        <v>1189.7540277574435</v>
      </c>
      <c r="O554" s="109">
        <v>-2575730.1668916466</v>
      </c>
      <c r="P554" s="365">
        <v>1</v>
      </c>
      <c r="Q554" s="365">
        <v>0</v>
      </c>
      <c r="R554" s="365">
        <v>0</v>
      </c>
      <c r="S554" s="365">
        <v>0</v>
      </c>
      <c r="T554" s="109">
        <v>-2543.7133969122847</v>
      </c>
      <c r="V554" s="368">
        <f t="shared" si="48"/>
        <v>49424602.298637792</v>
      </c>
      <c r="W554" s="30">
        <f t="shared" si="49"/>
        <v>53205061.482641019</v>
      </c>
      <c r="X554" s="30"/>
      <c r="Y554">
        <f t="shared" si="50"/>
        <v>0</v>
      </c>
      <c r="Z554">
        <f t="shared" si="51"/>
        <v>1</v>
      </c>
      <c r="AA554">
        <f t="shared" si="52"/>
        <v>0</v>
      </c>
      <c r="AB554">
        <f t="shared" si="53"/>
        <v>1</v>
      </c>
    </row>
    <row r="555" spans="6:28" x14ac:dyDescent="0.3">
      <c r="F555" s="28"/>
      <c r="G555">
        <v>547</v>
      </c>
      <c r="H555" s="109">
        <v>1165.6201232673266</v>
      </c>
      <c r="I555" s="370">
        <v>1765267.2708353328</v>
      </c>
      <c r="J555">
        <v>0</v>
      </c>
      <c r="K555">
        <v>0</v>
      </c>
      <c r="L555">
        <v>0</v>
      </c>
      <c r="M555">
        <v>1</v>
      </c>
      <c r="N555" s="109">
        <v>1514.4447454176986</v>
      </c>
      <c r="O555" s="109">
        <v>-2100685.2142415876</v>
      </c>
      <c r="P555" s="365">
        <v>1</v>
      </c>
      <c r="Q555" s="365">
        <v>0</v>
      </c>
      <c r="R555" s="365">
        <v>0</v>
      </c>
      <c r="S555" s="365">
        <v>0</v>
      </c>
      <c r="T555" s="109">
        <v>-1802.203970495292</v>
      </c>
      <c r="V555" s="368">
        <f t="shared" si="48"/>
        <v>56515738.892530993</v>
      </c>
      <c r="W555" s="30">
        <f t="shared" si="49"/>
        <v>60381691.377607912</v>
      </c>
      <c r="X555" s="30"/>
      <c r="Y555">
        <f t="shared" si="50"/>
        <v>0</v>
      </c>
      <c r="Z555">
        <f t="shared" si="51"/>
        <v>1</v>
      </c>
      <c r="AA555">
        <f t="shared" si="52"/>
        <v>0</v>
      </c>
      <c r="AB555">
        <f t="shared" si="53"/>
        <v>1</v>
      </c>
    </row>
    <row r="556" spans="6:28" x14ac:dyDescent="0.3">
      <c r="F556" s="28"/>
      <c r="G556">
        <v>548</v>
      </c>
      <c r="H556" s="109">
        <v>1222.9257244361943</v>
      </c>
      <c r="I556" s="370">
        <v>394423.19873402757</v>
      </c>
      <c r="J556">
        <v>0</v>
      </c>
      <c r="K556">
        <v>0</v>
      </c>
      <c r="L556">
        <v>0</v>
      </c>
      <c r="M556">
        <v>1</v>
      </c>
      <c r="N556" s="109">
        <v>322.52424726437789</v>
      </c>
      <c r="O556" s="109">
        <v>-4366019.6966179833</v>
      </c>
      <c r="P556" s="365">
        <v>1</v>
      </c>
      <c r="Q556" s="365">
        <v>0</v>
      </c>
      <c r="R556" s="365">
        <v>0</v>
      </c>
      <c r="S556" s="365">
        <v>0</v>
      </c>
      <c r="T556" s="109">
        <v>-3570.1429852829779</v>
      </c>
      <c r="V556" s="368">
        <f t="shared" si="48"/>
        <v>60751863.023075685</v>
      </c>
      <c r="W556" s="30">
        <f t="shared" si="49"/>
        <v>65512305.918427698</v>
      </c>
      <c r="X556" s="30"/>
      <c r="Y556">
        <f t="shared" si="50"/>
        <v>0</v>
      </c>
      <c r="Z556">
        <f t="shared" si="51"/>
        <v>1</v>
      </c>
      <c r="AA556">
        <f t="shared" si="52"/>
        <v>0</v>
      </c>
      <c r="AB556">
        <f t="shared" si="53"/>
        <v>1</v>
      </c>
    </row>
    <row r="557" spans="6:28" x14ac:dyDescent="0.3">
      <c r="F557" s="28"/>
      <c r="G557">
        <v>549</v>
      </c>
      <c r="H557" s="109">
        <v>1040.4857545060804</v>
      </c>
      <c r="I557" s="370">
        <v>1231224.6249548201</v>
      </c>
      <c r="J557">
        <v>0</v>
      </c>
      <c r="K557">
        <v>0</v>
      </c>
      <c r="L557">
        <v>0</v>
      </c>
      <c r="M557">
        <v>1</v>
      </c>
      <c r="N557" s="109">
        <v>1183.3171378105831</v>
      </c>
      <c r="O557" s="109">
        <v>-2344770.5039826315</v>
      </c>
      <c r="P557" s="365">
        <v>1</v>
      </c>
      <c r="Q557" s="365">
        <v>0</v>
      </c>
      <c r="R557" s="365">
        <v>0</v>
      </c>
      <c r="S557" s="365">
        <v>0</v>
      </c>
      <c r="T557" s="109">
        <v>-2253.5344610226753</v>
      </c>
      <c r="V557" s="368">
        <f t="shared" si="48"/>
        <v>50793063.100349203</v>
      </c>
      <c r="W557" s="30">
        <f t="shared" si="49"/>
        <v>54369058.229286656</v>
      </c>
      <c r="X557" s="30"/>
      <c r="Y557">
        <f t="shared" si="50"/>
        <v>0</v>
      </c>
      <c r="Z557">
        <f t="shared" si="51"/>
        <v>1</v>
      </c>
      <c r="AA557">
        <f t="shared" si="52"/>
        <v>0</v>
      </c>
      <c r="AB557">
        <f t="shared" si="53"/>
        <v>1</v>
      </c>
    </row>
    <row r="558" spans="6:28" x14ac:dyDescent="0.3">
      <c r="F558" s="28"/>
      <c r="G558">
        <v>550</v>
      </c>
      <c r="H558" s="109">
        <v>1155.6626166922288</v>
      </c>
      <c r="I558" s="370">
        <v>1396358.5506265776</v>
      </c>
      <c r="J558">
        <v>0</v>
      </c>
      <c r="K558">
        <v>0</v>
      </c>
      <c r="L558">
        <v>0</v>
      </c>
      <c r="M558">
        <v>1</v>
      </c>
      <c r="N558" s="109">
        <v>1208.2752617050776</v>
      </c>
      <c r="O558" s="109">
        <v>-2675758.4304270879</v>
      </c>
      <c r="P558" s="365">
        <v>1</v>
      </c>
      <c r="Q558" s="365">
        <v>0</v>
      </c>
      <c r="R558" s="365">
        <v>0</v>
      </c>
      <c r="S558" s="365">
        <v>0</v>
      </c>
      <c r="T558" s="109">
        <v>-2315.345665576448</v>
      </c>
      <c r="V558" s="368">
        <f t="shared" si="48"/>
        <v>56386772.283984862</v>
      </c>
      <c r="W558" s="30">
        <f t="shared" si="49"/>
        <v>60458889.265038528</v>
      </c>
      <c r="X558" s="30"/>
      <c r="Y558">
        <f t="shared" si="50"/>
        <v>0</v>
      </c>
      <c r="Z558">
        <f t="shared" si="51"/>
        <v>1</v>
      </c>
      <c r="AA558">
        <f t="shared" si="52"/>
        <v>0</v>
      </c>
      <c r="AB558">
        <f t="shared" si="53"/>
        <v>1</v>
      </c>
    </row>
    <row r="559" spans="6:28" x14ac:dyDescent="0.3">
      <c r="F559" s="28"/>
      <c r="G559">
        <v>551</v>
      </c>
      <c r="H559" s="109">
        <v>1326.593443415346</v>
      </c>
      <c r="I559" s="370">
        <v>970089.4406387785</v>
      </c>
      <c r="J559">
        <v>0</v>
      </c>
      <c r="K559">
        <v>0</v>
      </c>
      <c r="L559">
        <v>0</v>
      </c>
      <c r="M559">
        <v>1</v>
      </c>
      <c r="N559" s="109">
        <v>731.26355738745428</v>
      </c>
      <c r="O559" s="109">
        <v>-3986343.2383973333</v>
      </c>
      <c r="P559" s="365">
        <v>1</v>
      </c>
      <c r="Q559" s="365">
        <v>0</v>
      </c>
      <c r="R559" s="365">
        <v>0</v>
      </c>
      <c r="S559" s="365">
        <v>0</v>
      </c>
      <c r="T559" s="109">
        <v>-3004.9471887441259</v>
      </c>
      <c r="V559" s="368">
        <f t="shared" si="48"/>
        <v>65359582.730128519</v>
      </c>
      <c r="W559" s="30">
        <f t="shared" si="49"/>
        <v>70316015.409164637</v>
      </c>
      <c r="X559" s="30"/>
      <c r="Y559">
        <f t="shared" si="50"/>
        <v>0</v>
      </c>
      <c r="Z559">
        <f t="shared" si="51"/>
        <v>1</v>
      </c>
      <c r="AA559">
        <f t="shared" si="52"/>
        <v>0</v>
      </c>
      <c r="AB559">
        <f t="shared" si="53"/>
        <v>1</v>
      </c>
    </row>
    <row r="560" spans="6:28" x14ac:dyDescent="0.3">
      <c r="F560" s="28"/>
      <c r="G560">
        <v>552</v>
      </c>
      <c r="H560" s="109">
        <v>928.7908506274689</v>
      </c>
      <c r="I560" s="370">
        <v>994861.27054214198</v>
      </c>
      <c r="J560">
        <v>0</v>
      </c>
      <c r="K560">
        <v>0</v>
      </c>
      <c r="L560">
        <v>0</v>
      </c>
      <c r="M560">
        <v>1</v>
      </c>
      <c r="N560" s="109">
        <v>1071.1359504349525</v>
      </c>
      <c r="O560" s="109">
        <v>-2978740.4334592521</v>
      </c>
      <c r="P560" s="365">
        <v>1</v>
      </c>
      <c r="Q560" s="365">
        <v>0</v>
      </c>
      <c r="R560" s="365">
        <v>0</v>
      </c>
      <c r="S560" s="365">
        <v>0</v>
      </c>
      <c r="T560" s="109">
        <v>-3207.1164691672902</v>
      </c>
      <c r="V560" s="368">
        <f t="shared" si="48"/>
        <v>45444681.260831296</v>
      </c>
      <c r="W560" s="30">
        <f t="shared" si="49"/>
        <v>49418282.964832693</v>
      </c>
      <c r="X560" s="30"/>
      <c r="Y560">
        <f t="shared" si="50"/>
        <v>0</v>
      </c>
      <c r="Z560">
        <f t="shared" si="51"/>
        <v>1</v>
      </c>
      <c r="AA560">
        <f t="shared" si="52"/>
        <v>0</v>
      </c>
      <c r="AB560">
        <f t="shared" si="53"/>
        <v>1</v>
      </c>
    </row>
    <row r="561" spans="6:28" x14ac:dyDescent="0.3">
      <c r="F561" s="28"/>
      <c r="G561">
        <v>553</v>
      </c>
      <c r="H561" s="109">
        <v>1096.6027553018721</v>
      </c>
      <c r="I561" s="370">
        <v>2091815.4779687559</v>
      </c>
      <c r="J561">
        <v>0</v>
      </c>
      <c r="K561">
        <v>0</v>
      </c>
      <c r="L561">
        <v>0</v>
      </c>
      <c r="M561">
        <v>1</v>
      </c>
      <c r="N561" s="109">
        <v>1907.5416944332976</v>
      </c>
      <c r="O561" s="109">
        <v>-3019629.6999589242</v>
      </c>
      <c r="P561" s="365">
        <v>1</v>
      </c>
      <c r="Q561" s="365">
        <v>0</v>
      </c>
      <c r="R561" s="365">
        <v>0</v>
      </c>
      <c r="S561" s="365">
        <v>0</v>
      </c>
      <c r="T561" s="109">
        <v>-2753.6222076404347</v>
      </c>
      <c r="V561" s="368">
        <f t="shared" si="48"/>
        <v>52738322.28712485</v>
      </c>
      <c r="W561" s="30">
        <f t="shared" si="49"/>
        <v>57849767.46505253</v>
      </c>
      <c r="X561" s="30"/>
      <c r="Y561">
        <f t="shared" si="50"/>
        <v>0</v>
      </c>
      <c r="Z561">
        <f t="shared" si="51"/>
        <v>1</v>
      </c>
      <c r="AA561">
        <f t="shared" si="52"/>
        <v>0</v>
      </c>
      <c r="AB561">
        <f t="shared" si="53"/>
        <v>1</v>
      </c>
    </row>
    <row r="562" spans="6:28" x14ac:dyDescent="0.3">
      <c r="F562" s="28"/>
      <c r="G562">
        <v>554</v>
      </c>
      <c r="H562" s="109">
        <v>1150.1396014214697</v>
      </c>
      <c r="I562" s="370">
        <v>1288219.9330248628</v>
      </c>
      <c r="J562">
        <v>0</v>
      </c>
      <c r="K562">
        <v>0</v>
      </c>
      <c r="L562">
        <v>0</v>
      </c>
      <c r="M562">
        <v>1</v>
      </c>
      <c r="N562" s="109">
        <v>1120.0552797527694</v>
      </c>
      <c r="O562" s="109">
        <v>-3356745.3134631854</v>
      </c>
      <c r="P562" s="365">
        <v>1</v>
      </c>
      <c r="Q562" s="365">
        <v>0</v>
      </c>
      <c r="R562" s="365">
        <v>0</v>
      </c>
      <c r="S562" s="365">
        <v>0</v>
      </c>
      <c r="T562" s="109">
        <v>-2918.5546774622389</v>
      </c>
      <c r="V562" s="368">
        <f t="shared" si="48"/>
        <v>56218760.138048626</v>
      </c>
      <c r="W562" s="30">
        <f t="shared" si="49"/>
        <v>60863725.384536676</v>
      </c>
      <c r="X562" s="30"/>
      <c r="Y562">
        <f t="shared" si="50"/>
        <v>0</v>
      </c>
      <c r="Z562">
        <f t="shared" si="51"/>
        <v>1</v>
      </c>
      <c r="AA562">
        <f t="shared" si="52"/>
        <v>0</v>
      </c>
      <c r="AB562">
        <f t="shared" si="53"/>
        <v>1</v>
      </c>
    </row>
    <row r="563" spans="6:28" x14ac:dyDescent="0.3">
      <c r="F563" s="28"/>
      <c r="G563">
        <v>555</v>
      </c>
      <c r="H563" s="109">
        <v>1398.4303441417433</v>
      </c>
      <c r="I563" s="370">
        <v>1963087.9881617907</v>
      </c>
      <c r="J563">
        <v>0</v>
      </c>
      <c r="K563">
        <v>0</v>
      </c>
      <c r="L563">
        <v>0</v>
      </c>
      <c r="M563">
        <v>1</v>
      </c>
      <c r="N563" s="109">
        <v>1403.7795993096775</v>
      </c>
      <c r="O563" s="109">
        <v>-2947874.458359208</v>
      </c>
      <c r="P563" s="365">
        <v>1</v>
      </c>
      <c r="Q563" s="365">
        <v>0</v>
      </c>
      <c r="R563" s="365">
        <v>0</v>
      </c>
      <c r="S563" s="365">
        <v>0</v>
      </c>
      <c r="T563" s="109">
        <v>-2107.9880529683464</v>
      </c>
      <c r="V563" s="368">
        <f t="shared" si="48"/>
        <v>67958429.218925372</v>
      </c>
      <c r="W563" s="30">
        <f t="shared" si="49"/>
        <v>72869391.665446371</v>
      </c>
      <c r="X563" s="30"/>
      <c r="Y563">
        <f t="shared" si="50"/>
        <v>0</v>
      </c>
      <c r="Z563">
        <f t="shared" si="51"/>
        <v>1</v>
      </c>
      <c r="AA563">
        <f t="shared" si="52"/>
        <v>0</v>
      </c>
      <c r="AB563">
        <f t="shared" si="53"/>
        <v>1</v>
      </c>
    </row>
    <row r="564" spans="6:28" x14ac:dyDescent="0.3">
      <c r="F564" s="28"/>
      <c r="G564">
        <v>556</v>
      </c>
      <c r="H564" s="109">
        <v>1333.9626875627146</v>
      </c>
      <c r="I564" s="370">
        <v>1644257.6579394445</v>
      </c>
      <c r="J564">
        <v>0</v>
      </c>
      <c r="K564">
        <v>0</v>
      </c>
      <c r="L564">
        <v>0</v>
      </c>
      <c r="M564">
        <v>1</v>
      </c>
      <c r="N564" s="109">
        <v>1232.6114315413652</v>
      </c>
      <c r="O564" s="109">
        <v>-4275913.1667252751</v>
      </c>
      <c r="P564" s="365">
        <v>1</v>
      </c>
      <c r="Q564" s="365">
        <v>0</v>
      </c>
      <c r="R564" s="365">
        <v>0</v>
      </c>
      <c r="S564" s="365">
        <v>0</v>
      </c>
      <c r="T564" s="109">
        <v>-3205.4218656878652</v>
      </c>
      <c r="V564" s="368">
        <f t="shared" si="48"/>
        <v>65053876.720196284</v>
      </c>
      <c r="W564" s="30">
        <f t="shared" si="49"/>
        <v>70974047.544861004</v>
      </c>
      <c r="X564" s="30"/>
      <c r="Y564">
        <f t="shared" si="50"/>
        <v>0</v>
      </c>
      <c r="Z564">
        <f t="shared" si="51"/>
        <v>1</v>
      </c>
      <c r="AA564">
        <f t="shared" si="52"/>
        <v>0</v>
      </c>
      <c r="AB564">
        <f t="shared" si="53"/>
        <v>1</v>
      </c>
    </row>
    <row r="565" spans="6:28" x14ac:dyDescent="0.3">
      <c r="F565" s="28"/>
      <c r="G565">
        <v>557</v>
      </c>
      <c r="H565" s="109">
        <v>1494.1752174985013</v>
      </c>
      <c r="I565" s="370">
        <v>828709.94551933347</v>
      </c>
      <c r="J565">
        <v>0</v>
      </c>
      <c r="K565">
        <v>0</v>
      </c>
      <c r="L565">
        <v>0</v>
      </c>
      <c r="M565">
        <v>1</v>
      </c>
      <c r="N565" s="109">
        <v>554.6270181797903</v>
      </c>
      <c r="O565" s="109">
        <v>-5331848.0014377525</v>
      </c>
      <c r="P565" s="365">
        <v>1</v>
      </c>
      <c r="Q565" s="365">
        <v>0</v>
      </c>
      <c r="R565" s="365">
        <v>0</v>
      </c>
      <c r="S565" s="365">
        <v>0</v>
      </c>
      <c r="T565" s="109">
        <v>-3568.4221897108937</v>
      </c>
      <c r="V565" s="368">
        <f t="shared" si="48"/>
        <v>73880050.929405734</v>
      </c>
      <c r="W565" s="30">
        <f t="shared" si="49"/>
        <v>80040608.876362815</v>
      </c>
      <c r="X565" s="30"/>
      <c r="Y565">
        <f t="shared" si="50"/>
        <v>0</v>
      </c>
      <c r="Z565">
        <f t="shared" si="51"/>
        <v>1</v>
      </c>
      <c r="AA565">
        <f t="shared" si="52"/>
        <v>0</v>
      </c>
      <c r="AB565">
        <f t="shared" si="53"/>
        <v>1</v>
      </c>
    </row>
    <row r="566" spans="6:28" x14ac:dyDescent="0.3">
      <c r="F566" s="28"/>
      <c r="G566">
        <v>558</v>
      </c>
      <c r="H566" s="109">
        <v>1192.5706794102589</v>
      </c>
      <c r="I566" s="370">
        <v>880862.22672620905</v>
      </c>
      <c r="J566">
        <v>0</v>
      </c>
      <c r="K566">
        <v>0</v>
      </c>
      <c r="L566">
        <v>0</v>
      </c>
      <c r="M566">
        <v>1</v>
      </c>
      <c r="N566" s="109">
        <v>738.62475569314381</v>
      </c>
      <c r="O566" s="109">
        <v>-3685542.45081553</v>
      </c>
      <c r="P566" s="365">
        <v>1</v>
      </c>
      <c r="Q566" s="365">
        <v>0</v>
      </c>
      <c r="R566" s="365">
        <v>0</v>
      </c>
      <c r="S566" s="365">
        <v>0</v>
      </c>
      <c r="T566" s="109">
        <v>-3090.4184669692509</v>
      </c>
      <c r="V566" s="368">
        <f t="shared" si="48"/>
        <v>58747671.74378673</v>
      </c>
      <c r="W566" s="30">
        <f t="shared" si="49"/>
        <v>63314076.42132847</v>
      </c>
      <c r="X566" s="30"/>
      <c r="Y566">
        <f t="shared" si="50"/>
        <v>0</v>
      </c>
      <c r="Z566">
        <f t="shared" si="51"/>
        <v>1</v>
      </c>
      <c r="AA566">
        <f t="shared" si="52"/>
        <v>0</v>
      </c>
      <c r="AB566">
        <f t="shared" si="53"/>
        <v>1</v>
      </c>
    </row>
    <row r="567" spans="6:28" x14ac:dyDescent="0.3">
      <c r="F567" s="28"/>
      <c r="G567">
        <v>559</v>
      </c>
      <c r="H567" s="109">
        <v>1197.2586664192131</v>
      </c>
      <c r="I567" s="370">
        <v>903587.70456900983</v>
      </c>
      <c r="J567">
        <v>0</v>
      </c>
      <c r="K567">
        <v>0</v>
      </c>
      <c r="L567">
        <v>0</v>
      </c>
      <c r="M567">
        <v>1</v>
      </c>
      <c r="N567" s="109">
        <v>754.71385583825361</v>
      </c>
      <c r="O567" s="109">
        <v>-4462765.9238952538</v>
      </c>
      <c r="P567" s="365">
        <v>1</v>
      </c>
      <c r="Q567" s="365">
        <v>0</v>
      </c>
      <c r="R567" s="365">
        <v>0</v>
      </c>
      <c r="S567" s="365">
        <v>0</v>
      </c>
      <c r="T567" s="109">
        <v>-3727.4868406194878</v>
      </c>
      <c r="V567" s="368">
        <f t="shared" si="48"/>
        <v>58959345.616391644</v>
      </c>
      <c r="W567" s="30">
        <f t="shared" si="49"/>
        <v>64325699.244855911</v>
      </c>
      <c r="X567" s="30"/>
      <c r="Y567">
        <f t="shared" si="50"/>
        <v>0</v>
      </c>
      <c r="Z567">
        <f t="shared" si="51"/>
        <v>1</v>
      </c>
      <c r="AA567">
        <f t="shared" si="52"/>
        <v>0</v>
      </c>
      <c r="AB567">
        <f t="shared" si="53"/>
        <v>1</v>
      </c>
    </row>
    <row r="568" spans="6:28" x14ac:dyDescent="0.3">
      <c r="F568" s="28"/>
      <c r="G568">
        <v>560</v>
      </c>
      <c r="H568" s="109">
        <v>1132.178979020704</v>
      </c>
      <c r="I568" s="370">
        <v>599863.97723840293</v>
      </c>
      <c r="J568">
        <v>0</v>
      </c>
      <c r="K568">
        <v>0</v>
      </c>
      <c r="L568">
        <v>0</v>
      </c>
      <c r="M568">
        <v>1</v>
      </c>
      <c r="N568" s="109">
        <v>529.83140329744037</v>
      </c>
      <c r="O568" s="109">
        <v>-3662145.5106950263</v>
      </c>
      <c r="P568" s="365">
        <v>1</v>
      </c>
      <c r="Q568" s="365">
        <v>0</v>
      </c>
      <c r="R568" s="365">
        <v>0</v>
      </c>
      <c r="S568" s="365">
        <v>0</v>
      </c>
      <c r="T568" s="109">
        <v>-3234.599456936267</v>
      </c>
      <c r="V568" s="368">
        <f t="shared" si="48"/>
        <v>56009084.9737968</v>
      </c>
      <c r="W568" s="30">
        <f t="shared" si="49"/>
        <v>60271094.461730227</v>
      </c>
      <c r="X568" s="30"/>
      <c r="Y568">
        <f t="shared" si="50"/>
        <v>0</v>
      </c>
      <c r="Z568">
        <f t="shared" si="51"/>
        <v>1</v>
      </c>
      <c r="AA568">
        <f t="shared" si="52"/>
        <v>0</v>
      </c>
      <c r="AB568">
        <f t="shared" si="53"/>
        <v>1</v>
      </c>
    </row>
    <row r="569" spans="6:28" x14ac:dyDescent="0.3">
      <c r="F569" s="28"/>
      <c r="G569">
        <v>561</v>
      </c>
      <c r="H569" s="109">
        <v>1027.1056442575282</v>
      </c>
      <c r="I569" s="370">
        <v>1341990.0135722775</v>
      </c>
      <c r="J569">
        <v>0</v>
      </c>
      <c r="K569">
        <v>0</v>
      </c>
      <c r="L569">
        <v>0</v>
      </c>
      <c r="M569">
        <v>1</v>
      </c>
      <c r="N569" s="109">
        <v>1306.5744707715751</v>
      </c>
      <c r="O569" s="109">
        <v>-2681466.9203765956</v>
      </c>
      <c r="P569" s="365">
        <v>1</v>
      </c>
      <c r="Q569" s="365">
        <v>0</v>
      </c>
      <c r="R569" s="365">
        <v>0</v>
      </c>
      <c r="S569" s="365">
        <v>0</v>
      </c>
      <c r="T569" s="109">
        <v>-2610.7021564611969</v>
      </c>
      <c r="V569" s="368">
        <f t="shared" si="48"/>
        <v>50013292.199304134</v>
      </c>
      <c r="W569" s="30">
        <f t="shared" si="49"/>
        <v>54036749.133253008</v>
      </c>
      <c r="X569" s="30"/>
      <c r="Y569">
        <f t="shared" si="50"/>
        <v>0</v>
      </c>
      <c r="Z569">
        <f t="shared" si="51"/>
        <v>1</v>
      </c>
      <c r="AA569">
        <f t="shared" si="52"/>
        <v>0</v>
      </c>
      <c r="AB569">
        <f t="shared" si="53"/>
        <v>1</v>
      </c>
    </row>
    <row r="570" spans="6:28" x14ac:dyDescent="0.3">
      <c r="F570" s="28"/>
      <c r="G570">
        <v>562</v>
      </c>
      <c r="H570" s="109">
        <v>1102.5351191472</v>
      </c>
      <c r="I570" s="370">
        <v>962320.18971405493</v>
      </c>
      <c r="J570">
        <v>0</v>
      </c>
      <c r="K570">
        <v>0</v>
      </c>
      <c r="L570">
        <v>0</v>
      </c>
      <c r="M570">
        <v>1</v>
      </c>
      <c r="N570" s="109">
        <v>872.82497673035584</v>
      </c>
      <c r="O570" s="109">
        <v>-2840071.8497035578</v>
      </c>
      <c r="P570" s="365">
        <v>1</v>
      </c>
      <c r="Q570" s="365">
        <v>0</v>
      </c>
      <c r="R570" s="365">
        <v>0</v>
      </c>
      <c r="S570" s="365">
        <v>0</v>
      </c>
      <c r="T570" s="109">
        <v>-2575.9468341474012</v>
      </c>
      <c r="V570" s="368">
        <f t="shared" si="48"/>
        <v>54164435.767645948</v>
      </c>
      <c r="W570" s="30">
        <f t="shared" si="49"/>
        <v>57966827.807063557</v>
      </c>
      <c r="X570" s="30"/>
      <c r="Y570">
        <f t="shared" si="50"/>
        <v>0</v>
      </c>
      <c r="Z570">
        <f t="shared" si="51"/>
        <v>1</v>
      </c>
      <c r="AA570">
        <f t="shared" si="52"/>
        <v>0</v>
      </c>
      <c r="AB570">
        <f t="shared" si="53"/>
        <v>1</v>
      </c>
    </row>
    <row r="571" spans="6:28" x14ac:dyDescent="0.3">
      <c r="F571" s="28"/>
      <c r="G571">
        <v>563</v>
      </c>
      <c r="H571" s="109">
        <v>1175.0714004392648</v>
      </c>
      <c r="I571" s="370">
        <v>835497.85621844488</v>
      </c>
      <c r="J571">
        <v>0</v>
      </c>
      <c r="K571">
        <v>0</v>
      </c>
      <c r="L571">
        <v>0</v>
      </c>
      <c r="M571">
        <v>1</v>
      </c>
      <c r="N571" s="109">
        <v>711.01879928838309</v>
      </c>
      <c r="O571" s="109">
        <v>-3733036.883509492</v>
      </c>
      <c r="P571" s="365">
        <v>1</v>
      </c>
      <c r="Q571" s="365">
        <v>0</v>
      </c>
      <c r="R571" s="365">
        <v>0</v>
      </c>
      <c r="S571" s="365">
        <v>0</v>
      </c>
      <c r="T571" s="109">
        <v>-3176.8596207124174</v>
      </c>
      <c r="V571" s="368">
        <f t="shared" si="48"/>
        <v>57918072.165744796</v>
      </c>
      <c r="W571" s="30">
        <f t="shared" si="49"/>
        <v>62486606.905472733</v>
      </c>
      <c r="X571" s="30"/>
      <c r="Y571">
        <f t="shared" si="50"/>
        <v>0</v>
      </c>
      <c r="Z571">
        <f t="shared" si="51"/>
        <v>1</v>
      </c>
      <c r="AA571">
        <f t="shared" si="52"/>
        <v>0</v>
      </c>
      <c r="AB571">
        <f t="shared" si="53"/>
        <v>1</v>
      </c>
    </row>
    <row r="572" spans="6:28" x14ac:dyDescent="0.3">
      <c r="F572" s="28"/>
      <c r="G572">
        <v>564</v>
      </c>
      <c r="H572" s="109">
        <v>1393.3916296360258</v>
      </c>
      <c r="I572" s="370">
        <v>910906.87661476468</v>
      </c>
      <c r="J572">
        <v>0</v>
      </c>
      <c r="K572">
        <v>0</v>
      </c>
      <c r="L572">
        <v>0</v>
      </c>
      <c r="M572">
        <v>1</v>
      </c>
      <c r="N572" s="109">
        <v>653.73356437680548</v>
      </c>
      <c r="O572" s="109">
        <v>-5479150.7395206103</v>
      </c>
      <c r="P572" s="365">
        <v>1</v>
      </c>
      <c r="Q572" s="365">
        <v>0</v>
      </c>
      <c r="R572" s="365">
        <v>0</v>
      </c>
      <c r="S572" s="365">
        <v>0</v>
      </c>
      <c r="T572" s="109">
        <v>-3932.240314197843</v>
      </c>
      <c r="V572" s="368">
        <f t="shared" si="48"/>
        <v>68758674.605186522</v>
      </c>
      <c r="W572" s="30">
        <f t="shared" si="49"/>
        <v>75148732.221321896</v>
      </c>
      <c r="X572" s="30"/>
      <c r="Y572">
        <f t="shared" si="50"/>
        <v>0</v>
      </c>
      <c r="Z572">
        <f t="shared" si="51"/>
        <v>1</v>
      </c>
      <c r="AA572">
        <f t="shared" si="52"/>
        <v>0</v>
      </c>
      <c r="AB572">
        <f t="shared" si="53"/>
        <v>1</v>
      </c>
    </row>
    <row r="573" spans="6:28" x14ac:dyDescent="0.3">
      <c r="F573" s="28"/>
      <c r="G573">
        <v>565</v>
      </c>
      <c r="H573" s="109">
        <v>1205.8780181722686</v>
      </c>
      <c r="I573" s="370">
        <v>1322327.3902561071</v>
      </c>
      <c r="J573">
        <v>0</v>
      </c>
      <c r="K573">
        <v>0</v>
      </c>
      <c r="L573">
        <v>0</v>
      </c>
      <c r="M573">
        <v>1</v>
      </c>
      <c r="N573" s="109">
        <v>1096.5681191040692</v>
      </c>
      <c r="O573" s="109">
        <v>-3154185.1098470581</v>
      </c>
      <c r="P573" s="365">
        <v>1</v>
      </c>
      <c r="Q573" s="365">
        <v>0</v>
      </c>
      <c r="R573" s="365">
        <v>0</v>
      </c>
      <c r="S573" s="365">
        <v>0</v>
      </c>
      <c r="T573" s="109">
        <v>-2615.6751033805303</v>
      </c>
      <c r="V573" s="368">
        <f t="shared" si="48"/>
        <v>58971573.518357322</v>
      </c>
      <c r="W573" s="30">
        <f t="shared" si="49"/>
        <v>63448086.01846049</v>
      </c>
      <c r="X573" s="30"/>
      <c r="Y573">
        <f t="shared" si="50"/>
        <v>0</v>
      </c>
      <c r="Z573">
        <f t="shared" si="51"/>
        <v>1</v>
      </c>
      <c r="AA573">
        <f t="shared" si="52"/>
        <v>0</v>
      </c>
      <c r="AB573">
        <f t="shared" si="53"/>
        <v>1</v>
      </c>
    </row>
    <row r="574" spans="6:28" x14ac:dyDescent="0.3">
      <c r="F574" s="28"/>
      <c r="G574">
        <v>566</v>
      </c>
      <c r="H574" s="109">
        <v>1486.3405830027259</v>
      </c>
      <c r="I574" s="370">
        <v>1278294.6582665143</v>
      </c>
      <c r="J574">
        <v>0</v>
      </c>
      <c r="K574">
        <v>0</v>
      </c>
      <c r="L574">
        <v>0</v>
      </c>
      <c r="M574">
        <v>1</v>
      </c>
      <c r="N574" s="109">
        <v>860.02809375229845</v>
      </c>
      <c r="O574" s="109">
        <v>-5956157.1694400711</v>
      </c>
      <c r="P574" s="365">
        <v>1</v>
      </c>
      <c r="Q574" s="365">
        <v>0</v>
      </c>
      <c r="R574" s="365">
        <v>0</v>
      </c>
      <c r="S574" s="365">
        <v>0</v>
      </c>
      <c r="T574" s="109">
        <v>-4007.2626944003368</v>
      </c>
      <c r="V574" s="368">
        <f t="shared" si="48"/>
        <v>73038734.491869777</v>
      </c>
      <c r="W574" s="30">
        <f t="shared" si="49"/>
        <v>80273186.319576368</v>
      </c>
      <c r="X574" s="30"/>
      <c r="Y574">
        <f t="shared" si="50"/>
        <v>0</v>
      </c>
      <c r="Z574">
        <f t="shared" si="51"/>
        <v>1</v>
      </c>
      <c r="AA574">
        <f t="shared" si="52"/>
        <v>0</v>
      </c>
      <c r="AB574">
        <f t="shared" si="53"/>
        <v>1</v>
      </c>
    </row>
    <row r="575" spans="6:28" x14ac:dyDescent="0.3">
      <c r="F575" s="28"/>
      <c r="G575">
        <v>567</v>
      </c>
      <c r="H575" s="109">
        <v>1328.7854285771537</v>
      </c>
      <c r="I575" s="370">
        <v>1851658.9677764403</v>
      </c>
      <c r="J575">
        <v>0</v>
      </c>
      <c r="K575">
        <v>0</v>
      </c>
      <c r="L575">
        <v>0</v>
      </c>
      <c r="M575">
        <v>1</v>
      </c>
      <c r="N575" s="109">
        <v>1393.4973457371316</v>
      </c>
      <c r="O575" s="109">
        <v>-3875535.9666599599</v>
      </c>
      <c r="P575" s="365">
        <v>1</v>
      </c>
      <c r="Q575" s="365">
        <v>0</v>
      </c>
      <c r="R575" s="365">
        <v>0</v>
      </c>
      <c r="S575" s="365">
        <v>0</v>
      </c>
      <c r="T575" s="109">
        <v>-2916.6002902438763</v>
      </c>
      <c r="V575" s="368">
        <f t="shared" si="48"/>
        <v>64587612.461081244</v>
      </c>
      <c r="W575" s="30">
        <f t="shared" si="49"/>
        <v>70314807.395517647</v>
      </c>
      <c r="X575" s="30"/>
      <c r="Y575">
        <f t="shared" si="50"/>
        <v>0</v>
      </c>
      <c r="Z575">
        <f t="shared" si="51"/>
        <v>1</v>
      </c>
      <c r="AA575">
        <f t="shared" si="52"/>
        <v>0</v>
      </c>
      <c r="AB575">
        <f t="shared" si="53"/>
        <v>1</v>
      </c>
    </row>
    <row r="576" spans="6:28" x14ac:dyDescent="0.3">
      <c r="F576" s="28"/>
      <c r="G576">
        <v>568</v>
      </c>
      <c r="H576" s="109">
        <v>1269.2409354551783</v>
      </c>
      <c r="I576" s="370">
        <v>1642454.2729424923</v>
      </c>
      <c r="J576">
        <v>0</v>
      </c>
      <c r="K576">
        <v>0</v>
      </c>
      <c r="L576">
        <v>0</v>
      </c>
      <c r="M576">
        <v>1</v>
      </c>
      <c r="N576" s="109">
        <v>1294.0445167358798</v>
      </c>
      <c r="O576" s="109">
        <v>-3527252.9692857149</v>
      </c>
      <c r="P576" s="365">
        <v>1</v>
      </c>
      <c r="Q576" s="365">
        <v>0</v>
      </c>
      <c r="R576" s="365">
        <v>0</v>
      </c>
      <c r="S576" s="365">
        <v>0</v>
      </c>
      <c r="T576" s="109">
        <v>-2779.0255346757808</v>
      </c>
      <c r="V576" s="368">
        <f t="shared" si="48"/>
        <v>61819592.499816425</v>
      </c>
      <c r="W576" s="30">
        <f t="shared" si="49"/>
        <v>66989299.742044628</v>
      </c>
      <c r="X576" s="30"/>
      <c r="Y576">
        <f t="shared" si="50"/>
        <v>0</v>
      </c>
      <c r="Z576">
        <f t="shared" si="51"/>
        <v>1</v>
      </c>
      <c r="AA576">
        <f t="shared" si="52"/>
        <v>0</v>
      </c>
      <c r="AB576">
        <f t="shared" si="53"/>
        <v>1</v>
      </c>
    </row>
    <row r="577" spans="6:28" x14ac:dyDescent="0.3">
      <c r="F577" s="28"/>
      <c r="G577">
        <v>569</v>
      </c>
      <c r="H577" s="109">
        <v>1280.2325004806917</v>
      </c>
      <c r="I577" s="370">
        <v>764941.40175725438</v>
      </c>
      <c r="J577">
        <v>0</v>
      </c>
      <c r="K577">
        <v>0</v>
      </c>
      <c r="L577">
        <v>0</v>
      </c>
      <c r="M577">
        <v>1</v>
      </c>
      <c r="N577" s="109">
        <v>597.50193927278065</v>
      </c>
      <c r="O577" s="109">
        <v>-4245474.2325224774</v>
      </c>
      <c r="P577" s="365">
        <v>1</v>
      </c>
      <c r="Q577" s="365">
        <v>0</v>
      </c>
      <c r="R577" s="365">
        <v>0</v>
      </c>
      <c r="S577" s="365">
        <v>0</v>
      </c>
      <c r="T577" s="109">
        <v>-3316.1743909238517</v>
      </c>
      <c r="V577" s="368">
        <f t="shared" si="48"/>
        <v>63246683.622277327</v>
      </c>
      <c r="W577" s="30">
        <f t="shared" si="49"/>
        <v>68257099.256557062</v>
      </c>
      <c r="X577" s="30"/>
      <c r="Y577">
        <f t="shared" si="50"/>
        <v>0</v>
      </c>
      <c r="Z577">
        <f t="shared" si="51"/>
        <v>1</v>
      </c>
      <c r="AA577">
        <f t="shared" si="52"/>
        <v>0</v>
      </c>
      <c r="AB577">
        <f t="shared" si="53"/>
        <v>1</v>
      </c>
    </row>
    <row r="578" spans="6:28" x14ac:dyDescent="0.3">
      <c r="F578" s="28"/>
      <c r="G578">
        <v>570</v>
      </c>
      <c r="H578" s="109">
        <v>1212.3623871390664</v>
      </c>
      <c r="I578" s="370">
        <v>862982.30065187346</v>
      </c>
      <c r="J578">
        <v>0</v>
      </c>
      <c r="K578">
        <v>0</v>
      </c>
      <c r="L578">
        <v>0</v>
      </c>
      <c r="M578">
        <v>1</v>
      </c>
      <c r="N578" s="109">
        <v>711.81876789194996</v>
      </c>
      <c r="O578" s="109">
        <v>-3529637.0977460924</v>
      </c>
      <c r="P578" s="365">
        <v>1</v>
      </c>
      <c r="Q578" s="365">
        <v>0</v>
      </c>
      <c r="R578" s="365">
        <v>0</v>
      </c>
      <c r="S578" s="365">
        <v>0</v>
      </c>
      <c r="T578" s="109">
        <v>-2911.3713318633486</v>
      </c>
      <c r="V578" s="368">
        <f t="shared" si="48"/>
        <v>59755137.056301452</v>
      </c>
      <c r="W578" s="30">
        <f t="shared" si="49"/>
        <v>64147756.454699412</v>
      </c>
      <c r="X578" s="30"/>
      <c r="Y578">
        <f t="shared" si="50"/>
        <v>0</v>
      </c>
      <c r="Z578">
        <f t="shared" si="51"/>
        <v>1</v>
      </c>
      <c r="AA578">
        <f t="shared" si="52"/>
        <v>0</v>
      </c>
      <c r="AB578">
        <f t="shared" si="53"/>
        <v>1</v>
      </c>
    </row>
    <row r="579" spans="6:28" x14ac:dyDescent="0.3">
      <c r="F579" s="28"/>
      <c r="G579">
        <v>571</v>
      </c>
      <c r="H579" s="109">
        <v>1144.2705988012749</v>
      </c>
      <c r="I579" s="370">
        <v>1703850.1027340535</v>
      </c>
      <c r="J579">
        <v>0</v>
      </c>
      <c r="K579">
        <v>0</v>
      </c>
      <c r="L579">
        <v>0</v>
      </c>
      <c r="M579">
        <v>1</v>
      </c>
      <c r="N579" s="109">
        <v>1489.027249777271</v>
      </c>
      <c r="O579" s="109">
        <v>-2972783.217832983</v>
      </c>
      <c r="P579" s="365">
        <v>1</v>
      </c>
      <c r="Q579" s="365">
        <v>0</v>
      </c>
      <c r="R579" s="365">
        <v>0</v>
      </c>
      <c r="S579" s="365">
        <v>0</v>
      </c>
      <c r="T579" s="109">
        <v>-2597.9722112472673</v>
      </c>
      <c r="V579" s="368">
        <f t="shared" si="48"/>
        <v>55509679.837329693</v>
      </c>
      <c r="W579" s="30">
        <f t="shared" si="49"/>
        <v>60186313.157896727</v>
      </c>
      <c r="X579" s="30"/>
      <c r="Y579">
        <f t="shared" si="50"/>
        <v>0</v>
      </c>
      <c r="Z579">
        <f t="shared" si="51"/>
        <v>1</v>
      </c>
      <c r="AA579">
        <f t="shared" si="52"/>
        <v>0</v>
      </c>
      <c r="AB579">
        <f t="shared" si="53"/>
        <v>1</v>
      </c>
    </row>
    <row r="580" spans="6:28" x14ac:dyDescent="0.3">
      <c r="F580" s="28"/>
      <c r="G580">
        <v>572</v>
      </c>
      <c r="H580" s="109">
        <v>1096.7825052390763</v>
      </c>
      <c r="I580" s="370">
        <v>844623.2719852631</v>
      </c>
      <c r="J580">
        <v>0</v>
      </c>
      <c r="K580">
        <v>0</v>
      </c>
      <c r="L580">
        <v>0</v>
      </c>
      <c r="M580">
        <v>1</v>
      </c>
      <c r="N580" s="109">
        <v>770.09185317115578</v>
      </c>
      <c r="O580" s="109">
        <v>-4014348.4949353817</v>
      </c>
      <c r="P580" s="365">
        <v>1</v>
      </c>
      <c r="Q580" s="365">
        <v>0</v>
      </c>
      <c r="R580" s="365">
        <v>0</v>
      </c>
      <c r="S580" s="365">
        <v>0</v>
      </c>
      <c r="T580" s="109">
        <v>-3660.1135373328511</v>
      </c>
      <c r="V580" s="368">
        <f t="shared" si="48"/>
        <v>53994501.989968553</v>
      </c>
      <c r="W580" s="30">
        <f t="shared" si="49"/>
        <v>58853473.756889194</v>
      </c>
      <c r="X580" s="30"/>
      <c r="Y580">
        <f t="shared" si="50"/>
        <v>0</v>
      </c>
      <c r="Z580">
        <f t="shared" si="51"/>
        <v>1</v>
      </c>
      <c r="AA580">
        <f t="shared" si="52"/>
        <v>0</v>
      </c>
      <c r="AB580">
        <f t="shared" si="53"/>
        <v>1</v>
      </c>
    </row>
    <row r="581" spans="6:28" x14ac:dyDescent="0.3">
      <c r="F581" s="28"/>
      <c r="G581">
        <v>573</v>
      </c>
      <c r="H581" s="109">
        <v>1058.5660482601597</v>
      </c>
      <c r="I581" s="370">
        <v>2219470.9066352821</v>
      </c>
      <c r="J581">
        <v>0</v>
      </c>
      <c r="K581">
        <v>0</v>
      </c>
      <c r="L581">
        <v>0</v>
      </c>
      <c r="M581">
        <v>1</v>
      </c>
      <c r="N581" s="109">
        <v>2096.6768302111755</v>
      </c>
      <c r="O581" s="109">
        <v>-1967066.3092396345</v>
      </c>
      <c r="P581" s="365">
        <v>1</v>
      </c>
      <c r="Q581" s="365">
        <v>0</v>
      </c>
      <c r="R581" s="365">
        <v>0</v>
      </c>
      <c r="S581" s="365">
        <v>0</v>
      </c>
      <c r="T581" s="109">
        <v>-1858.2367273848142</v>
      </c>
      <c r="V581" s="368">
        <f t="shared" si="48"/>
        <v>50708831.506372705</v>
      </c>
      <c r="W581" s="30">
        <f t="shared" si="49"/>
        <v>54895368.722247623</v>
      </c>
      <c r="X581" s="30"/>
      <c r="Y581">
        <f t="shared" si="50"/>
        <v>0</v>
      </c>
      <c r="Z581">
        <f t="shared" si="51"/>
        <v>1</v>
      </c>
      <c r="AA581">
        <f t="shared" si="52"/>
        <v>0</v>
      </c>
      <c r="AB581">
        <f t="shared" si="53"/>
        <v>1</v>
      </c>
    </row>
    <row r="582" spans="6:28" x14ac:dyDescent="0.3">
      <c r="F582" s="28"/>
      <c r="G582">
        <v>574</v>
      </c>
      <c r="H582" s="109">
        <v>1058.8217164769158</v>
      </c>
      <c r="I582" s="370">
        <v>952786.28915391362</v>
      </c>
      <c r="J582">
        <v>0</v>
      </c>
      <c r="K582">
        <v>0</v>
      </c>
      <c r="L582">
        <v>0</v>
      </c>
      <c r="M582">
        <v>1</v>
      </c>
      <c r="N582" s="109">
        <v>899.85525828104426</v>
      </c>
      <c r="O582" s="109">
        <v>-3440913.9455492394</v>
      </c>
      <c r="P582" s="365">
        <v>1</v>
      </c>
      <c r="Q582" s="365">
        <v>0</v>
      </c>
      <c r="R582" s="365">
        <v>0</v>
      </c>
      <c r="S582" s="365">
        <v>0</v>
      </c>
      <c r="T582" s="109">
        <v>-3249.7576239731929</v>
      </c>
      <c r="V582" s="368">
        <f t="shared" si="48"/>
        <v>51988299.534691878</v>
      </c>
      <c r="W582" s="30">
        <f t="shared" si="49"/>
        <v>56381999.769395031</v>
      </c>
      <c r="X582" s="30"/>
      <c r="Y582">
        <f t="shared" si="50"/>
        <v>0</v>
      </c>
      <c r="Z582">
        <f t="shared" si="51"/>
        <v>1</v>
      </c>
      <c r="AA582">
        <f t="shared" si="52"/>
        <v>0</v>
      </c>
      <c r="AB582">
        <f t="shared" si="53"/>
        <v>1</v>
      </c>
    </row>
    <row r="583" spans="6:28" x14ac:dyDescent="0.3">
      <c r="F583" s="28"/>
      <c r="G583">
        <v>575</v>
      </c>
      <c r="H583" s="109">
        <v>895.76657418633113</v>
      </c>
      <c r="I583" s="370">
        <v>1616602.2167490963</v>
      </c>
      <c r="J583">
        <v>0</v>
      </c>
      <c r="K583">
        <v>0</v>
      </c>
      <c r="L583">
        <v>0</v>
      </c>
      <c r="M583">
        <v>1</v>
      </c>
      <c r="N583" s="109">
        <v>1804.7137092802727</v>
      </c>
      <c r="O583" s="109">
        <v>-2298425.8795881774</v>
      </c>
      <c r="P583" s="365">
        <v>1</v>
      </c>
      <c r="Q583" s="365">
        <v>0</v>
      </c>
      <c r="R583" s="365">
        <v>0</v>
      </c>
      <c r="S583" s="365">
        <v>0</v>
      </c>
      <c r="T583" s="109">
        <v>-2565.8759165868082</v>
      </c>
      <c r="V583" s="368">
        <f t="shared" si="48"/>
        <v>43171726.492567465</v>
      </c>
      <c r="W583" s="30">
        <f t="shared" si="49"/>
        <v>47086754.588904738</v>
      </c>
      <c r="X583" s="30"/>
      <c r="Y583">
        <f t="shared" si="50"/>
        <v>0</v>
      </c>
      <c r="Z583">
        <f t="shared" si="51"/>
        <v>1</v>
      </c>
      <c r="AA583">
        <f t="shared" si="52"/>
        <v>0</v>
      </c>
      <c r="AB583">
        <f t="shared" si="53"/>
        <v>1</v>
      </c>
    </row>
    <row r="584" spans="6:28" x14ac:dyDescent="0.3">
      <c r="F584" s="28"/>
      <c r="G584">
        <v>576</v>
      </c>
      <c r="H584" s="109">
        <v>1071.8900056818748</v>
      </c>
      <c r="I584" s="370">
        <v>980314.33412165917</v>
      </c>
      <c r="J584">
        <v>0</v>
      </c>
      <c r="K584">
        <v>0</v>
      </c>
      <c r="L584">
        <v>0</v>
      </c>
      <c r="M584">
        <v>1</v>
      </c>
      <c r="N584" s="109">
        <v>914.56616716753467</v>
      </c>
      <c r="O584" s="109">
        <v>-3096445.1036086073</v>
      </c>
      <c r="P584" s="365">
        <v>1</v>
      </c>
      <c r="Q584" s="365">
        <v>0</v>
      </c>
      <c r="R584" s="365">
        <v>0</v>
      </c>
      <c r="S584" s="365">
        <v>0</v>
      </c>
      <c r="T584" s="109">
        <v>-2888.7713172013646</v>
      </c>
      <c r="V584" s="368">
        <f t="shared" si="48"/>
        <v>52614185.949972078</v>
      </c>
      <c r="W584" s="30">
        <f t="shared" si="49"/>
        <v>56690945.387702346</v>
      </c>
      <c r="X584" s="30"/>
      <c r="Y584">
        <f t="shared" si="50"/>
        <v>0</v>
      </c>
      <c r="Z584">
        <f t="shared" si="51"/>
        <v>1</v>
      </c>
      <c r="AA584">
        <f t="shared" si="52"/>
        <v>0</v>
      </c>
      <c r="AB584">
        <f t="shared" si="53"/>
        <v>1</v>
      </c>
    </row>
    <row r="585" spans="6:28" x14ac:dyDescent="0.3">
      <c r="F585" s="28"/>
      <c r="G585">
        <v>577</v>
      </c>
      <c r="H585" s="109">
        <v>1048.9514595261135</v>
      </c>
      <c r="I585" s="370">
        <v>1632301.424514309</v>
      </c>
      <c r="J585">
        <v>0</v>
      </c>
      <c r="K585">
        <v>0</v>
      </c>
      <c r="L585">
        <v>0</v>
      </c>
      <c r="M585">
        <v>1</v>
      </c>
      <c r="N585" s="109">
        <v>1556.1267489457869</v>
      </c>
      <c r="O585" s="109">
        <v>-3025004.3292810274</v>
      </c>
      <c r="P585" s="365">
        <v>1</v>
      </c>
      <c r="Q585" s="365">
        <v>0</v>
      </c>
      <c r="R585" s="365">
        <v>0</v>
      </c>
      <c r="S585" s="365">
        <v>0</v>
      </c>
      <c r="T585" s="109">
        <v>-2883.8363318047518</v>
      </c>
      <c r="V585" s="368">
        <f t="shared" ref="V585:V648" si="54">H585*WTPinput-I585</f>
        <v>50815271.551791362</v>
      </c>
      <c r="W585" s="30">
        <f t="shared" ref="W585:W648" si="55">H585*WTPinput-O585</f>
        <v>55472577.305586696</v>
      </c>
      <c r="X585" s="30"/>
      <c r="Y585">
        <f t="shared" si="50"/>
        <v>0</v>
      </c>
      <c r="Z585">
        <f t="shared" si="51"/>
        <v>1</v>
      </c>
      <c r="AA585">
        <f t="shared" si="52"/>
        <v>0</v>
      </c>
      <c r="AB585">
        <f t="shared" si="53"/>
        <v>1</v>
      </c>
    </row>
    <row r="586" spans="6:28" x14ac:dyDescent="0.3">
      <c r="F586" s="28"/>
      <c r="G586">
        <v>578</v>
      </c>
      <c r="H586" s="109">
        <v>899.41269946292596</v>
      </c>
      <c r="I586" s="370">
        <v>1164450.1869486643</v>
      </c>
      <c r="J586">
        <v>0</v>
      </c>
      <c r="K586">
        <v>0</v>
      </c>
      <c r="L586">
        <v>0</v>
      </c>
      <c r="M586">
        <v>1</v>
      </c>
      <c r="N586" s="109">
        <v>1294.6783914036375</v>
      </c>
      <c r="O586" s="109">
        <v>-2260738.2569852751</v>
      </c>
      <c r="P586" s="365">
        <v>1</v>
      </c>
      <c r="Q586" s="365">
        <v>0</v>
      </c>
      <c r="R586" s="365">
        <v>0</v>
      </c>
      <c r="S586" s="365">
        <v>0</v>
      </c>
      <c r="T586" s="109">
        <v>-2513.5716432903928</v>
      </c>
      <c r="V586" s="368">
        <f t="shared" si="54"/>
        <v>43806184.786197633</v>
      </c>
      <c r="W586" s="30">
        <f t="shared" si="55"/>
        <v>47231373.230131574</v>
      </c>
      <c r="X586" s="30"/>
      <c r="Y586">
        <f t="shared" ref="Y586:Y649" si="56">IF(V586&lt;0,1,0)</f>
        <v>0</v>
      </c>
      <c r="Z586">
        <f t="shared" ref="Z586:Z649" si="57">IF(V586&gt;0,1,0)</f>
        <v>1</v>
      </c>
      <c r="AA586">
        <f t="shared" ref="AA586:AA649" si="58">IF(W586&lt;0,1,0)</f>
        <v>0</v>
      </c>
      <c r="AB586">
        <f t="shared" ref="AB586:AB649" si="59">IF(W586&gt;0,1,0)</f>
        <v>1</v>
      </c>
    </row>
    <row r="587" spans="6:28" x14ac:dyDescent="0.3">
      <c r="F587" s="28"/>
      <c r="G587">
        <v>579</v>
      </c>
      <c r="H587" s="109">
        <v>963.06068921983388</v>
      </c>
      <c r="I587" s="370">
        <v>439300.55857769732</v>
      </c>
      <c r="J587">
        <v>0</v>
      </c>
      <c r="K587">
        <v>0</v>
      </c>
      <c r="L587">
        <v>0</v>
      </c>
      <c r="M587">
        <v>1</v>
      </c>
      <c r="N587" s="109">
        <v>456.15044149872887</v>
      </c>
      <c r="O587" s="109">
        <v>-3444376.5034757019</v>
      </c>
      <c r="P587" s="365">
        <v>1</v>
      </c>
      <c r="Q587" s="365">
        <v>0</v>
      </c>
      <c r="R587" s="365">
        <v>0</v>
      </c>
      <c r="S587" s="365">
        <v>0</v>
      </c>
      <c r="T587" s="109">
        <v>-3576.4895629432845</v>
      </c>
      <c r="V587" s="368">
        <f t="shared" si="54"/>
        <v>47713733.902414002</v>
      </c>
      <c r="W587" s="30">
        <f t="shared" si="55"/>
        <v>51597410.964467399</v>
      </c>
      <c r="X587" s="30"/>
      <c r="Y587">
        <f t="shared" si="56"/>
        <v>0</v>
      </c>
      <c r="Z587">
        <f t="shared" si="57"/>
        <v>1</v>
      </c>
      <c r="AA587">
        <f t="shared" si="58"/>
        <v>0</v>
      </c>
      <c r="AB587">
        <f t="shared" si="59"/>
        <v>1</v>
      </c>
    </row>
    <row r="588" spans="6:28" x14ac:dyDescent="0.3">
      <c r="F588" s="28"/>
      <c r="G588">
        <v>580</v>
      </c>
      <c r="H588" s="109">
        <v>961.24937369684631</v>
      </c>
      <c r="I588" s="370">
        <v>2171777.5900755534</v>
      </c>
      <c r="J588">
        <v>0</v>
      </c>
      <c r="K588">
        <v>0</v>
      </c>
      <c r="L588">
        <v>0</v>
      </c>
      <c r="M588">
        <v>1</v>
      </c>
      <c r="N588" s="109">
        <v>2259.3279636928814</v>
      </c>
      <c r="O588" s="109">
        <v>-1749364.127705026</v>
      </c>
      <c r="P588" s="365">
        <v>1</v>
      </c>
      <c r="Q588" s="365">
        <v>0</v>
      </c>
      <c r="R588" s="365">
        <v>0</v>
      </c>
      <c r="S588" s="365">
        <v>0</v>
      </c>
      <c r="T588" s="109">
        <v>-1819.8858439586677</v>
      </c>
      <c r="V588" s="368">
        <f t="shared" si="54"/>
        <v>45890691.094766766</v>
      </c>
      <c r="W588" s="30">
        <f t="shared" si="55"/>
        <v>49811832.812547341</v>
      </c>
      <c r="X588" s="30"/>
      <c r="Y588">
        <f t="shared" si="56"/>
        <v>0</v>
      </c>
      <c r="Z588">
        <f t="shared" si="57"/>
        <v>1</v>
      </c>
      <c r="AA588">
        <f t="shared" si="58"/>
        <v>0</v>
      </c>
      <c r="AB588">
        <f t="shared" si="59"/>
        <v>1</v>
      </c>
    </row>
    <row r="589" spans="6:28" x14ac:dyDescent="0.3">
      <c r="F589" s="28"/>
      <c r="G589">
        <v>581</v>
      </c>
      <c r="H589" s="109">
        <v>1299.3326155607137</v>
      </c>
      <c r="I589" s="370">
        <v>1569281.4299196303</v>
      </c>
      <c r="J589">
        <v>0</v>
      </c>
      <c r="K589">
        <v>0</v>
      </c>
      <c r="L589">
        <v>0</v>
      </c>
      <c r="M589">
        <v>1</v>
      </c>
      <c r="N589" s="109">
        <v>1207.759592213748</v>
      </c>
      <c r="O589" s="109">
        <v>-4638742.1122528911</v>
      </c>
      <c r="P589" s="365">
        <v>1</v>
      </c>
      <c r="Q589" s="365">
        <v>0</v>
      </c>
      <c r="R589" s="365">
        <v>0</v>
      </c>
      <c r="S589" s="365">
        <v>0</v>
      </c>
      <c r="T589" s="109">
        <v>-3570.0959528758453</v>
      </c>
      <c r="V589" s="368">
        <f t="shared" si="54"/>
        <v>63397349.348116055</v>
      </c>
      <c r="W589" s="30">
        <f t="shared" si="55"/>
        <v>69605372.890288576</v>
      </c>
      <c r="X589" s="30"/>
      <c r="Y589">
        <f t="shared" si="56"/>
        <v>0</v>
      </c>
      <c r="Z589">
        <f t="shared" si="57"/>
        <v>1</v>
      </c>
      <c r="AA589">
        <f t="shared" si="58"/>
        <v>0</v>
      </c>
      <c r="AB589">
        <f t="shared" si="59"/>
        <v>1</v>
      </c>
    </row>
    <row r="590" spans="6:28" x14ac:dyDescent="0.3">
      <c r="F590" s="28"/>
      <c r="G590">
        <v>582</v>
      </c>
      <c r="H590" s="109">
        <v>1224.6401152795152</v>
      </c>
      <c r="I590" s="370">
        <v>1397482.3560287689</v>
      </c>
      <c r="J590">
        <v>0</v>
      </c>
      <c r="K590">
        <v>0</v>
      </c>
      <c r="L590">
        <v>0</v>
      </c>
      <c r="M590">
        <v>1</v>
      </c>
      <c r="N590" s="109">
        <v>1141.1371704982928</v>
      </c>
      <c r="O590" s="109">
        <v>-3015333.067007185</v>
      </c>
      <c r="P590" s="365">
        <v>1</v>
      </c>
      <c r="Q590" s="365">
        <v>0</v>
      </c>
      <c r="R590" s="365">
        <v>0</v>
      </c>
      <c r="S590" s="365">
        <v>0</v>
      </c>
      <c r="T590" s="109">
        <v>-2462.2197406288274</v>
      </c>
      <c r="V590" s="368">
        <f t="shared" si="54"/>
        <v>59834523.407946989</v>
      </c>
      <c r="W590" s="30">
        <f t="shared" si="55"/>
        <v>64247338.830982938</v>
      </c>
      <c r="X590" s="30"/>
      <c r="Y590">
        <f t="shared" si="56"/>
        <v>0</v>
      </c>
      <c r="Z590">
        <f t="shared" si="57"/>
        <v>1</v>
      </c>
      <c r="AA590">
        <f t="shared" si="58"/>
        <v>0</v>
      </c>
      <c r="AB590">
        <f t="shared" si="59"/>
        <v>1</v>
      </c>
    </row>
    <row r="591" spans="6:28" x14ac:dyDescent="0.3">
      <c r="F591" s="28"/>
      <c r="G591">
        <v>583</v>
      </c>
      <c r="H591" s="109">
        <v>1220.2505148910059</v>
      </c>
      <c r="I591" s="370">
        <v>1269270.09824702</v>
      </c>
      <c r="J591">
        <v>0</v>
      </c>
      <c r="K591">
        <v>0</v>
      </c>
      <c r="L591">
        <v>0</v>
      </c>
      <c r="M591">
        <v>1</v>
      </c>
      <c r="N591" s="109">
        <v>1040.171737489816</v>
      </c>
      <c r="O591" s="109">
        <v>-3735731.989564151</v>
      </c>
      <c r="P591" s="365">
        <v>1</v>
      </c>
      <c r="Q591" s="365">
        <v>0</v>
      </c>
      <c r="R591" s="365">
        <v>0</v>
      </c>
      <c r="S591" s="365">
        <v>0</v>
      </c>
      <c r="T591" s="109">
        <v>-3061.4467635752899</v>
      </c>
      <c r="V591" s="368">
        <f t="shared" si="54"/>
        <v>59743255.646303274</v>
      </c>
      <c r="W591" s="30">
        <f t="shared" si="55"/>
        <v>64748257.734114446</v>
      </c>
      <c r="X591" s="30"/>
      <c r="Y591">
        <f t="shared" si="56"/>
        <v>0</v>
      </c>
      <c r="Z591">
        <f t="shared" si="57"/>
        <v>1</v>
      </c>
      <c r="AA591">
        <f t="shared" si="58"/>
        <v>0</v>
      </c>
      <c r="AB591">
        <f t="shared" si="59"/>
        <v>1</v>
      </c>
    </row>
    <row r="592" spans="6:28" x14ac:dyDescent="0.3">
      <c r="F592" s="28"/>
      <c r="G592">
        <v>584</v>
      </c>
      <c r="H592" s="109">
        <v>1089.2775583412295</v>
      </c>
      <c r="I592" s="370">
        <v>1062052.6163762093</v>
      </c>
      <c r="J592">
        <v>0</v>
      </c>
      <c r="K592">
        <v>0</v>
      </c>
      <c r="L592">
        <v>0</v>
      </c>
      <c r="M592">
        <v>1</v>
      </c>
      <c r="N592" s="109">
        <v>975.006423517548</v>
      </c>
      <c r="O592" s="109">
        <v>-3772880.1784147979</v>
      </c>
      <c r="P592" s="365">
        <v>1</v>
      </c>
      <c r="Q592" s="365">
        <v>0</v>
      </c>
      <c r="R592" s="365">
        <v>0</v>
      </c>
      <c r="S592" s="365">
        <v>0</v>
      </c>
      <c r="T592" s="109">
        <v>-3463.6536386191638</v>
      </c>
      <c r="V592" s="368">
        <f t="shared" si="54"/>
        <v>53401825.300685264</v>
      </c>
      <c r="W592" s="30">
        <f t="shared" si="55"/>
        <v>58236758.09547627</v>
      </c>
      <c r="X592" s="30"/>
      <c r="Y592">
        <f t="shared" si="56"/>
        <v>0</v>
      </c>
      <c r="Z592">
        <f t="shared" si="57"/>
        <v>1</v>
      </c>
      <c r="AA592">
        <f t="shared" si="58"/>
        <v>0</v>
      </c>
      <c r="AB592">
        <f t="shared" si="59"/>
        <v>1</v>
      </c>
    </row>
    <row r="593" spans="6:28" x14ac:dyDescent="0.3">
      <c r="F593" s="28"/>
      <c r="G593">
        <v>585</v>
      </c>
      <c r="H593" s="109">
        <v>1185.5700725856077</v>
      </c>
      <c r="I593" s="370">
        <v>1086468.2636641359</v>
      </c>
      <c r="J593">
        <v>0</v>
      </c>
      <c r="K593">
        <v>0</v>
      </c>
      <c r="L593">
        <v>0</v>
      </c>
      <c r="M593">
        <v>1</v>
      </c>
      <c r="N593" s="109">
        <v>916.40999447182332</v>
      </c>
      <c r="O593" s="109">
        <v>-3472422.4616877981</v>
      </c>
      <c r="P593" s="365">
        <v>1</v>
      </c>
      <c r="Q593" s="365">
        <v>0</v>
      </c>
      <c r="R593" s="365">
        <v>0</v>
      </c>
      <c r="S593" s="365">
        <v>0</v>
      </c>
      <c r="T593" s="109">
        <v>-2928.9052937333331</v>
      </c>
      <c r="V593" s="368">
        <f t="shared" si="54"/>
        <v>58192035.365616255</v>
      </c>
      <c r="W593" s="30">
        <f t="shared" si="55"/>
        <v>62750926.090968184</v>
      </c>
      <c r="X593" s="30"/>
      <c r="Y593">
        <f t="shared" si="56"/>
        <v>0</v>
      </c>
      <c r="Z593">
        <f t="shared" si="57"/>
        <v>1</v>
      </c>
      <c r="AA593">
        <f t="shared" si="58"/>
        <v>0</v>
      </c>
      <c r="AB593">
        <f t="shared" si="59"/>
        <v>1</v>
      </c>
    </row>
    <row r="594" spans="6:28" x14ac:dyDescent="0.3">
      <c r="F594" s="28"/>
      <c r="G594">
        <v>586</v>
      </c>
      <c r="H594" s="109">
        <v>1123.0344773484176</v>
      </c>
      <c r="I594" s="370">
        <v>946270.67966379179</v>
      </c>
      <c r="J594">
        <v>0</v>
      </c>
      <c r="K594">
        <v>0</v>
      </c>
      <c r="L594">
        <v>0</v>
      </c>
      <c r="M594">
        <v>1</v>
      </c>
      <c r="N594" s="109">
        <v>842.60162866773192</v>
      </c>
      <c r="O594" s="109">
        <v>-3422467.3555824943</v>
      </c>
      <c r="P594" s="365">
        <v>1</v>
      </c>
      <c r="Q594" s="365">
        <v>0</v>
      </c>
      <c r="R594" s="365">
        <v>0</v>
      </c>
      <c r="S594" s="365">
        <v>0</v>
      </c>
      <c r="T594" s="109">
        <v>-3047.5176182152827</v>
      </c>
      <c r="V594" s="368">
        <f t="shared" si="54"/>
        <v>55205453.18775709</v>
      </c>
      <c r="W594" s="30">
        <f t="shared" si="55"/>
        <v>59574191.223003373</v>
      </c>
      <c r="X594" s="30"/>
      <c r="Y594">
        <f t="shared" si="56"/>
        <v>0</v>
      </c>
      <c r="Z594">
        <f t="shared" si="57"/>
        <v>1</v>
      </c>
      <c r="AA594">
        <f t="shared" si="58"/>
        <v>0</v>
      </c>
      <c r="AB594">
        <f t="shared" si="59"/>
        <v>1</v>
      </c>
    </row>
    <row r="595" spans="6:28" x14ac:dyDescent="0.3">
      <c r="F595" s="28"/>
      <c r="G595">
        <v>587</v>
      </c>
      <c r="H595" s="109">
        <v>1026.1433685809097</v>
      </c>
      <c r="I595" s="370">
        <v>1420387.4730001718</v>
      </c>
      <c r="J595">
        <v>0</v>
      </c>
      <c r="K595">
        <v>0</v>
      </c>
      <c r="L595">
        <v>0</v>
      </c>
      <c r="M595">
        <v>1</v>
      </c>
      <c r="N595" s="109">
        <v>1384.1998267400747</v>
      </c>
      <c r="O595" s="109">
        <v>-2776348.9769748799</v>
      </c>
      <c r="P595" s="365">
        <v>1</v>
      </c>
      <c r="Q595" s="365">
        <v>0</v>
      </c>
      <c r="R595" s="365">
        <v>0</v>
      </c>
      <c r="S595" s="365">
        <v>0</v>
      </c>
      <c r="T595" s="109">
        <v>-2705.6150845806196</v>
      </c>
      <c r="V595" s="368">
        <f t="shared" si="54"/>
        <v>49886780.956045315</v>
      </c>
      <c r="W595" s="30">
        <f t="shared" si="55"/>
        <v>54083517.406020366</v>
      </c>
      <c r="X595" s="30"/>
      <c r="Y595">
        <f t="shared" si="56"/>
        <v>0</v>
      </c>
      <c r="Z595">
        <f t="shared" si="57"/>
        <v>1</v>
      </c>
      <c r="AA595">
        <f t="shared" si="58"/>
        <v>0</v>
      </c>
      <c r="AB595">
        <f t="shared" si="59"/>
        <v>1</v>
      </c>
    </row>
    <row r="596" spans="6:28" x14ac:dyDescent="0.3">
      <c r="F596" s="28"/>
      <c r="G596">
        <v>588</v>
      </c>
      <c r="H596" s="109">
        <v>1372.8562512676435</v>
      </c>
      <c r="I596" s="370">
        <v>613994.10946021148</v>
      </c>
      <c r="J596">
        <v>0</v>
      </c>
      <c r="K596">
        <v>0</v>
      </c>
      <c r="L596">
        <v>0</v>
      </c>
      <c r="M596">
        <v>1</v>
      </c>
      <c r="N596" s="109">
        <v>447.23845551438654</v>
      </c>
      <c r="O596" s="109">
        <v>-5647814.9523956981</v>
      </c>
      <c r="P596" s="365">
        <v>1</v>
      </c>
      <c r="Q596" s="365">
        <v>0</v>
      </c>
      <c r="R596" s="365">
        <v>0</v>
      </c>
      <c r="S596" s="365">
        <v>0</v>
      </c>
      <c r="T596" s="109">
        <v>-4113.9157484119105</v>
      </c>
      <c r="V596" s="368">
        <f t="shared" si="54"/>
        <v>68028818.453921974</v>
      </c>
      <c r="W596" s="30">
        <f t="shared" si="55"/>
        <v>74290627.515777871</v>
      </c>
      <c r="X596" s="30"/>
      <c r="Y596">
        <f t="shared" si="56"/>
        <v>0</v>
      </c>
      <c r="Z596">
        <f t="shared" si="57"/>
        <v>1</v>
      </c>
      <c r="AA596">
        <f t="shared" si="58"/>
        <v>0</v>
      </c>
      <c r="AB596">
        <f t="shared" si="59"/>
        <v>1</v>
      </c>
    </row>
    <row r="597" spans="6:28" x14ac:dyDescent="0.3">
      <c r="F597" s="28"/>
      <c r="G597">
        <v>589</v>
      </c>
      <c r="H597" s="109">
        <v>1079.6477131700885</v>
      </c>
      <c r="I597" s="370">
        <v>1825317.8431803696</v>
      </c>
      <c r="J597">
        <v>0</v>
      </c>
      <c r="K597">
        <v>0</v>
      </c>
      <c r="L597">
        <v>0</v>
      </c>
      <c r="M597">
        <v>1</v>
      </c>
      <c r="N597" s="109">
        <v>1690.6605931862957</v>
      </c>
      <c r="O597" s="109">
        <v>-1936414.845171351</v>
      </c>
      <c r="P597" s="365">
        <v>1</v>
      </c>
      <c r="Q597" s="365">
        <v>0</v>
      </c>
      <c r="R597" s="365">
        <v>0</v>
      </c>
      <c r="S597" s="365">
        <v>0</v>
      </c>
      <c r="T597" s="109">
        <v>-1793.5617531070402</v>
      </c>
      <c r="V597" s="368">
        <f t="shared" si="54"/>
        <v>52157067.815324053</v>
      </c>
      <c r="W597" s="30">
        <f t="shared" si="55"/>
        <v>55918800.503675774</v>
      </c>
      <c r="X597" s="30"/>
      <c r="Y597">
        <f t="shared" si="56"/>
        <v>0</v>
      </c>
      <c r="Z597">
        <f t="shared" si="57"/>
        <v>1</v>
      </c>
      <c r="AA597">
        <f t="shared" si="58"/>
        <v>0</v>
      </c>
      <c r="AB597">
        <f t="shared" si="59"/>
        <v>1</v>
      </c>
    </row>
    <row r="598" spans="6:28" x14ac:dyDescent="0.3">
      <c r="F598" s="28"/>
      <c r="G598">
        <v>590</v>
      </c>
      <c r="H598" s="109">
        <v>1078.0051013996344</v>
      </c>
      <c r="I598" s="370">
        <v>1058072.2378110355</v>
      </c>
      <c r="J598">
        <v>0</v>
      </c>
      <c r="K598">
        <v>0</v>
      </c>
      <c r="L598">
        <v>0</v>
      </c>
      <c r="M598">
        <v>1</v>
      </c>
      <c r="N598" s="109">
        <v>981.50949048133532</v>
      </c>
      <c r="O598" s="109">
        <v>-2746242.9599638171</v>
      </c>
      <c r="P598" s="365">
        <v>1</v>
      </c>
      <c r="Q598" s="365">
        <v>0</v>
      </c>
      <c r="R598" s="365">
        <v>0</v>
      </c>
      <c r="S598" s="365">
        <v>0</v>
      </c>
      <c r="T598" s="109">
        <v>-2547.5231577273762</v>
      </c>
      <c r="V598" s="368">
        <f t="shared" si="54"/>
        <v>52842182.832170688</v>
      </c>
      <c r="W598" s="30">
        <f t="shared" si="55"/>
        <v>56646498.029945537</v>
      </c>
      <c r="X598" s="30"/>
      <c r="Y598">
        <f t="shared" si="56"/>
        <v>0</v>
      </c>
      <c r="Z598">
        <f t="shared" si="57"/>
        <v>1</v>
      </c>
      <c r="AA598">
        <f t="shared" si="58"/>
        <v>0</v>
      </c>
      <c r="AB598">
        <f t="shared" si="59"/>
        <v>1</v>
      </c>
    </row>
    <row r="599" spans="6:28" x14ac:dyDescent="0.3">
      <c r="F599" s="28"/>
      <c r="G599">
        <v>591</v>
      </c>
      <c r="H599" s="109">
        <v>1462.2848342063735</v>
      </c>
      <c r="I599" s="370">
        <v>2031654.9664606766</v>
      </c>
      <c r="J599">
        <v>0</v>
      </c>
      <c r="K599">
        <v>0</v>
      </c>
      <c r="L599">
        <v>0</v>
      </c>
      <c r="M599">
        <v>1</v>
      </c>
      <c r="N599" s="109">
        <v>1389.3701958300878</v>
      </c>
      <c r="O599" s="109">
        <v>-4113501.1738887471</v>
      </c>
      <c r="P599" s="365">
        <v>1</v>
      </c>
      <c r="Q599" s="365">
        <v>0</v>
      </c>
      <c r="R599" s="365">
        <v>0</v>
      </c>
      <c r="S599" s="365">
        <v>0</v>
      </c>
      <c r="T599" s="109">
        <v>-2813.064238692778</v>
      </c>
      <c r="V599" s="368">
        <f t="shared" si="54"/>
        <v>71082586.743857995</v>
      </c>
      <c r="W599" s="30">
        <f t="shared" si="55"/>
        <v>77227742.884207413</v>
      </c>
      <c r="X599" s="30"/>
      <c r="Y599">
        <f t="shared" si="56"/>
        <v>0</v>
      </c>
      <c r="Z599">
        <f t="shared" si="57"/>
        <v>1</v>
      </c>
      <c r="AA599">
        <f t="shared" si="58"/>
        <v>0</v>
      </c>
      <c r="AB599">
        <f t="shared" si="59"/>
        <v>1</v>
      </c>
    </row>
    <row r="600" spans="6:28" x14ac:dyDescent="0.3">
      <c r="F600" s="28"/>
      <c r="G600">
        <v>592</v>
      </c>
      <c r="H600" s="109">
        <v>1066.6464219469999</v>
      </c>
      <c r="I600" s="370">
        <v>1227799.0867969745</v>
      </c>
      <c r="J600">
        <v>0</v>
      </c>
      <c r="K600">
        <v>0</v>
      </c>
      <c r="L600">
        <v>0</v>
      </c>
      <c r="M600">
        <v>1</v>
      </c>
      <c r="N600" s="109">
        <v>1151.0834907745859</v>
      </c>
      <c r="O600" s="109">
        <v>-3290729.0277806129</v>
      </c>
      <c r="P600" s="365">
        <v>1</v>
      </c>
      <c r="Q600" s="365">
        <v>0</v>
      </c>
      <c r="R600" s="365">
        <v>0</v>
      </c>
      <c r="S600" s="365">
        <v>0</v>
      </c>
      <c r="T600" s="109">
        <v>-3085.1170172904067</v>
      </c>
      <c r="V600" s="368">
        <f t="shared" si="54"/>
        <v>52104522.010553017</v>
      </c>
      <c r="W600" s="30">
        <f t="shared" si="55"/>
        <v>56623050.125130609</v>
      </c>
      <c r="X600" s="30"/>
      <c r="Y600">
        <f t="shared" si="56"/>
        <v>0</v>
      </c>
      <c r="Z600">
        <f t="shared" si="57"/>
        <v>1</v>
      </c>
      <c r="AA600">
        <f t="shared" si="58"/>
        <v>0</v>
      </c>
      <c r="AB600">
        <f t="shared" si="59"/>
        <v>1</v>
      </c>
    </row>
    <row r="601" spans="6:28" x14ac:dyDescent="0.3">
      <c r="F601" s="28"/>
      <c r="G601">
        <v>593</v>
      </c>
      <c r="H601" s="109">
        <v>1476.2481883636647</v>
      </c>
      <c r="I601" s="370">
        <v>1509102.5031922876</v>
      </c>
      <c r="J601">
        <v>0</v>
      </c>
      <c r="K601">
        <v>0</v>
      </c>
      <c r="L601">
        <v>0</v>
      </c>
      <c r="M601">
        <v>1</v>
      </c>
      <c r="N601" s="109">
        <v>1022.2552786771173</v>
      </c>
      <c r="O601" s="109">
        <v>-4217530.1862418158</v>
      </c>
      <c r="P601" s="365">
        <v>1</v>
      </c>
      <c r="Q601" s="365">
        <v>0</v>
      </c>
      <c r="R601" s="365">
        <v>0</v>
      </c>
      <c r="S601" s="365">
        <v>0</v>
      </c>
      <c r="T601" s="109">
        <v>-2856.9248853180325</v>
      </c>
      <c r="V601" s="368">
        <f t="shared" si="54"/>
        <v>72303306.914990947</v>
      </c>
      <c r="W601" s="30">
        <f t="shared" si="55"/>
        <v>78029939.604425058</v>
      </c>
      <c r="X601" s="30"/>
      <c r="Y601">
        <f t="shared" si="56"/>
        <v>0</v>
      </c>
      <c r="Z601">
        <f t="shared" si="57"/>
        <v>1</v>
      </c>
      <c r="AA601">
        <f t="shared" si="58"/>
        <v>0</v>
      </c>
      <c r="AB601">
        <f t="shared" si="59"/>
        <v>1</v>
      </c>
    </row>
    <row r="602" spans="6:28" x14ac:dyDescent="0.3">
      <c r="F602" s="28"/>
      <c r="G602">
        <v>594</v>
      </c>
      <c r="H602" s="109">
        <v>1255.5995610800092</v>
      </c>
      <c r="I602" s="370">
        <v>2059637.2666533277</v>
      </c>
      <c r="J602">
        <v>0</v>
      </c>
      <c r="K602">
        <v>0</v>
      </c>
      <c r="L602">
        <v>0</v>
      </c>
      <c r="M602">
        <v>1</v>
      </c>
      <c r="N602" s="109">
        <v>1640.3615694813736</v>
      </c>
      <c r="O602" s="109">
        <v>-3236856.5272148824</v>
      </c>
      <c r="P602" s="365">
        <v>1</v>
      </c>
      <c r="Q602" s="365">
        <v>0</v>
      </c>
      <c r="R602" s="365">
        <v>0</v>
      </c>
      <c r="S602" s="365">
        <v>0</v>
      </c>
      <c r="T602" s="109">
        <v>-2577.9369693556496</v>
      </c>
      <c r="V602" s="368">
        <f t="shared" si="54"/>
        <v>60720340.78734713</v>
      </c>
      <c r="W602" s="30">
        <f t="shared" si="55"/>
        <v>66016834.581215344</v>
      </c>
      <c r="X602" s="30"/>
      <c r="Y602">
        <f t="shared" si="56"/>
        <v>0</v>
      </c>
      <c r="Z602">
        <f t="shared" si="57"/>
        <v>1</v>
      </c>
      <c r="AA602">
        <f t="shared" si="58"/>
        <v>0</v>
      </c>
      <c r="AB602">
        <f t="shared" si="59"/>
        <v>1</v>
      </c>
    </row>
    <row r="603" spans="6:28" x14ac:dyDescent="0.3">
      <c r="F603" s="28"/>
      <c r="G603">
        <v>595</v>
      </c>
      <c r="H603" s="109">
        <v>1286.9661654403972</v>
      </c>
      <c r="I603" s="370">
        <v>841842.47522905818</v>
      </c>
      <c r="J603">
        <v>0</v>
      </c>
      <c r="K603">
        <v>0</v>
      </c>
      <c r="L603">
        <v>0</v>
      </c>
      <c r="M603">
        <v>1</v>
      </c>
      <c r="N603" s="109">
        <v>654.1294540878481</v>
      </c>
      <c r="O603" s="109">
        <v>-4071466.1587350783</v>
      </c>
      <c r="P603" s="365">
        <v>1</v>
      </c>
      <c r="Q603" s="365">
        <v>0</v>
      </c>
      <c r="R603" s="365">
        <v>0</v>
      </c>
      <c r="S603" s="365">
        <v>0</v>
      </c>
      <c r="T603" s="109">
        <v>-3163.615538674112</v>
      </c>
      <c r="V603" s="368">
        <f t="shared" si="54"/>
        <v>63506465.796790801</v>
      </c>
      <c r="W603" s="30">
        <f t="shared" si="55"/>
        <v>68419774.43075493</v>
      </c>
      <c r="X603" s="30"/>
      <c r="Y603">
        <f t="shared" si="56"/>
        <v>0</v>
      </c>
      <c r="Z603">
        <f t="shared" si="57"/>
        <v>1</v>
      </c>
      <c r="AA603">
        <f t="shared" si="58"/>
        <v>0</v>
      </c>
      <c r="AB603">
        <f t="shared" si="59"/>
        <v>1</v>
      </c>
    </row>
    <row r="604" spans="6:28" x14ac:dyDescent="0.3">
      <c r="F604" s="28"/>
      <c r="G604">
        <v>596</v>
      </c>
      <c r="H604" s="109">
        <v>1096.9812531744246</v>
      </c>
      <c r="I604" s="370">
        <v>1334854.6888527249</v>
      </c>
      <c r="J604">
        <v>0</v>
      </c>
      <c r="K604">
        <v>0</v>
      </c>
      <c r="L604">
        <v>0</v>
      </c>
      <c r="M604">
        <v>1</v>
      </c>
      <c r="N604" s="109">
        <v>1216.8436652768189</v>
      </c>
      <c r="O604" s="109">
        <v>-2753216.8068853561</v>
      </c>
      <c r="P604" s="365">
        <v>1</v>
      </c>
      <c r="Q604" s="365">
        <v>0</v>
      </c>
      <c r="R604" s="365">
        <v>0</v>
      </c>
      <c r="S604" s="365">
        <v>0</v>
      </c>
      <c r="T604" s="109">
        <v>-2509.8120855922984</v>
      </c>
      <c r="V604" s="368">
        <f t="shared" si="54"/>
        <v>53514207.969868504</v>
      </c>
      <c r="W604" s="30">
        <f t="shared" si="55"/>
        <v>57602279.465606585</v>
      </c>
      <c r="X604" s="30"/>
      <c r="Y604">
        <f t="shared" si="56"/>
        <v>0</v>
      </c>
      <c r="Z604">
        <f t="shared" si="57"/>
        <v>1</v>
      </c>
      <c r="AA604">
        <f t="shared" si="58"/>
        <v>0</v>
      </c>
      <c r="AB604">
        <f t="shared" si="59"/>
        <v>1</v>
      </c>
    </row>
    <row r="605" spans="6:28" x14ac:dyDescent="0.3">
      <c r="F605" s="28"/>
      <c r="G605">
        <v>597</v>
      </c>
      <c r="H605" s="109">
        <v>1346.5733215549844</v>
      </c>
      <c r="I605" s="370">
        <v>930797.58159413922</v>
      </c>
      <c r="J605">
        <v>0</v>
      </c>
      <c r="K605">
        <v>0</v>
      </c>
      <c r="L605">
        <v>0</v>
      </c>
      <c r="M605">
        <v>1</v>
      </c>
      <c r="N605" s="109">
        <v>691.23423633499635</v>
      </c>
      <c r="O605" s="109">
        <v>-4606271.7456991915</v>
      </c>
      <c r="P605" s="365">
        <v>1</v>
      </c>
      <c r="Q605" s="365">
        <v>0</v>
      </c>
      <c r="R605" s="365">
        <v>0</v>
      </c>
      <c r="S605" s="365">
        <v>0</v>
      </c>
      <c r="T605" s="109">
        <v>-3420.7359316906714</v>
      </c>
      <c r="V605" s="368">
        <f t="shared" si="54"/>
        <v>66397868.496155083</v>
      </c>
      <c r="W605" s="30">
        <f t="shared" si="55"/>
        <v>71934937.82344842</v>
      </c>
      <c r="X605" s="30"/>
      <c r="Y605">
        <f t="shared" si="56"/>
        <v>0</v>
      </c>
      <c r="Z605">
        <f t="shared" si="57"/>
        <v>1</v>
      </c>
      <c r="AA605">
        <f t="shared" si="58"/>
        <v>0</v>
      </c>
      <c r="AB605">
        <f t="shared" si="59"/>
        <v>1</v>
      </c>
    </row>
    <row r="606" spans="6:28" x14ac:dyDescent="0.3">
      <c r="F606" s="28"/>
      <c r="G606">
        <v>598</v>
      </c>
      <c r="H606" s="109">
        <v>1110.8152595091378</v>
      </c>
      <c r="I606" s="370">
        <v>670460.17070118955</v>
      </c>
      <c r="J606">
        <v>0</v>
      </c>
      <c r="K606">
        <v>0</v>
      </c>
      <c r="L606">
        <v>0</v>
      </c>
      <c r="M606">
        <v>1</v>
      </c>
      <c r="N606" s="109">
        <v>603.57486536281613</v>
      </c>
      <c r="O606" s="109">
        <v>-2674005.6019357555</v>
      </c>
      <c r="P606" s="365">
        <v>1</v>
      </c>
      <c r="Q606" s="365">
        <v>0</v>
      </c>
      <c r="R606" s="365">
        <v>0</v>
      </c>
      <c r="S606" s="365">
        <v>0</v>
      </c>
      <c r="T606" s="109">
        <v>-2407.2460105718942</v>
      </c>
      <c r="V606" s="368">
        <f t="shared" si="54"/>
        <v>54870302.804755703</v>
      </c>
      <c r="W606" s="30">
        <f t="shared" si="55"/>
        <v>58214768.577392653</v>
      </c>
      <c r="X606" s="30"/>
      <c r="Y606">
        <f t="shared" si="56"/>
        <v>0</v>
      </c>
      <c r="Z606">
        <f t="shared" si="57"/>
        <v>1</v>
      </c>
      <c r="AA606">
        <f t="shared" si="58"/>
        <v>0</v>
      </c>
      <c r="AB606">
        <f t="shared" si="59"/>
        <v>1</v>
      </c>
    </row>
    <row r="607" spans="6:28" x14ac:dyDescent="0.3">
      <c r="F607" s="28"/>
      <c r="G607">
        <v>599</v>
      </c>
      <c r="H607" s="109">
        <v>1063.0932380150189</v>
      </c>
      <c r="I607" s="370">
        <v>956018.04998442414</v>
      </c>
      <c r="J607">
        <v>0</v>
      </c>
      <c r="K607">
        <v>0</v>
      </c>
      <c r="L607">
        <v>0</v>
      </c>
      <c r="M607">
        <v>1</v>
      </c>
      <c r="N607" s="109">
        <v>899.27958884347447</v>
      </c>
      <c r="O607" s="109">
        <v>-3543296.7503355485</v>
      </c>
      <c r="P607" s="365">
        <v>1</v>
      </c>
      <c r="Q607" s="365">
        <v>0</v>
      </c>
      <c r="R607" s="365">
        <v>0</v>
      </c>
      <c r="S607" s="365">
        <v>0</v>
      </c>
      <c r="T607" s="109">
        <v>-3333.0065733006672</v>
      </c>
      <c r="V607" s="368">
        <f t="shared" si="54"/>
        <v>52198643.850766517</v>
      </c>
      <c r="W607" s="30">
        <f t="shared" si="55"/>
        <v>56697958.651086494</v>
      </c>
      <c r="X607" s="30"/>
      <c r="Y607">
        <f t="shared" si="56"/>
        <v>0</v>
      </c>
      <c r="Z607">
        <f t="shared" si="57"/>
        <v>1</v>
      </c>
      <c r="AA607">
        <f t="shared" si="58"/>
        <v>0</v>
      </c>
      <c r="AB607">
        <f t="shared" si="59"/>
        <v>1</v>
      </c>
    </row>
    <row r="608" spans="6:28" x14ac:dyDescent="0.3">
      <c r="F608" s="28"/>
      <c r="G608">
        <v>600</v>
      </c>
      <c r="H608" s="109">
        <v>1405.8954055951472</v>
      </c>
      <c r="I608" s="370">
        <v>712269.69140659098</v>
      </c>
      <c r="J608">
        <v>0</v>
      </c>
      <c r="K608">
        <v>0</v>
      </c>
      <c r="L608">
        <v>0</v>
      </c>
      <c r="M608">
        <v>1</v>
      </c>
      <c r="N608" s="109">
        <v>506.63064163373605</v>
      </c>
      <c r="O608" s="109">
        <v>-5109991.9019319545</v>
      </c>
      <c r="P608" s="365">
        <v>1</v>
      </c>
      <c r="Q608" s="365">
        <v>0</v>
      </c>
      <c r="R608" s="365">
        <v>0</v>
      </c>
      <c r="S608" s="365">
        <v>0</v>
      </c>
      <c r="T608" s="109">
        <v>-3634.6885277491747</v>
      </c>
      <c r="V608" s="368">
        <f t="shared" si="54"/>
        <v>69582500.588350773</v>
      </c>
      <c r="W608" s="30">
        <f t="shared" si="55"/>
        <v>75404762.181689322</v>
      </c>
      <c r="X608" s="30"/>
      <c r="Y608">
        <f t="shared" si="56"/>
        <v>0</v>
      </c>
      <c r="Z608">
        <f t="shared" si="57"/>
        <v>1</v>
      </c>
      <c r="AA608">
        <f t="shared" si="58"/>
        <v>0</v>
      </c>
      <c r="AB608">
        <f t="shared" si="59"/>
        <v>1</v>
      </c>
    </row>
    <row r="609" spans="6:28" x14ac:dyDescent="0.3">
      <c r="F609" s="28"/>
      <c r="G609">
        <v>601</v>
      </c>
      <c r="H609" s="109">
        <v>951.42549872571544</v>
      </c>
      <c r="I609" s="370">
        <v>580072.63981900655</v>
      </c>
      <c r="J609">
        <v>0</v>
      </c>
      <c r="K609">
        <v>0</v>
      </c>
      <c r="L609">
        <v>0</v>
      </c>
      <c r="M609">
        <v>1</v>
      </c>
      <c r="N609" s="109">
        <v>609.68792679607861</v>
      </c>
      <c r="O609" s="109">
        <v>-3352982.8026354606</v>
      </c>
      <c r="P609" s="365">
        <v>1</v>
      </c>
      <c r="Q609" s="365">
        <v>0</v>
      </c>
      <c r="R609" s="365">
        <v>0</v>
      </c>
      <c r="S609" s="365">
        <v>0</v>
      </c>
      <c r="T609" s="109">
        <v>-3524.1674804030927</v>
      </c>
      <c r="V609" s="368">
        <f t="shared" si="54"/>
        <v>46991202.296466768</v>
      </c>
      <c r="W609" s="30">
        <f t="shared" si="55"/>
        <v>50924257.738921233</v>
      </c>
      <c r="X609" s="30"/>
      <c r="Y609">
        <f t="shared" si="56"/>
        <v>0</v>
      </c>
      <c r="Z609">
        <f t="shared" si="57"/>
        <v>1</v>
      </c>
      <c r="AA609">
        <f t="shared" si="58"/>
        <v>0</v>
      </c>
      <c r="AB609">
        <f t="shared" si="59"/>
        <v>1</v>
      </c>
    </row>
    <row r="610" spans="6:28" x14ac:dyDescent="0.3">
      <c r="F610" s="28"/>
      <c r="G610">
        <v>602</v>
      </c>
      <c r="H610" s="109">
        <v>1067.2022387174657</v>
      </c>
      <c r="I610" s="370">
        <v>484021.86965895968</v>
      </c>
      <c r="J610">
        <v>0</v>
      </c>
      <c r="K610">
        <v>0</v>
      </c>
      <c r="L610">
        <v>0</v>
      </c>
      <c r="M610">
        <v>1</v>
      </c>
      <c r="N610" s="109">
        <v>453.54277952100614</v>
      </c>
      <c r="O610" s="109">
        <v>-3305843.1002629525</v>
      </c>
      <c r="P610" s="365">
        <v>1</v>
      </c>
      <c r="Q610" s="365">
        <v>0</v>
      </c>
      <c r="R610" s="365">
        <v>0</v>
      </c>
      <c r="S610" s="365">
        <v>0</v>
      </c>
      <c r="T610" s="109">
        <v>-3097.6725688242782</v>
      </c>
      <c r="V610" s="368">
        <f t="shared" si="54"/>
        <v>52876090.066214323</v>
      </c>
      <c r="W610" s="30">
        <f t="shared" si="55"/>
        <v>56665955.03613624</v>
      </c>
      <c r="X610" s="30"/>
      <c r="Y610">
        <f t="shared" si="56"/>
        <v>0</v>
      </c>
      <c r="Z610">
        <f t="shared" si="57"/>
        <v>1</v>
      </c>
      <c r="AA610">
        <f t="shared" si="58"/>
        <v>0</v>
      </c>
      <c r="AB610">
        <f t="shared" si="59"/>
        <v>1</v>
      </c>
    </row>
    <row r="611" spans="6:28" x14ac:dyDescent="0.3">
      <c r="F611" s="28"/>
      <c r="G611">
        <v>603</v>
      </c>
      <c r="H611" s="109">
        <v>1069.9050991465047</v>
      </c>
      <c r="I611" s="370">
        <v>1762815.1707274602</v>
      </c>
      <c r="J611">
        <v>0</v>
      </c>
      <c r="K611">
        <v>0</v>
      </c>
      <c r="L611">
        <v>0</v>
      </c>
      <c r="M611">
        <v>1</v>
      </c>
      <c r="N611" s="109">
        <v>1647.6369466167707</v>
      </c>
      <c r="O611" s="109">
        <v>-2338068.1668575625</v>
      </c>
      <c r="P611" s="365">
        <v>1</v>
      </c>
      <c r="Q611" s="365">
        <v>0</v>
      </c>
      <c r="R611" s="365">
        <v>0</v>
      </c>
      <c r="S611" s="365">
        <v>0</v>
      </c>
      <c r="T611" s="109">
        <v>-2185.304256165065</v>
      </c>
      <c r="V611" s="368">
        <f t="shared" si="54"/>
        <v>51732439.786597773</v>
      </c>
      <c r="W611" s="30">
        <f t="shared" si="55"/>
        <v>55833323.124182798</v>
      </c>
      <c r="X611" s="30"/>
      <c r="Y611">
        <f t="shared" si="56"/>
        <v>0</v>
      </c>
      <c r="Z611">
        <f t="shared" si="57"/>
        <v>1</v>
      </c>
      <c r="AA611">
        <f t="shared" si="58"/>
        <v>0</v>
      </c>
      <c r="AB611">
        <f t="shared" si="59"/>
        <v>1</v>
      </c>
    </row>
    <row r="612" spans="6:28" x14ac:dyDescent="0.3">
      <c r="F612" s="28"/>
      <c r="G612">
        <v>604</v>
      </c>
      <c r="H612" s="109">
        <v>1313.7815371150064</v>
      </c>
      <c r="I612" s="370">
        <v>1125934.8503681635</v>
      </c>
      <c r="J612">
        <v>0</v>
      </c>
      <c r="K612">
        <v>0</v>
      </c>
      <c r="L612">
        <v>0</v>
      </c>
      <c r="M612">
        <v>1</v>
      </c>
      <c r="N612" s="109">
        <v>857.01832348828407</v>
      </c>
      <c r="O612" s="109">
        <v>-4961486.8475841274</v>
      </c>
      <c r="P612" s="365">
        <v>1</v>
      </c>
      <c r="Q612" s="365">
        <v>0</v>
      </c>
      <c r="R612" s="365">
        <v>0</v>
      </c>
      <c r="S612" s="365">
        <v>0</v>
      </c>
      <c r="T612" s="109">
        <v>-3776.4930526267599</v>
      </c>
      <c r="V612" s="368">
        <f t="shared" si="54"/>
        <v>64563142.00538215</v>
      </c>
      <c r="W612" s="30">
        <f t="shared" si="55"/>
        <v>70650563.703334436</v>
      </c>
      <c r="X612" s="30"/>
      <c r="Y612">
        <f t="shared" si="56"/>
        <v>0</v>
      </c>
      <c r="Z612">
        <f t="shared" si="57"/>
        <v>1</v>
      </c>
      <c r="AA612">
        <f t="shared" si="58"/>
        <v>0</v>
      </c>
      <c r="AB612">
        <f t="shared" si="59"/>
        <v>1</v>
      </c>
    </row>
    <row r="613" spans="6:28" x14ac:dyDescent="0.3">
      <c r="F613" s="28"/>
      <c r="G613">
        <v>605</v>
      </c>
      <c r="H613" s="109">
        <v>1185.2225056923999</v>
      </c>
      <c r="I613" s="370">
        <v>1794399.1410911377</v>
      </c>
      <c r="J613">
        <v>0</v>
      </c>
      <c r="K613">
        <v>0</v>
      </c>
      <c r="L613">
        <v>0</v>
      </c>
      <c r="M613">
        <v>1</v>
      </c>
      <c r="N613" s="109">
        <v>1513.9766014170145</v>
      </c>
      <c r="O613" s="109">
        <v>-2630386.4640833926</v>
      </c>
      <c r="P613" s="365">
        <v>1</v>
      </c>
      <c r="Q613" s="365">
        <v>0</v>
      </c>
      <c r="R613" s="365">
        <v>0</v>
      </c>
      <c r="S613" s="365">
        <v>0</v>
      </c>
      <c r="T613" s="109">
        <v>-2219.3186945490347</v>
      </c>
      <c r="V613" s="368">
        <f t="shared" si="54"/>
        <v>57466726.143528856</v>
      </c>
      <c r="W613" s="30">
        <f t="shared" si="55"/>
        <v>61891511.74870339</v>
      </c>
      <c r="X613" s="30"/>
      <c r="Y613">
        <f t="shared" si="56"/>
        <v>0</v>
      </c>
      <c r="Z613">
        <f t="shared" si="57"/>
        <v>1</v>
      </c>
      <c r="AA613">
        <f t="shared" si="58"/>
        <v>0</v>
      </c>
      <c r="AB613">
        <f t="shared" si="59"/>
        <v>1</v>
      </c>
    </row>
    <row r="614" spans="6:28" x14ac:dyDescent="0.3">
      <c r="F614" s="28"/>
      <c r="G614">
        <v>606</v>
      </c>
      <c r="H614" s="109">
        <v>1114.2229277707374</v>
      </c>
      <c r="I614" s="370">
        <v>1661662.5773552882</v>
      </c>
      <c r="J614">
        <v>0</v>
      </c>
      <c r="K614">
        <v>0</v>
      </c>
      <c r="L614">
        <v>0</v>
      </c>
      <c r="M614">
        <v>1</v>
      </c>
      <c r="N614" s="109">
        <v>1491.3196775440902</v>
      </c>
      <c r="O614" s="109">
        <v>-3072735.4764980199</v>
      </c>
      <c r="P614" s="365">
        <v>1</v>
      </c>
      <c r="Q614" s="365">
        <v>0</v>
      </c>
      <c r="R614" s="365">
        <v>0</v>
      </c>
      <c r="S614" s="365">
        <v>0</v>
      </c>
      <c r="T614" s="109">
        <v>-2757.7385098740906</v>
      </c>
      <c r="V614" s="368">
        <f t="shared" si="54"/>
        <v>54049483.811181583</v>
      </c>
      <c r="W614" s="30">
        <f t="shared" si="55"/>
        <v>58783881.865034893</v>
      </c>
      <c r="X614" s="30"/>
      <c r="Y614">
        <f t="shared" si="56"/>
        <v>0</v>
      </c>
      <c r="Z614">
        <f t="shared" si="57"/>
        <v>1</v>
      </c>
      <c r="AA614">
        <f t="shared" si="58"/>
        <v>0</v>
      </c>
      <c r="AB614">
        <f t="shared" si="59"/>
        <v>1</v>
      </c>
    </row>
    <row r="615" spans="6:28" x14ac:dyDescent="0.3">
      <c r="F615" s="28"/>
      <c r="G615">
        <v>607</v>
      </c>
      <c r="H615" s="109">
        <v>1179.2036375149764</v>
      </c>
      <c r="I615" s="370">
        <v>909349.6131320768</v>
      </c>
      <c r="J615">
        <v>0</v>
      </c>
      <c r="K615">
        <v>0</v>
      </c>
      <c r="L615">
        <v>0</v>
      </c>
      <c r="M615">
        <v>1</v>
      </c>
      <c r="N615" s="109">
        <v>771.15570559841296</v>
      </c>
      <c r="O615" s="109">
        <v>-3358569.6018895078</v>
      </c>
      <c r="P615" s="365">
        <v>1</v>
      </c>
      <c r="Q615" s="365">
        <v>0</v>
      </c>
      <c r="R615" s="365">
        <v>0</v>
      </c>
      <c r="S615" s="365">
        <v>0</v>
      </c>
      <c r="T615" s="109">
        <v>-2848.1676065444231</v>
      </c>
      <c r="V615" s="368">
        <f t="shared" si="54"/>
        <v>58050832.262616746</v>
      </c>
      <c r="W615" s="30">
        <f t="shared" si="55"/>
        <v>62318751.477638327</v>
      </c>
      <c r="X615" s="30"/>
      <c r="Y615">
        <f t="shared" si="56"/>
        <v>0</v>
      </c>
      <c r="Z615">
        <f t="shared" si="57"/>
        <v>1</v>
      </c>
      <c r="AA615">
        <f t="shared" si="58"/>
        <v>0</v>
      </c>
      <c r="AB615">
        <f t="shared" si="59"/>
        <v>1</v>
      </c>
    </row>
    <row r="616" spans="6:28" x14ac:dyDescent="0.3">
      <c r="F616" s="28"/>
      <c r="G616">
        <v>608</v>
      </c>
      <c r="H616" s="109">
        <v>1128.9625040554893</v>
      </c>
      <c r="I616" s="370">
        <v>1039709.7962205866</v>
      </c>
      <c r="J616">
        <v>0</v>
      </c>
      <c r="K616">
        <v>0</v>
      </c>
      <c r="L616">
        <v>0</v>
      </c>
      <c r="M616">
        <v>1</v>
      </c>
      <c r="N616" s="109">
        <v>920.94271730523678</v>
      </c>
      <c r="O616" s="109">
        <v>-3758373.7526778318</v>
      </c>
      <c r="P616" s="365">
        <v>1</v>
      </c>
      <c r="Q616" s="365">
        <v>0</v>
      </c>
      <c r="R616" s="365">
        <v>0</v>
      </c>
      <c r="S616" s="365">
        <v>0</v>
      </c>
      <c r="T616" s="109">
        <v>-3329.0509996363044</v>
      </c>
      <c r="V616" s="368">
        <f t="shared" si="54"/>
        <v>55408415.406553879</v>
      </c>
      <c r="W616" s="30">
        <f t="shared" si="55"/>
        <v>60206498.955452293</v>
      </c>
      <c r="X616" s="30"/>
      <c r="Y616">
        <f t="shared" si="56"/>
        <v>0</v>
      </c>
      <c r="Z616">
        <f t="shared" si="57"/>
        <v>1</v>
      </c>
      <c r="AA616">
        <f t="shared" si="58"/>
        <v>0</v>
      </c>
      <c r="AB616">
        <f t="shared" si="59"/>
        <v>1</v>
      </c>
    </row>
    <row r="617" spans="6:28" x14ac:dyDescent="0.3">
      <c r="F617" s="28"/>
      <c r="G617">
        <v>609</v>
      </c>
      <c r="H617" s="109">
        <v>1136.0175912422128</v>
      </c>
      <c r="I617" s="370">
        <v>594860.17254257062</v>
      </c>
      <c r="J617">
        <v>0</v>
      </c>
      <c r="K617">
        <v>0</v>
      </c>
      <c r="L617">
        <v>0</v>
      </c>
      <c r="M617">
        <v>1</v>
      </c>
      <c r="N617" s="109">
        <v>523.63640944336328</v>
      </c>
      <c r="O617" s="109">
        <v>-3409996.9771431591</v>
      </c>
      <c r="P617" s="365">
        <v>1</v>
      </c>
      <c r="Q617" s="365">
        <v>0</v>
      </c>
      <c r="R617" s="365">
        <v>0</v>
      </c>
      <c r="S617" s="365">
        <v>0</v>
      </c>
      <c r="T617" s="109">
        <v>-3001.7114201677059</v>
      </c>
      <c r="V617" s="368">
        <f t="shared" si="54"/>
        <v>56206019.389568068</v>
      </c>
      <c r="W617" s="30">
        <f t="shared" si="55"/>
        <v>60210876.539253801</v>
      </c>
      <c r="X617" s="30"/>
      <c r="Y617">
        <f t="shared" si="56"/>
        <v>0</v>
      </c>
      <c r="Z617">
        <f t="shared" si="57"/>
        <v>1</v>
      </c>
      <c r="AA617">
        <f t="shared" si="58"/>
        <v>0</v>
      </c>
      <c r="AB617">
        <f t="shared" si="59"/>
        <v>1</v>
      </c>
    </row>
    <row r="618" spans="6:28" x14ac:dyDescent="0.3">
      <c r="F618" s="28"/>
      <c r="G618">
        <v>610</v>
      </c>
      <c r="H618" s="109">
        <v>1285.4727316262215</v>
      </c>
      <c r="I618" s="370">
        <v>2135590.4073613458</v>
      </c>
      <c r="J618">
        <v>0</v>
      </c>
      <c r="K618">
        <v>0</v>
      </c>
      <c r="L618">
        <v>0</v>
      </c>
      <c r="M618">
        <v>1</v>
      </c>
      <c r="N618" s="109">
        <v>1661.326883736896</v>
      </c>
      <c r="O618" s="109">
        <v>-2708881.7950666198</v>
      </c>
      <c r="P618" s="365">
        <v>1</v>
      </c>
      <c r="Q618" s="365">
        <v>0</v>
      </c>
      <c r="R618" s="365">
        <v>0</v>
      </c>
      <c r="S618" s="365">
        <v>0</v>
      </c>
      <c r="T618" s="109">
        <v>-2107.3039734103709</v>
      </c>
      <c r="V618" s="368">
        <f t="shared" si="54"/>
        <v>62138046.173949733</v>
      </c>
      <c r="W618" s="30">
        <f t="shared" si="55"/>
        <v>66982518.376377694</v>
      </c>
      <c r="X618" s="30"/>
      <c r="Y618">
        <f t="shared" si="56"/>
        <v>0</v>
      </c>
      <c r="Z618">
        <f t="shared" si="57"/>
        <v>1</v>
      </c>
      <c r="AA618">
        <f t="shared" si="58"/>
        <v>0</v>
      </c>
      <c r="AB618">
        <f t="shared" si="59"/>
        <v>1</v>
      </c>
    </row>
    <row r="619" spans="6:28" x14ac:dyDescent="0.3">
      <c r="F619" s="28"/>
      <c r="G619">
        <v>611</v>
      </c>
      <c r="H619" s="109">
        <v>1210.8098313992668</v>
      </c>
      <c r="I619" s="370">
        <v>1563102.2977506195</v>
      </c>
      <c r="J619">
        <v>0</v>
      </c>
      <c r="K619">
        <v>0</v>
      </c>
      <c r="L619">
        <v>0</v>
      </c>
      <c r="M619">
        <v>1</v>
      </c>
      <c r="N619" s="109">
        <v>1290.9560669359839</v>
      </c>
      <c r="O619" s="109">
        <v>-3226690.9893004308</v>
      </c>
      <c r="P619" s="365">
        <v>1</v>
      </c>
      <c r="Q619" s="365">
        <v>0</v>
      </c>
      <c r="R619" s="365">
        <v>0</v>
      </c>
      <c r="S619" s="365">
        <v>0</v>
      </c>
      <c r="T619" s="109">
        <v>-2664.9031958813221</v>
      </c>
      <c r="V619" s="368">
        <f t="shared" si="54"/>
        <v>58977389.272212721</v>
      </c>
      <c r="W619" s="30">
        <f t="shared" si="55"/>
        <v>63767182.559263773</v>
      </c>
      <c r="X619" s="30"/>
      <c r="Y619">
        <f t="shared" si="56"/>
        <v>0</v>
      </c>
      <c r="Z619">
        <f t="shared" si="57"/>
        <v>1</v>
      </c>
      <c r="AA619">
        <f t="shared" si="58"/>
        <v>0</v>
      </c>
      <c r="AB619">
        <f t="shared" si="59"/>
        <v>1</v>
      </c>
    </row>
    <row r="620" spans="6:28" x14ac:dyDescent="0.3">
      <c r="F620" s="28"/>
      <c r="G620">
        <v>612</v>
      </c>
      <c r="H620" s="109">
        <v>1061.1031295508801</v>
      </c>
      <c r="I620" s="370">
        <v>868193.60220174911</v>
      </c>
      <c r="J620">
        <v>0</v>
      </c>
      <c r="K620">
        <v>0</v>
      </c>
      <c r="L620">
        <v>0</v>
      </c>
      <c r="M620">
        <v>1</v>
      </c>
      <c r="N620" s="109">
        <v>818.19907794374194</v>
      </c>
      <c r="O620" s="109">
        <v>-3110776.8440493643</v>
      </c>
      <c r="P620" s="365">
        <v>1</v>
      </c>
      <c r="Q620" s="365">
        <v>0</v>
      </c>
      <c r="R620" s="365">
        <v>0</v>
      </c>
      <c r="S620" s="365">
        <v>0</v>
      </c>
      <c r="T620" s="109">
        <v>-2931.6442081987111</v>
      </c>
      <c r="V620" s="368">
        <f t="shared" si="54"/>
        <v>52186962.87534225</v>
      </c>
      <c r="W620" s="30">
        <f t="shared" si="55"/>
        <v>56165933.321593367</v>
      </c>
      <c r="X620" s="30"/>
      <c r="Y620">
        <f t="shared" si="56"/>
        <v>0</v>
      </c>
      <c r="Z620">
        <f t="shared" si="57"/>
        <v>1</v>
      </c>
      <c r="AA620">
        <f t="shared" si="58"/>
        <v>0</v>
      </c>
      <c r="AB620">
        <f t="shared" si="59"/>
        <v>1</v>
      </c>
    </row>
    <row r="621" spans="6:28" x14ac:dyDescent="0.3">
      <c r="F621" s="28"/>
      <c r="G621">
        <v>613</v>
      </c>
      <c r="H621" s="109">
        <v>1166.3585800575383</v>
      </c>
      <c r="I621" s="370">
        <v>2285282.3636092483</v>
      </c>
      <c r="J621">
        <v>0</v>
      </c>
      <c r="K621">
        <v>0</v>
      </c>
      <c r="L621">
        <v>0</v>
      </c>
      <c r="M621">
        <v>1</v>
      </c>
      <c r="N621" s="109">
        <v>1959.3308633237916</v>
      </c>
      <c r="O621" s="109">
        <v>-2239767.2611903953</v>
      </c>
      <c r="P621" s="365">
        <v>1</v>
      </c>
      <c r="Q621" s="365">
        <v>0</v>
      </c>
      <c r="R621" s="365">
        <v>0</v>
      </c>
      <c r="S621" s="365">
        <v>0</v>
      </c>
      <c r="T621" s="109">
        <v>-1920.30761335841</v>
      </c>
      <c r="V621" s="368">
        <f t="shared" si="54"/>
        <v>56032646.639267668</v>
      </c>
      <c r="W621" s="30">
        <f t="shared" si="55"/>
        <v>60557696.264067307</v>
      </c>
      <c r="X621" s="30"/>
      <c r="Y621">
        <f t="shared" si="56"/>
        <v>0</v>
      </c>
      <c r="Z621">
        <f t="shared" si="57"/>
        <v>1</v>
      </c>
      <c r="AA621">
        <f t="shared" si="58"/>
        <v>0</v>
      </c>
      <c r="AB621">
        <f t="shared" si="59"/>
        <v>1</v>
      </c>
    </row>
    <row r="622" spans="6:28" x14ac:dyDescent="0.3">
      <c r="F622" s="28"/>
      <c r="G622">
        <v>614</v>
      </c>
      <c r="H622" s="109">
        <v>1033.2573838407625</v>
      </c>
      <c r="I622" s="370">
        <v>1688944.9541665756</v>
      </c>
      <c r="J622">
        <v>0</v>
      </c>
      <c r="K622">
        <v>0</v>
      </c>
      <c r="L622">
        <v>0</v>
      </c>
      <c r="M622">
        <v>1</v>
      </c>
      <c r="N622" s="109">
        <v>1634.5829999186944</v>
      </c>
      <c r="O622" s="109">
        <v>-2323225.8685597838</v>
      </c>
      <c r="P622" s="365">
        <v>1</v>
      </c>
      <c r="Q622" s="365">
        <v>0</v>
      </c>
      <c r="R622" s="365">
        <v>0</v>
      </c>
      <c r="S622" s="365">
        <v>0</v>
      </c>
      <c r="T622" s="109">
        <v>-2248.448358456465</v>
      </c>
      <c r="V622" s="368">
        <f t="shared" si="54"/>
        <v>49973924.23787155</v>
      </c>
      <c r="W622" s="30">
        <f t="shared" si="55"/>
        <v>53986095.060597911</v>
      </c>
      <c r="X622" s="30"/>
      <c r="Y622">
        <f t="shared" si="56"/>
        <v>0</v>
      </c>
      <c r="Z622">
        <f t="shared" si="57"/>
        <v>1</v>
      </c>
      <c r="AA622">
        <f t="shared" si="58"/>
        <v>0</v>
      </c>
      <c r="AB622">
        <f t="shared" si="59"/>
        <v>1</v>
      </c>
    </row>
    <row r="623" spans="6:28" x14ac:dyDescent="0.3">
      <c r="F623" s="28"/>
      <c r="G623">
        <v>615</v>
      </c>
      <c r="H623" s="109">
        <v>1178.92713432858</v>
      </c>
      <c r="I623" s="370">
        <v>1063018.292775928</v>
      </c>
      <c r="J623">
        <v>0</v>
      </c>
      <c r="K623">
        <v>0</v>
      </c>
      <c r="L623">
        <v>0</v>
      </c>
      <c r="M623">
        <v>1</v>
      </c>
      <c r="N623" s="109">
        <v>901.68277735106665</v>
      </c>
      <c r="O623" s="109">
        <v>-3050336.1439959086</v>
      </c>
      <c r="P623" s="365">
        <v>1</v>
      </c>
      <c r="Q623" s="365">
        <v>0</v>
      </c>
      <c r="R623" s="365">
        <v>0</v>
      </c>
      <c r="S623" s="365">
        <v>0</v>
      </c>
      <c r="T623" s="109">
        <v>-2587.3831004264139</v>
      </c>
      <c r="V623" s="368">
        <f t="shared" si="54"/>
        <v>57883338.423653074</v>
      </c>
      <c r="W623" s="30">
        <f t="shared" si="55"/>
        <v>61996692.860424913</v>
      </c>
      <c r="X623" s="30"/>
      <c r="Y623">
        <f t="shared" si="56"/>
        <v>0</v>
      </c>
      <c r="Z623">
        <f t="shared" si="57"/>
        <v>1</v>
      </c>
      <c r="AA623">
        <f t="shared" si="58"/>
        <v>0</v>
      </c>
      <c r="AB623">
        <f t="shared" si="59"/>
        <v>1</v>
      </c>
    </row>
    <row r="624" spans="6:28" x14ac:dyDescent="0.3">
      <c r="F624" s="28"/>
      <c r="G624">
        <v>616</v>
      </c>
      <c r="H624" s="109">
        <v>1274.1006031719808</v>
      </c>
      <c r="I624" s="370">
        <v>2691956.8187124417</v>
      </c>
      <c r="J624">
        <v>0</v>
      </c>
      <c r="K624">
        <v>0</v>
      </c>
      <c r="L624">
        <v>0</v>
      </c>
      <c r="M624">
        <v>1</v>
      </c>
      <c r="N624" s="109">
        <v>2112.8290905840468</v>
      </c>
      <c r="O624" s="109">
        <v>-2566080.2851691903</v>
      </c>
      <c r="P624" s="365">
        <v>1</v>
      </c>
      <c r="Q624" s="365">
        <v>0</v>
      </c>
      <c r="R624" s="365">
        <v>0</v>
      </c>
      <c r="S624" s="365">
        <v>0</v>
      </c>
      <c r="T624" s="109">
        <v>-2014.0327057225445</v>
      </c>
      <c r="V624" s="368">
        <f t="shared" si="54"/>
        <v>61013073.339886598</v>
      </c>
      <c r="W624" s="30">
        <f t="shared" si="55"/>
        <v>66271110.443768233</v>
      </c>
      <c r="X624" s="30"/>
      <c r="Y624">
        <f t="shared" si="56"/>
        <v>0</v>
      </c>
      <c r="Z624">
        <f t="shared" si="57"/>
        <v>1</v>
      </c>
      <c r="AA624">
        <f t="shared" si="58"/>
        <v>0</v>
      </c>
      <c r="AB624">
        <f t="shared" si="59"/>
        <v>1</v>
      </c>
    </row>
    <row r="625" spans="6:28" x14ac:dyDescent="0.3">
      <c r="F625" s="28"/>
      <c r="G625">
        <v>617</v>
      </c>
      <c r="H625" s="109">
        <v>1030.9158451859548</v>
      </c>
      <c r="I625" s="370">
        <v>1540404.2215901306</v>
      </c>
      <c r="J625">
        <v>0</v>
      </c>
      <c r="K625">
        <v>0</v>
      </c>
      <c r="L625">
        <v>0</v>
      </c>
      <c r="M625">
        <v>1</v>
      </c>
      <c r="N625" s="109">
        <v>1494.2094728520494</v>
      </c>
      <c r="O625" s="109">
        <v>-2387840.8027696405</v>
      </c>
      <c r="P625" s="365">
        <v>1</v>
      </c>
      <c r="Q625" s="365">
        <v>0</v>
      </c>
      <c r="R625" s="365">
        <v>0</v>
      </c>
      <c r="S625" s="365">
        <v>0</v>
      </c>
      <c r="T625" s="109">
        <v>-2316.2325168636107</v>
      </c>
      <c r="V625" s="368">
        <f t="shared" si="54"/>
        <v>50005388.037707612</v>
      </c>
      <c r="W625" s="30">
        <f t="shared" si="55"/>
        <v>53933633.062067382</v>
      </c>
      <c r="X625" s="30"/>
      <c r="Y625">
        <f t="shared" si="56"/>
        <v>0</v>
      </c>
      <c r="Z625">
        <f t="shared" si="57"/>
        <v>1</v>
      </c>
      <c r="AA625">
        <f t="shared" si="58"/>
        <v>0</v>
      </c>
      <c r="AB625">
        <f t="shared" si="59"/>
        <v>1</v>
      </c>
    </row>
    <row r="626" spans="6:28" x14ac:dyDescent="0.3">
      <c r="F626" s="28"/>
      <c r="G626">
        <v>618</v>
      </c>
      <c r="H626" s="109">
        <v>1213.7422582362196</v>
      </c>
      <c r="I626" s="370">
        <v>1133201.3385291544</v>
      </c>
      <c r="J626">
        <v>0</v>
      </c>
      <c r="K626">
        <v>0</v>
      </c>
      <c r="L626">
        <v>0</v>
      </c>
      <c r="M626">
        <v>1</v>
      </c>
      <c r="N626" s="109">
        <v>933.64248532954161</v>
      </c>
      <c r="O626" s="109">
        <v>-4794184.8977101082</v>
      </c>
      <c r="P626" s="365">
        <v>1</v>
      </c>
      <c r="Q626" s="365">
        <v>0</v>
      </c>
      <c r="R626" s="365">
        <v>0</v>
      </c>
      <c r="S626" s="365">
        <v>0</v>
      </c>
      <c r="T626" s="109">
        <v>-3949.9200634876961</v>
      </c>
      <c r="V626" s="368">
        <f t="shared" si="54"/>
        <v>59553911.573281825</v>
      </c>
      <c r="W626" s="30">
        <f t="shared" si="55"/>
        <v>65481297.809521087</v>
      </c>
      <c r="X626" s="30"/>
      <c r="Y626">
        <f t="shared" si="56"/>
        <v>0</v>
      </c>
      <c r="Z626">
        <f t="shared" si="57"/>
        <v>1</v>
      </c>
      <c r="AA626">
        <f t="shared" si="58"/>
        <v>0</v>
      </c>
      <c r="AB626">
        <f t="shared" si="59"/>
        <v>1</v>
      </c>
    </row>
    <row r="627" spans="6:28" x14ac:dyDescent="0.3">
      <c r="F627" s="28"/>
      <c r="G627">
        <v>619</v>
      </c>
      <c r="H627" s="109">
        <v>1186.5719876951771</v>
      </c>
      <c r="I627" s="370">
        <v>1557456.9425955233</v>
      </c>
      <c r="J627">
        <v>0</v>
      </c>
      <c r="K627">
        <v>0</v>
      </c>
      <c r="L627">
        <v>0</v>
      </c>
      <c r="M627">
        <v>1</v>
      </c>
      <c r="N627" s="109">
        <v>1312.5684397966963</v>
      </c>
      <c r="O627" s="109">
        <v>-4682626.4619383644</v>
      </c>
      <c r="P627" s="365">
        <v>1</v>
      </c>
      <c r="Q627" s="365">
        <v>0</v>
      </c>
      <c r="R627" s="365">
        <v>0</v>
      </c>
      <c r="S627" s="365">
        <v>0</v>
      </c>
      <c r="T627" s="109">
        <v>-3946.3483973138441</v>
      </c>
      <c r="V627" s="368">
        <f t="shared" si="54"/>
        <v>57771142.442163326</v>
      </c>
      <c r="W627" s="30">
        <f t="shared" si="55"/>
        <v>64011225.846697219</v>
      </c>
      <c r="X627" s="30"/>
      <c r="Y627">
        <f t="shared" si="56"/>
        <v>0</v>
      </c>
      <c r="Z627">
        <f t="shared" si="57"/>
        <v>1</v>
      </c>
      <c r="AA627">
        <f t="shared" si="58"/>
        <v>0</v>
      </c>
      <c r="AB627">
        <f t="shared" si="59"/>
        <v>1</v>
      </c>
    </row>
    <row r="628" spans="6:28" x14ac:dyDescent="0.3">
      <c r="F628" s="28"/>
      <c r="G628">
        <v>620</v>
      </c>
      <c r="H628" s="109">
        <v>1436.0128122212118</v>
      </c>
      <c r="I628" s="370">
        <v>1238717.7091664111</v>
      </c>
      <c r="J628">
        <v>0</v>
      </c>
      <c r="K628">
        <v>0</v>
      </c>
      <c r="L628">
        <v>0</v>
      </c>
      <c r="M628">
        <v>1</v>
      </c>
      <c r="N628" s="109">
        <v>862.60909277708572</v>
      </c>
      <c r="O628" s="109">
        <v>-4004970.381957761</v>
      </c>
      <c r="P628" s="365">
        <v>1</v>
      </c>
      <c r="Q628" s="365">
        <v>0</v>
      </c>
      <c r="R628" s="365">
        <v>0</v>
      </c>
      <c r="S628" s="365">
        <v>0</v>
      </c>
      <c r="T628" s="109">
        <v>-2788.9517056347909</v>
      </c>
      <c r="V628" s="368">
        <f t="shared" si="54"/>
        <v>70561922.901894182</v>
      </c>
      <c r="W628" s="30">
        <f t="shared" si="55"/>
        <v>75805610.993018344</v>
      </c>
      <c r="X628" s="30"/>
      <c r="Y628">
        <f t="shared" si="56"/>
        <v>0</v>
      </c>
      <c r="Z628">
        <f t="shared" si="57"/>
        <v>1</v>
      </c>
      <c r="AA628">
        <f t="shared" si="58"/>
        <v>0</v>
      </c>
      <c r="AB628">
        <f t="shared" si="59"/>
        <v>1</v>
      </c>
    </row>
    <row r="629" spans="6:28" x14ac:dyDescent="0.3">
      <c r="F629" s="28"/>
      <c r="G629">
        <v>621</v>
      </c>
      <c r="H629" s="109">
        <v>1112.8568729663384</v>
      </c>
      <c r="I629" s="370">
        <v>1465832.4262666542</v>
      </c>
      <c r="J629">
        <v>0</v>
      </c>
      <c r="K629">
        <v>0</v>
      </c>
      <c r="L629">
        <v>0</v>
      </c>
      <c r="M629">
        <v>1</v>
      </c>
      <c r="N629" s="109">
        <v>1317.1796498497183</v>
      </c>
      <c r="O629" s="109">
        <v>-2760333.734445605</v>
      </c>
      <c r="P629" s="365">
        <v>1</v>
      </c>
      <c r="Q629" s="365">
        <v>0</v>
      </c>
      <c r="R629" s="365">
        <v>0</v>
      </c>
      <c r="S629" s="365">
        <v>0</v>
      </c>
      <c r="T629" s="109">
        <v>-2480.4031870584486</v>
      </c>
      <c r="V629" s="368">
        <f t="shared" si="54"/>
        <v>54177011.222050264</v>
      </c>
      <c r="W629" s="30">
        <f t="shared" si="55"/>
        <v>58403177.382762522</v>
      </c>
      <c r="X629" s="30"/>
      <c r="Y629">
        <f t="shared" si="56"/>
        <v>0</v>
      </c>
      <c r="Z629">
        <f t="shared" si="57"/>
        <v>1</v>
      </c>
      <c r="AA629">
        <f t="shared" si="58"/>
        <v>0</v>
      </c>
      <c r="AB629">
        <f t="shared" si="59"/>
        <v>1</v>
      </c>
    </row>
    <row r="630" spans="6:28" x14ac:dyDescent="0.3">
      <c r="F630" s="28"/>
      <c r="G630">
        <v>622</v>
      </c>
      <c r="H630" s="109">
        <v>1194.346259586564</v>
      </c>
      <c r="I630" s="370">
        <v>979848.0973878454</v>
      </c>
      <c r="J630">
        <v>0</v>
      </c>
      <c r="K630">
        <v>0</v>
      </c>
      <c r="L630">
        <v>0</v>
      </c>
      <c r="M630">
        <v>1</v>
      </c>
      <c r="N630" s="109">
        <v>820.40538036852945</v>
      </c>
      <c r="O630" s="109">
        <v>-3725053.6953836866</v>
      </c>
      <c r="P630" s="365">
        <v>1</v>
      </c>
      <c r="Q630" s="365">
        <v>0</v>
      </c>
      <c r="R630" s="365">
        <v>0</v>
      </c>
      <c r="S630" s="365">
        <v>0</v>
      </c>
      <c r="T630" s="109">
        <v>-3118.9059834902105</v>
      </c>
      <c r="V630" s="368">
        <f t="shared" si="54"/>
        <v>58737464.881940357</v>
      </c>
      <c r="W630" s="30">
        <f t="shared" si="55"/>
        <v>63442366.674711883</v>
      </c>
      <c r="X630" s="30"/>
      <c r="Y630">
        <f t="shared" si="56"/>
        <v>0</v>
      </c>
      <c r="Z630">
        <f t="shared" si="57"/>
        <v>1</v>
      </c>
      <c r="AA630">
        <f t="shared" si="58"/>
        <v>0</v>
      </c>
      <c r="AB630">
        <f t="shared" si="59"/>
        <v>1</v>
      </c>
    </row>
    <row r="631" spans="6:28" x14ac:dyDescent="0.3">
      <c r="F631" s="28"/>
      <c r="G631">
        <v>623</v>
      </c>
      <c r="H631" s="109">
        <v>972.89545837813785</v>
      </c>
      <c r="I631" s="370">
        <v>681862.14497253578</v>
      </c>
      <c r="J631">
        <v>0</v>
      </c>
      <c r="K631">
        <v>0</v>
      </c>
      <c r="L631">
        <v>0</v>
      </c>
      <c r="M631">
        <v>1</v>
      </c>
      <c r="N631" s="109">
        <v>700.85859595771149</v>
      </c>
      <c r="O631" s="109">
        <v>-3330448.9127086499</v>
      </c>
      <c r="P631" s="365">
        <v>1</v>
      </c>
      <c r="Q631" s="365">
        <v>0</v>
      </c>
      <c r="R631" s="365">
        <v>0</v>
      </c>
      <c r="S631" s="365">
        <v>0</v>
      </c>
      <c r="T631" s="109">
        <v>-3423.2341039608341</v>
      </c>
      <c r="V631" s="368">
        <f t="shared" si="54"/>
        <v>47962910.773934357</v>
      </c>
      <c r="W631" s="30">
        <f t="shared" si="55"/>
        <v>51975221.831615537</v>
      </c>
      <c r="X631" s="30"/>
      <c r="Y631">
        <f t="shared" si="56"/>
        <v>0</v>
      </c>
      <c r="Z631">
        <f t="shared" si="57"/>
        <v>1</v>
      </c>
      <c r="AA631">
        <f t="shared" si="58"/>
        <v>0</v>
      </c>
      <c r="AB631">
        <f t="shared" si="59"/>
        <v>1</v>
      </c>
    </row>
    <row r="632" spans="6:28" x14ac:dyDescent="0.3">
      <c r="F632" s="28"/>
      <c r="G632">
        <v>624</v>
      </c>
      <c r="H632" s="109">
        <v>1043.1965579679527</v>
      </c>
      <c r="I632" s="370">
        <v>620539.0057845019</v>
      </c>
      <c r="J632">
        <v>0</v>
      </c>
      <c r="K632">
        <v>0</v>
      </c>
      <c r="L632">
        <v>0</v>
      </c>
      <c r="M632">
        <v>1</v>
      </c>
      <c r="N632" s="109">
        <v>594.8438010505447</v>
      </c>
      <c r="O632" s="109">
        <v>-2746696.9840002717</v>
      </c>
      <c r="P632" s="365">
        <v>1</v>
      </c>
      <c r="Q632" s="365">
        <v>0</v>
      </c>
      <c r="R632" s="365">
        <v>0</v>
      </c>
      <c r="S632" s="365">
        <v>0</v>
      </c>
      <c r="T632" s="109">
        <v>-2632.9620846818889</v>
      </c>
      <c r="V632" s="368">
        <f t="shared" si="54"/>
        <v>51539288.892613128</v>
      </c>
      <c r="W632" s="30">
        <f t="shared" si="55"/>
        <v>54906524.882397905</v>
      </c>
      <c r="X632" s="30"/>
      <c r="Y632">
        <f t="shared" si="56"/>
        <v>0</v>
      </c>
      <c r="Z632">
        <f t="shared" si="57"/>
        <v>1</v>
      </c>
      <c r="AA632">
        <f t="shared" si="58"/>
        <v>0</v>
      </c>
      <c r="AB632">
        <f t="shared" si="59"/>
        <v>1</v>
      </c>
    </row>
    <row r="633" spans="6:28" x14ac:dyDescent="0.3">
      <c r="F633" s="28"/>
      <c r="G633">
        <v>625</v>
      </c>
      <c r="H633" s="109">
        <v>927.68964324158151</v>
      </c>
      <c r="I633" s="370">
        <v>2096914.0039592262</v>
      </c>
      <c r="J633">
        <v>0</v>
      </c>
      <c r="K633">
        <v>0</v>
      </c>
      <c r="L633">
        <v>0</v>
      </c>
      <c r="M633">
        <v>1</v>
      </c>
      <c r="N633" s="109">
        <v>2260.3615543578562</v>
      </c>
      <c r="O633" s="109">
        <v>-1583448.0658285085</v>
      </c>
      <c r="P633" s="365">
        <v>1</v>
      </c>
      <c r="Q633" s="365">
        <v>0</v>
      </c>
      <c r="R633" s="365">
        <v>0</v>
      </c>
      <c r="S633" s="365">
        <v>0</v>
      </c>
      <c r="T633" s="109">
        <v>-1706.8726350070501</v>
      </c>
      <c r="V633" s="368">
        <f t="shared" si="54"/>
        <v>44287568.15811985</v>
      </c>
      <c r="W633" s="30">
        <f t="shared" si="55"/>
        <v>47967930.227907583</v>
      </c>
      <c r="X633" s="30"/>
      <c r="Y633">
        <f t="shared" si="56"/>
        <v>0</v>
      </c>
      <c r="Z633">
        <f t="shared" si="57"/>
        <v>1</v>
      </c>
      <c r="AA633">
        <f t="shared" si="58"/>
        <v>0</v>
      </c>
      <c r="AB633">
        <f t="shared" si="59"/>
        <v>1</v>
      </c>
    </row>
    <row r="634" spans="6:28" x14ac:dyDescent="0.3">
      <c r="F634" s="28"/>
      <c r="G634">
        <v>626</v>
      </c>
      <c r="H634" s="109">
        <v>1211.6086836551112</v>
      </c>
      <c r="I634" s="370">
        <v>2268298.9082369669</v>
      </c>
      <c r="J634">
        <v>0</v>
      </c>
      <c r="K634">
        <v>0</v>
      </c>
      <c r="L634">
        <v>0</v>
      </c>
      <c r="M634">
        <v>1</v>
      </c>
      <c r="N634" s="109">
        <v>1872.1382066973088</v>
      </c>
      <c r="O634" s="109">
        <v>-2503137.6089648623</v>
      </c>
      <c r="P634" s="365">
        <v>1</v>
      </c>
      <c r="Q634" s="365">
        <v>0</v>
      </c>
      <c r="R634" s="365">
        <v>0</v>
      </c>
      <c r="S634" s="365">
        <v>0</v>
      </c>
      <c r="T634" s="109">
        <v>-2065.9620905105608</v>
      </c>
      <c r="V634" s="368">
        <f t="shared" si="54"/>
        <v>58312135.274518594</v>
      </c>
      <c r="W634" s="30">
        <f t="shared" si="55"/>
        <v>63083571.79172042</v>
      </c>
      <c r="X634" s="30"/>
      <c r="Y634">
        <f t="shared" si="56"/>
        <v>0</v>
      </c>
      <c r="Z634">
        <f t="shared" si="57"/>
        <v>1</v>
      </c>
      <c r="AA634">
        <f t="shared" si="58"/>
        <v>0</v>
      </c>
      <c r="AB634">
        <f t="shared" si="59"/>
        <v>1</v>
      </c>
    </row>
    <row r="635" spans="6:28" x14ac:dyDescent="0.3">
      <c r="F635" s="28"/>
      <c r="G635">
        <v>627</v>
      </c>
      <c r="H635" s="109">
        <v>1041.2295621570156</v>
      </c>
      <c r="I635" s="370">
        <v>922610.06047465827</v>
      </c>
      <c r="J635">
        <v>0</v>
      </c>
      <c r="K635">
        <v>0</v>
      </c>
      <c r="L635">
        <v>0</v>
      </c>
      <c r="M635">
        <v>1</v>
      </c>
      <c r="N635" s="109">
        <v>886.07747417714052</v>
      </c>
      <c r="O635" s="109">
        <v>-3793619.2934780396</v>
      </c>
      <c r="P635" s="365">
        <v>1</v>
      </c>
      <c r="Q635" s="365">
        <v>0</v>
      </c>
      <c r="R635" s="365">
        <v>0</v>
      </c>
      <c r="S635" s="365">
        <v>0</v>
      </c>
      <c r="T635" s="109">
        <v>-3643.4033678597848</v>
      </c>
      <c r="V635" s="368">
        <f t="shared" si="54"/>
        <v>51138868.047376126</v>
      </c>
      <c r="W635" s="30">
        <f t="shared" si="55"/>
        <v>55855097.401328824</v>
      </c>
      <c r="X635" s="30"/>
      <c r="Y635">
        <f t="shared" si="56"/>
        <v>0</v>
      </c>
      <c r="Z635">
        <f t="shared" si="57"/>
        <v>1</v>
      </c>
      <c r="AA635">
        <f t="shared" si="58"/>
        <v>0</v>
      </c>
      <c r="AB635">
        <f t="shared" si="59"/>
        <v>1</v>
      </c>
    </row>
    <row r="636" spans="6:28" x14ac:dyDescent="0.3">
      <c r="F636" s="28"/>
      <c r="G636">
        <v>628</v>
      </c>
      <c r="H636" s="109">
        <v>1186.1632103124502</v>
      </c>
      <c r="I636" s="370">
        <v>900429.05841983738</v>
      </c>
      <c r="J636">
        <v>0</v>
      </c>
      <c r="K636">
        <v>0</v>
      </c>
      <c r="L636">
        <v>0</v>
      </c>
      <c r="M636">
        <v>1</v>
      </c>
      <c r="N636" s="109">
        <v>759.11059337496488</v>
      </c>
      <c r="O636" s="109">
        <v>-3023656.4399251067</v>
      </c>
      <c r="P636" s="365">
        <v>1</v>
      </c>
      <c r="Q636" s="365">
        <v>0</v>
      </c>
      <c r="R636" s="365">
        <v>0</v>
      </c>
      <c r="S636" s="365">
        <v>0</v>
      </c>
      <c r="T636" s="109">
        <v>-2549.1065762599715</v>
      </c>
      <c r="V636" s="368">
        <f t="shared" si="54"/>
        <v>58407731.457202673</v>
      </c>
      <c r="W636" s="30">
        <f t="shared" si="55"/>
        <v>62331816.955547616</v>
      </c>
      <c r="X636" s="30"/>
      <c r="Y636">
        <f t="shared" si="56"/>
        <v>0</v>
      </c>
      <c r="Z636">
        <f t="shared" si="57"/>
        <v>1</v>
      </c>
      <c r="AA636">
        <f t="shared" si="58"/>
        <v>0</v>
      </c>
      <c r="AB636">
        <f t="shared" si="59"/>
        <v>1</v>
      </c>
    </row>
    <row r="637" spans="6:28" x14ac:dyDescent="0.3">
      <c r="F637" s="28"/>
      <c r="G637">
        <v>629</v>
      </c>
      <c r="H637" s="109">
        <v>1215.2617972890584</v>
      </c>
      <c r="I637" s="370">
        <v>1288322.2218364526</v>
      </c>
      <c r="J637">
        <v>0</v>
      </c>
      <c r="K637">
        <v>0</v>
      </c>
      <c r="L637">
        <v>0</v>
      </c>
      <c r="M637">
        <v>1</v>
      </c>
      <c r="N637" s="109">
        <v>1060.1190827444534</v>
      </c>
      <c r="O637" s="109">
        <v>-4080336.932653727</v>
      </c>
      <c r="P637" s="365">
        <v>1</v>
      </c>
      <c r="Q637" s="365">
        <v>0</v>
      </c>
      <c r="R637" s="365">
        <v>0</v>
      </c>
      <c r="S637" s="365">
        <v>0</v>
      </c>
      <c r="T637" s="109">
        <v>-3357.5785413117783</v>
      </c>
      <c r="V637" s="368">
        <f t="shared" si="54"/>
        <v>59474767.642616466</v>
      </c>
      <c r="W637" s="30">
        <f t="shared" si="55"/>
        <v>64843426.797106646</v>
      </c>
      <c r="X637" s="30"/>
      <c r="Y637">
        <f t="shared" si="56"/>
        <v>0</v>
      </c>
      <c r="Z637">
        <f t="shared" si="57"/>
        <v>1</v>
      </c>
      <c r="AA637">
        <f t="shared" si="58"/>
        <v>0</v>
      </c>
      <c r="AB637">
        <f t="shared" si="59"/>
        <v>1</v>
      </c>
    </row>
    <row r="638" spans="6:28" x14ac:dyDescent="0.3">
      <c r="F638" s="28"/>
      <c r="G638">
        <v>630</v>
      </c>
      <c r="H638" s="109">
        <v>964.63072032859054</v>
      </c>
      <c r="I638" s="370">
        <v>2349771.0484611886</v>
      </c>
      <c r="J638">
        <v>0</v>
      </c>
      <c r="K638">
        <v>0</v>
      </c>
      <c r="L638">
        <v>0</v>
      </c>
      <c r="M638">
        <v>1</v>
      </c>
      <c r="N638" s="109">
        <v>2435.9280696148321</v>
      </c>
      <c r="O638" s="109">
        <v>-1821492.4053909639</v>
      </c>
      <c r="P638" s="365">
        <v>1</v>
      </c>
      <c r="Q638" s="365">
        <v>0</v>
      </c>
      <c r="R638" s="365">
        <v>0</v>
      </c>
      <c r="S638" s="365">
        <v>0</v>
      </c>
      <c r="T638" s="109">
        <v>-1888.2794907988139</v>
      </c>
      <c r="V638" s="368">
        <f t="shared" si="54"/>
        <v>45881764.967968337</v>
      </c>
      <c r="W638" s="30">
        <f t="shared" si="55"/>
        <v>50053028.421820492</v>
      </c>
      <c r="X638" s="30"/>
      <c r="Y638">
        <f t="shared" si="56"/>
        <v>0</v>
      </c>
      <c r="Z638">
        <f t="shared" si="57"/>
        <v>1</v>
      </c>
      <c r="AA638">
        <f t="shared" si="58"/>
        <v>0</v>
      </c>
      <c r="AB638">
        <f t="shared" si="59"/>
        <v>1</v>
      </c>
    </row>
    <row r="639" spans="6:28" x14ac:dyDescent="0.3">
      <c r="F639" s="28"/>
      <c r="G639">
        <v>631</v>
      </c>
      <c r="H639" s="109">
        <v>1129.6411779169066</v>
      </c>
      <c r="I639" s="370">
        <v>1193878.5993181861</v>
      </c>
      <c r="J639">
        <v>0</v>
      </c>
      <c r="K639">
        <v>0</v>
      </c>
      <c r="L639">
        <v>0</v>
      </c>
      <c r="M639">
        <v>1</v>
      </c>
      <c r="N639" s="109">
        <v>1056.8653326888591</v>
      </c>
      <c r="O639" s="109">
        <v>-2849775.8501105094</v>
      </c>
      <c r="P639" s="365">
        <v>1</v>
      </c>
      <c r="Q639" s="365">
        <v>0</v>
      </c>
      <c r="R639" s="365">
        <v>0</v>
      </c>
      <c r="S639" s="365">
        <v>0</v>
      </c>
      <c r="T639" s="109">
        <v>-2522.7266018804171</v>
      </c>
      <c r="V639" s="368">
        <f t="shared" si="54"/>
        <v>55288180.296527147</v>
      </c>
      <c r="W639" s="30">
        <f t="shared" si="55"/>
        <v>59331834.74595584</v>
      </c>
      <c r="X639" s="30"/>
      <c r="Y639">
        <f t="shared" si="56"/>
        <v>0</v>
      </c>
      <c r="Z639">
        <f t="shared" si="57"/>
        <v>1</v>
      </c>
      <c r="AA639">
        <f t="shared" si="58"/>
        <v>0</v>
      </c>
      <c r="AB639">
        <f t="shared" si="59"/>
        <v>1</v>
      </c>
    </row>
    <row r="640" spans="6:28" x14ac:dyDescent="0.3">
      <c r="F640" s="28"/>
      <c r="G640">
        <v>632</v>
      </c>
      <c r="H640" s="109">
        <v>1142.8498294132078</v>
      </c>
      <c r="I640" s="370">
        <v>1533888.5697371573</v>
      </c>
      <c r="J640">
        <v>0</v>
      </c>
      <c r="K640">
        <v>0</v>
      </c>
      <c r="L640">
        <v>0</v>
      </c>
      <c r="M640">
        <v>1</v>
      </c>
      <c r="N640" s="109">
        <v>1342.1610873623938</v>
      </c>
      <c r="O640" s="109">
        <v>-3494784.5437098457</v>
      </c>
      <c r="P640" s="365">
        <v>1</v>
      </c>
      <c r="Q640" s="365">
        <v>0</v>
      </c>
      <c r="R640" s="365">
        <v>0</v>
      </c>
      <c r="S640" s="365">
        <v>0</v>
      </c>
      <c r="T640" s="109">
        <v>-3057.9560444124409</v>
      </c>
      <c r="V640" s="368">
        <f t="shared" si="54"/>
        <v>55608602.90092323</v>
      </c>
      <c r="W640" s="30">
        <f t="shared" si="55"/>
        <v>60637276.014370233</v>
      </c>
      <c r="X640" s="30"/>
      <c r="Y640">
        <f t="shared" si="56"/>
        <v>0</v>
      </c>
      <c r="Z640">
        <f t="shared" si="57"/>
        <v>1</v>
      </c>
      <c r="AA640">
        <f t="shared" si="58"/>
        <v>0</v>
      </c>
      <c r="AB640">
        <f t="shared" si="59"/>
        <v>1</v>
      </c>
    </row>
    <row r="641" spans="6:28" x14ac:dyDescent="0.3">
      <c r="F641" s="28"/>
      <c r="G641">
        <v>633</v>
      </c>
      <c r="H641" s="109">
        <v>1257.4311590695579</v>
      </c>
      <c r="I641" s="370">
        <v>423182.67450198246</v>
      </c>
      <c r="J641">
        <v>0</v>
      </c>
      <c r="K641">
        <v>0</v>
      </c>
      <c r="L641">
        <v>0</v>
      </c>
      <c r="M641">
        <v>1</v>
      </c>
      <c r="N641" s="109">
        <v>336.54540167043297</v>
      </c>
      <c r="O641" s="109">
        <v>-4269514.472383081</v>
      </c>
      <c r="P641" s="365">
        <v>1</v>
      </c>
      <c r="Q641" s="365">
        <v>0</v>
      </c>
      <c r="R641" s="365">
        <v>0</v>
      </c>
      <c r="S641" s="365">
        <v>0</v>
      </c>
      <c r="T641" s="109">
        <v>-3395.426017232091</v>
      </c>
      <c r="V641" s="368">
        <f t="shared" si="54"/>
        <v>62448375.278975911</v>
      </c>
      <c r="W641" s="30">
        <f t="shared" si="55"/>
        <v>67141072.425860971</v>
      </c>
      <c r="X641" s="30"/>
      <c r="Y641">
        <f t="shared" si="56"/>
        <v>0</v>
      </c>
      <c r="Z641">
        <f t="shared" si="57"/>
        <v>1</v>
      </c>
      <c r="AA641">
        <f t="shared" si="58"/>
        <v>0</v>
      </c>
      <c r="AB641">
        <f t="shared" si="59"/>
        <v>1</v>
      </c>
    </row>
    <row r="642" spans="6:28" x14ac:dyDescent="0.3">
      <c r="F642" s="28"/>
      <c r="G642">
        <v>634</v>
      </c>
      <c r="H642" s="109">
        <v>1161.1019185161203</v>
      </c>
      <c r="I642" s="370">
        <v>620440.70103605406</v>
      </c>
      <c r="J642">
        <v>0</v>
      </c>
      <c r="K642">
        <v>0</v>
      </c>
      <c r="L642">
        <v>0</v>
      </c>
      <c r="M642">
        <v>1</v>
      </c>
      <c r="N642" s="109">
        <v>534.35507352272111</v>
      </c>
      <c r="O642" s="109">
        <v>-3259860.8149392698</v>
      </c>
      <c r="P642" s="365">
        <v>1</v>
      </c>
      <c r="Q642" s="365">
        <v>0</v>
      </c>
      <c r="R642" s="365">
        <v>0</v>
      </c>
      <c r="S642" s="365">
        <v>0</v>
      </c>
      <c r="T642" s="109">
        <v>-2807.5578577161837</v>
      </c>
      <c r="V642" s="368">
        <f t="shared" si="54"/>
        <v>57434655.224769965</v>
      </c>
      <c r="W642" s="30">
        <f t="shared" si="55"/>
        <v>61314956.740745284</v>
      </c>
      <c r="X642" s="30"/>
      <c r="Y642">
        <f t="shared" si="56"/>
        <v>0</v>
      </c>
      <c r="Z642">
        <f t="shared" si="57"/>
        <v>1</v>
      </c>
      <c r="AA642">
        <f t="shared" si="58"/>
        <v>0</v>
      </c>
      <c r="AB642">
        <f t="shared" si="59"/>
        <v>1</v>
      </c>
    </row>
    <row r="643" spans="6:28" x14ac:dyDescent="0.3">
      <c r="F643" s="28"/>
      <c r="G643">
        <v>635</v>
      </c>
      <c r="H643" s="109">
        <v>1279.0360344489163</v>
      </c>
      <c r="I643" s="370">
        <v>901834.26486599015</v>
      </c>
      <c r="J643">
        <v>0</v>
      </c>
      <c r="K643">
        <v>0</v>
      </c>
      <c r="L643">
        <v>0</v>
      </c>
      <c r="M643">
        <v>1</v>
      </c>
      <c r="N643" s="109">
        <v>705.08902061899551</v>
      </c>
      <c r="O643" s="109">
        <v>-4828023.2168237614</v>
      </c>
      <c r="P643" s="365">
        <v>1</v>
      </c>
      <c r="Q643" s="365">
        <v>0</v>
      </c>
      <c r="R643" s="365">
        <v>0</v>
      </c>
      <c r="S643" s="365">
        <v>0</v>
      </c>
      <c r="T643" s="109">
        <v>-3774.735884516308</v>
      </c>
      <c r="V643" s="368">
        <f t="shared" si="54"/>
        <v>63049967.457579829</v>
      </c>
      <c r="W643" s="30">
        <f t="shared" si="55"/>
        <v>68779824.939269572</v>
      </c>
      <c r="X643" s="30"/>
      <c r="Y643">
        <f t="shared" si="56"/>
        <v>0</v>
      </c>
      <c r="Z643">
        <f t="shared" si="57"/>
        <v>1</v>
      </c>
      <c r="AA643">
        <f t="shared" si="58"/>
        <v>0</v>
      </c>
      <c r="AB643">
        <f t="shared" si="59"/>
        <v>1</v>
      </c>
    </row>
    <row r="644" spans="6:28" x14ac:dyDescent="0.3">
      <c r="F644" s="28"/>
      <c r="G644">
        <v>636</v>
      </c>
      <c r="H644" s="109">
        <v>1143.8936458094759</v>
      </c>
      <c r="I644" s="370">
        <v>1219999.2326546491</v>
      </c>
      <c r="J644">
        <v>0</v>
      </c>
      <c r="K644">
        <v>0</v>
      </c>
      <c r="L644">
        <v>0</v>
      </c>
      <c r="M644">
        <v>1</v>
      </c>
      <c r="N644" s="109">
        <v>1066.5320479084548</v>
      </c>
      <c r="O644" s="109">
        <v>-3355895.1126909317</v>
      </c>
      <c r="P644" s="365">
        <v>1</v>
      </c>
      <c r="Q644" s="365">
        <v>0</v>
      </c>
      <c r="R644" s="365">
        <v>0</v>
      </c>
      <c r="S644" s="365">
        <v>0</v>
      </c>
      <c r="T644" s="109">
        <v>-2933.747490411256</v>
      </c>
      <c r="V644" s="368">
        <f t="shared" si="54"/>
        <v>55974683.05781915</v>
      </c>
      <c r="W644" s="30">
        <f t="shared" si="55"/>
        <v>60550577.403164729</v>
      </c>
      <c r="X644" s="30"/>
      <c r="Y644">
        <f t="shared" si="56"/>
        <v>0</v>
      </c>
      <c r="Z644">
        <f t="shared" si="57"/>
        <v>1</v>
      </c>
      <c r="AA644">
        <f t="shared" si="58"/>
        <v>0</v>
      </c>
      <c r="AB644">
        <f t="shared" si="59"/>
        <v>1</v>
      </c>
    </row>
    <row r="645" spans="6:28" x14ac:dyDescent="0.3">
      <c r="F645" s="28"/>
      <c r="G645">
        <v>637</v>
      </c>
      <c r="H645" s="109">
        <v>1189.5688564222146</v>
      </c>
      <c r="I645" s="370">
        <v>361146.18470587704</v>
      </c>
      <c r="J645">
        <v>0</v>
      </c>
      <c r="K645">
        <v>0</v>
      </c>
      <c r="L645">
        <v>0</v>
      </c>
      <c r="M645">
        <v>1</v>
      </c>
      <c r="N645" s="109">
        <v>303.59418267898496</v>
      </c>
      <c r="O645" s="109">
        <v>-5465009.2261850713</v>
      </c>
      <c r="P645" s="365">
        <v>1</v>
      </c>
      <c r="Q645" s="365">
        <v>0</v>
      </c>
      <c r="R645" s="365">
        <v>0</v>
      </c>
      <c r="S645" s="365">
        <v>0</v>
      </c>
      <c r="T645" s="109">
        <v>-4594.1091990435998</v>
      </c>
      <c r="V645" s="368">
        <f t="shared" si="54"/>
        <v>59117296.636404857</v>
      </c>
      <c r="W645" s="30">
        <f t="shared" si="55"/>
        <v>64943452.047295801</v>
      </c>
      <c r="X645" s="30"/>
      <c r="Y645">
        <f t="shared" si="56"/>
        <v>0</v>
      </c>
      <c r="Z645">
        <f t="shared" si="57"/>
        <v>1</v>
      </c>
      <c r="AA645">
        <f t="shared" si="58"/>
        <v>0</v>
      </c>
      <c r="AB645">
        <f t="shared" si="59"/>
        <v>1</v>
      </c>
    </row>
    <row r="646" spans="6:28" x14ac:dyDescent="0.3">
      <c r="F646" s="28"/>
      <c r="G646">
        <v>638</v>
      </c>
      <c r="H646" s="109">
        <v>1167.8077702053997</v>
      </c>
      <c r="I646" s="370">
        <v>1815204.1437949496</v>
      </c>
      <c r="J646">
        <v>0</v>
      </c>
      <c r="K646">
        <v>0</v>
      </c>
      <c r="L646">
        <v>0</v>
      </c>
      <c r="M646">
        <v>1</v>
      </c>
      <c r="N646" s="109">
        <v>1554.3689553253123</v>
      </c>
      <c r="O646" s="109">
        <v>-3088810.2786223507</v>
      </c>
      <c r="P646" s="365">
        <v>1</v>
      </c>
      <c r="Q646" s="365">
        <v>0</v>
      </c>
      <c r="R646" s="365">
        <v>0</v>
      </c>
      <c r="S646" s="365">
        <v>0</v>
      </c>
      <c r="T646" s="109">
        <v>-2644.9646572218608</v>
      </c>
      <c r="V646" s="368">
        <f t="shared" si="54"/>
        <v>56575184.366475038</v>
      </c>
      <c r="W646" s="30">
        <f t="shared" si="55"/>
        <v>61479198.788892336</v>
      </c>
      <c r="X646" s="30"/>
      <c r="Y646">
        <f t="shared" si="56"/>
        <v>0</v>
      </c>
      <c r="Z646">
        <f t="shared" si="57"/>
        <v>1</v>
      </c>
      <c r="AA646">
        <f t="shared" si="58"/>
        <v>0</v>
      </c>
      <c r="AB646">
        <f t="shared" si="59"/>
        <v>1</v>
      </c>
    </row>
    <row r="647" spans="6:28" x14ac:dyDescent="0.3">
      <c r="F647" s="28"/>
      <c r="G647">
        <v>639</v>
      </c>
      <c r="H647" s="109">
        <v>1064.3106865336449</v>
      </c>
      <c r="I647" s="370">
        <v>1211883.6510571097</v>
      </c>
      <c r="J647">
        <v>0</v>
      </c>
      <c r="K647">
        <v>0</v>
      </c>
      <c r="L647">
        <v>0</v>
      </c>
      <c r="M647">
        <v>1</v>
      </c>
      <c r="N647" s="109">
        <v>1138.6559078948042</v>
      </c>
      <c r="O647" s="109">
        <v>-2357545.2683811607</v>
      </c>
      <c r="P647" s="365">
        <v>1</v>
      </c>
      <c r="Q647" s="365">
        <v>0</v>
      </c>
      <c r="R647" s="365">
        <v>0</v>
      </c>
      <c r="S647" s="365">
        <v>0</v>
      </c>
      <c r="T647" s="109">
        <v>-2215.0912306062182</v>
      </c>
      <c r="V647" s="368">
        <f t="shared" si="54"/>
        <v>52003650.675625138</v>
      </c>
      <c r="W647" s="30">
        <f t="shared" si="55"/>
        <v>55573079.595063411</v>
      </c>
      <c r="X647" s="30"/>
      <c r="Y647">
        <f t="shared" si="56"/>
        <v>0</v>
      </c>
      <c r="Z647">
        <f t="shared" si="57"/>
        <v>1</v>
      </c>
      <c r="AA647">
        <f t="shared" si="58"/>
        <v>0</v>
      </c>
      <c r="AB647">
        <f t="shared" si="59"/>
        <v>1</v>
      </c>
    </row>
    <row r="648" spans="6:28" x14ac:dyDescent="0.3">
      <c r="F648" s="28"/>
      <c r="G648">
        <v>640</v>
      </c>
      <c r="H648" s="109">
        <v>1260.7871834903635</v>
      </c>
      <c r="I648" s="370">
        <v>586670.83063402609</v>
      </c>
      <c r="J648">
        <v>0</v>
      </c>
      <c r="K648">
        <v>0</v>
      </c>
      <c r="L648">
        <v>0</v>
      </c>
      <c r="M648">
        <v>1</v>
      </c>
      <c r="N648" s="109">
        <v>465.3210615687625</v>
      </c>
      <c r="O648" s="109">
        <v>-3474165.3539940766</v>
      </c>
      <c r="P648" s="365">
        <v>1</v>
      </c>
      <c r="Q648" s="365">
        <v>0</v>
      </c>
      <c r="R648" s="365">
        <v>0</v>
      </c>
      <c r="S648" s="365">
        <v>0</v>
      </c>
      <c r="T648" s="109">
        <v>-2755.5525623096805</v>
      </c>
      <c r="V648" s="368">
        <f t="shared" si="54"/>
        <v>62452688.343884148</v>
      </c>
      <c r="W648" s="30">
        <f t="shared" si="55"/>
        <v>66513524.528512254</v>
      </c>
      <c r="X648" s="30"/>
      <c r="Y648">
        <f t="shared" si="56"/>
        <v>0</v>
      </c>
      <c r="Z648">
        <f t="shared" si="57"/>
        <v>1</v>
      </c>
      <c r="AA648">
        <f t="shared" si="58"/>
        <v>0</v>
      </c>
      <c r="AB648">
        <f t="shared" si="59"/>
        <v>1</v>
      </c>
    </row>
    <row r="649" spans="6:28" x14ac:dyDescent="0.3">
      <c r="F649" s="28"/>
      <c r="G649">
        <v>641</v>
      </c>
      <c r="H649" s="109">
        <v>1294.2990103445336</v>
      </c>
      <c r="I649" s="370">
        <v>1569684.5995518649</v>
      </c>
      <c r="J649">
        <v>0</v>
      </c>
      <c r="K649">
        <v>0</v>
      </c>
      <c r="L649">
        <v>0</v>
      </c>
      <c r="M649">
        <v>1</v>
      </c>
      <c r="N649" s="109">
        <v>1212.7681370427886</v>
      </c>
      <c r="O649" s="109">
        <v>-3063722.573355352</v>
      </c>
      <c r="P649" s="365">
        <v>1</v>
      </c>
      <c r="Q649" s="365">
        <v>0</v>
      </c>
      <c r="R649" s="365">
        <v>0</v>
      </c>
      <c r="S649" s="365">
        <v>0</v>
      </c>
      <c r="T649" s="109">
        <v>-2367.0902541599021</v>
      </c>
      <c r="V649" s="368">
        <f t="shared" ref="V649:V712" si="60">H649*WTPinput-I649</f>
        <v>63145265.917674817</v>
      </c>
      <c r="W649" s="30">
        <f t="shared" ref="W649:W712" si="61">H649*WTPinput-O649</f>
        <v>67778673.090582028</v>
      </c>
      <c r="X649" s="30"/>
      <c r="Y649">
        <f t="shared" si="56"/>
        <v>0</v>
      </c>
      <c r="Z649">
        <f t="shared" si="57"/>
        <v>1</v>
      </c>
      <c r="AA649">
        <f t="shared" si="58"/>
        <v>0</v>
      </c>
      <c r="AB649">
        <f t="shared" si="59"/>
        <v>1</v>
      </c>
    </row>
    <row r="650" spans="6:28" x14ac:dyDescent="0.3">
      <c r="F650" s="28"/>
      <c r="G650">
        <v>642</v>
      </c>
      <c r="H650" s="109">
        <v>1051.5582299635571</v>
      </c>
      <c r="I650" s="370">
        <v>864835.11091568414</v>
      </c>
      <c r="J650">
        <v>0</v>
      </c>
      <c r="K650">
        <v>0</v>
      </c>
      <c r="L650">
        <v>0</v>
      </c>
      <c r="M650">
        <v>1</v>
      </c>
      <c r="N650" s="109">
        <v>822.43197406733805</v>
      </c>
      <c r="O650" s="109">
        <v>-2948308.0525607308</v>
      </c>
      <c r="P650" s="365">
        <v>1</v>
      </c>
      <c r="Q650" s="365">
        <v>0</v>
      </c>
      <c r="R650" s="365">
        <v>0</v>
      </c>
      <c r="S650" s="365">
        <v>0</v>
      </c>
      <c r="T650" s="109">
        <v>-2803.7515836502062</v>
      </c>
      <c r="V650" s="368">
        <f t="shared" si="60"/>
        <v>51713076.387262173</v>
      </c>
      <c r="W650" s="30">
        <f t="shared" si="61"/>
        <v>55526219.550738588</v>
      </c>
      <c r="X650" s="30"/>
      <c r="Y650">
        <f t="shared" ref="Y650:Y713" si="62">IF(V650&lt;0,1,0)</f>
        <v>0</v>
      </c>
      <c r="Z650">
        <f t="shared" ref="Z650:Z713" si="63">IF(V650&gt;0,1,0)</f>
        <v>1</v>
      </c>
      <c r="AA650">
        <f t="shared" ref="AA650:AA713" si="64">IF(W650&lt;0,1,0)</f>
        <v>0</v>
      </c>
      <c r="AB650">
        <f t="shared" ref="AB650:AB713" si="65">IF(W650&gt;0,1,0)</f>
        <v>1</v>
      </c>
    </row>
    <row r="651" spans="6:28" x14ac:dyDescent="0.3">
      <c r="F651" s="28"/>
      <c r="G651">
        <v>643</v>
      </c>
      <c r="H651" s="109">
        <v>1314.1661058276077</v>
      </c>
      <c r="I651" s="370">
        <v>967395.02649648127</v>
      </c>
      <c r="J651">
        <v>0</v>
      </c>
      <c r="K651">
        <v>0</v>
      </c>
      <c r="L651">
        <v>0</v>
      </c>
      <c r="M651">
        <v>1</v>
      </c>
      <c r="N651" s="109">
        <v>736.12842562794276</v>
      </c>
      <c r="O651" s="109">
        <v>-5016506.0236826558</v>
      </c>
      <c r="P651" s="365">
        <v>1</v>
      </c>
      <c r="Q651" s="365">
        <v>0</v>
      </c>
      <c r="R651" s="365">
        <v>0</v>
      </c>
      <c r="S651" s="365">
        <v>0</v>
      </c>
      <c r="T651" s="109">
        <v>-3817.2541518436642</v>
      </c>
      <c r="V651" s="368">
        <f t="shared" si="60"/>
        <v>64740910.264883898</v>
      </c>
      <c r="W651" s="30">
        <f t="shared" si="61"/>
        <v>70724811.315063044</v>
      </c>
      <c r="X651" s="30"/>
      <c r="Y651">
        <f t="shared" si="62"/>
        <v>0</v>
      </c>
      <c r="Z651">
        <f t="shared" si="63"/>
        <v>1</v>
      </c>
      <c r="AA651">
        <f t="shared" si="64"/>
        <v>0</v>
      </c>
      <c r="AB651">
        <f t="shared" si="65"/>
        <v>1</v>
      </c>
    </row>
    <row r="652" spans="6:28" x14ac:dyDescent="0.3">
      <c r="F652" s="28"/>
      <c r="G652">
        <v>644</v>
      </c>
      <c r="H652" s="109">
        <v>1103.2115037216136</v>
      </c>
      <c r="I652" s="370">
        <v>1185612.0091536983</v>
      </c>
      <c r="J652">
        <v>0</v>
      </c>
      <c r="K652">
        <v>0</v>
      </c>
      <c r="L652">
        <v>0</v>
      </c>
      <c r="M652">
        <v>1</v>
      </c>
      <c r="N652" s="109">
        <v>1074.691484954709</v>
      </c>
      <c r="O652" s="109">
        <v>-2392390.2807666617</v>
      </c>
      <c r="P652" s="365">
        <v>1</v>
      </c>
      <c r="Q652" s="365">
        <v>0</v>
      </c>
      <c r="R652" s="365">
        <v>0</v>
      </c>
      <c r="S652" s="365">
        <v>0</v>
      </c>
      <c r="T652" s="109">
        <v>-2168.5690121033781</v>
      </c>
      <c r="V652" s="368">
        <f t="shared" si="60"/>
        <v>53974963.176926978</v>
      </c>
      <c r="W652" s="30">
        <f t="shared" si="61"/>
        <v>57552965.466847338</v>
      </c>
      <c r="X652" s="30"/>
      <c r="Y652">
        <f t="shared" si="62"/>
        <v>0</v>
      </c>
      <c r="Z652">
        <f t="shared" si="63"/>
        <v>1</v>
      </c>
      <c r="AA652">
        <f t="shared" si="64"/>
        <v>0</v>
      </c>
      <c r="AB652">
        <f t="shared" si="65"/>
        <v>1</v>
      </c>
    </row>
    <row r="653" spans="6:28" x14ac:dyDescent="0.3">
      <c r="F653" s="28"/>
      <c r="G653">
        <v>645</v>
      </c>
      <c r="H653" s="109">
        <v>1167.0795846324763</v>
      </c>
      <c r="I653" s="370">
        <v>1762570.4275407912</v>
      </c>
      <c r="J653">
        <v>0</v>
      </c>
      <c r="K653">
        <v>0</v>
      </c>
      <c r="L653">
        <v>0</v>
      </c>
      <c r="M653">
        <v>1</v>
      </c>
      <c r="N653" s="109">
        <v>1510.240133363176</v>
      </c>
      <c r="O653" s="109">
        <v>-2400278.0516538606</v>
      </c>
      <c r="P653" s="365">
        <v>1</v>
      </c>
      <c r="Q653" s="365">
        <v>0</v>
      </c>
      <c r="R653" s="365">
        <v>0</v>
      </c>
      <c r="S653" s="365">
        <v>0</v>
      </c>
      <c r="T653" s="109">
        <v>-2056.6532764856215</v>
      </c>
      <c r="V653" s="368">
        <f t="shared" si="60"/>
        <v>56591408.804083019</v>
      </c>
      <c r="W653" s="30">
        <f t="shared" si="61"/>
        <v>60754257.283277676</v>
      </c>
      <c r="X653" s="30"/>
      <c r="Y653">
        <f t="shared" si="62"/>
        <v>0</v>
      </c>
      <c r="Z653">
        <f t="shared" si="63"/>
        <v>1</v>
      </c>
      <c r="AA653">
        <f t="shared" si="64"/>
        <v>0</v>
      </c>
      <c r="AB653">
        <f t="shared" si="65"/>
        <v>1</v>
      </c>
    </row>
    <row r="654" spans="6:28" x14ac:dyDescent="0.3">
      <c r="F654" s="28"/>
      <c r="G654">
        <v>646</v>
      </c>
      <c r="H654" s="109">
        <v>1174.8200140788322</v>
      </c>
      <c r="I654" s="370">
        <v>768375.96667091048</v>
      </c>
      <c r="J654">
        <v>0</v>
      </c>
      <c r="K654">
        <v>0</v>
      </c>
      <c r="L654">
        <v>0</v>
      </c>
      <c r="M654">
        <v>1</v>
      </c>
      <c r="N654" s="109">
        <v>654.03717800414597</v>
      </c>
      <c r="O654" s="109">
        <v>-3850892.3903247467</v>
      </c>
      <c r="P654" s="365">
        <v>1</v>
      </c>
      <c r="Q654" s="365">
        <v>0</v>
      </c>
      <c r="R654" s="365">
        <v>0</v>
      </c>
      <c r="S654" s="365">
        <v>0</v>
      </c>
      <c r="T654" s="109">
        <v>-3277.8573263788016</v>
      </c>
      <c r="V654" s="368">
        <f t="shared" si="60"/>
        <v>57972624.737270698</v>
      </c>
      <c r="W654" s="30">
        <f t="shared" si="61"/>
        <v>62591893.094266355</v>
      </c>
      <c r="X654" s="30"/>
      <c r="Y654">
        <f t="shared" si="62"/>
        <v>0</v>
      </c>
      <c r="Z654">
        <f t="shared" si="63"/>
        <v>1</v>
      </c>
      <c r="AA654">
        <f t="shared" si="64"/>
        <v>0</v>
      </c>
      <c r="AB654">
        <f t="shared" si="65"/>
        <v>1</v>
      </c>
    </row>
    <row r="655" spans="6:28" x14ac:dyDescent="0.3">
      <c r="F655" s="28"/>
      <c r="G655">
        <v>647</v>
      </c>
      <c r="H655" s="109">
        <v>1369.0644947144174</v>
      </c>
      <c r="I655" s="370">
        <v>1466466.7984047628</v>
      </c>
      <c r="J655">
        <v>0</v>
      </c>
      <c r="K655">
        <v>0</v>
      </c>
      <c r="L655">
        <v>0</v>
      </c>
      <c r="M655">
        <v>1</v>
      </c>
      <c r="N655" s="109">
        <v>1071.1451535456431</v>
      </c>
      <c r="O655" s="109">
        <v>-3985448.1803761767</v>
      </c>
      <c r="P655" s="365">
        <v>1</v>
      </c>
      <c r="Q655" s="365">
        <v>0</v>
      </c>
      <c r="R655" s="365">
        <v>0</v>
      </c>
      <c r="S655" s="365">
        <v>0</v>
      </c>
      <c r="T655" s="109">
        <v>-2911.0740916610571</v>
      </c>
      <c r="V655" s="368">
        <f t="shared" si="60"/>
        <v>66986757.937316112</v>
      </c>
      <c r="W655" s="30">
        <f t="shared" si="61"/>
        <v>72438672.916097045</v>
      </c>
      <c r="X655" s="30"/>
      <c r="Y655">
        <f t="shared" si="62"/>
        <v>0</v>
      </c>
      <c r="Z655">
        <f t="shared" si="63"/>
        <v>1</v>
      </c>
      <c r="AA655">
        <f t="shared" si="64"/>
        <v>0</v>
      </c>
      <c r="AB655">
        <f t="shared" si="65"/>
        <v>1</v>
      </c>
    </row>
    <row r="656" spans="6:28" x14ac:dyDescent="0.3">
      <c r="F656" s="28"/>
      <c r="G656">
        <v>648</v>
      </c>
      <c r="H656" s="109">
        <v>1007.789843742481</v>
      </c>
      <c r="I656" s="370">
        <v>1535792.3022780968</v>
      </c>
      <c r="J656">
        <v>0</v>
      </c>
      <c r="K656">
        <v>0</v>
      </c>
      <c r="L656">
        <v>0</v>
      </c>
      <c r="M656">
        <v>1</v>
      </c>
      <c r="N656" s="109">
        <v>1523.9211942986551</v>
      </c>
      <c r="O656" s="109">
        <v>-2861093.8458972359</v>
      </c>
      <c r="P656" s="365">
        <v>1</v>
      </c>
      <c r="Q656" s="365">
        <v>0</v>
      </c>
      <c r="R656" s="365">
        <v>0</v>
      </c>
      <c r="S656" s="365">
        <v>0</v>
      </c>
      <c r="T656" s="109">
        <v>-2838.9786458577637</v>
      </c>
      <c r="V656" s="368">
        <f t="shared" si="60"/>
        <v>48853699.884845957</v>
      </c>
      <c r="W656" s="30">
        <f t="shared" si="61"/>
        <v>53250586.033021286</v>
      </c>
      <c r="X656" s="30"/>
      <c r="Y656">
        <f t="shared" si="62"/>
        <v>0</v>
      </c>
      <c r="Z656">
        <f t="shared" si="63"/>
        <v>1</v>
      </c>
      <c r="AA656">
        <f t="shared" si="64"/>
        <v>0</v>
      </c>
      <c r="AB656">
        <f t="shared" si="65"/>
        <v>1</v>
      </c>
    </row>
    <row r="657" spans="6:28" x14ac:dyDescent="0.3">
      <c r="F657" s="28"/>
      <c r="G657">
        <v>649</v>
      </c>
      <c r="H657" s="109">
        <v>1018.3802713281257</v>
      </c>
      <c r="I657" s="370">
        <v>921547.91354225273</v>
      </c>
      <c r="J657">
        <v>0</v>
      </c>
      <c r="K657">
        <v>0</v>
      </c>
      <c r="L657">
        <v>0</v>
      </c>
      <c r="M657">
        <v>1</v>
      </c>
      <c r="N657" s="109">
        <v>904.91532435168983</v>
      </c>
      <c r="O657" s="109">
        <v>-3594780.5421062191</v>
      </c>
      <c r="P657" s="365">
        <v>1</v>
      </c>
      <c r="Q657" s="365">
        <v>0</v>
      </c>
      <c r="R657" s="365">
        <v>0</v>
      </c>
      <c r="S657" s="365">
        <v>0</v>
      </c>
      <c r="T657" s="109">
        <v>-3529.9000219417726</v>
      </c>
      <c r="V657" s="368">
        <f t="shared" si="60"/>
        <v>49997465.652864031</v>
      </c>
      <c r="W657" s="30">
        <f t="shared" si="61"/>
        <v>54513794.108512506</v>
      </c>
      <c r="X657" s="30"/>
      <c r="Y657">
        <f t="shared" si="62"/>
        <v>0</v>
      </c>
      <c r="Z657">
        <f t="shared" si="63"/>
        <v>1</v>
      </c>
      <c r="AA657">
        <f t="shared" si="64"/>
        <v>0</v>
      </c>
      <c r="AB657">
        <f t="shared" si="65"/>
        <v>1</v>
      </c>
    </row>
    <row r="658" spans="6:28" x14ac:dyDescent="0.3">
      <c r="F658" s="28"/>
      <c r="G658">
        <v>650</v>
      </c>
      <c r="H658" s="109">
        <v>1128.4036774041524</v>
      </c>
      <c r="I658" s="370">
        <v>1429559.2179800223</v>
      </c>
      <c r="J658">
        <v>0</v>
      </c>
      <c r="K658">
        <v>0</v>
      </c>
      <c r="L658">
        <v>0</v>
      </c>
      <c r="M658">
        <v>1</v>
      </c>
      <c r="N658" s="109">
        <v>1266.8863515835628</v>
      </c>
      <c r="O658" s="109">
        <v>-2388235.3723739539</v>
      </c>
      <c r="P658" s="365">
        <v>1</v>
      </c>
      <c r="Q658" s="365">
        <v>0</v>
      </c>
      <c r="R658" s="365">
        <v>0</v>
      </c>
      <c r="S658" s="365">
        <v>0</v>
      </c>
      <c r="T658" s="109">
        <v>-2116.4725179449911</v>
      </c>
      <c r="V658" s="368">
        <f t="shared" si="60"/>
        <v>54990624.652227603</v>
      </c>
      <c r="W658" s="30">
        <f t="shared" si="61"/>
        <v>58808419.242581576</v>
      </c>
      <c r="X658" s="30"/>
      <c r="Y658">
        <f t="shared" si="62"/>
        <v>0</v>
      </c>
      <c r="Z658">
        <f t="shared" si="63"/>
        <v>1</v>
      </c>
      <c r="AA658">
        <f t="shared" si="64"/>
        <v>0</v>
      </c>
      <c r="AB658">
        <f t="shared" si="65"/>
        <v>1</v>
      </c>
    </row>
    <row r="659" spans="6:28" x14ac:dyDescent="0.3">
      <c r="F659" s="28"/>
      <c r="G659">
        <v>651</v>
      </c>
      <c r="H659" s="109">
        <v>1234.0251222901279</v>
      </c>
      <c r="I659" s="370">
        <v>1147346.8456482014</v>
      </c>
      <c r="J659">
        <v>0</v>
      </c>
      <c r="K659">
        <v>0</v>
      </c>
      <c r="L659">
        <v>0</v>
      </c>
      <c r="M659">
        <v>1</v>
      </c>
      <c r="N659" s="109">
        <v>929.7597147122359</v>
      </c>
      <c r="O659" s="109">
        <v>-3707369.6118461061</v>
      </c>
      <c r="P659" s="365">
        <v>1</v>
      </c>
      <c r="Q659" s="365">
        <v>0</v>
      </c>
      <c r="R659" s="365">
        <v>0</v>
      </c>
      <c r="S659" s="365">
        <v>0</v>
      </c>
      <c r="T659" s="109">
        <v>-3004.2902246316485</v>
      </c>
      <c r="V659" s="368">
        <f t="shared" si="60"/>
        <v>60553909.268858194</v>
      </c>
      <c r="W659" s="30">
        <f t="shared" si="61"/>
        <v>65408625.726352498</v>
      </c>
      <c r="X659" s="30"/>
      <c r="Y659">
        <f t="shared" si="62"/>
        <v>0</v>
      </c>
      <c r="Z659">
        <f t="shared" si="63"/>
        <v>1</v>
      </c>
      <c r="AA659">
        <f t="shared" si="64"/>
        <v>0</v>
      </c>
      <c r="AB659">
        <f t="shared" si="65"/>
        <v>1</v>
      </c>
    </row>
    <row r="660" spans="6:28" x14ac:dyDescent="0.3">
      <c r="F660" s="28"/>
      <c r="G660">
        <v>652</v>
      </c>
      <c r="H660" s="109">
        <v>1103.6451576615655</v>
      </c>
      <c r="I660" s="370">
        <v>759873.92629812751</v>
      </c>
      <c r="J660">
        <v>0</v>
      </c>
      <c r="K660">
        <v>0</v>
      </c>
      <c r="L660">
        <v>0</v>
      </c>
      <c r="M660">
        <v>1</v>
      </c>
      <c r="N660" s="109">
        <v>688.51289839224216</v>
      </c>
      <c r="O660" s="109">
        <v>-3762199.0403789715</v>
      </c>
      <c r="P660" s="365">
        <v>1</v>
      </c>
      <c r="Q660" s="365">
        <v>0</v>
      </c>
      <c r="R660" s="365">
        <v>0</v>
      </c>
      <c r="S660" s="365">
        <v>0</v>
      </c>
      <c r="T660" s="109">
        <v>-3408.8846530622441</v>
      </c>
      <c r="V660" s="368">
        <f t="shared" si="60"/>
        <v>54422383.956780143</v>
      </c>
      <c r="W660" s="30">
        <f t="shared" si="61"/>
        <v>58944456.923457243</v>
      </c>
      <c r="X660" s="30"/>
      <c r="Y660">
        <f t="shared" si="62"/>
        <v>0</v>
      </c>
      <c r="Z660">
        <f t="shared" si="63"/>
        <v>1</v>
      </c>
      <c r="AA660">
        <f t="shared" si="64"/>
        <v>0</v>
      </c>
      <c r="AB660">
        <f t="shared" si="65"/>
        <v>1</v>
      </c>
    </row>
    <row r="661" spans="6:28" x14ac:dyDescent="0.3">
      <c r="F661" s="28"/>
      <c r="G661">
        <v>653</v>
      </c>
      <c r="H661" s="109">
        <v>1123.4103491669448</v>
      </c>
      <c r="I661" s="370">
        <v>1115624.4450132269</v>
      </c>
      <c r="J661">
        <v>0</v>
      </c>
      <c r="K661">
        <v>0</v>
      </c>
      <c r="L661">
        <v>0</v>
      </c>
      <c r="M661">
        <v>1</v>
      </c>
      <c r="N661" s="109">
        <v>993.06940321540435</v>
      </c>
      <c r="O661" s="109">
        <v>-2241247.7526291865</v>
      </c>
      <c r="P661" s="365">
        <v>1</v>
      </c>
      <c r="Q661" s="365">
        <v>0</v>
      </c>
      <c r="R661" s="365">
        <v>0</v>
      </c>
      <c r="S661" s="365">
        <v>0</v>
      </c>
      <c r="T661" s="109">
        <v>-1995.0392608463721</v>
      </c>
      <c r="V661" s="368">
        <f t="shared" si="60"/>
        <v>55054893.013334014</v>
      </c>
      <c r="W661" s="30">
        <f t="shared" si="61"/>
        <v>58411765.210976422</v>
      </c>
      <c r="X661" s="30"/>
      <c r="Y661">
        <f t="shared" si="62"/>
        <v>0</v>
      </c>
      <c r="Z661">
        <f t="shared" si="63"/>
        <v>1</v>
      </c>
      <c r="AA661">
        <f t="shared" si="64"/>
        <v>0</v>
      </c>
      <c r="AB661">
        <f t="shared" si="65"/>
        <v>1</v>
      </c>
    </row>
    <row r="662" spans="6:28" x14ac:dyDescent="0.3">
      <c r="F662" s="28"/>
      <c r="G662">
        <v>654</v>
      </c>
      <c r="H662" s="109">
        <v>1383.7602109098516</v>
      </c>
      <c r="I662" s="370">
        <v>1354502.7871985724</v>
      </c>
      <c r="J662">
        <v>0</v>
      </c>
      <c r="K662">
        <v>0</v>
      </c>
      <c r="L662">
        <v>0</v>
      </c>
      <c r="M662">
        <v>1</v>
      </c>
      <c r="N662" s="109">
        <v>978.85657971619105</v>
      </c>
      <c r="O662" s="109">
        <v>-4606474.0289655467</v>
      </c>
      <c r="P662" s="365">
        <v>1</v>
      </c>
      <c r="Q662" s="365">
        <v>0</v>
      </c>
      <c r="R662" s="365">
        <v>0</v>
      </c>
      <c r="S662" s="365">
        <v>0</v>
      </c>
      <c r="T662" s="109">
        <v>-3328.95395650717</v>
      </c>
      <c r="V662" s="368">
        <f t="shared" si="60"/>
        <v>67833507.758294001</v>
      </c>
      <c r="W662" s="30">
        <f t="shared" si="61"/>
        <v>73794484.574458122</v>
      </c>
      <c r="X662" s="30"/>
      <c r="Y662">
        <f t="shared" si="62"/>
        <v>0</v>
      </c>
      <c r="Z662">
        <f t="shared" si="63"/>
        <v>1</v>
      </c>
      <c r="AA662">
        <f t="shared" si="64"/>
        <v>0</v>
      </c>
      <c r="AB662">
        <f t="shared" si="65"/>
        <v>1</v>
      </c>
    </row>
    <row r="663" spans="6:28" x14ac:dyDescent="0.3">
      <c r="F663" s="28"/>
      <c r="G663">
        <v>655</v>
      </c>
      <c r="H663" s="109">
        <v>1279.8227390075699</v>
      </c>
      <c r="I663" s="370">
        <v>1009068.5306528399</v>
      </c>
      <c r="J663">
        <v>0</v>
      </c>
      <c r="K663">
        <v>0</v>
      </c>
      <c r="L663">
        <v>0</v>
      </c>
      <c r="M663">
        <v>1</v>
      </c>
      <c r="N663" s="109">
        <v>788.44397735526672</v>
      </c>
      <c r="O663" s="109">
        <v>-4017651.6611577868</v>
      </c>
      <c r="P663" s="365">
        <v>1</v>
      </c>
      <c r="Q663" s="365">
        <v>0</v>
      </c>
      <c r="R663" s="365">
        <v>0</v>
      </c>
      <c r="S663" s="365">
        <v>0</v>
      </c>
      <c r="T663" s="109">
        <v>-3139.2250963389261</v>
      </c>
      <c r="V663" s="368">
        <f t="shared" si="60"/>
        <v>62982068.419725649</v>
      </c>
      <c r="W663" s="30">
        <f t="shared" si="61"/>
        <v>68008788.611536279</v>
      </c>
      <c r="X663" s="30"/>
      <c r="Y663">
        <f t="shared" si="62"/>
        <v>0</v>
      </c>
      <c r="Z663">
        <f t="shared" si="63"/>
        <v>1</v>
      </c>
      <c r="AA663">
        <f t="shared" si="64"/>
        <v>0</v>
      </c>
      <c r="AB663">
        <f t="shared" si="65"/>
        <v>1</v>
      </c>
    </row>
    <row r="664" spans="6:28" x14ac:dyDescent="0.3">
      <c r="F664" s="28"/>
      <c r="G664">
        <v>656</v>
      </c>
      <c r="H664" s="109">
        <v>1196.1655190369202</v>
      </c>
      <c r="I664" s="370">
        <v>1683823.3299062345</v>
      </c>
      <c r="J664">
        <v>0</v>
      </c>
      <c r="K664">
        <v>0</v>
      </c>
      <c r="L664">
        <v>0</v>
      </c>
      <c r="M664">
        <v>1</v>
      </c>
      <c r="N664" s="109">
        <v>1407.6842235528966</v>
      </c>
      <c r="O664" s="109">
        <v>-2961745.2057873523</v>
      </c>
      <c r="P664" s="365">
        <v>1</v>
      </c>
      <c r="Q664" s="365">
        <v>0</v>
      </c>
      <c r="R664" s="365">
        <v>0</v>
      </c>
      <c r="S664" s="365">
        <v>0</v>
      </c>
      <c r="T664" s="109">
        <v>-2476.0329224102443</v>
      </c>
      <c r="V664" s="368">
        <f t="shared" si="60"/>
        <v>58124452.621939778</v>
      </c>
      <c r="W664" s="30">
        <f t="shared" si="61"/>
        <v>62770021.157633364</v>
      </c>
      <c r="X664" s="30"/>
      <c r="Y664">
        <f t="shared" si="62"/>
        <v>0</v>
      </c>
      <c r="Z664">
        <f t="shared" si="63"/>
        <v>1</v>
      </c>
      <c r="AA664">
        <f t="shared" si="64"/>
        <v>0</v>
      </c>
      <c r="AB664">
        <f t="shared" si="65"/>
        <v>1</v>
      </c>
    </row>
    <row r="665" spans="6:28" x14ac:dyDescent="0.3">
      <c r="F665" s="28"/>
      <c r="G665">
        <v>657</v>
      </c>
      <c r="H665" s="109">
        <v>1135.5125972196402</v>
      </c>
      <c r="I665" s="370">
        <v>1244611.1406607882</v>
      </c>
      <c r="J665">
        <v>0</v>
      </c>
      <c r="K665">
        <v>0</v>
      </c>
      <c r="L665">
        <v>0</v>
      </c>
      <c r="M665">
        <v>1</v>
      </c>
      <c r="N665" s="109">
        <v>1096.0786729343922</v>
      </c>
      <c r="O665" s="109">
        <v>-2791556.634752098</v>
      </c>
      <c r="P665" s="365">
        <v>1</v>
      </c>
      <c r="Q665" s="365">
        <v>0</v>
      </c>
      <c r="R665" s="365">
        <v>0</v>
      </c>
      <c r="S665" s="365">
        <v>0</v>
      </c>
      <c r="T665" s="109">
        <v>-2458.4109780792965</v>
      </c>
      <c r="V665" s="368">
        <f t="shared" si="60"/>
        <v>55531018.720321223</v>
      </c>
      <c r="W665" s="30">
        <f t="shared" si="61"/>
        <v>59567186.495734103</v>
      </c>
      <c r="X665" s="30"/>
      <c r="Y665">
        <f t="shared" si="62"/>
        <v>0</v>
      </c>
      <c r="Z665">
        <f t="shared" si="63"/>
        <v>1</v>
      </c>
      <c r="AA665">
        <f t="shared" si="64"/>
        <v>0</v>
      </c>
      <c r="AB665">
        <f t="shared" si="65"/>
        <v>1</v>
      </c>
    </row>
    <row r="666" spans="6:28" x14ac:dyDescent="0.3">
      <c r="F666" s="28"/>
      <c r="G666">
        <v>658</v>
      </c>
      <c r="H666" s="109">
        <v>1026.7739449854489</v>
      </c>
      <c r="I666" s="370">
        <v>690903.71237328963</v>
      </c>
      <c r="J666">
        <v>0</v>
      </c>
      <c r="K666">
        <v>0</v>
      </c>
      <c r="L666">
        <v>0</v>
      </c>
      <c r="M666">
        <v>1</v>
      </c>
      <c r="N666" s="109">
        <v>672.88785009350897</v>
      </c>
      <c r="O666" s="109">
        <v>-3593294.6468205526</v>
      </c>
      <c r="P666" s="365">
        <v>1</v>
      </c>
      <c r="Q666" s="365">
        <v>0</v>
      </c>
      <c r="R666" s="365">
        <v>0</v>
      </c>
      <c r="S666" s="365">
        <v>0</v>
      </c>
      <c r="T666" s="109">
        <v>-3499.5966389383552</v>
      </c>
      <c r="V666" s="368">
        <f t="shared" si="60"/>
        <v>50647793.536899157</v>
      </c>
      <c r="W666" s="30">
        <f t="shared" si="61"/>
        <v>54931991.896092996</v>
      </c>
      <c r="X666" s="30"/>
      <c r="Y666">
        <f t="shared" si="62"/>
        <v>0</v>
      </c>
      <c r="Z666">
        <f t="shared" si="63"/>
        <v>1</v>
      </c>
      <c r="AA666">
        <f t="shared" si="64"/>
        <v>0</v>
      </c>
      <c r="AB666">
        <f t="shared" si="65"/>
        <v>1</v>
      </c>
    </row>
    <row r="667" spans="6:28" x14ac:dyDescent="0.3">
      <c r="F667" s="28"/>
      <c r="G667">
        <v>659</v>
      </c>
      <c r="H667" s="109">
        <v>1236.8249156122547</v>
      </c>
      <c r="I667" s="370">
        <v>313239.37356249354</v>
      </c>
      <c r="J667">
        <v>0</v>
      </c>
      <c r="K667">
        <v>0</v>
      </c>
      <c r="L667">
        <v>0</v>
      </c>
      <c r="M667">
        <v>1</v>
      </c>
      <c r="N667" s="109">
        <v>253.26088568278345</v>
      </c>
      <c r="O667" s="109">
        <v>-4505618.836126931</v>
      </c>
      <c r="P667" s="365">
        <v>1</v>
      </c>
      <c r="Q667" s="365">
        <v>0</v>
      </c>
      <c r="R667" s="365">
        <v>0</v>
      </c>
      <c r="S667" s="365">
        <v>0</v>
      </c>
      <c r="T667" s="109">
        <v>-3642.8913900853572</v>
      </c>
      <c r="V667" s="368">
        <f t="shared" si="60"/>
        <v>61528006.407050245</v>
      </c>
      <c r="W667" s="30">
        <f t="shared" si="61"/>
        <v>66346864.616739668</v>
      </c>
      <c r="X667" s="30"/>
      <c r="Y667">
        <f t="shared" si="62"/>
        <v>0</v>
      </c>
      <c r="Z667">
        <f t="shared" si="63"/>
        <v>1</v>
      </c>
      <c r="AA667">
        <f t="shared" si="64"/>
        <v>0</v>
      </c>
      <c r="AB667">
        <f t="shared" si="65"/>
        <v>1</v>
      </c>
    </row>
    <row r="668" spans="6:28" x14ac:dyDescent="0.3">
      <c r="F668" s="28"/>
      <c r="G668">
        <v>660</v>
      </c>
      <c r="H668" s="109">
        <v>1123.169742719183</v>
      </c>
      <c r="I668" s="370">
        <v>909709.22344135691</v>
      </c>
      <c r="J668">
        <v>0</v>
      </c>
      <c r="K668">
        <v>0</v>
      </c>
      <c r="L668">
        <v>0</v>
      </c>
      <c r="M668">
        <v>1</v>
      </c>
      <c r="N668" s="109">
        <v>809.94812167834914</v>
      </c>
      <c r="O668" s="109">
        <v>-3617509.6819612239</v>
      </c>
      <c r="P668" s="365">
        <v>1</v>
      </c>
      <c r="Q668" s="365">
        <v>0</v>
      </c>
      <c r="R668" s="365">
        <v>0</v>
      </c>
      <c r="S668" s="365">
        <v>0</v>
      </c>
      <c r="T668" s="109">
        <v>-3220.8040729473964</v>
      </c>
      <c r="V668" s="368">
        <f t="shared" si="60"/>
        <v>55248777.912517793</v>
      </c>
      <c r="W668" s="30">
        <f t="shared" si="61"/>
        <v>59775996.817920372</v>
      </c>
      <c r="X668" s="30"/>
      <c r="Y668">
        <f t="shared" si="62"/>
        <v>0</v>
      </c>
      <c r="Z668">
        <f t="shared" si="63"/>
        <v>1</v>
      </c>
      <c r="AA668">
        <f t="shared" si="64"/>
        <v>0</v>
      </c>
      <c r="AB668">
        <f t="shared" si="65"/>
        <v>1</v>
      </c>
    </row>
    <row r="669" spans="6:28" x14ac:dyDescent="0.3">
      <c r="F669" s="28"/>
      <c r="G669">
        <v>661</v>
      </c>
      <c r="H669" s="109">
        <v>1194.1289220088365</v>
      </c>
      <c r="I669" s="370">
        <v>852149.61251922953</v>
      </c>
      <c r="J669">
        <v>0</v>
      </c>
      <c r="K669">
        <v>0</v>
      </c>
      <c r="L669">
        <v>0</v>
      </c>
      <c r="M669">
        <v>1</v>
      </c>
      <c r="N669" s="109">
        <v>713.61609020045466</v>
      </c>
      <c r="O669" s="109">
        <v>-3617338.6334613645</v>
      </c>
      <c r="P669" s="365">
        <v>1</v>
      </c>
      <c r="Q669" s="365">
        <v>0</v>
      </c>
      <c r="R669" s="365">
        <v>0</v>
      </c>
      <c r="S669" s="365">
        <v>0</v>
      </c>
      <c r="T669" s="109">
        <v>-3029.2697604007922</v>
      </c>
      <c r="V669" s="368">
        <f t="shared" si="60"/>
        <v>58854296.487922601</v>
      </c>
      <c r="W669" s="30">
        <f t="shared" si="61"/>
        <v>63323784.733903192</v>
      </c>
      <c r="X669" s="30"/>
      <c r="Y669">
        <f t="shared" si="62"/>
        <v>0</v>
      </c>
      <c r="Z669">
        <f t="shared" si="63"/>
        <v>1</v>
      </c>
      <c r="AA669">
        <f t="shared" si="64"/>
        <v>0</v>
      </c>
      <c r="AB669">
        <f t="shared" si="65"/>
        <v>1</v>
      </c>
    </row>
    <row r="670" spans="6:28" x14ac:dyDescent="0.3">
      <c r="F670" s="28"/>
      <c r="G670">
        <v>662</v>
      </c>
      <c r="H670" s="109">
        <v>1152.3387604715826</v>
      </c>
      <c r="I670" s="370">
        <v>1236004.44446164</v>
      </c>
      <c r="J670">
        <v>0</v>
      </c>
      <c r="K670">
        <v>0</v>
      </c>
      <c r="L670">
        <v>0</v>
      </c>
      <c r="M670">
        <v>1</v>
      </c>
      <c r="N670" s="109">
        <v>1072.6051113266537</v>
      </c>
      <c r="O670" s="109">
        <v>-3992655.2962721884</v>
      </c>
      <c r="P670" s="365">
        <v>1</v>
      </c>
      <c r="Q670" s="365">
        <v>0</v>
      </c>
      <c r="R670" s="365">
        <v>0</v>
      </c>
      <c r="S670" s="365">
        <v>0</v>
      </c>
      <c r="T670" s="109">
        <v>-3464.8277340234877</v>
      </c>
      <c r="V670" s="368">
        <f t="shared" si="60"/>
        <v>56380933.579117492</v>
      </c>
      <c r="W670" s="30">
        <f t="shared" si="61"/>
        <v>61609593.319851324</v>
      </c>
      <c r="X670" s="30"/>
      <c r="Y670">
        <f t="shared" si="62"/>
        <v>0</v>
      </c>
      <c r="Z670">
        <f t="shared" si="63"/>
        <v>1</v>
      </c>
      <c r="AA670">
        <f t="shared" si="64"/>
        <v>0</v>
      </c>
      <c r="AB670">
        <f t="shared" si="65"/>
        <v>1</v>
      </c>
    </row>
    <row r="671" spans="6:28" x14ac:dyDescent="0.3">
      <c r="F671" s="28"/>
      <c r="G671">
        <v>663</v>
      </c>
      <c r="H671" s="109">
        <v>1129.0198301551427</v>
      </c>
      <c r="I671" s="370">
        <v>1249249.6488035826</v>
      </c>
      <c r="J671">
        <v>0</v>
      </c>
      <c r="K671">
        <v>0</v>
      </c>
      <c r="L671">
        <v>0</v>
      </c>
      <c r="M671">
        <v>1</v>
      </c>
      <c r="N671" s="109">
        <v>1106.4904401474673</v>
      </c>
      <c r="O671" s="109">
        <v>-2740821.1512871669</v>
      </c>
      <c r="P671" s="365">
        <v>1</v>
      </c>
      <c r="Q671" s="365">
        <v>0</v>
      </c>
      <c r="R671" s="365">
        <v>0</v>
      </c>
      <c r="S671" s="365">
        <v>0</v>
      </c>
      <c r="T671" s="109">
        <v>-2427.6111703994966</v>
      </c>
      <c r="V671" s="368">
        <f t="shared" si="60"/>
        <v>55201741.85895355</v>
      </c>
      <c r="W671" s="30">
        <f t="shared" si="61"/>
        <v>59191812.659044303</v>
      </c>
      <c r="X671" s="30"/>
      <c r="Y671">
        <f t="shared" si="62"/>
        <v>0</v>
      </c>
      <c r="Z671">
        <f t="shared" si="63"/>
        <v>1</v>
      </c>
      <c r="AA671">
        <f t="shared" si="64"/>
        <v>0</v>
      </c>
      <c r="AB671">
        <f t="shared" si="65"/>
        <v>1</v>
      </c>
    </row>
    <row r="672" spans="6:28" x14ac:dyDescent="0.3">
      <c r="F672" s="28"/>
      <c r="G672">
        <v>664</v>
      </c>
      <c r="H672" s="109">
        <v>1084.0427227286782</v>
      </c>
      <c r="I672" s="370">
        <v>1052678.0291455211</v>
      </c>
      <c r="J672">
        <v>0</v>
      </c>
      <c r="K672">
        <v>0</v>
      </c>
      <c r="L672">
        <v>0</v>
      </c>
      <c r="M672">
        <v>1</v>
      </c>
      <c r="N672" s="109">
        <v>971.06692114107091</v>
      </c>
      <c r="O672" s="109">
        <v>-3428198.6370530049</v>
      </c>
      <c r="P672" s="365">
        <v>1</v>
      </c>
      <c r="Q672" s="365">
        <v>0</v>
      </c>
      <c r="R672" s="365">
        <v>0</v>
      </c>
      <c r="S672" s="365">
        <v>0</v>
      </c>
      <c r="T672" s="109">
        <v>-3162.4202304718929</v>
      </c>
      <c r="V672" s="368">
        <f t="shared" si="60"/>
        <v>53149458.107288383</v>
      </c>
      <c r="W672" s="30">
        <f t="shared" si="61"/>
        <v>57630334.773486912</v>
      </c>
      <c r="X672" s="30"/>
      <c r="Y672">
        <f t="shared" si="62"/>
        <v>0</v>
      </c>
      <c r="Z672">
        <f t="shared" si="63"/>
        <v>1</v>
      </c>
      <c r="AA672">
        <f t="shared" si="64"/>
        <v>0</v>
      </c>
      <c r="AB672">
        <f t="shared" si="65"/>
        <v>1</v>
      </c>
    </row>
    <row r="673" spans="6:28" x14ac:dyDescent="0.3">
      <c r="F673" s="28"/>
      <c r="G673">
        <v>665</v>
      </c>
      <c r="H673" s="109">
        <v>1228.3329138088957</v>
      </c>
      <c r="I673" s="370">
        <v>1248829.1520194483</v>
      </c>
      <c r="J673">
        <v>0</v>
      </c>
      <c r="K673">
        <v>0</v>
      </c>
      <c r="L673">
        <v>0</v>
      </c>
      <c r="M673">
        <v>1</v>
      </c>
      <c r="N673" s="109">
        <v>1016.6862240522372</v>
      </c>
      <c r="O673" s="109">
        <v>-3302490.7596467119</v>
      </c>
      <c r="P673" s="365">
        <v>1</v>
      </c>
      <c r="Q673" s="365">
        <v>0</v>
      </c>
      <c r="R673" s="365">
        <v>0</v>
      </c>
      <c r="S673" s="365">
        <v>0</v>
      </c>
      <c r="T673" s="109">
        <v>-2688.5958379199747</v>
      </c>
      <c r="V673" s="368">
        <f t="shared" si="60"/>
        <v>60167816.538425334</v>
      </c>
      <c r="W673" s="30">
        <f t="shared" si="61"/>
        <v>64719136.450091496</v>
      </c>
      <c r="X673" s="30"/>
      <c r="Y673">
        <f t="shared" si="62"/>
        <v>0</v>
      </c>
      <c r="Z673">
        <f t="shared" si="63"/>
        <v>1</v>
      </c>
      <c r="AA673">
        <f t="shared" si="64"/>
        <v>0</v>
      </c>
      <c r="AB673">
        <f t="shared" si="65"/>
        <v>1</v>
      </c>
    </row>
    <row r="674" spans="6:28" x14ac:dyDescent="0.3">
      <c r="F674" s="28"/>
      <c r="G674">
        <v>666</v>
      </c>
      <c r="H674" s="109">
        <v>1235.261339778328</v>
      </c>
      <c r="I674" s="370">
        <v>1550171.7342542582</v>
      </c>
      <c r="J674">
        <v>0</v>
      </c>
      <c r="K674">
        <v>0</v>
      </c>
      <c r="L674">
        <v>0</v>
      </c>
      <c r="M674">
        <v>1</v>
      </c>
      <c r="N674" s="109">
        <v>1254.9342267381589</v>
      </c>
      <c r="O674" s="109">
        <v>-2322446.7487317217</v>
      </c>
      <c r="P674" s="365">
        <v>1</v>
      </c>
      <c r="Q674" s="365">
        <v>0</v>
      </c>
      <c r="R674" s="365">
        <v>0</v>
      </c>
      <c r="S674" s="365">
        <v>0</v>
      </c>
      <c r="T674" s="109">
        <v>-1880.1258275827631</v>
      </c>
      <c r="V674" s="368">
        <f t="shared" si="60"/>
        <v>60212895.254662141</v>
      </c>
      <c r="W674" s="30">
        <f t="shared" si="61"/>
        <v>64085513.737648122</v>
      </c>
      <c r="X674" s="30"/>
      <c r="Y674">
        <f t="shared" si="62"/>
        <v>0</v>
      </c>
      <c r="Z674">
        <f t="shared" si="63"/>
        <v>1</v>
      </c>
      <c r="AA674">
        <f t="shared" si="64"/>
        <v>0</v>
      </c>
      <c r="AB674">
        <f t="shared" si="65"/>
        <v>1</v>
      </c>
    </row>
    <row r="675" spans="6:28" x14ac:dyDescent="0.3">
      <c r="F675" s="28"/>
      <c r="G675">
        <v>667</v>
      </c>
      <c r="H675" s="109">
        <v>1275.1061877263637</v>
      </c>
      <c r="I675" s="370">
        <v>1483118.4638525387</v>
      </c>
      <c r="J675">
        <v>0</v>
      </c>
      <c r="K675">
        <v>0</v>
      </c>
      <c r="L675">
        <v>0</v>
      </c>
      <c r="M675">
        <v>1</v>
      </c>
      <c r="N675" s="109">
        <v>1163.1332967625863</v>
      </c>
      <c r="O675" s="109">
        <v>-3487481.6698833792</v>
      </c>
      <c r="P675" s="365">
        <v>1</v>
      </c>
      <c r="Q675" s="365">
        <v>0</v>
      </c>
      <c r="R675" s="365">
        <v>0</v>
      </c>
      <c r="S675" s="365">
        <v>0</v>
      </c>
      <c r="T675" s="109">
        <v>-2735.0519536744564</v>
      </c>
      <c r="V675" s="368">
        <f t="shared" si="60"/>
        <v>62272190.922465645</v>
      </c>
      <c r="W675" s="30">
        <f t="shared" si="61"/>
        <v>67242791.056201562</v>
      </c>
      <c r="X675" s="30"/>
      <c r="Y675">
        <f t="shared" si="62"/>
        <v>0</v>
      </c>
      <c r="Z675">
        <f t="shared" si="63"/>
        <v>1</v>
      </c>
      <c r="AA675">
        <f t="shared" si="64"/>
        <v>0</v>
      </c>
      <c r="AB675">
        <f t="shared" si="65"/>
        <v>1</v>
      </c>
    </row>
    <row r="676" spans="6:28" x14ac:dyDescent="0.3">
      <c r="F676" s="28"/>
      <c r="G676">
        <v>668</v>
      </c>
      <c r="H676" s="109">
        <v>1347.9967786883062</v>
      </c>
      <c r="I676" s="370">
        <v>454990.55701890099</v>
      </c>
      <c r="J676">
        <v>0</v>
      </c>
      <c r="K676">
        <v>0</v>
      </c>
      <c r="L676">
        <v>0</v>
      </c>
      <c r="M676">
        <v>1</v>
      </c>
      <c r="N676" s="109">
        <v>337.53089340587161</v>
      </c>
      <c r="O676" s="109">
        <v>-4530240.3255500617</v>
      </c>
      <c r="P676" s="365">
        <v>1</v>
      </c>
      <c r="Q676" s="365">
        <v>0</v>
      </c>
      <c r="R676" s="365">
        <v>0</v>
      </c>
      <c r="S676" s="365">
        <v>0</v>
      </c>
      <c r="T676" s="109">
        <v>-3360.7204387819811</v>
      </c>
      <c r="V676" s="368">
        <f t="shared" si="60"/>
        <v>66944848.377396412</v>
      </c>
      <c r="W676" s="30">
        <f t="shared" si="61"/>
        <v>71930079.259965375</v>
      </c>
      <c r="X676" s="30"/>
      <c r="Y676">
        <f t="shared" si="62"/>
        <v>0</v>
      </c>
      <c r="Z676">
        <f t="shared" si="63"/>
        <v>1</v>
      </c>
      <c r="AA676">
        <f t="shared" si="64"/>
        <v>0</v>
      </c>
      <c r="AB676">
        <f t="shared" si="65"/>
        <v>1</v>
      </c>
    </row>
    <row r="677" spans="6:28" x14ac:dyDescent="0.3">
      <c r="F677" s="28"/>
      <c r="G677">
        <v>669</v>
      </c>
      <c r="H677" s="109">
        <v>1383.5358732081731</v>
      </c>
      <c r="I677" s="370">
        <v>2404480.9506356711</v>
      </c>
      <c r="J677">
        <v>0</v>
      </c>
      <c r="K677">
        <v>0</v>
      </c>
      <c r="L677">
        <v>0</v>
      </c>
      <c r="M677">
        <v>1</v>
      </c>
      <c r="N677" s="109">
        <v>1737.9245433369995</v>
      </c>
      <c r="O677" s="109">
        <v>-2372195.8089364651</v>
      </c>
      <c r="P677" s="365">
        <v>1</v>
      </c>
      <c r="Q677" s="365">
        <v>0</v>
      </c>
      <c r="R677" s="365">
        <v>0</v>
      </c>
      <c r="S677" s="365">
        <v>0</v>
      </c>
      <c r="T677" s="109">
        <v>-1714.5893033013779</v>
      </c>
      <c r="V677" s="368">
        <f t="shared" si="60"/>
        <v>66772312.709772989</v>
      </c>
      <c r="W677" s="30">
        <f t="shared" si="61"/>
        <v>71548989.469345123</v>
      </c>
      <c r="X677" s="30"/>
      <c r="Y677">
        <f t="shared" si="62"/>
        <v>0</v>
      </c>
      <c r="Z677">
        <f t="shared" si="63"/>
        <v>1</v>
      </c>
      <c r="AA677">
        <f t="shared" si="64"/>
        <v>0</v>
      </c>
      <c r="AB677">
        <f t="shared" si="65"/>
        <v>1</v>
      </c>
    </row>
    <row r="678" spans="6:28" x14ac:dyDescent="0.3">
      <c r="F678" s="28"/>
      <c r="G678">
        <v>670</v>
      </c>
      <c r="H678" s="109">
        <v>1187.4159556716186</v>
      </c>
      <c r="I678" s="370">
        <v>1257456.8937191025</v>
      </c>
      <c r="J678">
        <v>0</v>
      </c>
      <c r="K678">
        <v>0</v>
      </c>
      <c r="L678">
        <v>0</v>
      </c>
      <c r="M678">
        <v>1</v>
      </c>
      <c r="N678" s="109">
        <v>1058.9860172527897</v>
      </c>
      <c r="O678" s="109">
        <v>-3196164.0284985607</v>
      </c>
      <c r="P678" s="365">
        <v>1</v>
      </c>
      <c r="Q678" s="365">
        <v>0</v>
      </c>
      <c r="R678" s="365">
        <v>0</v>
      </c>
      <c r="S678" s="365">
        <v>0</v>
      </c>
      <c r="T678" s="109">
        <v>-2691.6970529428054</v>
      </c>
      <c r="V678" s="368">
        <f t="shared" si="60"/>
        <v>58113340.88986183</v>
      </c>
      <c r="W678" s="30">
        <f t="shared" si="61"/>
        <v>62566961.812079489</v>
      </c>
      <c r="X678" s="30"/>
      <c r="Y678">
        <f t="shared" si="62"/>
        <v>0</v>
      </c>
      <c r="Z678">
        <f t="shared" si="63"/>
        <v>1</v>
      </c>
      <c r="AA678">
        <f t="shared" si="64"/>
        <v>0</v>
      </c>
      <c r="AB678">
        <f t="shared" si="65"/>
        <v>1</v>
      </c>
    </row>
    <row r="679" spans="6:28" x14ac:dyDescent="0.3">
      <c r="F679" s="28"/>
      <c r="G679">
        <v>671</v>
      </c>
      <c r="H679" s="109">
        <v>1103.5420793353187</v>
      </c>
      <c r="I679" s="370">
        <v>1693266.4669430582</v>
      </c>
      <c r="J679">
        <v>0</v>
      </c>
      <c r="K679">
        <v>0</v>
      </c>
      <c r="L679">
        <v>0</v>
      </c>
      <c r="M679">
        <v>1</v>
      </c>
      <c r="N679" s="109">
        <v>1534.3922979021697</v>
      </c>
      <c r="O679" s="109">
        <v>-2186615.5390447443</v>
      </c>
      <c r="P679" s="365">
        <v>1</v>
      </c>
      <c r="Q679" s="365">
        <v>0</v>
      </c>
      <c r="R679" s="365">
        <v>0</v>
      </c>
      <c r="S679" s="365">
        <v>0</v>
      </c>
      <c r="T679" s="109">
        <v>-1981.4518902276734</v>
      </c>
      <c r="V679" s="368">
        <f t="shared" si="60"/>
        <v>53483837.499822877</v>
      </c>
      <c r="W679" s="30">
        <f t="shared" si="61"/>
        <v>57363719.505810678</v>
      </c>
      <c r="X679" s="30"/>
      <c r="Y679">
        <f t="shared" si="62"/>
        <v>0</v>
      </c>
      <c r="Z679">
        <f t="shared" si="63"/>
        <v>1</v>
      </c>
      <c r="AA679">
        <f t="shared" si="64"/>
        <v>0</v>
      </c>
      <c r="AB679">
        <f t="shared" si="65"/>
        <v>1</v>
      </c>
    </row>
    <row r="680" spans="6:28" x14ac:dyDescent="0.3">
      <c r="F680" s="28"/>
      <c r="G680">
        <v>672</v>
      </c>
      <c r="H680" s="109">
        <v>1280.4513805309034</v>
      </c>
      <c r="I680" s="370">
        <v>553374.98909560777</v>
      </c>
      <c r="J680">
        <v>0</v>
      </c>
      <c r="K680">
        <v>0</v>
      </c>
      <c r="L680">
        <v>0</v>
      </c>
      <c r="M680">
        <v>1</v>
      </c>
      <c r="N680" s="109">
        <v>432.17180871495981</v>
      </c>
      <c r="O680" s="109">
        <v>-4240974.6461444888</v>
      </c>
      <c r="P680" s="365">
        <v>1</v>
      </c>
      <c r="Q680" s="365">
        <v>0</v>
      </c>
      <c r="R680" s="365">
        <v>0</v>
      </c>
      <c r="S680" s="365">
        <v>0</v>
      </c>
      <c r="T680" s="109">
        <v>-3312.0934622180557</v>
      </c>
      <c r="V680" s="368">
        <f t="shared" si="60"/>
        <v>63469194.037449561</v>
      </c>
      <c r="W680" s="30">
        <f t="shared" si="61"/>
        <v>68263543.672689661</v>
      </c>
      <c r="X680" s="30"/>
      <c r="Y680">
        <f t="shared" si="62"/>
        <v>0</v>
      </c>
      <c r="Z680">
        <f t="shared" si="63"/>
        <v>1</v>
      </c>
      <c r="AA680">
        <f t="shared" si="64"/>
        <v>0</v>
      </c>
      <c r="AB680">
        <f t="shared" si="65"/>
        <v>1</v>
      </c>
    </row>
    <row r="681" spans="6:28" x14ac:dyDescent="0.3">
      <c r="F681" s="28"/>
      <c r="G681">
        <v>673</v>
      </c>
      <c r="H681" s="109">
        <v>1280.6713046678051</v>
      </c>
      <c r="I681" s="370">
        <v>1341578.4126122964</v>
      </c>
      <c r="J681">
        <v>0</v>
      </c>
      <c r="K681">
        <v>0</v>
      </c>
      <c r="L681">
        <v>0</v>
      </c>
      <c r="M681">
        <v>1</v>
      </c>
      <c r="N681" s="109">
        <v>1047.558735580704</v>
      </c>
      <c r="O681" s="109">
        <v>-3680700.9225104498</v>
      </c>
      <c r="P681" s="365">
        <v>1</v>
      </c>
      <c r="Q681" s="365">
        <v>0</v>
      </c>
      <c r="R681" s="365">
        <v>0</v>
      </c>
      <c r="S681" s="365">
        <v>0</v>
      </c>
      <c r="T681" s="109">
        <v>-2874.040285821186</v>
      </c>
      <c r="V681" s="368">
        <f t="shared" si="60"/>
        <v>62691986.82077796</v>
      </c>
      <c r="W681" s="30">
        <f t="shared" si="61"/>
        <v>67714266.155900702</v>
      </c>
      <c r="X681" s="30"/>
      <c r="Y681">
        <f t="shared" si="62"/>
        <v>0</v>
      </c>
      <c r="Z681">
        <f t="shared" si="63"/>
        <v>1</v>
      </c>
      <c r="AA681">
        <f t="shared" si="64"/>
        <v>0</v>
      </c>
      <c r="AB681">
        <f t="shared" si="65"/>
        <v>1</v>
      </c>
    </row>
    <row r="682" spans="6:28" x14ac:dyDescent="0.3">
      <c r="F682" s="28"/>
      <c r="G682">
        <v>674</v>
      </c>
      <c r="H682" s="109">
        <v>1109.1623802282411</v>
      </c>
      <c r="I682" s="370">
        <v>1939820.0493004513</v>
      </c>
      <c r="J682">
        <v>0</v>
      </c>
      <c r="K682">
        <v>0</v>
      </c>
      <c r="L682">
        <v>0</v>
      </c>
      <c r="M682">
        <v>1</v>
      </c>
      <c r="N682" s="109">
        <v>1748.905375695558</v>
      </c>
      <c r="O682" s="109">
        <v>-1605435.2700144285</v>
      </c>
      <c r="P682" s="365">
        <v>1</v>
      </c>
      <c r="Q682" s="365">
        <v>0</v>
      </c>
      <c r="R682" s="365">
        <v>0</v>
      </c>
      <c r="S682" s="365">
        <v>0</v>
      </c>
      <c r="T682" s="109">
        <v>-1447.4303299793357</v>
      </c>
      <c r="V682" s="368">
        <f t="shared" si="60"/>
        <v>53518298.9621116</v>
      </c>
      <c r="W682" s="30">
        <f t="shared" si="61"/>
        <v>57063554.281426482</v>
      </c>
      <c r="X682" s="30"/>
      <c r="Y682">
        <f t="shared" si="62"/>
        <v>0</v>
      </c>
      <c r="Z682">
        <f t="shared" si="63"/>
        <v>1</v>
      </c>
      <c r="AA682">
        <f t="shared" si="64"/>
        <v>0</v>
      </c>
      <c r="AB682">
        <f t="shared" si="65"/>
        <v>1</v>
      </c>
    </row>
    <row r="683" spans="6:28" x14ac:dyDescent="0.3">
      <c r="F683" s="28"/>
      <c r="G683">
        <v>675</v>
      </c>
      <c r="H683" s="109">
        <v>1098.443603038213</v>
      </c>
      <c r="I683" s="370">
        <v>997317.17368739226</v>
      </c>
      <c r="J683">
        <v>0</v>
      </c>
      <c r="K683">
        <v>0</v>
      </c>
      <c r="L683">
        <v>0</v>
      </c>
      <c r="M683">
        <v>1</v>
      </c>
      <c r="N683" s="109">
        <v>907.93662135123498</v>
      </c>
      <c r="O683" s="109">
        <v>-3988027.9795049424</v>
      </c>
      <c r="P683" s="365">
        <v>1</v>
      </c>
      <c r="Q683" s="365">
        <v>0</v>
      </c>
      <c r="R683" s="365">
        <v>0</v>
      </c>
      <c r="S683" s="365">
        <v>0</v>
      </c>
      <c r="T683" s="109">
        <v>-3630.6169642887035</v>
      </c>
      <c r="V683" s="368">
        <f t="shared" si="60"/>
        <v>53924862.978223264</v>
      </c>
      <c r="W683" s="30">
        <f t="shared" si="61"/>
        <v>58910208.131415598</v>
      </c>
      <c r="X683" s="30"/>
      <c r="Y683">
        <f t="shared" si="62"/>
        <v>0</v>
      </c>
      <c r="Z683">
        <f t="shared" si="63"/>
        <v>1</v>
      </c>
      <c r="AA683">
        <f t="shared" si="64"/>
        <v>0</v>
      </c>
      <c r="AB683">
        <f t="shared" si="65"/>
        <v>1</v>
      </c>
    </row>
    <row r="684" spans="6:28" x14ac:dyDescent="0.3">
      <c r="F684" s="28"/>
      <c r="G684">
        <v>676</v>
      </c>
      <c r="H684" s="109">
        <v>1076.1601763402286</v>
      </c>
      <c r="I684" s="370">
        <v>386013.43041274924</v>
      </c>
      <c r="J684">
        <v>0</v>
      </c>
      <c r="K684">
        <v>0</v>
      </c>
      <c r="L684">
        <v>0</v>
      </c>
      <c r="M684">
        <v>1</v>
      </c>
      <c r="N684" s="109">
        <v>358.69514492302761</v>
      </c>
      <c r="O684" s="109">
        <v>-3680160.2760446691</v>
      </c>
      <c r="P684" s="365">
        <v>1</v>
      </c>
      <c r="Q684" s="365">
        <v>0</v>
      </c>
      <c r="R684" s="365">
        <v>0</v>
      </c>
      <c r="S684" s="365">
        <v>0</v>
      </c>
      <c r="T684" s="109">
        <v>-3419.7142367412639</v>
      </c>
      <c r="V684" s="368">
        <f t="shared" si="60"/>
        <v>53421995.386598684</v>
      </c>
      <c r="W684" s="30">
        <f t="shared" si="61"/>
        <v>57488169.093056098</v>
      </c>
      <c r="X684" s="30"/>
      <c r="Y684">
        <f t="shared" si="62"/>
        <v>0</v>
      </c>
      <c r="Z684">
        <f t="shared" si="63"/>
        <v>1</v>
      </c>
      <c r="AA684">
        <f t="shared" si="64"/>
        <v>0</v>
      </c>
      <c r="AB684">
        <f t="shared" si="65"/>
        <v>1</v>
      </c>
    </row>
    <row r="685" spans="6:28" x14ac:dyDescent="0.3">
      <c r="F685" s="28"/>
      <c r="G685">
        <v>677</v>
      </c>
      <c r="H685" s="109">
        <v>1148.0883050394987</v>
      </c>
      <c r="I685" s="370">
        <v>1491778.5356091992</v>
      </c>
      <c r="J685">
        <v>0</v>
      </c>
      <c r="K685">
        <v>0</v>
      </c>
      <c r="L685">
        <v>0</v>
      </c>
      <c r="M685">
        <v>1</v>
      </c>
      <c r="N685" s="109">
        <v>1299.3587070446436</v>
      </c>
      <c r="O685" s="109">
        <v>-3330843.84767072</v>
      </c>
      <c r="P685" s="365">
        <v>1</v>
      </c>
      <c r="Q685" s="365">
        <v>0</v>
      </c>
      <c r="R685" s="365">
        <v>0</v>
      </c>
      <c r="S685" s="365">
        <v>0</v>
      </c>
      <c r="T685" s="109">
        <v>-2901.2087598576541</v>
      </c>
      <c r="V685" s="368">
        <f t="shared" si="60"/>
        <v>55912636.716365732</v>
      </c>
      <c r="W685" s="30">
        <f t="shared" si="61"/>
        <v>60735259.099645652</v>
      </c>
      <c r="X685" s="30"/>
      <c r="Y685">
        <f t="shared" si="62"/>
        <v>0</v>
      </c>
      <c r="Z685">
        <f t="shared" si="63"/>
        <v>1</v>
      </c>
      <c r="AA685">
        <f t="shared" si="64"/>
        <v>0</v>
      </c>
      <c r="AB685">
        <f t="shared" si="65"/>
        <v>1</v>
      </c>
    </row>
    <row r="686" spans="6:28" x14ac:dyDescent="0.3">
      <c r="F686" s="28"/>
      <c r="G686">
        <v>678</v>
      </c>
      <c r="H686" s="109">
        <v>1148.9965393413295</v>
      </c>
      <c r="I686" s="370">
        <v>1217491.0629908417</v>
      </c>
      <c r="J686">
        <v>0</v>
      </c>
      <c r="K686">
        <v>0</v>
      </c>
      <c r="L686">
        <v>0</v>
      </c>
      <c r="M686">
        <v>1</v>
      </c>
      <c r="N686" s="109">
        <v>1059.6124716692159</v>
      </c>
      <c r="O686" s="109">
        <v>-3321300.9596260376</v>
      </c>
      <c r="P686" s="365">
        <v>1</v>
      </c>
      <c r="Q686" s="365">
        <v>0</v>
      </c>
      <c r="R686" s="365">
        <v>0</v>
      </c>
      <c r="S686" s="365">
        <v>0</v>
      </c>
      <c r="T686" s="109">
        <v>-2890.6100635690314</v>
      </c>
      <c r="V686" s="368">
        <f t="shared" si="60"/>
        <v>56232335.90407563</v>
      </c>
      <c r="W686" s="30">
        <f t="shared" si="61"/>
        <v>60771127.926692516</v>
      </c>
      <c r="X686" s="30"/>
      <c r="Y686">
        <f t="shared" si="62"/>
        <v>0</v>
      </c>
      <c r="Z686">
        <f t="shared" si="63"/>
        <v>1</v>
      </c>
      <c r="AA686">
        <f t="shared" si="64"/>
        <v>0</v>
      </c>
      <c r="AB686">
        <f t="shared" si="65"/>
        <v>1</v>
      </c>
    </row>
    <row r="687" spans="6:28" x14ac:dyDescent="0.3">
      <c r="F687" s="28"/>
      <c r="G687">
        <v>679</v>
      </c>
      <c r="H687" s="109">
        <v>1213.6767396662835</v>
      </c>
      <c r="I687" s="370">
        <v>862823.54246152507</v>
      </c>
      <c r="J687">
        <v>0</v>
      </c>
      <c r="K687">
        <v>0</v>
      </c>
      <c r="L687">
        <v>0</v>
      </c>
      <c r="M687">
        <v>1</v>
      </c>
      <c r="N687" s="109">
        <v>710.91709535338862</v>
      </c>
      <c r="O687" s="109">
        <v>-4469566.1723344019</v>
      </c>
      <c r="P687" s="365">
        <v>1</v>
      </c>
      <c r="Q687" s="365">
        <v>0</v>
      </c>
      <c r="R687" s="365">
        <v>0</v>
      </c>
      <c r="S687" s="365">
        <v>0</v>
      </c>
      <c r="T687" s="109">
        <v>-3682.6660891296046</v>
      </c>
      <c r="V687" s="368">
        <f t="shared" si="60"/>
        <v>59821013.440852657</v>
      </c>
      <c r="W687" s="30">
        <f t="shared" si="61"/>
        <v>65153403.155648582</v>
      </c>
      <c r="X687" s="30"/>
      <c r="Y687">
        <f t="shared" si="62"/>
        <v>0</v>
      </c>
      <c r="Z687">
        <f t="shared" si="63"/>
        <v>1</v>
      </c>
      <c r="AA687">
        <f t="shared" si="64"/>
        <v>0</v>
      </c>
      <c r="AB687">
        <f t="shared" si="65"/>
        <v>1</v>
      </c>
    </row>
    <row r="688" spans="6:28" x14ac:dyDescent="0.3">
      <c r="F688" s="28"/>
      <c r="G688">
        <v>680</v>
      </c>
      <c r="H688" s="109">
        <v>1305.5992335368064</v>
      </c>
      <c r="I688" s="370">
        <v>1198438.6639130833</v>
      </c>
      <c r="J688">
        <v>0</v>
      </c>
      <c r="K688">
        <v>0</v>
      </c>
      <c r="L688">
        <v>0</v>
      </c>
      <c r="M688">
        <v>1</v>
      </c>
      <c r="N688" s="109">
        <v>917.92230964058535</v>
      </c>
      <c r="O688" s="109">
        <v>-4681862.5467520533</v>
      </c>
      <c r="P688" s="365">
        <v>1</v>
      </c>
      <c r="Q688" s="365">
        <v>0</v>
      </c>
      <c r="R688" s="365">
        <v>0</v>
      </c>
      <c r="S688" s="365">
        <v>0</v>
      </c>
      <c r="T688" s="109">
        <v>-3585.9875117030438</v>
      </c>
      <c r="V688" s="368">
        <f t="shared" si="60"/>
        <v>64081523.012927234</v>
      </c>
      <c r="W688" s="30">
        <f t="shared" si="61"/>
        <v>69961824.223592371</v>
      </c>
      <c r="X688" s="30"/>
      <c r="Y688">
        <f t="shared" si="62"/>
        <v>0</v>
      </c>
      <c r="Z688">
        <f t="shared" si="63"/>
        <v>1</v>
      </c>
      <c r="AA688">
        <f t="shared" si="64"/>
        <v>0</v>
      </c>
      <c r="AB688">
        <f t="shared" si="65"/>
        <v>1</v>
      </c>
    </row>
    <row r="689" spans="6:28" x14ac:dyDescent="0.3">
      <c r="F689" s="28"/>
      <c r="G689">
        <v>681</v>
      </c>
      <c r="H689" s="109">
        <v>1198.7802881835232</v>
      </c>
      <c r="I689" s="370">
        <v>1111767.3627686321</v>
      </c>
      <c r="J689">
        <v>0</v>
      </c>
      <c r="K689">
        <v>0</v>
      </c>
      <c r="L689">
        <v>0</v>
      </c>
      <c r="M689">
        <v>1</v>
      </c>
      <c r="N689" s="109">
        <v>927.41545196181096</v>
      </c>
      <c r="O689" s="109">
        <v>-3299070.8233377733</v>
      </c>
      <c r="P689" s="365">
        <v>1</v>
      </c>
      <c r="Q689" s="365">
        <v>0</v>
      </c>
      <c r="R689" s="365">
        <v>0</v>
      </c>
      <c r="S689" s="365">
        <v>0</v>
      </c>
      <c r="T689" s="109">
        <v>-2752.0229151721865</v>
      </c>
      <c r="V689" s="368">
        <f t="shared" si="60"/>
        <v>58827247.046407528</v>
      </c>
      <c r="W689" s="30">
        <f t="shared" si="61"/>
        <v>63238085.232513934</v>
      </c>
      <c r="X689" s="30"/>
      <c r="Y689">
        <f t="shared" si="62"/>
        <v>0</v>
      </c>
      <c r="Z689">
        <f t="shared" si="63"/>
        <v>1</v>
      </c>
      <c r="AA689">
        <f t="shared" si="64"/>
        <v>0</v>
      </c>
      <c r="AB689">
        <f t="shared" si="65"/>
        <v>1</v>
      </c>
    </row>
    <row r="690" spans="6:28" x14ac:dyDescent="0.3">
      <c r="F690" s="28"/>
      <c r="G690">
        <v>682</v>
      </c>
      <c r="H690" s="109">
        <v>1119.9081580612619</v>
      </c>
      <c r="I690" s="370">
        <v>326145.58225004107</v>
      </c>
      <c r="J690">
        <v>0</v>
      </c>
      <c r="K690">
        <v>0</v>
      </c>
      <c r="L690">
        <v>0</v>
      </c>
      <c r="M690">
        <v>1</v>
      </c>
      <c r="N690" s="109">
        <v>291.22529370145014</v>
      </c>
      <c r="O690" s="109">
        <v>-4123650.7075327435</v>
      </c>
      <c r="P690" s="365">
        <v>1</v>
      </c>
      <c r="Q690" s="365">
        <v>0</v>
      </c>
      <c r="R690" s="365">
        <v>0</v>
      </c>
      <c r="S690" s="365">
        <v>0</v>
      </c>
      <c r="T690" s="109">
        <v>-3682.132930142624</v>
      </c>
      <c r="V690" s="368">
        <f t="shared" si="60"/>
        <v>55669262.320813052</v>
      </c>
      <c r="W690" s="30">
        <f t="shared" si="61"/>
        <v>60119058.610595837</v>
      </c>
      <c r="X690" s="30"/>
      <c r="Y690">
        <f t="shared" si="62"/>
        <v>0</v>
      </c>
      <c r="Z690">
        <f t="shared" si="63"/>
        <v>1</v>
      </c>
      <c r="AA690">
        <f t="shared" si="64"/>
        <v>0</v>
      </c>
      <c r="AB690">
        <f t="shared" si="65"/>
        <v>1</v>
      </c>
    </row>
    <row r="691" spans="6:28" x14ac:dyDescent="0.3">
      <c r="F691" s="28"/>
      <c r="G691">
        <v>683</v>
      </c>
      <c r="H691" s="109">
        <v>1207.4090874715403</v>
      </c>
      <c r="I691" s="370">
        <v>1414445.9205158318</v>
      </c>
      <c r="J691">
        <v>0</v>
      </c>
      <c r="K691">
        <v>0</v>
      </c>
      <c r="L691">
        <v>0</v>
      </c>
      <c r="M691">
        <v>1</v>
      </c>
      <c r="N691" s="109">
        <v>1171.4719850898684</v>
      </c>
      <c r="O691" s="109">
        <v>-3307572.7691064617</v>
      </c>
      <c r="P691" s="365">
        <v>1</v>
      </c>
      <c r="Q691" s="365">
        <v>0</v>
      </c>
      <c r="R691" s="365">
        <v>0</v>
      </c>
      <c r="S691" s="365">
        <v>0</v>
      </c>
      <c r="T691" s="109">
        <v>-2739.3969479167304</v>
      </c>
      <c r="V691" s="368">
        <f t="shared" si="60"/>
        <v>58956008.453061178</v>
      </c>
      <c r="W691" s="30">
        <f t="shared" si="61"/>
        <v>63678027.142683476</v>
      </c>
      <c r="X691" s="30"/>
      <c r="Y691">
        <f t="shared" si="62"/>
        <v>0</v>
      </c>
      <c r="Z691">
        <f t="shared" si="63"/>
        <v>1</v>
      </c>
      <c r="AA691">
        <f t="shared" si="64"/>
        <v>0</v>
      </c>
      <c r="AB691">
        <f t="shared" si="65"/>
        <v>1</v>
      </c>
    </row>
    <row r="692" spans="6:28" x14ac:dyDescent="0.3">
      <c r="F692" s="28"/>
      <c r="G692">
        <v>684</v>
      </c>
      <c r="H692" s="109">
        <v>1262.2107819088124</v>
      </c>
      <c r="I692" s="370">
        <v>862684.09535348252</v>
      </c>
      <c r="J692">
        <v>0</v>
      </c>
      <c r="K692">
        <v>0</v>
      </c>
      <c r="L692">
        <v>0</v>
      </c>
      <c r="M692">
        <v>1</v>
      </c>
      <c r="N692" s="109">
        <v>683.4707068884843</v>
      </c>
      <c r="O692" s="109">
        <v>-3964496.1930773752</v>
      </c>
      <c r="P692" s="365">
        <v>1</v>
      </c>
      <c r="Q692" s="365">
        <v>0</v>
      </c>
      <c r="R692" s="365">
        <v>0</v>
      </c>
      <c r="S692" s="365">
        <v>0</v>
      </c>
      <c r="T692" s="109">
        <v>-3140.9145365419545</v>
      </c>
      <c r="V692" s="368">
        <f t="shared" si="60"/>
        <v>62247855.000087135</v>
      </c>
      <c r="W692" s="30">
        <f t="shared" si="61"/>
        <v>67075035.288517997</v>
      </c>
      <c r="X692" s="30"/>
      <c r="Y692">
        <f t="shared" si="62"/>
        <v>0</v>
      </c>
      <c r="Z692">
        <f t="shared" si="63"/>
        <v>1</v>
      </c>
      <c r="AA692">
        <f t="shared" si="64"/>
        <v>0</v>
      </c>
      <c r="AB692">
        <f t="shared" si="65"/>
        <v>1</v>
      </c>
    </row>
    <row r="693" spans="6:28" x14ac:dyDescent="0.3">
      <c r="F693" s="28"/>
      <c r="G693">
        <v>685</v>
      </c>
      <c r="H693" s="109">
        <v>1205.8607270720095</v>
      </c>
      <c r="I693" s="370">
        <v>1611169.8455085133</v>
      </c>
      <c r="J693">
        <v>0</v>
      </c>
      <c r="K693">
        <v>0</v>
      </c>
      <c r="L693">
        <v>0</v>
      </c>
      <c r="M693">
        <v>1</v>
      </c>
      <c r="N693" s="109">
        <v>1336.1160284410691</v>
      </c>
      <c r="O693" s="109">
        <v>-3626779.8294737865</v>
      </c>
      <c r="P693" s="365">
        <v>1</v>
      </c>
      <c r="Q693" s="365">
        <v>0</v>
      </c>
      <c r="R693" s="365">
        <v>0</v>
      </c>
      <c r="S693" s="365">
        <v>0</v>
      </c>
      <c r="T693" s="109">
        <v>-3007.6274548554966</v>
      </c>
      <c r="V693" s="368">
        <f t="shared" si="60"/>
        <v>58681866.508091956</v>
      </c>
      <c r="W693" s="30">
        <f t="shared" si="61"/>
        <v>63919816.183074258</v>
      </c>
      <c r="X693" s="30"/>
      <c r="Y693">
        <f t="shared" si="62"/>
        <v>0</v>
      </c>
      <c r="Z693">
        <f t="shared" si="63"/>
        <v>1</v>
      </c>
      <c r="AA693">
        <f t="shared" si="64"/>
        <v>0</v>
      </c>
      <c r="AB693">
        <f t="shared" si="65"/>
        <v>1</v>
      </c>
    </row>
    <row r="694" spans="6:28" x14ac:dyDescent="0.3">
      <c r="F694" s="28"/>
      <c r="G694">
        <v>686</v>
      </c>
      <c r="H694" s="109">
        <v>1187.2489527040671</v>
      </c>
      <c r="I694" s="370">
        <v>901561.96063483856</v>
      </c>
      <c r="J694">
        <v>0</v>
      </c>
      <c r="K694">
        <v>0</v>
      </c>
      <c r="L694">
        <v>0</v>
      </c>
      <c r="M694">
        <v>1</v>
      </c>
      <c r="N694" s="109">
        <v>759.37060932456461</v>
      </c>
      <c r="O694" s="109">
        <v>-4565557.41505358</v>
      </c>
      <c r="P694" s="365">
        <v>1</v>
      </c>
      <c r="Q694" s="365">
        <v>0</v>
      </c>
      <c r="R694" s="365">
        <v>0</v>
      </c>
      <c r="S694" s="365">
        <v>0</v>
      </c>
      <c r="T694" s="109">
        <v>-3845.492897386946</v>
      </c>
      <c r="V694" s="368">
        <f t="shared" si="60"/>
        <v>58460885.674568519</v>
      </c>
      <c r="W694" s="30">
        <f t="shared" si="61"/>
        <v>63928005.050256938</v>
      </c>
      <c r="X694" s="30"/>
      <c r="Y694">
        <f t="shared" si="62"/>
        <v>0</v>
      </c>
      <c r="Z694">
        <f t="shared" si="63"/>
        <v>1</v>
      </c>
      <c r="AA694">
        <f t="shared" si="64"/>
        <v>0</v>
      </c>
      <c r="AB694">
        <f t="shared" si="65"/>
        <v>1</v>
      </c>
    </row>
    <row r="695" spans="6:28" x14ac:dyDescent="0.3">
      <c r="F695" s="28"/>
      <c r="G695">
        <v>687</v>
      </c>
      <c r="H695" s="109">
        <v>1073.7278404902318</v>
      </c>
      <c r="I695" s="370">
        <v>780389.79421162873</v>
      </c>
      <c r="J695">
        <v>0</v>
      </c>
      <c r="K695">
        <v>0</v>
      </c>
      <c r="L695">
        <v>0</v>
      </c>
      <c r="M695">
        <v>1</v>
      </c>
      <c r="N695" s="109">
        <v>726.80409763364833</v>
      </c>
      <c r="O695" s="109">
        <v>-3656061.6744009471</v>
      </c>
      <c r="P695" s="365">
        <v>1</v>
      </c>
      <c r="Q695" s="365">
        <v>0</v>
      </c>
      <c r="R695" s="365">
        <v>0</v>
      </c>
      <c r="S695" s="365">
        <v>0</v>
      </c>
      <c r="T695" s="109">
        <v>-3405.0171156330448</v>
      </c>
      <c r="V695" s="368">
        <f t="shared" si="60"/>
        <v>52906002.230299965</v>
      </c>
      <c r="W695" s="30">
        <f t="shared" si="61"/>
        <v>57342453.698912539</v>
      </c>
      <c r="X695" s="30"/>
      <c r="Y695">
        <f t="shared" si="62"/>
        <v>0</v>
      </c>
      <c r="Z695">
        <f t="shared" si="63"/>
        <v>1</v>
      </c>
      <c r="AA695">
        <f t="shared" si="64"/>
        <v>0</v>
      </c>
      <c r="AB695">
        <f t="shared" si="65"/>
        <v>1</v>
      </c>
    </row>
    <row r="696" spans="6:28" x14ac:dyDescent="0.3">
      <c r="F696" s="28"/>
      <c r="G696">
        <v>688</v>
      </c>
      <c r="H696" s="109">
        <v>1101.8347949480449</v>
      </c>
      <c r="I696" s="370">
        <v>345418.49254673725</v>
      </c>
      <c r="J696">
        <v>0</v>
      </c>
      <c r="K696">
        <v>0</v>
      </c>
      <c r="L696">
        <v>0</v>
      </c>
      <c r="M696">
        <v>1</v>
      </c>
      <c r="N696" s="109">
        <v>313.49390501234342</v>
      </c>
      <c r="O696" s="109">
        <v>-4245975.8211193392</v>
      </c>
      <c r="P696" s="365">
        <v>1</v>
      </c>
      <c r="Q696" s="365">
        <v>0</v>
      </c>
      <c r="R696" s="365">
        <v>0</v>
      </c>
      <c r="S696" s="365">
        <v>0</v>
      </c>
      <c r="T696" s="109">
        <v>-3853.550314972174</v>
      </c>
      <c r="V696" s="368">
        <f t="shared" si="60"/>
        <v>54746321.254855506</v>
      </c>
      <c r="W696" s="30">
        <f t="shared" si="61"/>
        <v>59337715.568521582</v>
      </c>
      <c r="X696" s="30"/>
      <c r="Y696">
        <f t="shared" si="62"/>
        <v>0</v>
      </c>
      <c r="Z696">
        <f t="shared" si="63"/>
        <v>1</v>
      </c>
      <c r="AA696">
        <f t="shared" si="64"/>
        <v>0</v>
      </c>
      <c r="AB696">
        <f t="shared" si="65"/>
        <v>1</v>
      </c>
    </row>
    <row r="697" spans="6:28" x14ac:dyDescent="0.3">
      <c r="F697" s="28"/>
      <c r="G697">
        <v>689</v>
      </c>
      <c r="H697" s="109">
        <v>1022.9709597589972</v>
      </c>
      <c r="I697" s="370">
        <v>1124412.0174738201</v>
      </c>
      <c r="J697">
        <v>0</v>
      </c>
      <c r="K697">
        <v>0</v>
      </c>
      <c r="L697">
        <v>0</v>
      </c>
      <c r="M697">
        <v>1</v>
      </c>
      <c r="N697" s="109">
        <v>1099.1631842009685</v>
      </c>
      <c r="O697" s="109">
        <v>-2593438.0186134703</v>
      </c>
      <c r="P697" s="365">
        <v>1</v>
      </c>
      <c r="Q697" s="365">
        <v>0</v>
      </c>
      <c r="R697" s="365">
        <v>0</v>
      </c>
      <c r="S697" s="365">
        <v>0</v>
      </c>
      <c r="T697" s="109">
        <v>-2535.2019955918017</v>
      </c>
      <c r="V697" s="368">
        <f t="shared" si="60"/>
        <v>50024135.970476046</v>
      </c>
      <c r="W697" s="30">
        <f t="shared" si="61"/>
        <v>53741986.006563336</v>
      </c>
      <c r="X697" s="30"/>
      <c r="Y697">
        <f t="shared" si="62"/>
        <v>0</v>
      </c>
      <c r="Z697">
        <f t="shared" si="63"/>
        <v>1</v>
      </c>
      <c r="AA697">
        <f t="shared" si="64"/>
        <v>0</v>
      </c>
      <c r="AB697">
        <f t="shared" si="65"/>
        <v>1</v>
      </c>
    </row>
    <row r="698" spans="6:28" x14ac:dyDescent="0.3">
      <c r="F698" s="28"/>
      <c r="G698">
        <v>690</v>
      </c>
      <c r="H698" s="109">
        <v>1222.9235926900583</v>
      </c>
      <c r="I698" s="370">
        <v>835598.91172897047</v>
      </c>
      <c r="J698">
        <v>0</v>
      </c>
      <c r="K698">
        <v>0</v>
      </c>
      <c r="L698">
        <v>0</v>
      </c>
      <c r="M698">
        <v>1</v>
      </c>
      <c r="N698" s="109">
        <v>683.27973777242141</v>
      </c>
      <c r="O698" s="109">
        <v>-3786132.3406588007</v>
      </c>
      <c r="P698" s="365">
        <v>1</v>
      </c>
      <c r="Q698" s="365">
        <v>0</v>
      </c>
      <c r="R698" s="365">
        <v>0</v>
      </c>
      <c r="S698" s="365">
        <v>0</v>
      </c>
      <c r="T698" s="109">
        <v>-3095.9680255497124</v>
      </c>
      <c r="V698" s="368">
        <f t="shared" si="60"/>
        <v>60310580.722773947</v>
      </c>
      <c r="W698" s="30">
        <f t="shared" si="61"/>
        <v>64932311.975161716</v>
      </c>
      <c r="X698" s="30"/>
      <c r="Y698">
        <f t="shared" si="62"/>
        <v>0</v>
      </c>
      <c r="Z698">
        <f t="shared" si="63"/>
        <v>1</v>
      </c>
      <c r="AA698">
        <f t="shared" si="64"/>
        <v>0</v>
      </c>
      <c r="AB698">
        <f t="shared" si="65"/>
        <v>1</v>
      </c>
    </row>
    <row r="699" spans="6:28" x14ac:dyDescent="0.3">
      <c r="F699" s="28"/>
      <c r="G699">
        <v>691</v>
      </c>
      <c r="H699" s="109">
        <v>1340.3552462532534</v>
      </c>
      <c r="I699" s="370">
        <v>1205865.9605305071</v>
      </c>
      <c r="J699">
        <v>0</v>
      </c>
      <c r="K699">
        <v>0</v>
      </c>
      <c r="L699">
        <v>0</v>
      </c>
      <c r="M699">
        <v>1</v>
      </c>
      <c r="N699" s="109">
        <v>899.66146206485973</v>
      </c>
      <c r="O699" s="109">
        <v>-3843562.0563992881</v>
      </c>
      <c r="P699" s="365">
        <v>1</v>
      </c>
      <c r="Q699" s="365">
        <v>0</v>
      </c>
      <c r="R699" s="365">
        <v>0</v>
      </c>
      <c r="S699" s="365">
        <v>0</v>
      </c>
      <c r="T699" s="109">
        <v>-2867.5696738930556</v>
      </c>
      <c r="V699" s="368">
        <f t="shared" si="60"/>
        <v>65811896.352132164</v>
      </c>
      <c r="W699" s="30">
        <f t="shared" si="61"/>
        <v>70861324.369061962</v>
      </c>
      <c r="X699" s="30"/>
      <c r="Y699">
        <f t="shared" si="62"/>
        <v>0</v>
      </c>
      <c r="Z699">
        <f t="shared" si="63"/>
        <v>1</v>
      </c>
      <c r="AA699">
        <f t="shared" si="64"/>
        <v>0</v>
      </c>
      <c r="AB699">
        <f t="shared" si="65"/>
        <v>1</v>
      </c>
    </row>
    <row r="700" spans="6:28" x14ac:dyDescent="0.3">
      <c r="F700" s="28"/>
      <c r="G700">
        <v>692</v>
      </c>
      <c r="H700" s="109">
        <v>1079.7193554679616</v>
      </c>
      <c r="I700" s="370">
        <v>1747497.7633261124</v>
      </c>
      <c r="J700">
        <v>0</v>
      </c>
      <c r="K700">
        <v>0</v>
      </c>
      <c r="L700">
        <v>0</v>
      </c>
      <c r="M700">
        <v>1</v>
      </c>
      <c r="N700" s="109">
        <v>1618.474054833192</v>
      </c>
      <c r="O700" s="109">
        <v>-3033022.4031035914</v>
      </c>
      <c r="P700" s="365">
        <v>1</v>
      </c>
      <c r="Q700" s="365">
        <v>0</v>
      </c>
      <c r="R700" s="365">
        <v>0</v>
      </c>
      <c r="S700" s="365">
        <v>0</v>
      </c>
      <c r="T700" s="109">
        <v>-2809.0840344239714</v>
      </c>
      <c r="V700" s="368">
        <f t="shared" si="60"/>
        <v>52238470.010071963</v>
      </c>
      <c r="W700" s="30">
        <f t="shared" si="61"/>
        <v>57018990.176501669</v>
      </c>
      <c r="X700" s="30"/>
      <c r="Y700">
        <f t="shared" si="62"/>
        <v>0</v>
      </c>
      <c r="Z700">
        <f t="shared" si="63"/>
        <v>1</v>
      </c>
      <c r="AA700">
        <f t="shared" si="64"/>
        <v>0</v>
      </c>
      <c r="AB700">
        <f t="shared" si="65"/>
        <v>1</v>
      </c>
    </row>
    <row r="701" spans="6:28" x14ac:dyDescent="0.3">
      <c r="F701" s="28"/>
      <c r="G701">
        <v>693</v>
      </c>
      <c r="H701" s="109">
        <v>970.23754346806527</v>
      </c>
      <c r="I701" s="370">
        <v>1034085.8448034329</v>
      </c>
      <c r="J701">
        <v>0</v>
      </c>
      <c r="K701">
        <v>0</v>
      </c>
      <c r="L701">
        <v>0</v>
      </c>
      <c r="M701">
        <v>1</v>
      </c>
      <c r="N701" s="109">
        <v>1065.8068756102193</v>
      </c>
      <c r="O701" s="109">
        <v>-2606748.976870914</v>
      </c>
      <c r="P701" s="365">
        <v>1</v>
      </c>
      <c r="Q701" s="365">
        <v>0</v>
      </c>
      <c r="R701" s="365">
        <v>0</v>
      </c>
      <c r="S701" s="365">
        <v>0</v>
      </c>
      <c r="T701" s="109">
        <v>-2686.712129849378</v>
      </c>
      <c r="V701" s="368">
        <f t="shared" si="60"/>
        <v>47477791.328599833</v>
      </c>
      <c r="W701" s="30">
        <f t="shared" si="61"/>
        <v>51118626.15027418</v>
      </c>
      <c r="X701" s="30"/>
      <c r="Y701">
        <f t="shared" si="62"/>
        <v>0</v>
      </c>
      <c r="Z701">
        <f t="shared" si="63"/>
        <v>1</v>
      </c>
      <c r="AA701">
        <f t="shared" si="64"/>
        <v>0</v>
      </c>
      <c r="AB701">
        <f t="shared" si="65"/>
        <v>1</v>
      </c>
    </row>
    <row r="702" spans="6:28" x14ac:dyDescent="0.3">
      <c r="F702" s="28"/>
      <c r="G702">
        <v>694</v>
      </c>
      <c r="H702" s="109">
        <v>1105.5647209905146</v>
      </c>
      <c r="I702" s="370">
        <v>1092981.2202651135</v>
      </c>
      <c r="J702">
        <v>0</v>
      </c>
      <c r="K702">
        <v>0</v>
      </c>
      <c r="L702">
        <v>0</v>
      </c>
      <c r="M702">
        <v>1</v>
      </c>
      <c r="N702" s="109">
        <v>988.61803340275992</v>
      </c>
      <c r="O702" s="109">
        <v>-3479142.9342478369</v>
      </c>
      <c r="P702" s="365">
        <v>1</v>
      </c>
      <c r="Q702" s="365">
        <v>0</v>
      </c>
      <c r="R702" s="365">
        <v>0</v>
      </c>
      <c r="S702" s="365">
        <v>0</v>
      </c>
      <c r="T702" s="109">
        <v>-3146.9373689228701</v>
      </c>
      <c r="V702" s="368">
        <f t="shared" si="60"/>
        <v>54185254.829260617</v>
      </c>
      <c r="W702" s="30">
        <f t="shared" si="61"/>
        <v>58757378.983773567</v>
      </c>
      <c r="X702" s="30"/>
      <c r="Y702">
        <f t="shared" si="62"/>
        <v>0</v>
      </c>
      <c r="Z702">
        <f t="shared" si="63"/>
        <v>1</v>
      </c>
      <c r="AA702">
        <f t="shared" si="64"/>
        <v>0</v>
      </c>
      <c r="AB702">
        <f t="shared" si="65"/>
        <v>1</v>
      </c>
    </row>
    <row r="703" spans="6:28" x14ac:dyDescent="0.3">
      <c r="F703" s="28"/>
      <c r="G703">
        <v>695</v>
      </c>
      <c r="H703" s="109">
        <v>1209.8795529123017</v>
      </c>
      <c r="I703" s="370">
        <v>1699785.083521523</v>
      </c>
      <c r="J703">
        <v>0</v>
      </c>
      <c r="K703">
        <v>0</v>
      </c>
      <c r="L703">
        <v>0</v>
      </c>
      <c r="M703">
        <v>1</v>
      </c>
      <c r="N703" s="109">
        <v>1404.920910870813</v>
      </c>
      <c r="O703" s="109">
        <v>-2664731.8788893693</v>
      </c>
      <c r="P703" s="365">
        <v>1</v>
      </c>
      <c r="Q703" s="365">
        <v>0</v>
      </c>
      <c r="R703" s="365">
        <v>0</v>
      </c>
      <c r="S703" s="365">
        <v>0</v>
      </c>
      <c r="T703" s="109">
        <v>-2202.4769924205198</v>
      </c>
      <c r="V703" s="368">
        <f t="shared" si="60"/>
        <v>58794192.562093563</v>
      </c>
      <c r="W703" s="30">
        <f t="shared" si="61"/>
        <v>63158709.524504453</v>
      </c>
      <c r="X703" s="30"/>
      <c r="Y703">
        <f t="shared" si="62"/>
        <v>0</v>
      </c>
      <c r="Z703">
        <f t="shared" si="63"/>
        <v>1</v>
      </c>
      <c r="AA703">
        <f t="shared" si="64"/>
        <v>0</v>
      </c>
      <c r="AB703">
        <f t="shared" si="65"/>
        <v>1</v>
      </c>
    </row>
    <row r="704" spans="6:28" x14ac:dyDescent="0.3">
      <c r="F704" s="28"/>
      <c r="G704">
        <v>696</v>
      </c>
      <c r="H704" s="109">
        <v>1210.1228688166739</v>
      </c>
      <c r="I704" s="370">
        <v>929146.25018851121</v>
      </c>
      <c r="J704">
        <v>0</v>
      </c>
      <c r="K704">
        <v>0</v>
      </c>
      <c r="L704">
        <v>0</v>
      </c>
      <c r="M704">
        <v>1</v>
      </c>
      <c r="N704" s="109">
        <v>767.81149594923579</v>
      </c>
      <c r="O704" s="109">
        <v>-3494864.5175529034</v>
      </c>
      <c r="P704" s="365">
        <v>1</v>
      </c>
      <c r="Q704" s="365">
        <v>0</v>
      </c>
      <c r="R704" s="365">
        <v>0</v>
      </c>
      <c r="S704" s="365">
        <v>0</v>
      </c>
      <c r="T704" s="109">
        <v>-2888.0245201632943</v>
      </c>
      <c r="V704" s="368">
        <f t="shared" si="60"/>
        <v>59576997.190645181</v>
      </c>
      <c r="W704" s="30">
        <f t="shared" si="61"/>
        <v>64001007.9583866</v>
      </c>
      <c r="X704" s="30"/>
      <c r="Y704">
        <f t="shared" si="62"/>
        <v>0</v>
      </c>
      <c r="Z704">
        <f t="shared" si="63"/>
        <v>1</v>
      </c>
      <c r="AA704">
        <f t="shared" si="64"/>
        <v>0</v>
      </c>
      <c r="AB704">
        <f t="shared" si="65"/>
        <v>1</v>
      </c>
    </row>
    <row r="705" spans="6:28" x14ac:dyDescent="0.3">
      <c r="F705" s="28"/>
      <c r="G705">
        <v>697</v>
      </c>
      <c r="H705" s="109">
        <v>1183.0260970851377</v>
      </c>
      <c r="I705" s="370">
        <v>1929747.4243969335</v>
      </c>
      <c r="J705">
        <v>0</v>
      </c>
      <c r="K705">
        <v>0</v>
      </c>
      <c r="L705">
        <v>0</v>
      </c>
      <c r="M705">
        <v>1</v>
      </c>
      <c r="N705" s="109">
        <v>1631.195988957171</v>
      </c>
      <c r="O705" s="109">
        <v>-2484966.5715366737</v>
      </c>
      <c r="P705" s="365">
        <v>1</v>
      </c>
      <c r="Q705" s="365">
        <v>0</v>
      </c>
      <c r="R705" s="365">
        <v>0</v>
      </c>
      <c r="S705" s="365">
        <v>0</v>
      </c>
      <c r="T705" s="109">
        <v>-2100.5171210165117</v>
      </c>
      <c r="V705" s="368">
        <f t="shared" si="60"/>
        <v>57221557.429859951</v>
      </c>
      <c r="W705" s="30">
        <f t="shared" si="61"/>
        <v>61636271.425793558</v>
      </c>
      <c r="X705" s="30"/>
      <c r="Y705">
        <f t="shared" si="62"/>
        <v>0</v>
      </c>
      <c r="Z705">
        <f t="shared" si="63"/>
        <v>1</v>
      </c>
      <c r="AA705">
        <f t="shared" si="64"/>
        <v>0</v>
      </c>
      <c r="AB705">
        <f t="shared" si="65"/>
        <v>1</v>
      </c>
    </row>
    <row r="706" spans="6:28" x14ac:dyDescent="0.3">
      <c r="F706" s="28"/>
      <c r="G706">
        <v>698</v>
      </c>
      <c r="H706" s="109">
        <v>1226.4798082182606</v>
      </c>
      <c r="I706" s="370">
        <v>1249646.6109094922</v>
      </c>
      <c r="J706">
        <v>0</v>
      </c>
      <c r="K706">
        <v>0</v>
      </c>
      <c r="L706">
        <v>0</v>
      </c>
      <c r="M706">
        <v>1</v>
      </c>
      <c r="N706" s="109">
        <v>1018.8888577993687</v>
      </c>
      <c r="O706" s="109">
        <v>-3613162.7009101487</v>
      </c>
      <c r="P706" s="365">
        <v>1</v>
      </c>
      <c r="Q706" s="365">
        <v>0</v>
      </c>
      <c r="R706" s="365">
        <v>0</v>
      </c>
      <c r="S706" s="365">
        <v>0</v>
      </c>
      <c r="T706" s="109">
        <v>-2945.961830516464</v>
      </c>
      <c r="V706" s="368">
        <f t="shared" si="60"/>
        <v>60074343.800003536</v>
      </c>
      <c r="W706" s="30">
        <f t="shared" si="61"/>
        <v>64937153.111823179</v>
      </c>
      <c r="X706" s="30"/>
      <c r="Y706">
        <f t="shared" si="62"/>
        <v>0</v>
      </c>
      <c r="Z706">
        <f t="shared" si="63"/>
        <v>1</v>
      </c>
      <c r="AA706">
        <f t="shared" si="64"/>
        <v>0</v>
      </c>
      <c r="AB706">
        <f t="shared" si="65"/>
        <v>1</v>
      </c>
    </row>
    <row r="707" spans="6:28" x14ac:dyDescent="0.3">
      <c r="F707" s="28"/>
      <c r="G707">
        <v>699</v>
      </c>
      <c r="H707" s="109">
        <v>909.34520487462578</v>
      </c>
      <c r="I707" s="370">
        <v>2004804.0595391188</v>
      </c>
      <c r="J707">
        <v>0</v>
      </c>
      <c r="K707">
        <v>0</v>
      </c>
      <c r="L707">
        <v>0</v>
      </c>
      <c r="M707">
        <v>1</v>
      </c>
      <c r="N707" s="109">
        <v>2204.66776400446</v>
      </c>
      <c r="O707" s="109">
        <v>-1797313.0428700442</v>
      </c>
      <c r="P707" s="365">
        <v>1</v>
      </c>
      <c r="Q707" s="365">
        <v>0</v>
      </c>
      <c r="R707" s="365">
        <v>0</v>
      </c>
      <c r="S707" s="365">
        <v>0</v>
      </c>
      <c r="T707" s="109">
        <v>-1976.4914723642771</v>
      </c>
      <c r="V707" s="368">
        <f t="shared" si="60"/>
        <v>43462456.184192173</v>
      </c>
      <c r="W707" s="30">
        <f t="shared" si="61"/>
        <v>47264573.286601335</v>
      </c>
      <c r="X707" s="30"/>
      <c r="Y707">
        <f t="shared" si="62"/>
        <v>0</v>
      </c>
      <c r="Z707">
        <f t="shared" si="63"/>
        <v>1</v>
      </c>
      <c r="AA707">
        <f t="shared" si="64"/>
        <v>0</v>
      </c>
      <c r="AB707">
        <f t="shared" si="65"/>
        <v>1</v>
      </c>
    </row>
    <row r="708" spans="6:28" x14ac:dyDescent="0.3">
      <c r="F708" s="28"/>
      <c r="G708">
        <v>700</v>
      </c>
      <c r="H708" s="109">
        <v>1091.9612622295244</v>
      </c>
      <c r="I708" s="370">
        <v>1565937.53553697</v>
      </c>
      <c r="J708">
        <v>0</v>
      </c>
      <c r="K708">
        <v>0</v>
      </c>
      <c r="L708">
        <v>0</v>
      </c>
      <c r="M708">
        <v>1</v>
      </c>
      <c r="N708" s="109">
        <v>1434.0596042204822</v>
      </c>
      <c r="O708" s="109">
        <v>-2768834.2445067884</v>
      </c>
      <c r="P708" s="365">
        <v>1</v>
      </c>
      <c r="Q708" s="365">
        <v>0</v>
      </c>
      <c r="R708" s="365">
        <v>0</v>
      </c>
      <c r="S708" s="365">
        <v>0</v>
      </c>
      <c r="T708" s="109">
        <v>-2535.652445081696</v>
      </c>
      <c r="V708" s="368">
        <f t="shared" si="60"/>
        <v>53032125.575939253</v>
      </c>
      <c r="W708" s="30">
        <f t="shared" si="61"/>
        <v>57366897.355983011</v>
      </c>
      <c r="X708" s="30"/>
      <c r="Y708">
        <f t="shared" si="62"/>
        <v>0</v>
      </c>
      <c r="Z708">
        <f t="shared" si="63"/>
        <v>1</v>
      </c>
      <c r="AA708">
        <f t="shared" si="64"/>
        <v>0</v>
      </c>
      <c r="AB708">
        <f t="shared" si="65"/>
        <v>1</v>
      </c>
    </row>
    <row r="709" spans="6:28" x14ac:dyDescent="0.3">
      <c r="F709" s="28"/>
      <c r="G709">
        <v>701</v>
      </c>
      <c r="H709" s="109">
        <v>1236.1629484966543</v>
      </c>
      <c r="I709" s="370">
        <v>1284570.3763432479</v>
      </c>
      <c r="J709">
        <v>0</v>
      </c>
      <c r="K709">
        <v>0</v>
      </c>
      <c r="L709">
        <v>0</v>
      </c>
      <c r="M709">
        <v>1</v>
      </c>
      <c r="N709" s="109">
        <v>1039.1594230400319</v>
      </c>
      <c r="O709" s="109">
        <v>-4090607.2249439652</v>
      </c>
      <c r="P709" s="365">
        <v>1</v>
      </c>
      <c r="Q709" s="365">
        <v>0</v>
      </c>
      <c r="R709" s="365">
        <v>0</v>
      </c>
      <c r="S709" s="365">
        <v>0</v>
      </c>
      <c r="T709" s="109">
        <v>-3309.1165124457998</v>
      </c>
      <c r="V709" s="368">
        <f t="shared" si="60"/>
        <v>60523577.048489466</v>
      </c>
      <c r="W709" s="30">
        <f t="shared" si="61"/>
        <v>65898754.649776682</v>
      </c>
      <c r="X709" s="30"/>
      <c r="Y709">
        <f t="shared" si="62"/>
        <v>0</v>
      </c>
      <c r="Z709">
        <f t="shared" si="63"/>
        <v>1</v>
      </c>
      <c r="AA709">
        <f t="shared" si="64"/>
        <v>0</v>
      </c>
      <c r="AB709">
        <f t="shared" si="65"/>
        <v>1</v>
      </c>
    </row>
    <row r="710" spans="6:28" x14ac:dyDescent="0.3">
      <c r="F710" s="28"/>
      <c r="G710">
        <v>702</v>
      </c>
      <c r="H710" s="109">
        <v>1044.2456568351336</v>
      </c>
      <c r="I710" s="370">
        <v>2272006.9880038002</v>
      </c>
      <c r="J710">
        <v>0</v>
      </c>
      <c r="K710">
        <v>0</v>
      </c>
      <c r="L710">
        <v>0</v>
      </c>
      <c r="M710">
        <v>1</v>
      </c>
      <c r="N710" s="109">
        <v>2175.7399450333619</v>
      </c>
      <c r="O710" s="109">
        <v>-1540266.2099743818</v>
      </c>
      <c r="P710" s="365">
        <v>1</v>
      </c>
      <c r="Q710" s="365">
        <v>0</v>
      </c>
      <c r="R710" s="365">
        <v>0</v>
      </c>
      <c r="S710" s="365">
        <v>0</v>
      </c>
      <c r="T710" s="109">
        <v>-1475.0037023305144</v>
      </c>
      <c r="V710" s="368">
        <f t="shared" si="60"/>
        <v>49940275.853752881</v>
      </c>
      <c r="W710" s="30">
        <f t="shared" si="61"/>
        <v>53752549.051731057</v>
      </c>
      <c r="X710" s="30"/>
      <c r="Y710">
        <f t="shared" si="62"/>
        <v>0</v>
      </c>
      <c r="Z710">
        <f t="shared" si="63"/>
        <v>1</v>
      </c>
      <c r="AA710">
        <f t="shared" si="64"/>
        <v>0</v>
      </c>
      <c r="AB710">
        <f t="shared" si="65"/>
        <v>1</v>
      </c>
    </row>
    <row r="711" spans="6:28" x14ac:dyDescent="0.3">
      <c r="F711" s="28"/>
      <c r="G711">
        <v>703</v>
      </c>
      <c r="H711" s="109">
        <v>1109.6022285017316</v>
      </c>
      <c r="I711" s="370">
        <v>860982.6185183957</v>
      </c>
      <c r="J711">
        <v>0</v>
      </c>
      <c r="K711">
        <v>0</v>
      </c>
      <c r="L711">
        <v>0</v>
      </c>
      <c r="M711">
        <v>1</v>
      </c>
      <c r="N711" s="109">
        <v>775.9380761887611</v>
      </c>
      <c r="O711" s="109">
        <v>-4093536.510037608</v>
      </c>
      <c r="P711" s="365">
        <v>1</v>
      </c>
      <c r="Q711" s="365">
        <v>0</v>
      </c>
      <c r="R711" s="365">
        <v>0</v>
      </c>
      <c r="S711" s="365">
        <v>0</v>
      </c>
      <c r="T711" s="109">
        <v>-3689.1927619548933</v>
      </c>
      <c r="V711" s="368">
        <f t="shared" si="60"/>
        <v>54619128.806568183</v>
      </c>
      <c r="W711" s="30">
        <f t="shared" si="61"/>
        <v>59573647.935124189</v>
      </c>
      <c r="X711" s="30"/>
      <c r="Y711">
        <f t="shared" si="62"/>
        <v>0</v>
      </c>
      <c r="Z711">
        <f t="shared" si="63"/>
        <v>1</v>
      </c>
      <c r="AA711">
        <f t="shared" si="64"/>
        <v>0</v>
      </c>
      <c r="AB711">
        <f t="shared" si="65"/>
        <v>1</v>
      </c>
    </row>
    <row r="712" spans="6:28" x14ac:dyDescent="0.3">
      <c r="F712" s="28"/>
      <c r="G712">
        <v>704</v>
      </c>
      <c r="H712" s="109">
        <v>1203.7182183338518</v>
      </c>
      <c r="I712" s="370">
        <v>1107787.8476673258</v>
      </c>
      <c r="J712">
        <v>0</v>
      </c>
      <c r="K712">
        <v>0</v>
      </c>
      <c r="L712">
        <v>0</v>
      </c>
      <c r="M712">
        <v>1</v>
      </c>
      <c r="N712" s="109">
        <v>920.30496074130224</v>
      </c>
      <c r="O712" s="109">
        <v>-3000175.8588642138</v>
      </c>
      <c r="P712" s="365">
        <v>1</v>
      </c>
      <c r="Q712" s="365">
        <v>0</v>
      </c>
      <c r="R712" s="365">
        <v>0</v>
      </c>
      <c r="S712" s="365">
        <v>0</v>
      </c>
      <c r="T712" s="109">
        <v>-2492.423736027657</v>
      </c>
      <c r="V712" s="368">
        <f t="shared" si="60"/>
        <v>59078123.069025263</v>
      </c>
      <c r="W712" s="30">
        <f t="shared" si="61"/>
        <v>63186086.775556803</v>
      </c>
      <c r="X712" s="30"/>
      <c r="Y712">
        <f t="shared" si="62"/>
        <v>0</v>
      </c>
      <c r="Z712">
        <f t="shared" si="63"/>
        <v>1</v>
      </c>
      <c r="AA712">
        <f t="shared" si="64"/>
        <v>0</v>
      </c>
      <c r="AB712">
        <f t="shared" si="65"/>
        <v>1</v>
      </c>
    </row>
    <row r="713" spans="6:28" x14ac:dyDescent="0.3">
      <c r="F713" s="28"/>
      <c r="G713">
        <v>705</v>
      </c>
      <c r="H713" s="109">
        <v>1402.4299975807153</v>
      </c>
      <c r="I713" s="370">
        <v>1916802.006361882</v>
      </c>
      <c r="J713">
        <v>0</v>
      </c>
      <c r="K713">
        <v>0</v>
      </c>
      <c r="L713">
        <v>0</v>
      </c>
      <c r="M713">
        <v>1</v>
      </c>
      <c r="N713" s="109">
        <v>1366.7719669919302</v>
      </c>
      <c r="O713" s="109">
        <v>-2566183.7657176312</v>
      </c>
      <c r="P713" s="365">
        <v>1</v>
      </c>
      <c r="Q713" s="365">
        <v>0</v>
      </c>
      <c r="R713" s="365">
        <v>0</v>
      </c>
      <c r="S713" s="365">
        <v>0</v>
      </c>
      <c r="T713" s="109">
        <v>-1829.8123757652563</v>
      </c>
      <c r="V713" s="368">
        <f t="shared" ref="V713:V776" si="66">H713*WTPinput-I713</f>
        <v>68204697.872673884</v>
      </c>
      <c r="W713" s="30">
        <f t="shared" ref="W713:W776" si="67">H713*WTPinput-O713</f>
        <v>72687683.644753397</v>
      </c>
      <c r="X713" s="30"/>
      <c r="Y713">
        <f t="shared" si="62"/>
        <v>0</v>
      </c>
      <c r="Z713">
        <f t="shared" si="63"/>
        <v>1</v>
      </c>
      <c r="AA713">
        <f t="shared" si="64"/>
        <v>0</v>
      </c>
      <c r="AB713">
        <f t="shared" si="65"/>
        <v>1</v>
      </c>
    </row>
    <row r="714" spans="6:28" x14ac:dyDescent="0.3">
      <c r="F714" s="28"/>
      <c r="G714">
        <v>706</v>
      </c>
      <c r="H714" s="109">
        <v>1157.0923538449497</v>
      </c>
      <c r="I714" s="370">
        <v>2590375.9410451008</v>
      </c>
      <c r="J714">
        <v>0</v>
      </c>
      <c r="K714">
        <v>0</v>
      </c>
      <c r="L714">
        <v>0</v>
      </c>
      <c r="M714">
        <v>1</v>
      </c>
      <c r="N714" s="109">
        <v>2238.6941996785599</v>
      </c>
      <c r="O714" s="109">
        <v>-1909097.4540403534</v>
      </c>
      <c r="P714" s="365">
        <v>1</v>
      </c>
      <c r="Q714" s="365">
        <v>0</v>
      </c>
      <c r="R714" s="365">
        <v>0</v>
      </c>
      <c r="S714" s="365">
        <v>0</v>
      </c>
      <c r="T714" s="109">
        <v>-1649.9093159647414</v>
      </c>
      <c r="V714" s="368">
        <f t="shared" si="66"/>
        <v>55264241.75120239</v>
      </c>
      <c r="W714" s="30">
        <f t="shared" si="67"/>
        <v>59763715.146287844</v>
      </c>
      <c r="X714" s="30"/>
      <c r="Y714">
        <f t="shared" ref="Y714:Y777" si="68">IF(V714&lt;0,1,0)</f>
        <v>0</v>
      </c>
      <c r="Z714">
        <f t="shared" ref="Z714:Z777" si="69">IF(V714&gt;0,1,0)</f>
        <v>1</v>
      </c>
      <c r="AA714">
        <f t="shared" ref="AA714:AA777" si="70">IF(W714&lt;0,1,0)</f>
        <v>0</v>
      </c>
      <c r="AB714">
        <f t="shared" ref="AB714:AB777" si="71">IF(W714&gt;0,1,0)</f>
        <v>1</v>
      </c>
    </row>
    <row r="715" spans="6:28" x14ac:dyDescent="0.3">
      <c r="F715" s="28"/>
      <c r="G715">
        <v>707</v>
      </c>
      <c r="H715" s="109">
        <v>1348.1547881672304</v>
      </c>
      <c r="I715" s="370">
        <v>623875.71592693753</v>
      </c>
      <c r="J715">
        <v>0</v>
      </c>
      <c r="K715">
        <v>0</v>
      </c>
      <c r="L715">
        <v>0</v>
      </c>
      <c r="M715">
        <v>1</v>
      </c>
      <c r="N715" s="109">
        <v>462.76267488177297</v>
      </c>
      <c r="O715" s="109">
        <v>-5310834.2913100114</v>
      </c>
      <c r="P715" s="365">
        <v>1</v>
      </c>
      <c r="Q715" s="365">
        <v>0</v>
      </c>
      <c r="R715" s="365">
        <v>0</v>
      </c>
      <c r="S715" s="365">
        <v>0</v>
      </c>
      <c r="T715" s="109">
        <v>-3939.3357038251565</v>
      </c>
      <c r="V715" s="368">
        <f t="shared" si="66"/>
        <v>66783863.692434587</v>
      </c>
      <c r="W715" s="30">
        <f t="shared" si="67"/>
        <v>72718573.699671537</v>
      </c>
      <c r="X715" s="30"/>
      <c r="Y715">
        <f t="shared" si="68"/>
        <v>0</v>
      </c>
      <c r="Z715">
        <f t="shared" si="69"/>
        <v>1</v>
      </c>
      <c r="AA715">
        <f t="shared" si="70"/>
        <v>0</v>
      </c>
      <c r="AB715">
        <f t="shared" si="71"/>
        <v>1</v>
      </c>
    </row>
    <row r="716" spans="6:28" x14ac:dyDescent="0.3">
      <c r="F716" s="28"/>
      <c r="G716">
        <v>708</v>
      </c>
      <c r="H716" s="109">
        <v>1071.0962591988937</v>
      </c>
      <c r="I716" s="370">
        <v>764781.75191653648</v>
      </c>
      <c r="J716">
        <v>0</v>
      </c>
      <c r="K716">
        <v>0</v>
      </c>
      <c r="L716">
        <v>0</v>
      </c>
      <c r="M716">
        <v>1</v>
      </c>
      <c r="N716" s="109">
        <v>714.01776016708402</v>
      </c>
      <c r="O716" s="109">
        <v>-3016915.3576140432</v>
      </c>
      <c r="P716" s="365">
        <v>1</v>
      </c>
      <c r="Q716" s="365">
        <v>0</v>
      </c>
      <c r="R716" s="365">
        <v>0</v>
      </c>
      <c r="S716" s="365">
        <v>0</v>
      </c>
      <c r="T716" s="109">
        <v>-2816.6612773631459</v>
      </c>
      <c r="V716" s="368">
        <f t="shared" si="66"/>
        <v>52790031.208028145</v>
      </c>
      <c r="W716" s="30">
        <f t="shared" si="67"/>
        <v>56571728.317558721</v>
      </c>
      <c r="X716" s="30"/>
      <c r="Y716">
        <f t="shared" si="68"/>
        <v>0</v>
      </c>
      <c r="Z716">
        <f t="shared" si="69"/>
        <v>1</v>
      </c>
      <c r="AA716">
        <f t="shared" si="70"/>
        <v>0</v>
      </c>
      <c r="AB716">
        <f t="shared" si="71"/>
        <v>1</v>
      </c>
    </row>
    <row r="717" spans="6:28" x14ac:dyDescent="0.3">
      <c r="F717" s="28"/>
      <c r="G717">
        <v>709</v>
      </c>
      <c r="H717" s="109">
        <v>1174.5605133683785</v>
      </c>
      <c r="I717" s="370">
        <v>583513.45519962767</v>
      </c>
      <c r="J717">
        <v>0</v>
      </c>
      <c r="K717">
        <v>0</v>
      </c>
      <c r="L717">
        <v>0</v>
      </c>
      <c r="M717">
        <v>1</v>
      </c>
      <c r="N717" s="109">
        <v>496.79301198900413</v>
      </c>
      <c r="O717" s="109">
        <v>-3688236.8334031333</v>
      </c>
      <c r="P717" s="365">
        <v>1</v>
      </c>
      <c r="Q717" s="365">
        <v>0</v>
      </c>
      <c r="R717" s="365">
        <v>0</v>
      </c>
      <c r="S717" s="365">
        <v>0</v>
      </c>
      <c r="T717" s="109">
        <v>-3140.0994596915998</v>
      </c>
      <c r="V717" s="368">
        <f t="shared" si="66"/>
        <v>58144512.213219292</v>
      </c>
      <c r="W717" s="30">
        <f t="shared" si="67"/>
        <v>62416262.501822054</v>
      </c>
      <c r="X717" s="30"/>
      <c r="Y717">
        <f t="shared" si="68"/>
        <v>0</v>
      </c>
      <c r="Z717">
        <f t="shared" si="69"/>
        <v>1</v>
      </c>
      <c r="AA717">
        <f t="shared" si="70"/>
        <v>0</v>
      </c>
      <c r="AB717">
        <f t="shared" si="71"/>
        <v>1</v>
      </c>
    </row>
    <row r="718" spans="6:28" x14ac:dyDescent="0.3">
      <c r="F718" s="28"/>
      <c r="G718">
        <v>710</v>
      </c>
      <c r="H718" s="109">
        <v>1112.2710442396638</v>
      </c>
      <c r="I718" s="370">
        <v>970629.8333191222</v>
      </c>
      <c r="J718">
        <v>0</v>
      </c>
      <c r="K718">
        <v>0</v>
      </c>
      <c r="L718">
        <v>0</v>
      </c>
      <c r="M718">
        <v>1</v>
      </c>
      <c r="N718" s="109">
        <v>872.6558498002023</v>
      </c>
      <c r="O718" s="109">
        <v>-3716921.4354446311</v>
      </c>
      <c r="P718" s="365">
        <v>1</v>
      </c>
      <c r="Q718" s="365">
        <v>0</v>
      </c>
      <c r="R718" s="365">
        <v>0</v>
      </c>
      <c r="S718" s="365">
        <v>0</v>
      </c>
      <c r="T718" s="109">
        <v>-3341.740715713298</v>
      </c>
      <c r="V718" s="368">
        <f t="shared" si="66"/>
        <v>54642922.378664069</v>
      </c>
      <c r="W718" s="30">
        <f t="shared" si="67"/>
        <v>59330473.64742782</v>
      </c>
      <c r="X718" s="30"/>
      <c r="Y718">
        <f t="shared" si="68"/>
        <v>0</v>
      </c>
      <c r="Z718">
        <f t="shared" si="69"/>
        <v>1</v>
      </c>
      <c r="AA718">
        <f t="shared" si="70"/>
        <v>0</v>
      </c>
      <c r="AB718">
        <f t="shared" si="71"/>
        <v>1</v>
      </c>
    </row>
    <row r="719" spans="6:28" x14ac:dyDescent="0.3">
      <c r="F719" s="28"/>
      <c r="G719">
        <v>711</v>
      </c>
      <c r="H719" s="109">
        <v>1150.5183841523831</v>
      </c>
      <c r="I719" s="370">
        <v>356168.38484180137</v>
      </c>
      <c r="J719">
        <v>0</v>
      </c>
      <c r="K719">
        <v>0</v>
      </c>
      <c r="L719">
        <v>0</v>
      </c>
      <c r="M719">
        <v>1</v>
      </c>
      <c r="N719" s="109">
        <v>309.57209354303359</v>
      </c>
      <c r="O719" s="109">
        <v>-3859997.0053681154</v>
      </c>
      <c r="P719" s="365">
        <v>1</v>
      </c>
      <c r="Q719" s="365">
        <v>0</v>
      </c>
      <c r="R719" s="365">
        <v>0</v>
      </c>
      <c r="S719" s="365">
        <v>0</v>
      </c>
      <c r="T719" s="109">
        <v>-3355.0068026178269</v>
      </c>
      <c r="V719" s="368">
        <f t="shared" si="66"/>
        <v>57169750.822777353</v>
      </c>
      <c r="W719" s="30">
        <f t="shared" si="67"/>
        <v>61385916.212987266</v>
      </c>
      <c r="X719" s="30"/>
      <c r="Y719">
        <f t="shared" si="68"/>
        <v>0</v>
      </c>
      <c r="Z719">
        <f t="shared" si="69"/>
        <v>1</v>
      </c>
      <c r="AA719">
        <f t="shared" si="70"/>
        <v>0</v>
      </c>
      <c r="AB719">
        <f t="shared" si="71"/>
        <v>1</v>
      </c>
    </row>
    <row r="720" spans="6:28" x14ac:dyDescent="0.3">
      <c r="F720" s="28"/>
      <c r="G720">
        <v>712</v>
      </c>
      <c r="H720" s="109">
        <v>1163.4872641616603</v>
      </c>
      <c r="I720" s="370">
        <v>1016664.2536073446</v>
      </c>
      <c r="J720">
        <v>0</v>
      </c>
      <c r="K720">
        <v>0</v>
      </c>
      <c r="L720">
        <v>0</v>
      </c>
      <c r="M720">
        <v>1</v>
      </c>
      <c r="N720" s="109">
        <v>873.80780600111882</v>
      </c>
      <c r="O720" s="109">
        <v>-3340197.7169803167</v>
      </c>
      <c r="P720" s="365">
        <v>1</v>
      </c>
      <c r="Q720" s="365">
        <v>0</v>
      </c>
      <c r="R720" s="365">
        <v>0</v>
      </c>
      <c r="S720" s="365">
        <v>0</v>
      </c>
      <c r="T720" s="109">
        <v>-2870.8502618522984</v>
      </c>
      <c r="V720" s="368">
        <f t="shared" si="66"/>
        <v>57157698.954475664</v>
      </c>
      <c r="W720" s="30">
        <f t="shared" si="67"/>
        <v>61514560.925063327</v>
      </c>
      <c r="X720" s="30"/>
      <c r="Y720">
        <f t="shared" si="68"/>
        <v>0</v>
      </c>
      <c r="Z720">
        <f t="shared" si="69"/>
        <v>1</v>
      </c>
      <c r="AA720">
        <f t="shared" si="70"/>
        <v>0</v>
      </c>
      <c r="AB720">
        <f t="shared" si="71"/>
        <v>1</v>
      </c>
    </row>
    <row r="721" spans="6:28" x14ac:dyDescent="0.3">
      <c r="F721" s="28"/>
      <c r="G721">
        <v>713</v>
      </c>
      <c r="H721" s="109">
        <v>1130.6323800748141</v>
      </c>
      <c r="I721" s="370">
        <v>1662732.447738295</v>
      </c>
      <c r="J721">
        <v>0</v>
      </c>
      <c r="K721">
        <v>0</v>
      </c>
      <c r="L721">
        <v>0</v>
      </c>
      <c r="M721">
        <v>1</v>
      </c>
      <c r="N721" s="109">
        <v>1470.6216424018139</v>
      </c>
      <c r="O721" s="109">
        <v>-2806946.1131334687</v>
      </c>
      <c r="P721" s="365">
        <v>1</v>
      </c>
      <c r="Q721" s="365">
        <v>0</v>
      </c>
      <c r="R721" s="365">
        <v>0</v>
      </c>
      <c r="S721" s="365">
        <v>0</v>
      </c>
      <c r="T721" s="109">
        <v>-2482.6337566484099</v>
      </c>
      <c r="V721" s="368">
        <f t="shared" si="66"/>
        <v>54868886.556002408</v>
      </c>
      <c r="W721" s="30">
        <f t="shared" si="67"/>
        <v>59338565.116874173</v>
      </c>
      <c r="X721" s="30"/>
      <c r="Y721">
        <f t="shared" si="68"/>
        <v>0</v>
      </c>
      <c r="Z721">
        <f t="shared" si="69"/>
        <v>1</v>
      </c>
      <c r="AA721">
        <f t="shared" si="70"/>
        <v>0</v>
      </c>
      <c r="AB721">
        <f t="shared" si="71"/>
        <v>1</v>
      </c>
    </row>
    <row r="722" spans="6:28" x14ac:dyDescent="0.3">
      <c r="F722" s="28"/>
      <c r="G722">
        <v>714</v>
      </c>
      <c r="H722" s="109">
        <v>1197.1896432506546</v>
      </c>
      <c r="I722" s="370">
        <v>1174355.6960995418</v>
      </c>
      <c r="J722">
        <v>0</v>
      </c>
      <c r="K722">
        <v>0</v>
      </c>
      <c r="L722">
        <v>0</v>
      </c>
      <c r="M722">
        <v>1</v>
      </c>
      <c r="N722" s="109">
        <v>980.92704252843919</v>
      </c>
      <c r="O722" s="109">
        <v>-3494020.4748899112</v>
      </c>
      <c r="P722" s="365">
        <v>1</v>
      </c>
      <c r="Q722" s="365">
        <v>0</v>
      </c>
      <c r="R722" s="365">
        <v>0</v>
      </c>
      <c r="S722" s="365">
        <v>0</v>
      </c>
      <c r="T722" s="109">
        <v>-2918.5187949027145</v>
      </c>
      <c r="V722" s="368">
        <f t="shared" si="66"/>
        <v>58685126.46643319</v>
      </c>
      <c r="W722" s="30">
        <f t="shared" si="67"/>
        <v>63353502.637422644</v>
      </c>
      <c r="X722" s="30"/>
      <c r="Y722">
        <f t="shared" si="68"/>
        <v>0</v>
      </c>
      <c r="Z722">
        <f t="shared" si="69"/>
        <v>1</v>
      </c>
      <c r="AA722">
        <f t="shared" si="70"/>
        <v>0</v>
      </c>
      <c r="AB722">
        <f t="shared" si="71"/>
        <v>1</v>
      </c>
    </row>
    <row r="723" spans="6:28" x14ac:dyDescent="0.3">
      <c r="F723" s="28"/>
      <c r="G723">
        <v>715</v>
      </c>
      <c r="H723" s="109">
        <v>997.3653156556029</v>
      </c>
      <c r="I723" s="370">
        <v>578197.93399770313</v>
      </c>
      <c r="J723">
        <v>0</v>
      </c>
      <c r="K723">
        <v>0</v>
      </c>
      <c r="L723">
        <v>0</v>
      </c>
      <c r="M723">
        <v>1</v>
      </c>
      <c r="N723" s="109">
        <v>579.72532724143662</v>
      </c>
      <c r="O723" s="109">
        <v>-2770656.5704770861</v>
      </c>
      <c r="P723" s="365">
        <v>1</v>
      </c>
      <c r="Q723" s="365">
        <v>0</v>
      </c>
      <c r="R723" s="365">
        <v>0</v>
      </c>
      <c r="S723" s="365">
        <v>0</v>
      </c>
      <c r="T723" s="109">
        <v>-2777.9756594561713</v>
      </c>
      <c r="V723" s="368">
        <f t="shared" si="66"/>
        <v>49290067.848782443</v>
      </c>
      <c r="W723" s="30">
        <f t="shared" si="67"/>
        <v>52638922.353257231</v>
      </c>
      <c r="X723" s="30"/>
      <c r="Y723">
        <f t="shared" si="68"/>
        <v>0</v>
      </c>
      <c r="Z723">
        <f t="shared" si="69"/>
        <v>1</v>
      </c>
      <c r="AA723">
        <f t="shared" si="70"/>
        <v>0</v>
      </c>
      <c r="AB723">
        <f t="shared" si="71"/>
        <v>1</v>
      </c>
    </row>
    <row r="724" spans="6:28" x14ac:dyDescent="0.3">
      <c r="F724" s="28"/>
      <c r="G724">
        <v>716</v>
      </c>
      <c r="H724" s="109">
        <v>1111.0125735504844</v>
      </c>
      <c r="I724" s="370">
        <v>1762179.8849035129</v>
      </c>
      <c r="J724">
        <v>0</v>
      </c>
      <c r="K724">
        <v>0</v>
      </c>
      <c r="L724">
        <v>0</v>
      </c>
      <c r="M724">
        <v>1</v>
      </c>
      <c r="N724" s="109">
        <v>1586.1025580224359</v>
      </c>
      <c r="O724" s="109">
        <v>-2179695.2459670519</v>
      </c>
      <c r="P724" s="365">
        <v>1</v>
      </c>
      <c r="Q724" s="365">
        <v>0</v>
      </c>
      <c r="R724" s="365">
        <v>0</v>
      </c>
      <c r="S724" s="365">
        <v>0</v>
      </c>
      <c r="T724" s="109">
        <v>-1961.8997101008117</v>
      </c>
      <c r="V724" s="368">
        <f t="shared" si="66"/>
        <v>53788448.792620704</v>
      </c>
      <c r="W724" s="30">
        <f t="shared" si="67"/>
        <v>57730323.923491269</v>
      </c>
      <c r="X724" s="30"/>
      <c r="Y724">
        <f t="shared" si="68"/>
        <v>0</v>
      </c>
      <c r="Z724">
        <f t="shared" si="69"/>
        <v>1</v>
      </c>
      <c r="AA724">
        <f t="shared" si="70"/>
        <v>0</v>
      </c>
      <c r="AB724">
        <f t="shared" si="71"/>
        <v>1</v>
      </c>
    </row>
    <row r="725" spans="6:28" x14ac:dyDescent="0.3">
      <c r="F725" s="28"/>
      <c r="G725">
        <v>717</v>
      </c>
      <c r="H725" s="109">
        <v>1265.0603562342949</v>
      </c>
      <c r="I725" s="370">
        <v>1063197.1523826483</v>
      </c>
      <c r="J725">
        <v>0</v>
      </c>
      <c r="K725">
        <v>0</v>
      </c>
      <c r="L725">
        <v>0</v>
      </c>
      <c r="M725">
        <v>1</v>
      </c>
      <c r="N725" s="109">
        <v>840.43195816163848</v>
      </c>
      <c r="O725" s="109">
        <v>-4914399.2764795721</v>
      </c>
      <c r="P725" s="365">
        <v>1</v>
      </c>
      <c r="Q725" s="365">
        <v>0</v>
      </c>
      <c r="R725" s="365">
        <v>0</v>
      </c>
      <c r="S725" s="365">
        <v>0</v>
      </c>
      <c r="T725" s="109">
        <v>-3884.7152645809438</v>
      </c>
      <c r="V725" s="368">
        <f t="shared" si="66"/>
        <v>62189820.659332097</v>
      </c>
      <c r="W725" s="30">
        <f t="shared" si="67"/>
        <v>68167417.088194311</v>
      </c>
      <c r="X725" s="30"/>
      <c r="Y725">
        <f t="shared" si="68"/>
        <v>0</v>
      </c>
      <c r="Z725">
        <f t="shared" si="69"/>
        <v>1</v>
      </c>
      <c r="AA725">
        <f t="shared" si="70"/>
        <v>0</v>
      </c>
      <c r="AB725">
        <f t="shared" si="71"/>
        <v>1</v>
      </c>
    </row>
    <row r="726" spans="6:28" x14ac:dyDescent="0.3">
      <c r="F726" s="28"/>
      <c r="G726">
        <v>718</v>
      </c>
      <c r="H726" s="109">
        <v>988.09504818452115</v>
      </c>
      <c r="I726" s="370">
        <v>1129707.5740235387</v>
      </c>
      <c r="J726">
        <v>0</v>
      </c>
      <c r="K726">
        <v>0</v>
      </c>
      <c r="L726">
        <v>0</v>
      </c>
      <c r="M726">
        <v>1</v>
      </c>
      <c r="N726" s="109">
        <v>1143.3187283948134</v>
      </c>
      <c r="O726" s="109">
        <v>-2388708.2034996427</v>
      </c>
      <c r="P726" s="365">
        <v>1</v>
      </c>
      <c r="Q726" s="365">
        <v>0</v>
      </c>
      <c r="R726" s="365">
        <v>0</v>
      </c>
      <c r="S726" s="365">
        <v>0</v>
      </c>
      <c r="T726" s="109">
        <v>-2417.4882850476192</v>
      </c>
      <c r="V726" s="368">
        <f t="shared" si="66"/>
        <v>48275044.835202523</v>
      </c>
      <c r="W726" s="30">
        <f t="shared" si="67"/>
        <v>51793460.612725705</v>
      </c>
      <c r="X726" s="30"/>
      <c r="Y726">
        <f t="shared" si="68"/>
        <v>0</v>
      </c>
      <c r="Z726">
        <f t="shared" si="69"/>
        <v>1</v>
      </c>
      <c r="AA726">
        <f t="shared" si="70"/>
        <v>0</v>
      </c>
      <c r="AB726">
        <f t="shared" si="71"/>
        <v>1</v>
      </c>
    </row>
    <row r="727" spans="6:28" x14ac:dyDescent="0.3">
      <c r="F727" s="28"/>
      <c r="G727">
        <v>719</v>
      </c>
      <c r="H727" s="109">
        <v>1137.1864748591179</v>
      </c>
      <c r="I727" s="370">
        <v>898622.21202326159</v>
      </c>
      <c r="J727">
        <v>0</v>
      </c>
      <c r="K727">
        <v>0</v>
      </c>
      <c r="L727">
        <v>0</v>
      </c>
      <c r="M727">
        <v>1</v>
      </c>
      <c r="N727" s="109">
        <v>790.21535332152871</v>
      </c>
      <c r="O727" s="109">
        <v>-3952923.0298421979</v>
      </c>
      <c r="P727" s="365">
        <v>1</v>
      </c>
      <c r="Q727" s="365">
        <v>0</v>
      </c>
      <c r="R727" s="365">
        <v>0</v>
      </c>
      <c r="S727" s="365">
        <v>0</v>
      </c>
      <c r="T727" s="109">
        <v>-3476.0552620289577</v>
      </c>
      <c r="V727" s="368">
        <f t="shared" si="66"/>
        <v>55960701.530932635</v>
      </c>
      <c r="W727" s="30">
        <f t="shared" si="67"/>
        <v>60812246.772798091</v>
      </c>
      <c r="X727" s="30"/>
      <c r="Y727">
        <f t="shared" si="68"/>
        <v>0</v>
      </c>
      <c r="Z727">
        <f t="shared" si="69"/>
        <v>1</v>
      </c>
      <c r="AA727">
        <f t="shared" si="70"/>
        <v>0</v>
      </c>
      <c r="AB727">
        <f t="shared" si="71"/>
        <v>1</v>
      </c>
    </row>
    <row r="728" spans="6:28" x14ac:dyDescent="0.3">
      <c r="F728" s="28"/>
      <c r="G728">
        <v>720</v>
      </c>
      <c r="H728" s="109">
        <v>1236.0533711337266</v>
      </c>
      <c r="I728" s="370">
        <v>992319.19928349659</v>
      </c>
      <c r="J728">
        <v>0</v>
      </c>
      <c r="K728">
        <v>0</v>
      </c>
      <c r="L728">
        <v>0</v>
      </c>
      <c r="M728">
        <v>1</v>
      </c>
      <c r="N728" s="109">
        <v>802.81258273930894</v>
      </c>
      <c r="O728" s="109">
        <v>-3949906.4306567749</v>
      </c>
      <c r="P728" s="365">
        <v>1</v>
      </c>
      <c r="Q728" s="365">
        <v>0</v>
      </c>
      <c r="R728" s="365">
        <v>0</v>
      </c>
      <c r="S728" s="365">
        <v>0</v>
      </c>
      <c r="T728" s="109">
        <v>-3195.5791901071889</v>
      </c>
      <c r="V728" s="368">
        <f t="shared" si="66"/>
        <v>60810349.357402839</v>
      </c>
      <c r="W728" s="30">
        <f t="shared" si="67"/>
        <v>65752574.98734311</v>
      </c>
      <c r="X728" s="30"/>
      <c r="Y728">
        <f t="shared" si="68"/>
        <v>0</v>
      </c>
      <c r="Z728">
        <f t="shared" si="69"/>
        <v>1</v>
      </c>
      <c r="AA728">
        <f t="shared" si="70"/>
        <v>0</v>
      </c>
      <c r="AB728">
        <f t="shared" si="71"/>
        <v>1</v>
      </c>
    </row>
    <row r="729" spans="6:28" x14ac:dyDescent="0.3">
      <c r="F729" s="28"/>
      <c r="G729">
        <v>721</v>
      </c>
      <c r="H729" s="109">
        <v>991.94139191626164</v>
      </c>
      <c r="I729" s="370">
        <v>581947.5332753046</v>
      </c>
      <c r="J729">
        <v>0</v>
      </c>
      <c r="K729">
        <v>0</v>
      </c>
      <c r="L729">
        <v>0</v>
      </c>
      <c r="M729">
        <v>1</v>
      </c>
      <c r="N729" s="109">
        <v>586.6753197495683</v>
      </c>
      <c r="O729" s="109">
        <v>-3069622.6296574133</v>
      </c>
      <c r="P729" s="365">
        <v>1</v>
      </c>
      <c r="Q729" s="365">
        <v>0</v>
      </c>
      <c r="R729" s="365">
        <v>0</v>
      </c>
      <c r="S729" s="365">
        <v>0</v>
      </c>
      <c r="T729" s="109">
        <v>-3094.560479755186</v>
      </c>
      <c r="V729" s="368">
        <f t="shared" si="66"/>
        <v>49015122.062537774</v>
      </c>
      <c r="W729" s="30">
        <f t="shared" si="67"/>
        <v>52666692.225470491</v>
      </c>
      <c r="X729" s="30"/>
      <c r="Y729">
        <f t="shared" si="68"/>
        <v>0</v>
      </c>
      <c r="Z729">
        <f t="shared" si="69"/>
        <v>1</v>
      </c>
      <c r="AA729">
        <f t="shared" si="70"/>
        <v>0</v>
      </c>
      <c r="AB729">
        <f t="shared" si="71"/>
        <v>1</v>
      </c>
    </row>
    <row r="730" spans="6:28" x14ac:dyDescent="0.3">
      <c r="F730" s="28"/>
      <c r="G730">
        <v>722</v>
      </c>
      <c r="H730" s="109">
        <v>1081.0147118587556</v>
      </c>
      <c r="I730" s="370">
        <v>1747998.8775600654</v>
      </c>
      <c r="J730">
        <v>0</v>
      </c>
      <c r="K730">
        <v>0</v>
      </c>
      <c r="L730">
        <v>0</v>
      </c>
      <c r="M730">
        <v>1</v>
      </c>
      <c r="N730" s="109">
        <v>1616.998231739567</v>
      </c>
      <c r="O730" s="109">
        <v>-2725648.0829533031</v>
      </c>
      <c r="P730" s="365">
        <v>1</v>
      </c>
      <c r="Q730" s="365">
        <v>0</v>
      </c>
      <c r="R730" s="365">
        <v>0</v>
      </c>
      <c r="S730" s="365">
        <v>0</v>
      </c>
      <c r="T730" s="109">
        <v>-2521.3792680644237</v>
      </c>
      <c r="V730" s="368">
        <f t="shared" si="66"/>
        <v>52302736.715377718</v>
      </c>
      <c r="W730" s="30">
        <f t="shared" si="67"/>
        <v>56776383.675891086</v>
      </c>
      <c r="X730" s="30"/>
      <c r="Y730">
        <f t="shared" si="68"/>
        <v>0</v>
      </c>
      <c r="Z730">
        <f t="shared" si="69"/>
        <v>1</v>
      </c>
      <c r="AA730">
        <f t="shared" si="70"/>
        <v>0</v>
      </c>
      <c r="AB730">
        <f t="shared" si="71"/>
        <v>1</v>
      </c>
    </row>
    <row r="731" spans="6:28" x14ac:dyDescent="0.3">
      <c r="F731" s="28"/>
      <c r="G731">
        <v>723</v>
      </c>
      <c r="H731" s="109">
        <v>1033.0608778767928</v>
      </c>
      <c r="I731" s="370">
        <v>2026140.2894431031</v>
      </c>
      <c r="J731">
        <v>0</v>
      </c>
      <c r="K731">
        <v>0</v>
      </c>
      <c r="L731">
        <v>0</v>
      </c>
      <c r="M731">
        <v>1</v>
      </c>
      <c r="N731" s="109">
        <v>1961.2980539998237</v>
      </c>
      <c r="O731" s="109">
        <v>-1664598.0624058596</v>
      </c>
      <c r="P731" s="365">
        <v>1</v>
      </c>
      <c r="Q731" s="365">
        <v>0</v>
      </c>
      <c r="R731" s="365">
        <v>0</v>
      </c>
      <c r="S731" s="365">
        <v>0</v>
      </c>
      <c r="T731" s="109">
        <v>-1611.326203569957</v>
      </c>
      <c r="V731" s="368">
        <f t="shared" si="66"/>
        <v>49626903.604396537</v>
      </c>
      <c r="W731" s="30">
        <f t="shared" si="67"/>
        <v>53317641.956245504</v>
      </c>
      <c r="X731" s="30"/>
      <c r="Y731">
        <f t="shared" si="68"/>
        <v>0</v>
      </c>
      <c r="Z731">
        <f t="shared" si="69"/>
        <v>1</v>
      </c>
      <c r="AA731">
        <f t="shared" si="70"/>
        <v>0</v>
      </c>
      <c r="AB731">
        <f t="shared" si="71"/>
        <v>1</v>
      </c>
    </row>
    <row r="732" spans="6:28" x14ac:dyDescent="0.3">
      <c r="F732" s="28"/>
      <c r="G732">
        <v>724</v>
      </c>
      <c r="H732" s="109">
        <v>1013.6447912347649</v>
      </c>
      <c r="I732" s="370">
        <v>1287753.1913457317</v>
      </c>
      <c r="J732">
        <v>0</v>
      </c>
      <c r="K732">
        <v>0</v>
      </c>
      <c r="L732">
        <v>0</v>
      </c>
      <c r="M732">
        <v>1</v>
      </c>
      <c r="N732" s="109">
        <v>1270.4185948383986</v>
      </c>
      <c r="O732" s="109">
        <v>-3752742.2589543429</v>
      </c>
      <c r="P732" s="365">
        <v>1</v>
      </c>
      <c r="Q732" s="365">
        <v>0</v>
      </c>
      <c r="R732" s="365">
        <v>0</v>
      </c>
      <c r="S732" s="365">
        <v>0</v>
      </c>
      <c r="T732" s="109">
        <v>-3702.2261559524854</v>
      </c>
      <c r="V732" s="368">
        <f t="shared" si="66"/>
        <v>49394486.370392516</v>
      </c>
      <c r="W732" s="30">
        <f t="shared" si="67"/>
        <v>54434981.820692591</v>
      </c>
      <c r="X732" s="30"/>
      <c r="Y732">
        <f t="shared" si="68"/>
        <v>0</v>
      </c>
      <c r="Z732">
        <f t="shared" si="69"/>
        <v>1</v>
      </c>
      <c r="AA732">
        <f t="shared" si="70"/>
        <v>0</v>
      </c>
      <c r="AB732">
        <f t="shared" si="71"/>
        <v>1</v>
      </c>
    </row>
    <row r="733" spans="6:28" x14ac:dyDescent="0.3">
      <c r="F733" s="28"/>
      <c r="G733">
        <v>725</v>
      </c>
      <c r="H733" s="109">
        <v>1463.2926071497204</v>
      </c>
      <c r="I733" s="370">
        <v>903161.39081878576</v>
      </c>
      <c r="J733">
        <v>0</v>
      </c>
      <c r="K733">
        <v>0</v>
      </c>
      <c r="L733">
        <v>0</v>
      </c>
      <c r="M733">
        <v>1</v>
      </c>
      <c r="N733" s="109">
        <v>617.21174999852678</v>
      </c>
      <c r="O733" s="109">
        <v>-5023152.2230508486</v>
      </c>
      <c r="P733" s="365">
        <v>1</v>
      </c>
      <c r="Q733" s="365">
        <v>0</v>
      </c>
      <c r="R733" s="365">
        <v>0</v>
      </c>
      <c r="S733" s="365">
        <v>0</v>
      </c>
      <c r="T733" s="109">
        <v>-3432.773594636833</v>
      </c>
      <c r="V733" s="368">
        <f t="shared" si="66"/>
        <v>72261468.966667235</v>
      </c>
      <c r="W733" s="30">
        <f t="shared" si="67"/>
        <v>78187782.580536872</v>
      </c>
      <c r="X733" s="30"/>
      <c r="Y733">
        <f t="shared" si="68"/>
        <v>0</v>
      </c>
      <c r="Z733">
        <f t="shared" si="69"/>
        <v>1</v>
      </c>
      <c r="AA733">
        <f t="shared" si="70"/>
        <v>0</v>
      </c>
      <c r="AB733">
        <f t="shared" si="71"/>
        <v>1</v>
      </c>
    </row>
    <row r="734" spans="6:28" x14ac:dyDescent="0.3">
      <c r="F734" s="28"/>
      <c r="G734">
        <v>726</v>
      </c>
      <c r="H734" s="109">
        <v>1285.2246692246335</v>
      </c>
      <c r="I734" s="370">
        <v>1410249.2811882144</v>
      </c>
      <c r="J734">
        <v>0</v>
      </c>
      <c r="K734">
        <v>0</v>
      </c>
      <c r="L734">
        <v>0</v>
      </c>
      <c r="M734">
        <v>1</v>
      </c>
      <c r="N734" s="109">
        <v>1097.2784097266101</v>
      </c>
      <c r="O734" s="109">
        <v>-4116525.1480906727</v>
      </c>
      <c r="P734" s="365">
        <v>1</v>
      </c>
      <c r="Q734" s="365">
        <v>0</v>
      </c>
      <c r="R734" s="365">
        <v>0</v>
      </c>
      <c r="S734" s="365">
        <v>0</v>
      </c>
      <c r="T734" s="109">
        <v>-3202.9615106704587</v>
      </c>
      <c r="V734" s="368">
        <f t="shared" si="66"/>
        <v>62850984.180043466</v>
      </c>
      <c r="W734" s="30">
        <f t="shared" si="67"/>
        <v>68377758.609322354</v>
      </c>
      <c r="X734" s="30"/>
      <c r="Y734">
        <f t="shared" si="68"/>
        <v>0</v>
      </c>
      <c r="Z734">
        <f t="shared" si="69"/>
        <v>1</v>
      </c>
      <c r="AA734">
        <f t="shared" si="70"/>
        <v>0</v>
      </c>
      <c r="AB734">
        <f t="shared" si="71"/>
        <v>1</v>
      </c>
    </row>
    <row r="735" spans="6:28" x14ac:dyDescent="0.3">
      <c r="F735" s="28"/>
      <c r="G735">
        <v>727</v>
      </c>
      <c r="H735" s="109">
        <v>1147.9542613427257</v>
      </c>
      <c r="I735" s="370">
        <v>689148.85233704385</v>
      </c>
      <c r="J735">
        <v>0</v>
      </c>
      <c r="K735">
        <v>0</v>
      </c>
      <c r="L735">
        <v>0</v>
      </c>
      <c r="M735">
        <v>1</v>
      </c>
      <c r="N735" s="109">
        <v>600.32779662402947</v>
      </c>
      <c r="O735" s="109">
        <v>-4025327.810672448</v>
      </c>
      <c r="P735" s="365">
        <v>1</v>
      </c>
      <c r="Q735" s="365">
        <v>0</v>
      </c>
      <c r="R735" s="365">
        <v>0</v>
      </c>
      <c r="S735" s="365">
        <v>0</v>
      </c>
      <c r="T735" s="109">
        <v>-3506.5228173500136</v>
      </c>
      <c r="V735" s="368">
        <f t="shared" si="66"/>
        <v>56708564.214799233</v>
      </c>
      <c r="W735" s="30">
        <f t="shared" si="67"/>
        <v>61423040.877808727</v>
      </c>
      <c r="X735" s="30"/>
      <c r="Y735">
        <f t="shared" si="68"/>
        <v>0</v>
      </c>
      <c r="Z735">
        <f t="shared" si="69"/>
        <v>1</v>
      </c>
      <c r="AA735">
        <f t="shared" si="70"/>
        <v>0</v>
      </c>
      <c r="AB735">
        <f t="shared" si="71"/>
        <v>1</v>
      </c>
    </row>
    <row r="736" spans="6:28" x14ac:dyDescent="0.3">
      <c r="F736" s="28"/>
      <c r="G736">
        <v>728</v>
      </c>
      <c r="H736" s="109">
        <v>983.28100656626339</v>
      </c>
      <c r="I736" s="370">
        <v>752228.24034004705</v>
      </c>
      <c r="J736">
        <v>0</v>
      </c>
      <c r="K736">
        <v>0</v>
      </c>
      <c r="L736">
        <v>0</v>
      </c>
      <c r="M736">
        <v>1</v>
      </c>
      <c r="N736" s="109">
        <v>765.01858097200454</v>
      </c>
      <c r="O736" s="109">
        <v>-3380677.8270993084</v>
      </c>
      <c r="P736" s="365">
        <v>1</v>
      </c>
      <c r="Q736" s="365">
        <v>0</v>
      </c>
      <c r="R736" s="365">
        <v>0</v>
      </c>
      <c r="S736" s="365">
        <v>0</v>
      </c>
      <c r="T736" s="109">
        <v>-3438.1604083913362</v>
      </c>
      <c r="V736" s="368">
        <f t="shared" si="66"/>
        <v>48411822.087973125</v>
      </c>
      <c r="W736" s="30">
        <f t="shared" si="67"/>
        <v>52544728.15541248</v>
      </c>
      <c r="X736" s="30"/>
      <c r="Y736">
        <f t="shared" si="68"/>
        <v>0</v>
      </c>
      <c r="Z736">
        <f t="shared" si="69"/>
        <v>1</v>
      </c>
      <c r="AA736">
        <f t="shared" si="70"/>
        <v>0</v>
      </c>
      <c r="AB736">
        <f t="shared" si="71"/>
        <v>1</v>
      </c>
    </row>
    <row r="737" spans="6:28" x14ac:dyDescent="0.3">
      <c r="F737" s="28"/>
      <c r="G737">
        <v>729</v>
      </c>
      <c r="H737" s="109">
        <v>1183.8136578193371</v>
      </c>
      <c r="I737" s="370">
        <v>1295479.8599543187</v>
      </c>
      <c r="J737">
        <v>0</v>
      </c>
      <c r="K737">
        <v>0</v>
      </c>
      <c r="L737">
        <v>0</v>
      </c>
      <c r="M737">
        <v>1</v>
      </c>
      <c r="N737" s="109">
        <v>1094.327516326073</v>
      </c>
      <c r="O737" s="109">
        <v>-3440254.705326268</v>
      </c>
      <c r="P737" s="365">
        <v>1</v>
      </c>
      <c r="Q737" s="365">
        <v>0</v>
      </c>
      <c r="R737" s="365">
        <v>0</v>
      </c>
      <c r="S737" s="365">
        <v>0</v>
      </c>
      <c r="T737" s="109">
        <v>-2906.0778971442551</v>
      </c>
      <c r="V737" s="368">
        <f t="shared" si="66"/>
        <v>57895203.031012535</v>
      </c>
      <c r="W737" s="30">
        <f t="shared" si="67"/>
        <v>62630937.596293122</v>
      </c>
      <c r="X737" s="30"/>
      <c r="Y737">
        <f t="shared" si="68"/>
        <v>0</v>
      </c>
      <c r="Z737">
        <f t="shared" si="69"/>
        <v>1</v>
      </c>
      <c r="AA737">
        <f t="shared" si="70"/>
        <v>0</v>
      </c>
      <c r="AB737">
        <f t="shared" si="71"/>
        <v>1</v>
      </c>
    </row>
    <row r="738" spans="6:28" x14ac:dyDescent="0.3">
      <c r="F738" s="28"/>
      <c r="G738">
        <v>730</v>
      </c>
      <c r="H738" s="109">
        <v>1272.6296414215612</v>
      </c>
      <c r="I738" s="370">
        <v>1412951.7674738739</v>
      </c>
      <c r="J738">
        <v>0</v>
      </c>
      <c r="K738">
        <v>0</v>
      </c>
      <c r="L738">
        <v>0</v>
      </c>
      <c r="M738">
        <v>1</v>
      </c>
      <c r="N738" s="109">
        <v>1110.2615572395196</v>
      </c>
      <c r="O738" s="109">
        <v>-3467984.1817840692</v>
      </c>
      <c r="P738" s="365">
        <v>1</v>
      </c>
      <c r="Q738" s="365">
        <v>0</v>
      </c>
      <c r="R738" s="365">
        <v>0</v>
      </c>
      <c r="S738" s="365">
        <v>0</v>
      </c>
      <c r="T738" s="109">
        <v>-2725.0537539815891</v>
      </c>
      <c r="V738" s="368">
        <f t="shared" si="66"/>
        <v>62218530.303604186</v>
      </c>
      <c r="W738" s="30">
        <f t="shared" si="67"/>
        <v>67099466.252862133</v>
      </c>
      <c r="X738" s="30"/>
      <c r="Y738">
        <f t="shared" si="68"/>
        <v>0</v>
      </c>
      <c r="Z738">
        <f t="shared" si="69"/>
        <v>1</v>
      </c>
      <c r="AA738">
        <f t="shared" si="70"/>
        <v>0</v>
      </c>
      <c r="AB738">
        <f t="shared" si="71"/>
        <v>1</v>
      </c>
    </row>
    <row r="739" spans="6:28" x14ac:dyDescent="0.3">
      <c r="F739" s="28"/>
      <c r="G739">
        <v>731</v>
      </c>
      <c r="H739" s="109">
        <v>1302.4606018460836</v>
      </c>
      <c r="I739" s="370">
        <v>1282445.8171044281</v>
      </c>
      <c r="J739">
        <v>0</v>
      </c>
      <c r="K739">
        <v>0</v>
      </c>
      <c r="L739">
        <v>0</v>
      </c>
      <c r="M739">
        <v>1</v>
      </c>
      <c r="N739" s="109">
        <v>984.6330977587445</v>
      </c>
      <c r="O739" s="109">
        <v>-3857136.5647363435</v>
      </c>
      <c r="P739" s="365">
        <v>1</v>
      </c>
      <c r="Q739" s="365">
        <v>0</v>
      </c>
      <c r="R739" s="365">
        <v>0</v>
      </c>
      <c r="S739" s="365">
        <v>0</v>
      </c>
      <c r="T739" s="109">
        <v>-2961.4228324982032</v>
      </c>
      <c r="V739" s="368">
        <f t="shared" si="66"/>
        <v>63840584.275199749</v>
      </c>
      <c r="W739" s="30">
        <f t="shared" si="67"/>
        <v>68980166.657040522</v>
      </c>
      <c r="X739" s="30"/>
      <c r="Y739">
        <f t="shared" si="68"/>
        <v>0</v>
      </c>
      <c r="Z739">
        <f t="shared" si="69"/>
        <v>1</v>
      </c>
      <c r="AA739">
        <f t="shared" si="70"/>
        <v>0</v>
      </c>
      <c r="AB739">
        <f t="shared" si="71"/>
        <v>1</v>
      </c>
    </row>
    <row r="740" spans="6:28" x14ac:dyDescent="0.3">
      <c r="F740" s="28"/>
      <c r="G740">
        <v>732</v>
      </c>
      <c r="H740" s="109">
        <v>1378.3385606690135</v>
      </c>
      <c r="I740" s="370">
        <v>844219.7545642599</v>
      </c>
      <c r="J740">
        <v>0</v>
      </c>
      <c r="K740">
        <v>0</v>
      </c>
      <c r="L740">
        <v>0</v>
      </c>
      <c r="M740">
        <v>1</v>
      </c>
      <c r="N740" s="109">
        <v>612.49084851438477</v>
      </c>
      <c r="O740" s="109">
        <v>-4709278.2391060423</v>
      </c>
      <c r="P740" s="365">
        <v>1</v>
      </c>
      <c r="Q740" s="365">
        <v>0</v>
      </c>
      <c r="R740" s="365">
        <v>0</v>
      </c>
      <c r="S740" s="365">
        <v>0</v>
      </c>
      <c r="T740" s="109">
        <v>-3416.6338906025148</v>
      </c>
      <c r="V740" s="368">
        <f t="shared" si="66"/>
        <v>68072708.278886423</v>
      </c>
      <c r="W740" s="30">
        <f t="shared" si="67"/>
        <v>73626206.272556722</v>
      </c>
      <c r="X740" s="30"/>
      <c r="Y740">
        <f t="shared" si="68"/>
        <v>0</v>
      </c>
      <c r="Z740">
        <f t="shared" si="69"/>
        <v>1</v>
      </c>
      <c r="AA740">
        <f t="shared" si="70"/>
        <v>0</v>
      </c>
      <c r="AB740">
        <f t="shared" si="71"/>
        <v>1</v>
      </c>
    </row>
    <row r="741" spans="6:28" x14ac:dyDescent="0.3">
      <c r="F741" s="28"/>
      <c r="G741">
        <v>733</v>
      </c>
      <c r="H741" s="109">
        <v>1135.1826154044902</v>
      </c>
      <c r="I741" s="370">
        <v>1342945.2225913387</v>
      </c>
      <c r="J741">
        <v>0</v>
      </c>
      <c r="K741">
        <v>0</v>
      </c>
      <c r="L741">
        <v>0</v>
      </c>
      <c r="M741">
        <v>1</v>
      </c>
      <c r="N741" s="109">
        <v>1183.0213080851472</v>
      </c>
      <c r="O741" s="109">
        <v>-2814439.8099567047</v>
      </c>
      <c r="P741" s="365">
        <v>1</v>
      </c>
      <c r="Q741" s="365">
        <v>0</v>
      </c>
      <c r="R741" s="365">
        <v>0</v>
      </c>
      <c r="S741" s="365">
        <v>0</v>
      </c>
      <c r="T741" s="109">
        <v>-2479.2837485040754</v>
      </c>
      <c r="V741" s="368">
        <f t="shared" si="66"/>
        <v>55416185.547633171</v>
      </c>
      <c r="W741" s="30">
        <f t="shared" si="67"/>
        <v>59573570.580181219</v>
      </c>
      <c r="X741" s="30"/>
      <c r="Y741">
        <f t="shared" si="68"/>
        <v>0</v>
      </c>
      <c r="Z741">
        <f t="shared" si="69"/>
        <v>1</v>
      </c>
      <c r="AA741">
        <f t="shared" si="70"/>
        <v>0</v>
      </c>
      <c r="AB741">
        <f t="shared" si="71"/>
        <v>1</v>
      </c>
    </row>
    <row r="742" spans="6:28" x14ac:dyDescent="0.3">
      <c r="F742" s="28"/>
      <c r="G742">
        <v>734</v>
      </c>
      <c r="H742" s="109">
        <v>1094.6309344108668</v>
      </c>
      <c r="I742" s="370">
        <v>800398.73478590953</v>
      </c>
      <c r="J742">
        <v>0</v>
      </c>
      <c r="K742">
        <v>0</v>
      </c>
      <c r="L742">
        <v>0</v>
      </c>
      <c r="M742">
        <v>1</v>
      </c>
      <c r="N742" s="109">
        <v>731.20419825946749</v>
      </c>
      <c r="O742" s="109">
        <v>-3313029.8997087791</v>
      </c>
      <c r="P742" s="365">
        <v>1</v>
      </c>
      <c r="Q742" s="365">
        <v>0</v>
      </c>
      <c r="R742" s="365">
        <v>0</v>
      </c>
      <c r="S742" s="365">
        <v>0</v>
      </c>
      <c r="T742" s="109">
        <v>-3026.6181920866875</v>
      </c>
      <c r="V742" s="368">
        <f t="shared" si="66"/>
        <v>53931147.985757433</v>
      </c>
      <c r="W742" s="30">
        <f t="shared" si="67"/>
        <v>58044576.620252118</v>
      </c>
      <c r="X742" s="30"/>
      <c r="Y742">
        <f t="shared" si="68"/>
        <v>0</v>
      </c>
      <c r="Z742">
        <f t="shared" si="69"/>
        <v>1</v>
      </c>
      <c r="AA742">
        <f t="shared" si="70"/>
        <v>0</v>
      </c>
      <c r="AB742">
        <f t="shared" si="71"/>
        <v>1</v>
      </c>
    </row>
    <row r="743" spans="6:28" x14ac:dyDescent="0.3">
      <c r="F743" s="28"/>
      <c r="G743">
        <v>735</v>
      </c>
      <c r="H743" s="109">
        <v>1243.0215082659779</v>
      </c>
      <c r="I743" s="370">
        <v>693411.5047721701</v>
      </c>
      <c r="J743">
        <v>0</v>
      </c>
      <c r="K743">
        <v>0</v>
      </c>
      <c r="L743">
        <v>0</v>
      </c>
      <c r="M743">
        <v>1</v>
      </c>
      <c r="N743" s="109">
        <v>557.8435289824414</v>
      </c>
      <c r="O743" s="109">
        <v>-4335224.5838178601</v>
      </c>
      <c r="P743" s="365">
        <v>1</v>
      </c>
      <c r="Q743" s="365">
        <v>0</v>
      </c>
      <c r="R743" s="365">
        <v>0</v>
      </c>
      <c r="S743" s="365">
        <v>0</v>
      </c>
      <c r="T743" s="109">
        <v>-3487.6504991981378</v>
      </c>
      <c r="V743" s="368">
        <f t="shared" si="66"/>
        <v>61457663.908526726</v>
      </c>
      <c r="W743" s="30">
        <f t="shared" si="67"/>
        <v>66486299.997116759</v>
      </c>
      <c r="X743" s="30"/>
      <c r="Y743">
        <f t="shared" si="68"/>
        <v>0</v>
      </c>
      <c r="Z743">
        <f t="shared" si="69"/>
        <v>1</v>
      </c>
      <c r="AA743">
        <f t="shared" si="70"/>
        <v>0</v>
      </c>
      <c r="AB743">
        <f t="shared" si="71"/>
        <v>1</v>
      </c>
    </row>
    <row r="744" spans="6:28" x14ac:dyDescent="0.3">
      <c r="F744" s="28"/>
      <c r="G744">
        <v>736</v>
      </c>
      <c r="H744" s="109">
        <v>1311.4454127458157</v>
      </c>
      <c r="I744" s="370">
        <v>1360052.341584102</v>
      </c>
      <c r="J744">
        <v>0</v>
      </c>
      <c r="K744">
        <v>0</v>
      </c>
      <c r="L744">
        <v>0</v>
      </c>
      <c r="M744">
        <v>1</v>
      </c>
      <c r="N744" s="109">
        <v>1037.0636309875197</v>
      </c>
      <c r="O744" s="109">
        <v>-4073421.3401157032</v>
      </c>
      <c r="P744" s="365">
        <v>1</v>
      </c>
      <c r="Q744" s="365">
        <v>0</v>
      </c>
      <c r="R744" s="365">
        <v>0</v>
      </c>
      <c r="S744" s="365">
        <v>0</v>
      </c>
      <c r="T744" s="109">
        <v>-3106.054815950783</v>
      </c>
      <c r="V744" s="368">
        <f t="shared" si="66"/>
        <v>64212218.295706682</v>
      </c>
      <c r="W744" s="30">
        <f t="shared" si="67"/>
        <v>69645691.977406487</v>
      </c>
      <c r="X744" s="30"/>
      <c r="Y744">
        <f t="shared" si="68"/>
        <v>0</v>
      </c>
      <c r="Z744">
        <f t="shared" si="69"/>
        <v>1</v>
      </c>
      <c r="AA744">
        <f t="shared" si="70"/>
        <v>0</v>
      </c>
      <c r="AB744">
        <f t="shared" si="71"/>
        <v>1</v>
      </c>
    </row>
    <row r="745" spans="6:28" x14ac:dyDescent="0.3">
      <c r="F745" s="28"/>
      <c r="G745">
        <v>737</v>
      </c>
      <c r="H745" s="109">
        <v>1138.8586251259694</v>
      </c>
      <c r="I745" s="370">
        <v>1312160.9060894588</v>
      </c>
      <c r="J745">
        <v>0</v>
      </c>
      <c r="K745">
        <v>0</v>
      </c>
      <c r="L745">
        <v>0</v>
      </c>
      <c r="M745">
        <v>1</v>
      </c>
      <c r="N745" s="109">
        <v>1152.1719001287981</v>
      </c>
      <c r="O745" s="109">
        <v>-2805326.5407124311</v>
      </c>
      <c r="P745" s="365">
        <v>1</v>
      </c>
      <c r="Q745" s="365">
        <v>0</v>
      </c>
      <c r="R745" s="365">
        <v>0</v>
      </c>
      <c r="S745" s="365">
        <v>0</v>
      </c>
      <c r="T745" s="109">
        <v>-2463.2790048037205</v>
      </c>
      <c r="V745" s="368">
        <f t="shared" si="66"/>
        <v>55630770.350209005</v>
      </c>
      <c r="W745" s="30">
        <f t="shared" si="67"/>
        <v>59748257.797010899</v>
      </c>
      <c r="X745" s="30"/>
      <c r="Y745">
        <f t="shared" si="68"/>
        <v>0</v>
      </c>
      <c r="Z745">
        <f t="shared" si="69"/>
        <v>1</v>
      </c>
      <c r="AA745">
        <f t="shared" si="70"/>
        <v>0</v>
      </c>
      <c r="AB745">
        <f t="shared" si="71"/>
        <v>1</v>
      </c>
    </row>
    <row r="746" spans="6:28" x14ac:dyDescent="0.3">
      <c r="F746" s="28"/>
      <c r="G746">
        <v>738</v>
      </c>
      <c r="H746" s="109">
        <v>1415.9157926688786</v>
      </c>
      <c r="I746" s="370">
        <v>377250.87676263612</v>
      </c>
      <c r="J746">
        <v>0</v>
      </c>
      <c r="K746">
        <v>0</v>
      </c>
      <c r="L746">
        <v>0</v>
      </c>
      <c r="M746">
        <v>1</v>
      </c>
      <c r="N746" s="109">
        <v>266.43595524247309</v>
      </c>
      <c r="O746" s="109">
        <v>-4784590.3803452058</v>
      </c>
      <c r="P746" s="365">
        <v>1</v>
      </c>
      <c r="Q746" s="365">
        <v>0</v>
      </c>
      <c r="R746" s="365">
        <v>0</v>
      </c>
      <c r="S746" s="365">
        <v>0</v>
      </c>
      <c r="T746" s="109">
        <v>-3379.148961483555</v>
      </c>
      <c r="V746" s="368">
        <f t="shared" si="66"/>
        <v>70418538.756681278</v>
      </c>
      <c r="W746" s="30">
        <f t="shared" si="67"/>
        <v>75580380.013789132</v>
      </c>
      <c r="X746" s="30"/>
      <c r="Y746">
        <f t="shared" si="68"/>
        <v>0</v>
      </c>
      <c r="Z746">
        <f t="shared" si="69"/>
        <v>1</v>
      </c>
      <c r="AA746">
        <f t="shared" si="70"/>
        <v>0</v>
      </c>
      <c r="AB746">
        <f t="shared" si="71"/>
        <v>1</v>
      </c>
    </row>
    <row r="747" spans="6:28" x14ac:dyDescent="0.3">
      <c r="F747" s="28"/>
      <c r="G747">
        <v>739</v>
      </c>
      <c r="H747" s="109">
        <v>1278.6500256062282</v>
      </c>
      <c r="I747" s="370">
        <v>2176644.6686950363</v>
      </c>
      <c r="J747">
        <v>0</v>
      </c>
      <c r="K747">
        <v>0</v>
      </c>
      <c r="L747">
        <v>0</v>
      </c>
      <c r="M747">
        <v>1</v>
      </c>
      <c r="N747" s="109">
        <v>1702.2990068475185</v>
      </c>
      <c r="O747" s="109">
        <v>-2194181.9573708745</v>
      </c>
      <c r="P747" s="365">
        <v>1</v>
      </c>
      <c r="Q747" s="365">
        <v>0</v>
      </c>
      <c r="R747" s="365">
        <v>0</v>
      </c>
      <c r="S747" s="365">
        <v>0</v>
      </c>
      <c r="T747" s="109">
        <v>-1716.0144788880586</v>
      </c>
      <c r="V747" s="368">
        <f t="shared" si="66"/>
        <v>61755856.611616373</v>
      </c>
      <c r="W747" s="30">
        <f t="shared" si="67"/>
        <v>66126683.237682283</v>
      </c>
      <c r="X747" s="30"/>
      <c r="Y747">
        <f t="shared" si="68"/>
        <v>0</v>
      </c>
      <c r="Z747">
        <f t="shared" si="69"/>
        <v>1</v>
      </c>
      <c r="AA747">
        <f t="shared" si="70"/>
        <v>0</v>
      </c>
      <c r="AB747">
        <f t="shared" si="71"/>
        <v>1</v>
      </c>
    </row>
    <row r="748" spans="6:28" x14ac:dyDescent="0.3">
      <c r="F748" s="28"/>
      <c r="G748">
        <v>740</v>
      </c>
      <c r="H748" s="109">
        <v>1222.9551220277863</v>
      </c>
      <c r="I748" s="370">
        <v>1019675.9393286022</v>
      </c>
      <c r="J748">
        <v>0</v>
      </c>
      <c r="K748">
        <v>0</v>
      </c>
      <c r="L748">
        <v>0</v>
      </c>
      <c r="M748">
        <v>1</v>
      </c>
      <c r="N748" s="109">
        <v>833.78034153687815</v>
      </c>
      <c r="O748" s="109">
        <v>-3454569.1472617234</v>
      </c>
      <c r="P748" s="365">
        <v>1</v>
      </c>
      <c r="Q748" s="365">
        <v>0</v>
      </c>
      <c r="R748" s="365">
        <v>0</v>
      </c>
      <c r="S748" s="365">
        <v>0</v>
      </c>
      <c r="T748" s="109">
        <v>-2824.7718048178986</v>
      </c>
      <c r="V748" s="368">
        <f t="shared" si="66"/>
        <v>60128080.162060708</v>
      </c>
      <c r="W748" s="30">
        <f t="shared" si="67"/>
        <v>64602325.248651035</v>
      </c>
      <c r="X748" s="30"/>
      <c r="Y748">
        <f t="shared" si="68"/>
        <v>0</v>
      </c>
      <c r="Z748">
        <f t="shared" si="69"/>
        <v>1</v>
      </c>
      <c r="AA748">
        <f t="shared" si="70"/>
        <v>0</v>
      </c>
      <c r="AB748">
        <f t="shared" si="71"/>
        <v>1</v>
      </c>
    </row>
    <row r="749" spans="6:28" x14ac:dyDescent="0.3">
      <c r="F749" s="28"/>
      <c r="G749">
        <v>741</v>
      </c>
      <c r="H749" s="109">
        <v>939.97694142253022</v>
      </c>
      <c r="I749" s="370">
        <v>811432.18208400754</v>
      </c>
      <c r="J749">
        <v>0</v>
      </c>
      <c r="K749">
        <v>0</v>
      </c>
      <c r="L749">
        <v>0</v>
      </c>
      <c r="M749">
        <v>1</v>
      </c>
      <c r="N749" s="109">
        <v>863.24690141442488</v>
      </c>
      <c r="O749" s="109">
        <v>-3064137.8891126434</v>
      </c>
      <c r="P749" s="365">
        <v>1</v>
      </c>
      <c r="Q749" s="365">
        <v>0</v>
      </c>
      <c r="R749" s="365">
        <v>0</v>
      </c>
      <c r="S749" s="365">
        <v>0</v>
      </c>
      <c r="T749" s="109">
        <v>-3259.801122861033</v>
      </c>
      <c r="V749" s="368">
        <f t="shared" si="66"/>
        <v>46187414.889042504</v>
      </c>
      <c r="W749" s="30">
        <f t="shared" si="67"/>
        <v>50062984.960239157</v>
      </c>
      <c r="X749" s="30"/>
      <c r="Y749">
        <f t="shared" si="68"/>
        <v>0</v>
      </c>
      <c r="Z749">
        <f t="shared" si="69"/>
        <v>1</v>
      </c>
      <c r="AA749">
        <f t="shared" si="70"/>
        <v>0</v>
      </c>
      <c r="AB749">
        <f t="shared" si="71"/>
        <v>1</v>
      </c>
    </row>
    <row r="750" spans="6:28" x14ac:dyDescent="0.3">
      <c r="F750" s="28"/>
      <c r="G750">
        <v>742</v>
      </c>
      <c r="H750" s="109">
        <v>1013.324648999027</v>
      </c>
      <c r="I750" s="370">
        <v>2626823.0192089584</v>
      </c>
      <c r="J750">
        <v>0</v>
      </c>
      <c r="K750">
        <v>0</v>
      </c>
      <c r="L750">
        <v>0</v>
      </c>
      <c r="M750">
        <v>1</v>
      </c>
      <c r="N750" s="109">
        <v>2592.2817744577342</v>
      </c>
      <c r="O750" s="109">
        <v>-1524993.4952217469</v>
      </c>
      <c r="P750" s="365">
        <v>1</v>
      </c>
      <c r="Q750" s="365">
        <v>0</v>
      </c>
      <c r="R750" s="365">
        <v>0</v>
      </c>
      <c r="S750" s="365">
        <v>0</v>
      </c>
      <c r="T750" s="109">
        <v>-1504.9406887794073</v>
      </c>
      <c r="V750" s="368">
        <f t="shared" si="66"/>
        <v>48039409.43074239</v>
      </c>
      <c r="W750" s="30">
        <f t="shared" si="67"/>
        <v>52191225.9451731</v>
      </c>
      <c r="X750" s="30"/>
      <c r="Y750">
        <f t="shared" si="68"/>
        <v>0</v>
      </c>
      <c r="Z750">
        <f t="shared" si="69"/>
        <v>1</v>
      </c>
      <c r="AA750">
        <f t="shared" si="70"/>
        <v>0</v>
      </c>
      <c r="AB750">
        <f t="shared" si="71"/>
        <v>1</v>
      </c>
    </row>
    <row r="751" spans="6:28" x14ac:dyDescent="0.3">
      <c r="F751" s="28"/>
      <c r="G751">
        <v>743</v>
      </c>
      <c r="H751" s="109">
        <v>1472.1573150868207</v>
      </c>
      <c r="I751" s="370">
        <v>861554.58140685258</v>
      </c>
      <c r="J751">
        <v>0</v>
      </c>
      <c r="K751">
        <v>0</v>
      </c>
      <c r="L751">
        <v>0</v>
      </c>
      <c r="M751">
        <v>1</v>
      </c>
      <c r="N751" s="109">
        <v>585.23268714392952</v>
      </c>
      <c r="O751" s="109">
        <v>-4937554.7754362021</v>
      </c>
      <c r="P751" s="365">
        <v>1</v>
      </c>
      <c r="Q751" s="365">
        <v>0</v>
      </c>
      <c r="R751" s="365">
        <v>0</v>
      </c>
      <c r="S751" s="365">
        <v>0</v>
      </c>
      <c r="T751" s="109">
        <v>-3353.9586597407961</v>
      </c>
      <c r="V751" s="368">
        <f t="shared" si="66"/>
        <v>72746311.172934189</v>
      </c>
      <c r="W751" s="30">
        <f t="shared" si="67"/>
        <v>78545420.529777244</v>
      </c>
      <c r="X751" s="30"/>
      <c r="Y751">
        <f t="shared" si="68"/>
        <v>0</v>
      </c>
      <c r="Z751">
        <f t="shared" si="69"/>
        <v>1</v>
      </c>
      <c r="AA751">
        <f t="shared" si="70"/>
        <v>0</v>
      </c>
      <c r="AB751">
        <f t="shared" si="71"/>
        <v>1</v>
      </c>
    </row>
    <row r="752" spans="6:28" x14ac:dyDescent="0.3">
      <c r="F752" s="28"/>
      <c r="G752">
        <v>744</v>
      </c>
      <c r="H752" s="109">
        <v>1046.2097961180916</v>
      </c>
      <c r="I752" s="370">
        <v>1466894.7793890075</v>
      </c>
      <c r="J752">
        <v>0</v>
      </c>
      <c r="K752">
        <v>0</v>
      </c>
      <c r="L752">
        <v>0</v>
      </c>
      <c r="M752">
        <v>1</v>
      </c>
      <c r="N752" s="109">
        <v>1402.1038465055919</v>
      </c>
      <c r="O752" s="109">
        <v>-2481147.0413155104</v>
      </c>
      <c r="P752" s="365">
        <v>1</v>
      </c>
      <c r="Q752" s="365">
        <v>0</v>
      </c>
      <c r="R752" s="365">
        <v>0</v>
      </c>
      <c r="S752" s="365">
        <v>0</v>
      </c>
      <c r="T752" s="109">
        <v>-2371.5578371772858</v>
      </c>
      <c r="V752" s="368">
        <f t="shared" si="66"/>
        <v>50843595.026515573</v>
      </c>
      <c r="W752" s="30">
        <f t="shared" si="67"/>
        <v>54791636.847220093</v>
      </c>
      <c r="X752" s="30"/>
      <c r="Y752">
        <f t="shared" si="68"/>
        <v>0</v>
      </c>
      <c r="Z752">
        <f t="shared" si="69"/>
        <v>1</v>
      </c>
      <c r="AA752">
        <f t="shared" si="70"/>
        <v>0</v>
      </c>
      <c r="AB752">
        <f t="shared" si="71"/>
        <v>1</v>
      </c>
    </row>
    <row r="753" spans="6:28" x14ac:dyDescent="0.3">
      <c r="F753" s="28"/>
      <c r="G753">
        <v>745</v>
      </c>
      <c r="H753" s="109">
        <v>1253.9787313244015</v>
      </c>
      <c r="I753" s="370">
        <v>1019568.0251985197</v>
      </c>
      <c r="J753">
        <v>0</v>
      </c>
      <c r="K753">
        <v>0</v>
      </c>
      <c r="L753">
        <v>0</v>
      </c>
      <c r="M753">
        <v>1</v>
      </c>
      <c r="N753" s="109">
        <v>813.066441822098</v>
      </c>
      <c r="O753" s="109">
        <v>-4411176.6407499043</v>
      </c>
      <c r="P753" s="365">
        <v>1</v>
      </c>
      <c r="Q753" s="365">
        <v>0</v>
      </c>
      <c r="R753" s="365">
        <v>0</v>
      </c>
      <c r="S753" s="365">
        <v>0</v>
      </c>
      <c r="T753" s="109">
        <v>-3517.7443847799545</v>
      </c>
      <c r="V753" s="368">
        <f t="shared" si="66"/>
        <v>61679368.541021556</v>
      </c>
      <c r="W753" s="30">
        <f t="shared" si="67"/>
        <v>67110113.206969976</v>
      </c>
      <c r="X753" s="30"/>
      <c r="Y753">
        <f t="shared" si="68"/>
        <v>0</v>
      </c>
      <c r="Z753">
        <f t="shared" si="69"/>
        <v>1</v>
      </c>
      <c r="AA753">
        <f t="shared" si="70"/>
        <v>0</v>
      </c>
      <c r="AB753">
        <f t="shared" si="71"/>
        <v>1</v>
      </c>
    </row>
    <row r="754" spans="6:28" x14ac:dyDescent="0.3">
      <c r="F754" s="28"/>
      <c r="G754">
        <v>746</v>
      </c>
      <c r="H754" s="109">
        <v>1187.0963299936921</v>
      </c>
      <c r="I754" s="370">
        <v>362720.88645653211</v>
      </c>
      <c r="J754">
        <v>0</v>
      </c>
      <c r="K754">
        <v>0</v>
      </c>
      <c r="L754">
        <v>0</v>
      </c>
      <c r="M754">
        <v>1</v>
      </c>
      <c r="N754" s="109">
        <v>305.55303499123744</v>
      </c>
      <c r="O754" s="109">
        <v>-4078805.2282243012</v>
      </c>
      <c r="P754" s="365">
        <v>1</v>
      </c>
      <c r="Q754" s="365">
        <v>0</v>
      </c>
      <c r="R754" s="365">
        <v>0</v>
      </c>
      <c r="S754" s="365">
        <v>0</v>
      </c>
      <c r="T754" s="109">
        <v>-3435.9513420835656</v>
      </c>
      <c r="V754" s="368">
        <f t="shared" si="66"/>
        <v>58992095.613228068</v>
      </c>
      <c r="W754" s="30">
        <f t="shared" si="67"/>
        <v>63433621.727908902</v>
      </c>
      <c r="X754" s="30"/>
      <c r="Y754">
        <f t="shared" si="68"/>
        <v>0</v>
      </c>
      <c r="Z754">
        <f t="shared" si="69"/>
        <v>1</v>
      </c>
      <c r="AA754">
        <f t="shared" si="70"/>
        <v>0</v>
      </c>
      <c r="AB754">
        <f t="shared" si="71"/>
        <v>1</v>
      </c>
    </row>
    <row r="755" spans="6:28" x14ac:dyDescent="0.3">
      <c r="F755" s="28"/>
      <c r="G755">
        <v>747</v>
      </c>
      <c r="H755" s="109">
        <v>1187.5388866215362</v>
      </c>
      <c r="I755" s="370">
        <v>1587187.0738686749</v>
      </c>
      <c r="J755">
        <v>0</v>
      </c>
      <c r="K755">
        <v>0</v>
      </c>
      <c r="L755">
        <v>0</v>
      </c>
      <c r="M755">
        <v>1</v>
      </c>
      <c r="N755" s="109">
        <v>1336.5348215114955</v>
      </c>
      <c r="O755" s="109">
        <v>-3170611.3475033408</v>
      </c>
      <c r="P755" s="365">
        <v>1</v>
      </c>
      <c r="Q755" s="365">
        <v>0</v>
      </c>
      <c r="R755" s="365">
        <v>0</v>
      </c>
      <c r="S755" s="365">
        <v>0</v>
      </c>
      <c r="T755" s="109">
        <v>-2669.9010729017091</v>
      </c>
      <c r="V755" s="368">
        <f t="shared" si="66"/>
        <v>57789757.257208131</v>
      </c>
      <c r="W755" s="30">
        <f t="shared" si="67"/>
        <v>62547555.67858015</v>
      </c>
      <c r="X755" s="30"/>
      <c r="Y755">
        <f t="shared" si="68"/>
        <v>0</v>
      </c>
      <c r="Z755">
        <f t="shared" si="69"/>
        <v>1</v>
      </c>
      <c r="AA755">
        <f t="shared" si="70"/>
        <v>0</v>
      </c>
      <c r="AB755">
        <f t="shared" si="71"/>
        <v>1</v>
      </c>
    </row>
    <row r="756" spans="6:28" x14ac:dyDescent="0.3">
      <c r="F756" s="28"/>
      <c r="G756">
        <v>748</v>
      </c>
      <c r="H756" s="109">
        <v>1330.9034066645618</v>
      </c>
      <c r="I756" s="370">
        <v>1263198.1749913632</v>
      </c>
      <c r="J756">
        <v>0</v>
      </c>
      <c r="K756">
        <v>0</v>
      </c>
      <c r="L756">
        <v>0</v>
      </c>
      <c r="M756">
        <v>1</v>
      </c>
      <c r="N756" s="109">
        <v>949.12836548906444</v>
      </c>
      <c r="O756" s="109">
        <v>-4448779.5378628308</v>
      </c>
      <c r="P756" s="365">
        <v>1</v>
      </c>
      <c r="Q756" s="365">
        <v>0</v>
      </c>
      <c r="R756" s="365">
        <v>0</v>
      </c>
      <c r="S756" s="365">
        <v>0</v>
      </c>
      <c r="T756" s="109">
        <v>-3342.6764974718353</v>
      </c>
      <c r="V756" s="368">
        <f t="shared" si="66"/>
        <v>65281972.158236727</v>
      </c>
      <c r="W756" s="30">
        <f t="shared" si="67"/>
        <v>70993949.871090919</v>
      </c>
      <c r="X756" s="30"/>
      <c r="Y756">
        <f t="shared" si="68"/>
        <v>0</v>
      </c>
      <c r="Z756">
        <f t="shared" si="69"/>
        <v>1</v>
      </c>
      <c r="AA756">
        <f t="shared" si="70"/>
        <v>0</v>
      </c>
      <c r="AB756">
        <f t="shared" si="71"/>
        <v>1</v>
      </c>
    </row>
    <row r="757" spans="6:28" x14ac:dyDescent="0.3">
      <c r="F757" s="28"/>
      <c r="G757">
        <v>749</v>
      </c>
      <c r="H757" s="109">
        <v>1065.8789795595585</v>
      </c>
      <c r="I757" s="370">
        <v>1964075.2320948141</v>
      </c>
      <c r="J757">
        <v>0</v>
      </c>
      <c r="K757">
        <v>0</v>
      </c>
      <c r="L757">
        <v>0</v>
      </c>
      <c r="M757">
        <v>1</v>
      </c>
      <c r="N757" s="109">
        <v>1842.6812703506052</v>
      </c>
      <c r="O757" s="109">
        <v>-2434003.7640313241</v>
      </c>
      <c r="P757" s="365">
        <v>1</v>
      </c>
      <c r="Q757" s="365">
        <v>0</v>
      </c>
      <c r="R757" s="365">
        <v>0</v>
      </c>
      <c r="S757" s="365">
        <v>0</v>
      </c>
      <c r="T757" s="109">
        <v>-2283.5648424524711</v>
      </c>
      <c r="V757" s="368">
        <f t="shared" si="66"/>
        <v>51329873.745883107</v>
      </c>
      <c r="W757" s="30">
        <f t="shared" si="67"/>
        <v>55727952.742009245</v>
      </c>
      <c r="X757" s="30"/>
      <c r="Y757">
        <f t="shared" si="68"/>
        <v>0</v>
      </c>
      <c r="Z757">
        <f t="shared" si="69"/>
        <v>1</v>
      </c>
      <c r="AA757">
        <f t="shared" si="70"/>
        <v>0</v>
      </c>
      <c r="AB757">
        <f t="shared" si="71"/>
        <v>1</v>
      </c>
    </row>
    <row r="758" spans="6:28" x14ac:dyDescent="0.3">
      <c r="F758" s="28"/>
      <c r="G758">
        <v>750</v>
      </c>
      <c r="H758" s="109">
        <v>1259.7425538419338</v>
      </c>
      <c r="I758" s="370">
        <v>1090322.6357351905</v>
      </c>
      <c r="J758">
        <v>0</v>
      </c>
      <c r="K758">
        <v>0</v>
      </c>
      <c r="L758">
        <v>0</v>
      </c>
      <c r="M758">
        <v>1</v>
      </c>
      <c r="N758" s="109">
        <v>865.51226868533547</v>
      </c>
      <c r="O758" s="109">
        <v>-3784259.9816519348</v>
      </c>
      <c r="P758" s="365">
        <v>1</v>
      </c>
      <c r="Q758" s="365">
        <v>0</v>
      </c>
      <c r="R758" s="365">
        <v>0</v>
      </c>
      <c r="S758" s="365">
        <v>0</v>
      </c>
      <c r="T758" s="109">
        <v>-3003.9947210727983</v>
      </c>
      <c r="V758" s="368">
        <f t="shared" si="66"/>
        <v>61896805.056361504</v>
      </c>
      <c r="W758" s="30">
        <f t="shared" si="67"/>
        <v>66771387.673748627</v>
      </c>
      <c r="X758" s="30"/>
      <c r="Y758">
        <f t="shared" si="68"/>
        <v>0</v>
      </c>
      <c r="Z758">
        <f t="shared" si="69"/>
        <v>1</v>
      </c>
      <c r="AA758">
        <f t="shared" si="70"/>
        <v>0</v>
      </c>
      <c r="AB758">
        <f t="shared" si="71"/>
        <v>1</v>
      </c>
    </row>
    <row r="759" spans="6:28" x14ac:dyDescent="0.3">
      <c r="F759" s="28"/>
      <c r="G759">
        <v>751</v>
      </c>
      <c r="H759" s="109">
        <v>1166.2150260372509</v>
      </c>
      <c r="I759" s="370">
        <v>532745.06421905232</v>
      </c>
      <c r="J759">
        <v>0</v>
      </c>
      <c r="K759">
        <v>0</v>
      </c>
      <c r="L759">
        <v>0</v>
      </c>
      <c r="M759">
        <v>1</v>
      </c>
      <c r="N759" s="109">
        <v>456.81546912433242</v>
      </c>
      <c r="O759" s="109">
        <v>-3312205.2554843938</v>
      </c>
      <c r="P759" s="365">
        <v>1</v>
      </c>
      <c r="Q759" s="365">
        <v>0</v>
      </c>
      <c r="R759" s="365">
        <v>0</v>
      </c>
      <c r="S759" s="365">
        <v>0</v>
      </c>
      <c r="T759" s="109">
        <v>-2840.1325497743983</v>
      </c>
      <c r="V759" s="368">
        <f t="shared" si="66"/>
        <v>57778006.237643495</v>
      </c>
      <c r="W759" s="30">
        <f t="shared" si="67"/>
        <v>61622956.55734694</v>
      </c>
      <c r="X759" s="30"/>
      <c r="Y759">
        <f t="shared" si="68"/>
        <v>0</v>
      </c>
      <c r="Z759">
        <f t="shared" si="69"/>
        <v>1</v>
      </c>
      <c r="AA759">
        <f t="shared" si="70"/>
        <v>0</v>
      </c>
      <c r="AB759">
        <f t="shared" si="71"/>
        <v>1</v>
      </c>
    </row>
    <row r="760" spans="6:28" x14ac:dyDescent="0.3">
      <c r="F760" s="28"/>
      <c r="G760">
        <v>752</v>
      </c>
      <c r="H760" s="109">
        <v>1073.7141431250056</v>
      </c>
      <c r="I760" s="370">
        <v>1241743.0508957936</v>
      </c>
      <c r="J760">
        <v>0</v>
      </c>
      <c r="K760">
        <v>0</v>
      </c>
      <c r="L760">
        <v>0</v>
      </c>
      <c r="M760">
        <v>1</v>
      </c>
      <c r="N760" s="109">
        <v>1156.4931493607282</v>
      </c>
      <c r="O760" s="109">
        <v>-2688046.4677051939</v>
      </c>
      <c r="P760" s="365">
        <v>1</v>
      </c>
      <c r="Q760" s="365">
        <v>0</v>
      </c>
      <c r="R760" s="365">
        <v>0</v>
      </c>
      <c r="S760" s="365">
        <v>0</v>
      </c>
      <c r="T760" s="109">
        <v>-2503.5028968527258</v>
      </c>
      <c r="V760" s="368">
        <f t="shared" si="66"/>
        <v>52443964.105354488</v>
      </c>
      <c r="W760" s="30">
        <f t="shared" si="67"/>
        <v>56373753.623955473</v>
      </c>
      <c r="X760" s="30"/>
      <c r="Y760">
        <f t="shared" si="68"/>
        <v>0</v>
      </c>
      <c r="Z760">
        <f t="shared" si="69"/>
        <v>1</v>
      </c>
      <c r="AA760">
        <f t="shared" si="70"/>
        <v>0</v>
      </c>
      <c r="AB760">
        <f t="shared" si="71"/>
        <v>1</v>
      </c>
    </row>
    <row r="761" spans="6:28" x14ac:dyDescent="0.3">
      <c r="F761" s="28"/>
      <c r="G761">
        <v>753</v>
      </c>
      <c r="H761" s="109">
        <v>1258.0415893250538</v>
      </c>
      <c r="I761" s="370">
        <v>628717.86707206955</v>
      </c>
      <c r="J761">
        <v>0</v>
      </c>
      <c r="K761">
        <v>0</v>
      </c>
      <c r="L761">
        <v>0</v>
      </c>
      <c r="M761">
        <v>1</v>
      </c>
      <c r="N761" s="109">
        <v>499.75920701427697</v>
      </c>
      <c r="O761" s="109">
        <v>-4339153.7861698</v>
      </c>
      <c r="P761" s="365">
        <v>1</v>
      </c>
      <c r="Q761" s="365">
        <v>0</v>
      </c>
      <c r="R761" s="365">
        <v>0</v>
      </c>
      <c r="S761" s="365">
        <v>0</v>
      </c>
      <c r="T761" s="109">
        <v>-3449.1338148031973</v>
      </c>
      <c r="V761" s="368">
        <f t="shared" si="66"/>
        <v>62273361.599180624</v>
      </c>
      <c r="W761" s="30">
        <f t="shared" si="67"/>
        <v>67241233.252422497</v>
      </c>
      <c r="X761" s="30"/>
      <c r="Y761">
        <f t="shared" si="68"/>
        <v>0</v>
      </c>
      <c r="Z761">
        <f t="shared" si="69"/>
        <v>1</v>
      </c>
      <c r="AA761">
        <f t="shared" si="70"/>
        <v>0</v>
      </c>
      <c r="AB761">
        <f t="shared" si="71"/>
        <v>1</v>
      </c>
    </row>
    <row r="762" spans="6:28" x14ac:dyDescent="0.3">
      <c r="F762" s="28"/>
      <c r="G762">
        <v>754</v>
      </c>
      <c r="H762" s="109">
        <v>1367.0827018132259</v>
      </c>
      <c r="I762" s="370">
        <v>1236084.1945924871</v>
      </c>
      <c r="J762">
        <v>0</v>
      </c>
      <c r="K762">
        <v>0</v>
      </c>
      <c r="L762">
        <v>0</v>
      </c>
      <c r="M762">
        <v>1</v>
      </c>
      <c r="N762" s="109">
        <v>904.17660391211928</v>
      </c>
      <c r="O762" s="109">
        <v>-3934278.2398360884</v>
      </c>
      <c r="P762" s="365">
        <v>1</v>
      </c>
      <c r="Q762" s="365">
        <v>0</v>
      </c>
      <c r="R762" s="365">
        <v>0</v>
      </c>
      <c r="S762" s="365">
        <v>0</v>
      </c>
      <c r="T762" s="109">
        <v>-2877.8641077221378</v>
      </c>
      <c r="V762" s="368">
        <f t="shared" si="66"/>
        <v>67118050.896068797</v>
      </c>
      <c r="W762" s="30">
        <f t="shared" si="67"/>
        <v>72288413.330497369</v>
      </c>
      <c r="X762" s="30"/>
      <c r="Y762">
        <f t="shared" si="68"/>
        <v>0</v>
      </c>
      <c r="Z762">
        <f t="shared" si="69"/>
        <v>1</v>
      </c>
      <c r="AA762">
        <f t="shared" si="70"/>
        <v>0</v>
      </c>
      <c r="AB762">
        <f t="shared" si="71"/>
        <v>1</v>
      </c>
    </row>
    <row r="763" spans="6:28" x14ac:dyDescent="0.3">
      <c r="F763" s="28"/>
      <c r="G763">
        <v>755</v>
      </c>
      <c r="H763" s="109">
        <v>1135.8072086662069</v>
      </c>
      <c r="I763" s="370">
        <v>796136.33219630818</v>
      </c>
      <c r="J763">
        <v>0</v>
      </c>
      <c r="K763">
        <v>0</v>
      </c>
      <c r="L763">
        <v>0</v>
      </c>
      <c r="M763">
        <v>1</v>
      </c>
      <c r="N763" s="109">
        <v>700.94319363514285</v>
      </c>
      <c r="O763" s="109">
        <v>-3007037.0246571074</v>
      </c>
      <c r="P763" s="365">
        <v>1</v>
      </c>
      <c r="Q763" s="365">
        <v>0</v>
      </c>
      <c r="R763" s="365">
        <v>0</v>
      </c>
      <c r="S763" s="365">
        <v>0</v>
      </c>
      <c r="T763" s="109">
        <v>-2647.4889415328767</v>
      </c>
      <c r="V763" s="368">
        <f t="shared" si="66"/>
        <v>55994224.101114035</v>
      </c>
      <c r="W763" s="30">
        <f t="shared" si="67"/>
        <v>59797397.457967453</v>
      </c>
      <c r="X763" s="30"/>
      <c r="Y763">
        <f t="shared" si="68"/>
        <v>0</v>
      </c>
      <c r="Z763">
        <f t="shared" si="69"/>
        <v>1</v>
      </c>
      <c r="AA763">
        <f t="shared" si="70"/>
        <v>0</v>
      </c>
      <c r="AB763">
        <f t="shared" si="71"/>
        <v>1</v>
      </c>
    </row>
    <row r="764" spans="6:28" x14ac:dyDescent="0.3">
      <c r="F764" s="28"/>
      <c r="G764">
        <v>756</v>
      </c>
      <c r="H764" s="109">
        <v>1203.1415784797136</v>
      </c>
      <c r="I764" s="370">
        <v>732180.49687527667</v>
      </c>
      <c r="J764">
        <v>0</v>
      </c>
      <c r="K764">
        <v>0</v>
      </c>
      <c r="L764">
        <v>0</v>
      </c>
      <c r="M764">
        <v>1</v>
      </c>
      <c r="N764" s="109">
        <v>608.55722216869765</v>
      </c>
      <c r="O764" s="109">
        <v>-3921548.1570393355</v>
      </c>
      <c r="P764" s="365">
        <v>1</v>
      </c>
      <c r="Q764" s="365">
        <v>0</v>
      </c>
      <c r="R764" s="365">
        <v>0</v>
      </c>
      <c r="S764" s="365">
        <v>0</v>
      </c>
      <c r="T764" s="109">
        <v>-3259.4236847791371</v>
      </c>
      <c r="V764" s="368">
        <f t="shared" si="66"/>
        <v>59424898.427110404</v>
      </c>
      <c r="W764" s="30">
        <f t="shared" si="67"/>
        <v>64078627.081025019</v>
      </c>
      <c r="X764" s="30"/>
      <c r="Y764">
        <f t="shared" si="68"/>
        <v>0</v>
      </c>
      <c r="Z764">
        <f t="shared" si="69"/>
        <v>1</v>
      </c>
      <c r="AA764">
        <f t="shared" si="70"/>
        <v>0</v>
      </c>
      <c r="AB764">
        <f t="shared" si="71"/>
        <v>1</v>
      </c>
    </row>
    <row r="765" spans="6:28" x14ac:dyDescent="0.3">
      <c r="F765" s="28"/>
      <c r="G765">
        <v>757</v>
      </c>
      <c r="H765" s="109">
        <v>1165.0392844767994</v>
      </c>
      <c r="I765" s="370">
        <v>468751.68718215864</v>
      </c>
      <c r="J765">
        <v>0</v>
      </c>
      <c r="K765">
        <v>0</v>
      </c>
      <c r="L765">
        <v>0</v>
      </c>
      <c r="M765">
        <v>1</v>
      </c>
      <c r="N765" s="109">
        <v>402.34839582483914</v>
      </c>
      <c r="O765" s="109">
        <v>-4066316.1648129732</v>
      </c>
      <c r="P765" s="365">
        <v>1</v>
      </c>
      <c r="Q765" s="365">
        <v>0</v>
      </c>
      <c r="R765" s="365">
        <v>0</v>
      </c>
      <c r="S765" s="365">
        <v>0</v>
      </c>
      <c r="T765" s="109">
        <v>-3490.2824471185891</v>
      </c>
      <c r="V765" s="368">
        <f t="shared" si="66"/>
        <v>57783212.53665781</v>
      </c>
      <c r="W765" s="30">
        <f t="shared" si="67"/>
        <v>62318280.388652943</v>
      </c>
      <c r="X765" s="30"/>
      <c r="Y765">
        <f t="shared" si="68"/>
        <v>0</v>
      </c>
      <c r="Z765">
        <f t="shared" si="69"/>
        <v>1</v>
      </c>
      <c r="AA765">
        <f t="shared" si="70"/>
        <v>0</v>
      </c>
      <c r="AB765">
        <f t="shared" si="71"/>
        <v>1</v>
      </c>
    </row>
    <row r="766" spans="6:28" x14ac:dyDescent="0.3">
      <c r="F766" s="28"/>
      <c r="G766">
        <v>758</v>
      </c>
      <c r="H766" s="109">
        <v>1056.5656925103467</v>
      </c>
      <c r="I766" s="370">
        <v>1425049.367265468</v>
      </c>
      <c r="J766">
        <v>0</v>
      </c>
      <c r="K766">
        <v>0</v>
      </c>
      <c r="L766">
        <v>0</v>
      </c>
      <c r="M766">
        <v>1</v>
      </c>
      <c r="N766" s="109">
        <v>1348.7560474158713</v>
      </c>
      <c r="O766" s="109">
        <v>-2372926.3294400182</v>
      </c>
      <c r="P766" s="365">
        <v>1</v>
      </c>
      <c r="Q766" s="365">
        <v>0</v>
      </c>
      <c r="R766" s="365">
        <v>0</v>
      </c>
      <c r="S766" s="365">
        <v>0</v>
      </c>
      <c r="T766" s="109">
        <v>-2245.8862201005836</v>
      </c>
      <c r="V766" s="368">
        <f t="shared" si="66"/>
        <v>51403235.258251868</v>
      </c>
      <c r="W766" s="30">
        <f t="shared" si="67"/>
        <v>55201210.954957359</v>
      </c>
      <c r="X766" s="30"/>
      <c r="Y766">
        <f t="shared" si="68"/>
        <v>0</v>
      </c>
      <c r="Z766">
        <f t="shared" si="69"/>
        <v>1</v>
      </c>
      <c r="AA766">
        <f t="shared" si="70"/>
        <v>0</v>
      </c>
      <c r="AB766">
        <f t="shared" si="71"/>
        <v>1</v>
      </c>
    </row>
    <row r="767" spans="6:28" x14ac:dyDescent="0.3">
      <c r="F767" s="28"/>
      <c r="G767">
        <v>759</v>
      </c>
      <c r="H767" s="109">
        <v>1214.8171049715675</v>
      </c>
      <c r="I767" s="370">
        <v>1043650.1103741811</v>
      </c>
      <c r="J767">
        <v>0</v>
      </c>
      <c r="K767">
        <v>0</v>
      </c>
      <c r="L767">
        <v>0</v>
      </c>
      <c r="M767">
        <v>1</v>
      </c>
      <c r="N767" s="109">
        <v>859.1006054352581</v>
      </c>
      <c r="O767" s="109">
        <v>-3747925.6176136388</v>
      </c>
      <c r="P767" s="365">
        <v>1</v>
      </c>
      <c r="Q767" s="365">
        <v>0</v>
      </c>
      <c r="R767" s="365">
        <v>0</v>
      </c>
      <c r="S767" s="365">
        <v>0</v>
      </c>
      <c r="T767" s="109">
        <v>-3085.1768568910284</v>
      </c>
      <c r="V767" s="368">
        <f t="shared" si="66"/>
        <v>59697205.138204187</v>
      </c>
      <c r="W767" s="30">
        <f t="shared" si="67"/>
        <v>64488780.866192006</v>
      </c>
      <c r="X767" s="30"/>
      <c r="Y767">
        <f t="shared" si="68"/>
        <v>0</v>
      </c>
      <c r="Z767">
        <f t="shared" si="69"/>
        <v>1</v>
      </c>
      <c r="AA767">
        <f t="shared" si="70"/>
        <v>0</v>
      </c>
      <c r="AB767">
        <f t="shared" si="71"/>
        <v>1</v>
      </c>
    </row>
    <row r="768" spans="6:28" x14ac:dyDescent="0.3">
      <c r="F768" s="28"/>
      <c r="G768">
        <v>760</v>
      </c>
      <c r="H768" s="109">
        <v>1335.0170784845614</v>
      </c>
      <c r="I768" s="370">
        <v>1035388.4646738563</v>
      </c>
      <c r="J768">
        <v>0</v>
      </c>
      <c r="K768">
        <v>0</v>
      </c>
      <c r="L768">
        <v>0</v>
      </c>
      <c r="M768">
        <v>1</v>
      </c>
      <c r="N768" s="109">
        <v>775.56196198566454</v>
      </c>
      <c r="O768" s="109">
        <v>-4428107.067578244</v>
      </c>
      <c r="P768" s="365">
        <v>1</v>
      </c>
      <c r="Q768" s="365">
        <v>0</v>
      </c>
      <c r="R768" s="365">
        <v>0</v>
      </c>
      <c r="S768" s="365">
        <v>0</v>
      </c>
      <c r="T768" s="109">
        <v>-3316.8917004453529</v>
      </c>
      <c r="V768" s="368">
        <f t="shared" si="66"/>
        <v>65715465.45955421</v>
      </c>
      <c r="W768" s="30">
        <f t="shared" si="67"/>
        <v>71178960.991806313</v>
      </c>
      <c r="X768" s="30"/>
      <c r="Y768">
        <f t="shared" si="68"/>
        <v>0</v>
      </c>
      <c r="Z768">
        <f t="shared" si="69"/>
        <v>1</v>
      </c>
      <c r="AA768">
        <f t="shared" si="70"/>
        <v>0</v>
      </c>
      <c r="AB768">
        <f t="shared" si="71"/>
        <v>1</v>
      </c>
    </row>
    <row r="769" spans="6:28" x14ac:dyDescent="0.3">
      <c r="F769" s="28"/>
      <c r="G769">
        <v>761</v>
      </c>
      <c r="H769" s="109">
        <v>1203.0102463810108</v>
      </c>
      <c r="I769" s="370">
        <v>1577389.4038877236</v>
      </c>
      <c r="J769">
        <v>0</v>
      </c>
      <c r="K769">
        <v>0</v>
      </c>
      <c r="L769">
        <v>0</v>
      </c>
      <c r="M769">
        <v>1</v>
      </c>
      <c r="N769" s="109">
        <v>1311.2019690879188</v>
      </c>
      <c r="O769" s="109">
        <v>-3242202.259695224</v>
      </c>
      <c r="P769" s="365">
        <v>1</v>
      </c>
      <c r="Q769" s="365">
        <v>0</v>
      </c>
      <c r="R769" s="365">
        <v>0</v>
      </c>
      <c r="S769" s="365">
        <v>0</v>
      </c>
      <c r="T769" s="109">
        <v>-2695.0745178178404</v>
      </c>
      <c r="V769" s="368">
        <f t="shared" si="66"/>
        <v>58573122.915162817</v>
      </c>
      <c r="W769" s="30">
        <f t="shared" si="67"/>
        <v>63392714.578745767</v>
      </c>
      <c r="X769" s="30"/>
      <c r="Y769">
        <f t="shared" si="68"/>
        <v>0</v>
      </c>
      <c r="Z769">
        <f t="shared" si="69"/>
        <v>1</v>
      </c>
      <c r="AA769">
        <f t="shared" si="70"/>
        <v>0</v>
      </c>
      <c r="AB769">
        <f t="shared" si="71"/>
        <v>1</v>
      </c>
    </row>
    <row r="770" spans="6:28" x14ac:dyDescent="0.3">
      <c r="F770" s="28"/>
      <c r="G770">
        <v>762</v>
      </c>
      <c r="H770" s="109">
        <v>1193.5896545214564</v>
      </c>
      <c r="I770" s="370">
        <v>3377160.0925043789</v>
      </c>
      <c r="J770">
        <v>0</v>
      </c>
      <c r="K770">
        <v>0</v>
      </c>
      <c r="L770">
        <v>0</v>
      </c>
      <c r="M770">
        <v>1</v>
      </c>
      <c r="N770" s="109">
        <v>2829.4146817637902</v>
      </c>
      <c r="O770" s="109">
        <v>-1704508.9769698167</v>
      </c>
      <c r="P770" s="365">
        <v>1</v>
      </c>
      <c r="Q770" s="365">
        <v>0</v>
      </c>
      <c r="R770" s="365">
        <v>0</v>
      </c>
      <c r="S770" s="365">
        <v>0</v>
      </c>
      <c r="T770" s="109">
        <v>-1428.0527403307649</v>
      </c>
      <c r="V770" s="368">
        <f t="shared" si="66"/>
        <v>56302322.633568436</v>
      </c>
      <c r="W770" s="30">
        <f t="shared" si="67"/>
        <v>61383991.703042634</v>
      </c>
      <c r="X770" s="30"/>
      <c r="Y770">
        <f t="shared" si="68"/>
        <v>0</v>
      </c>
      <c r="Z770">
        <f t="shared" si="69"/>
        <v>1</v>
      </c>
      <c r="AA770">
        <f t="shared" si="70"/>
        <v>0</v>
      </c>
      <c r="AB770">
        <f t="shared" si="71"/>
        <v>1</v>
      </c>
    </row>
    <row r="771" spans="6:28" x14ac:dyDescent="0.3">
      <c r="F771" s="28"/>
      <c r="G771">
        <v>763</v>
      </c>
      <c r="H771" s="109">
        <v>1209.1578559403279</v>
      </c>
      <c r="I771" s="370">
        <v>1612760.6186751688</v>
      </c>
      <c r="J771">
        <v>0</v>
      </c>
      <c r="K771">
        <v>0</v>
      </c>
      <c r="L771">
        <v>0</v>
      </c>
      <c r="M771">
        <v>1</v>
      </c>
      <c r="N771" s="109">
        <v>1333.7883145298431</v>
      </c>
      <c r="O771" s="109">
        <v>-3325979.7885166551</v>
      </c>
      <c r="P771" s="365">
        <v>1</v>
      </c>
      <c r="Q771" s="365">
        <v>0</v>
      </c>
      <c r="R771" s="365">
        <v>0</v>
      </c>
      <c r="S771" s="365">
        <v>0</v>
      </c>
      <c r="T771" s="109">
        <v>-2750.6580486384341</v>
      </c>
      <c r="V771" s="368">
        <f t="shared" si="66"/>
        <v>58845132.178341217</v>
      </c>
      <c r="W771" s="30">
        <f t="shared" si="67"/>
        <v>63783872.585533045</v>
      </c>
      <c r="X771" s="30"/>
      <c r="Y771">
        <f t="shared" si="68"/>
        <v>0</v>
      </c>
      <c r="Z771">
        <f t="shared" si="69"/>
        <v>1</v>
      </c>
      <c r="AA771">
        <f t="shared" si="70"/>
        <v>0</v>
      </c>
      <c r="AB771">
        <f t="shared" si="71"/>
        <v>1</v>
      </c>
    </row>
    <row r="772" spans="6:28" x14ac:dyDescent="0.3">
      <c r="F772" s="28"/>
      <c r="G772">
        <v>764</v>
      </c>
      <c r="H772" s="109">
        <v>1322.558163488713</v>
      </c>
      <c r="I772" s="370">
        <v>1368033.0515249064</v>
      </c>
      <c r="J772">
        <v>0</v>
      </c>
      <c r="K772">
        <v>0</v>
      </c>
      <c r="L772">
        <v>0</v>
      </c>
      <c r="M772">
        <v>1</v>
      </c>
      <c r="N772" s="109">
        <v>1034.3840364012706</v>
      </c>
      <c r="O772" s="109">
        <v>-4502031.7682817308</v>
      </c>
      <c r="P772" s="365">
        <v>1</v>
      </c>
      <c r="Q772" s="365">
        <v>0</v>
      </c>
      <c r="R772" s="365">
        <v>0</v>
      </c>
      <c r="S772" s="365">
        <v>0</v>
      </c>
      <c r="T772" s="109">
        <v>-3404.0331023370923</v>
      </c>
      <c r="V772" s="368">
        <f t="shared" si="66"/>
        <v>64759875.122910745</v>
      </c>
      <c r="W772" s="30">
        <f t="shared" si="67"/>
        <v>70629939.942717388</v>
      </c>
      <c r="X772" s="30"/>
      <c r="Y772">
        <f t="shared" si="68"/>
        <v>0</v>
      </c>
      <c r="Z772">
        <f t="shared" si="69"/>
        <v>1</v>
      </c>
      <c r="AA772">
        <f t="shared" si="70"/>
        <v>0</v>
      </c>
      <c r="AB772">
        <f t="shared" si="71"/>
        <v>1</v>
      </c>
    </row>
    <row r="773" spans="6:28" x14ac:dyDescent="0.3">
      <c r="F773" s="28"/>
      <c r="G773">
        <v>765</v>
      </c>
      <c r="H773" s="109">
        <v>1277.8660097623797</v>
      </c>
      <c r="I773" s="370">
        <v>1003196.226807802</v>
      </c>
      <c r="J773">
        <v>0</v>
      </c>
      <c r="K773">
        <v>0</v>
      </c>
      <c r="L773">
        <v>0</v>
      </c>
      <c r="M773">
        <v>1</v>
      </c>
      <c r="N773" s="109">
        <v>785.05588155862074</v>
      </c>
      <c r="O773" s="109">
        <v>-4564367.0794394715</v>
      </c>
      <c r="P773" s="365">
        <v>1</v>
      </c>
      <c r="Q773" s="365">
        <v>0</v>
      </c>
      <c r="R773" s="365">
        <v>0</v>
      </c>
      <c r="S773" s="365">
        <v>0</v>
      </c>
      <c r="T773" s="109">
        <v>-3571.8667251257584</v>
      </c>
      <c r="V773" s="368">
        <f t="shared" si="66"/>
        <v>62890104.261311181</v>
      </c>
      <c r="W773" s="30">
        <f t="shared" si="67"/>
        <v>68457667.567558452</v>
      </c>
      <c r="X773" s="30"/>
      <c r="Y773">
        <f t="shared" si="68"/>
        <v>0</v>
      </c>
      <c r="Z773">
        <f t="shared" si="69"/>
        <v>1</v>
      </c>
      <c r="AA773">
        <f t="shared" si="70"/>
        <v>0</v>
      </c>
      <c r="AB773">
        <f t="shared" si="71"/>
        <v>1</v>
      </c>
    </row>
    <row r="774" spans="6:28" x14ac:dyDescent="0.3">
      <c r="F774" s="28"/>
      <c r="G774">
        <v>766</v>
      </c>
      <c r="H774" s="109">
        <v>1107.8641999665706</v>
      </c>
      <c r="I774" s="370">
        <v>2302274.1998014031</v>
      </c>
      <c r="J774">
        <v>0</v>
      </c>
      <c r="K774">
        <v>0</v>
      </c>
      <c r="L774">
        <v>0</v>
      </c>
      <c r="M774">
        <v>1</v>
      </c>
      <c r="N774" s="109">
        <v>2078.1195022556676</v>
      </c>
      <c r="O774" s="109">
        <v>-1666150.8773361694</v>
      </c>
      <c r="P774" s="365">
        <v>1</v>
      </c>
      <c r="Q774" s="365">
        <v>0</v>
      </c>
      <c r="R774" s="365">
        <v>0</v>
      </c>
      <c r="S774" s="365">
        <v>0</v>
      </c>
      <c r="T774" s="109">
        <v>-1503.9306057425133</v>
      </c>
      <c r="V774" s="368">
        <f t="shared" si="66"/>
        <v>53090935.798527129</v>
      </c>
      <c r="W774" s="30">
        <f t="shared" si="67"/>
        <v>57059360.875664696</v>
      </c>
      <c r="X774" s="30"/>
      <c r="Y774">
        <f t="shared" si="68"/>
        <v>0</v>
      </c>
      <c r="Z774">
        <f t="shared" si="69"/>
        <v>1</v>
      </c>
      <c r="AA774">
        <f t="shared" si="70"/>
        <v>0</v>
      </c>
      <c r="AB774">
        <f t="shared" si="71"/>
        <v>1</v>
      </c>
    </row>
    <row r="775" spans="6:28" x14ac:dyDescent="0.3">
      <c r="F775" s="28"/>
      <c r="G775">
        <v>767</v>
      </c>
      <c r="H775" s="109">
        <v>1116.5929904983859</v>
      </c>
      <c r="I775" s="370">
        <v>1358834.5656588366</v>
      </c>
      <c r="J775">
        <v>0</v>
      </c>
      <c r="K775">
        <v>0</v>
      </c>
      <c r="L775">
        <v>0</v>
      </c>
      <c r="M775">
        <v>1</v>
      </c>
      <c r="N775" s="109">
        <v>1216.9470677514528</v>
      </c>
      <c r="O775" s="109">
        <v>-3160528.6539325188</v>
      </c>
      <c r="P775" s="365">
        <v>1</v>
      </c>
      <c r="Q775" s="365">
        <v>0</v>
      </c>
      <c r="R775" s="365">
        <v>0</v>
      </c>
      <c r="S775" s="365">
        <v>0</v>
      </c>
      <c r="T775" s="109">
        <v>-2830.5109210132441</v>
      </c>
      <c r="V775" s="368">
        <f t="shared" si="66"/>
        <v>54470814.959260456</v>
      </c>
      <c r="W775" s="30">
        <f t="shared" si="67"/>
        <v>58990178.178851813</v>
      </c>
      <c r="X775" s="30"/>
      <c r="Y775">
        <f t="shared" si="68"/>
        <v>0</v>
      </c>
      <c r="Z775">
        <f t="shared" si="69"/>
        <v>1</v>
      </c>
      <c r="AA775">
        <f t="shared" si="70"/>
        <v>0</v>
      </c>
      <c r="AB775">
        <f t="shared" si="71"/>
        <v>1</v>
      </c>
    </row>
    <row r="776" spans="6:28" x14ac:dyDescent="0.3">
      <c r="F776" s="28"/>
      <c r="G776">
        <v>768</v>
      </c>
      <c r="H776" s="109">
        <v>1237.7511156069959</v>
      </c>
      <c r="I776" s="370">
        <v>1773457.6081153718</v>
      </c>
      <c r="J776">
        <v>0</v>
      </c>
      <c r="K776">
        <v>0</v>
      </c>
      <c r="L776">
        <v>0</v>
      </c>
      <c r="M776">
        <v>1</v>
      </c>
      <c r="N776" s="109">
        <v>1432.8063095670605</v>
      </c>
      <c r="O776" s="109">
        <v>-2822954.3449182427</v>
      </c>
      <c r="P776" s="365">
        <v>1</v>
      </c>
      <c r="Q776" s="365">
        <v>0</v>
      </c>
      <c r="R776" s="365">
        <v>0</v>
      </c>
      <c r="S776" s="365">
        <v>0</v>
      </c>
      <c r="T776" s="109">
        <v>-2280.7124221688618</v>
      </c>
      <c r="V776" s="368">
        <f t="shared" si="66"/>
        <v>60114098.172234416</v>
      </c>
      <c r="W776" s="30">
        <f t="shared" si="67"/>
        <v>64710510.125268035</v>
      </c>
      <c r="X776" s="30"/>
      <c r="Y776">
        <f t="shared" si="68"/>
        <v>0</v>
      </c>
      <c r="Z776">
        <f t="shared" si="69"/>
        <v>1</v>
      </c>
      <c r="AA776">
        <f t="shared" si="70"/>
        <v>0</v>
      </c>
      <c r="AB776">
        <f t="shared" si="71"/>
        <v>1</v>
      </c>
    </row>
    <row r="777" spans="6:28" x14ac:dyDescent="0.3">
      <c r="F777" s="28"/>
      <c r="G777">
        <v>769</v>
      </c>
      <c r="H777" s="109">
        <v>1132.0931024446472</v>
      </c>
      <c r="I777" s="370">
        <v>1009800.9950300418</v>
      </c>
      <c r="J777">
        <v>0</v>
      </c>
      <c r="K777">
        <v>0</v>
      </c>
      <c r="L777">
        <v>0</v>
      </c>
      <c r="M777">
        <v>1</v>
      </c>
      <c r="N777" s="109">
        <v>891.97698744871138</v>
      </c>
      <c r="O777" s="109">
        <v>-3283921.2374977632</v>
      </c>
      <c r="P777" s="365">
        <v>1</v>
      </c>
      <c r="Q777" s="365">
        <v>0</v>
      </c>
      <c r="R777" s="365">
        <v>0</v>
      </c>
      <c r="S777" s="365">
        <v>0</v>
      </c>
      <c r="T777" s="109">
        <v>-2900.7519173170899</v>
      </c>
      <c r="V777" s="368">
        <f t="shared" ref="V777:V840" si="72">H777*WTPinput-I777</f>
        <v>55594854.127202317</v>
      </c>
      <c r="W777" s="30">
        <f t="shared" ref="W777:W840" si="73">H777*WTPinput-O777</f>
        <v>59888576.359730124</v>
      </c>
      <c r="X777" s="30"/>
      <c r="Y777">
        <f t="shared" si="68"/>
        <v>0</v>
      </c>
      <c r="Z777">
        <f t="shared" si="69"/>
        <v>1</v>
      </c>
      <c r="AA777">
        <f t="shared" si="70"/>
        <v>0</v>
      </c>
      <c r="AB777">
        <f t="shared" si="71"/>
        <v>1</v>
      </c>
    </row>
    <row r="778" spans="6:28" x14ac:dyDescent="0.3">
      <c r="F778" s="28"/>
      <c r="G778">
        <v>770</v>
      </c>
      <c r="H778" s="109">
        <v>1170.8483068134883</v>
      </c>
      <c r="I778" s="370">
        <v>1308408.6101128587</v>
      </c>
      <c r="J778">
        <v>0</v>
      </c>
      <c r="K778">
        <v>0</v>
      </c>
      <c r="L778">
        <v>0</v>
      </c>
      <c r="M778">
        <v>1</v>
      </c>
      <c r="N778" s="109">
        <v>1117.4877244975878</v>
      </c>
      <c r="O778" s="109">
        <v>-3939842.6557806889</v>
      </c>
      <c r="P778" s="365">
        <v>1</v>
      </c>
      <c r="Q778" s="365">
        <v>0</v>
      </c>
      <c r="R778" s="365">
        <v>0</v>
      </c>
      <c r="S778" s="365">
        <v>0</v>
      </c>
      <c r="T778" s="109">
        <v>-3364.9471352127007</v>
      </c>
      <c r="V778" s="368">
        <f t="shared" si="72"/>
        <v>57234006.730561554</v>
      </c>
      <c r="W778" s="30">
        <f t="shared" si="73"/>
        <v>62482257.996455103</v>
      </c>
      <c r="X778" s="30"/>
      <c r="Y778">
        <f t="shared" ref="Y778:Y841" si="74">IF(V778&lt;0,1,0)</f>
        <v>0</v>
      </c>
      <c r="Z778">
        <f t="shared" ref="Z778:Z841" si="75">IF(V778&gt;0,1,0)</f>
        <v>1</v>
      </c>
      <c r="AA778">
        <f t="shared" ref="AA778:AA841" si="76">IF(W778&lt;0,1,0)</f>
        <v>0</v>
      </c>
      <c r="AB778">
        <f t="shared" ref="AB778:AB841" si="77">IF(W778&gt;0,1,0)</f>
        <v>1</v>
      </c>
    </row>
    <row r="779" spans="6:28" x14ac:dyDescent="0.3">
      <c r="F779" s="28"/>
      <c r="G779">
        <v>771</v>
      </c>
      <c r="H779" s="109">
        <v>1256.1695633238924</v>
      </c>
      <c r="I779" s="370">
        <v>1453353.0086118185</v>
      </c>
      <c r="J779">
        <v>0</v>
      </c>
      <c r="K779">
        <v>0</v>
      </c>
      <c r="L779">
        <v>0</v>
      </c>
      <c r="M779">
        <v>1</v>
      </c>
      <c r="N779" s="109">
        <v>1156.9719972884618</v>
      </c>
      <c r="O779" s="109">
        <v>-3413847.4780128398</v>
      </c>
      <c r="P779" s="365">
        <v>1</v>
      </c>
      <c r="Q779" s="365">
        <v>0</v>
      </c>
      <c r="R779" s="365">
        <v>0</v>
      </c>
      <c r="S779" s="365">
        <v>0</v>
      </c>
      <c r="T779" s="109">
        <v>-2717.6645396339768</v>
      </c>
      <c r="V779" s="368">
        <f t="shared" si="72"/>
        <v>61355125.157582797</v>
      </c>
      <c r="W779" s="30">
        <f t="shared" si="73"/>
        <v>66222325.644207455</v>
      </c>
      <c r="X779" s="30"/>
      <c r="Y779">
        <f t="shared" si="74"/>
        <v>0</v>
      </c>
      <c r="Z779">
        <f t="shared" si="75"/>
        <v>1</v>
      </c>
      <c r="AA779">
        <f t="shared" si="76"/>
        <v>0</v>
      </c>
      <c r="AB779">
        <f t="shared" si="77"/>
        <v>1</v>
      </c>
    </row>
    <row r="780" spans="6:28" x14ac:dyDescent="0.3">
      <c r="F780" s="28"/>
      <c r="G780">
        <v>772</v>
      </c>
      <c r="H780" s="109">
        <v>1161.981584225301</v>
      </c>
      <c r="I780" s="370">
        <v>1634585.4261085105</v>
      </c>
      <c r="J780">
        <v>0</v>
      </c>
      <c r="K780">
        <v>0</v>
      </c>
      <c r="L780">
        <v>0</v>
      </c>
      <c r="M780">
        <v>1</v>
      </c>
      <c r="N780" s="109">
        <v>1406.7223166865392</v>
      </c>
      <c r="O780" s="109">
        <v>-2476623.6809235313</v>
      </c>
      <c r="P780" s="365">
        <v>1</v>
      </c>
      <c r="Q780" s="365">
        <v>0</v>
      </c>
      <c r="R780" s="365">
        <v>0</v>
      </c>
      <c r="S780" s="365">
        <v>0</v>
      </c>
      <c r="T780" s="109">
        <v>-2131.3794594900646</v>
      </c>
      <c r="V780" s="368">
        <f t="shared" si="72"/>
        <v>56464493.785156541</v>
      </c>
      <c r="W780" s="30">
        <f t="shared" si="73"/>
        <v>60575702.892188579</v>
      </c>
      <c r="X780" s="30"/>
      <c r="Y780">
        <f t="shared" si="74"/>
        <v>0</v>
      </c>
      <c r="Z780">
        <f t="shared" si="75"/>
        <v>1</v>
      </c>
      <c r="AA780">
        <f t="shared" si="76"/>
        <v>0</v>
      </c>
      <c r="AB780">
        <f t="shared" si="77"/>
        <v>1</v>
      </c>
    </row>
    <row r="781" spans="6:28" x14ac:dyDescent="0.3">
      <c r="F781" s="28"/>
      <c r="G781">
        <v>773</v>
      </c>
      <c r="H781" s="109">
        <v>1063.8357970733341</v>
      </c>
      <c r="I781" s="370">
        <v>945406.29971833958</v>
      </c>
      <c r="J781">
        <v>0</v>
      </c>
      <c r="K781">
        <v>0</v>
      </c>
      <c r="L781">
        <v>0</v>
      </c>
      <c r="M781">
        <v>1</v>
      </c>
      <c r="N781" s="109">
        <v>888.67690137820136</v>
      </c>
      <c r="O781" s="109">
        <v>-2736084.3741531544</v>
      </c>
      <c r="P781" s="365">
        <v>1</v>
      </c>
      <c r="Q781" s="365">
        <v>0</v>
      </c>
      <c r="R781" s="365">
        <v>0</v>
      </c>
      <c r="S781" s="365">
        <v>0</v>
      </c>
      <c r="T781" s="109">
        <v>-2571.904782373615</v>
      </c>
      <c r="V781" s="368">
        <f t="shared" si="72"/>
        <v>52246383.553948365</v>
      </c>
      <c r="W781" s="30">
        <f t="shared" si="73"/>
        <v>55927874.22781986</v>
      </c>
      <c r="X781" s="30"/>
      <c r="Y781">
        <f t="shared" si="74"/>
        <v>0</v>
      </c>
      <c r="Z781">
        <f t="shared" si="75"/>
        <v>1</v>
      </c>
      <c r="AA781">
        <f t="shared" si="76"/>
        <v>0</v>
      </c>
      <c r="AB781">
        <f t="shared" si="77"/>
        <v>1</v>
      </c>
    </row>
    <row r="782" spans="6:28" x14ac:dyDescent="0.3">
      <c r="F782" s="28"/>
      <c r="G782">
        <v>774</v>
      </c>
      <c r="H782" s="109">
        <v>1062.3723925550439</v>
      </c>
      <c r="I782" s="370">
        <v>1401531.5949980563</v>
      </c>
      <c r="J782">
        <v>0</v>
      </c>
      <c r="K782">
        <v>0</v>
      </c>
      <c r="L782">
        <v>0</v>
      </c>
      <c r="M782">
        <v>1</v>
      </c>
      <c r="N782" s="109">
        <v>1319.2470030469469</v>
      </c>
      <c r="O782" s="109">
        <v>-2575431.2171284147</v>
      </c>
      <c r="P782" s="365">
        <v>1</v>
      </c>
      <c r="Q782" s="365">
        <v>0</v>
      </c>
      <c r="R782" s="365">
        <v>0</v>
      </c>
      <c r="S782" s="365">
        <v>0</v>
      </c>
      <c r="T782" s="109">
        <v>-2424.2264154986274</v>
      </c>
      <c r="V782" s="368">
        <f t="shared" si="72"/>
        <v>51717088.032754138</v>
      </c>
      <c r="W782" s="30">
        <f t="shared" si="73"/>
        <v>55694050.844880611</v>
      </c>
      <c r="X782" s="30"/>
      <c r="Y782">
        <f t="shared" si="74"/>
        <v>0</v>
      </c>
      <c r="Z782">
        <f t="shared" si="75"/>
        <v>1</v>
      </c>
      <c r="AA782">
        <f t="shared" si="76"/>
        <v>0</v>
      </c>
      <c r="AB782">
        <f t="shared" si="77"/>
        <v>1</v>
      </c>
    </row>
    <row r="783" spans="6:28" x14ac:dyDescent="0.3">
      <c r="F783" s="28"/>
      <c r="G783">
        <v>775</v>
      </c>
      <c r="H783" s="109">
        <v>1322.932800461931</v>
      </c>
      <c r="I783" s="370">
        <v>1435980.2793943158</v>
      </c>
      <c r="J783">
        <v>0</v>
      </c>
      <c r="K783">
        <v>0</v>
      </c>
      <c r="L783">
        <v>0</v>
      </c>
      <c r="M783">
        <v>1</v>
      </c>
      <c r="N783" s="109">
        <v>1085.452170278726</v>
      </c>
      <c r="O783" s="109">
        <v>-3409712.0293328133</v>
      </c>
      <c r="P783" s="365">
        <v>1</v>
      </c>
      <c r="Q783" s="365">
        <v>0</v>
      </c>
      <c r="R783" s="365">
        <v>0</v>
      </c>
      <c r="S783" s="365">
        <v>0</v>
      </c>
      <c r="T783" s="109">
        <v>-2577.3886837957584</v>
      </c>
      <c r="V783" s="368">
        <f t="shared" si="72"/>
        <v>64710659.74370224</v>
      </c>
      <c r="W783" s="30">
        <f t="shared" si="73"/>
        <v>69556352.052429363</v>
      </c>
      <c r="X783" s="30"/>
      <c r="Y783">
        <f t="shared" si="74"/>
        <v>0</v>
      </c>
      <c r="Z783">
        <f t="shared" si="75"/>
        <v>1</v>
      </c>
      <c r="AA783">
        <f t="shared" si="76"/>
        <v>0</v>
      </c>
      <c r="AB783">
        <f t="shared" si="77"/>
        <v>1</v>
      </c>
    </row>
    <row r="784" spans="6:28" x14ac:dyDescent="0.3">
      <c r="F784" s="28"/>
      <c r="G784">
        <v>776</v>
      </c>
      <c r="H784" s="109">
        <v>1120.415794756489</v>
      </c>
      <c r="I784" s="370">
        <v>2084896.7211781649</v>
      </c>
      <c r="J784">
        <v>0</v>
      </c>
      <c r="K784">
        <v>0</v>
      </c>
      <c r="L784">
        <v>0</v>
      </c>
      <c r="M784">
        <v>1</v>
      </c>
      <c r="N784" s="109">
        <v>1860.8241073853264</v>
      </c>
      <c r="O784" s="109">
        <v>-2287590.6926284949</v>
      </c>
      <c r="P784" s="365">
        <v>1</v>
      </c>
      <c r="Q784" s="365">
        <v>0</v>
      </c>
      <c r="R784" s="365">
        <v>0</v>
      </c>
      <c r="S784" s="365">
        <v>0</v>
      </c>
      <c r="T784" s="109">
        <v>-2041.7337057674017</v>
      </c>
      <c r="V784" s="368">
        <f t="shared" si="72"/>
        <v>53935893.016646288</v>
      </c>
      <c r="W784" s="30">
        <f t="shared" si="73"/>
        <v>58308380.43045295</v>
      </c>
      <c r="X784" s="30"/>
      <c r="Y784">
        <f t="shared" si="74"/>
        <v>0</v>
      </c>
      <c r="Z784">
        <f t="shared" si="75"/>
        <v>1</v>
      </c>
      <c r="AA784">
        <f t="shared" si="76"/>
        <v>0</v>
      </c>
      <c r="AB784">
        <f t="shared" si="77"/>
        <v>1</v>
      </c>
    </row>
    <row r="785" spans="6:28" x14ac:dyDescent="0.3">
      <c r="F785" s="28"/>
      <c r="G785">
        <v>777</v>
      </c>
      <c r="H785" s="109">
        <v>1098.3736562375998</v>
      </c>
      <c r="I785" s="370">
        <v>947919.37018490711</v>
      </c>
      <c r="J785">
        <v>0</v>
      </c>
      <c r="K785">
        <v>0</v>
      </c>
      <c r="L785">
        <v>0</v>
      </c>
      <c r="M785">
        <v>1</v>
      </c>
      <c r="N785" s="109">
        <v>863.02085342426813</v>
      </c>
      <c r="O785" s="109">
        <v>-3305496.7034719568</v>
      </c>
      <c r="P785" s="365">
        <v>1</v>
      </c>
      <c r="Q785" s="365">
        <v>0</v>
      </c>
      <c r="R785" s="365">
        <v>0</v>
      </c>
      <c r="S785" s="365">
        <v>0</v>
      </c>
      <c r="T785" s="109">
        <v>-3009.4464526713969</v>
      </c>
      <c r="V785" s="368">
        <f t="shared" si="72"/>
        <v>53970763.441695087</v>
      </c>
      <c r="W785" s="30">
        <f t="shared" si="73"/>
        <v>58224179.515351951</v>
      </c>
      <c r="X785" s="30"/>
      <c r="Y785">
        <f t="shared" si="74"/>
        <v>0</v>
      </c>
      <c r="Z785">
        <f t="shared" si="75"/>
        <v>1</v>
      </c>
      <c r="AA785">
        <f t="shared" si="76"/>
        <v>0</v>
      </c>
      <c r="AB785">
        <f t="shared" si="77"/>
        <v>1</v>
      </c>
    </row>
    <row r="786" spans="6:28" x14ac:dyDescent="0.3">
      <c r="F786" s="28"/>
      <c r="G786">
        <v>778</v>
      </c>
      <c r="H786" s="109">
        <v>1195.2335641793397</v>
      </c>
      <c r="I786" s="370">
        <v>1066191.7298440579</v>
      </c>
      <c r="J786">
        <v>0</v>
      </c>
      <c r="K786">
        <v>0</v>
      </c>
      <c r="L786">
        <v>0</v>
      </c>
      <c r="M786">
        <v>1</v>
      </c>
      <c r="N786" s="109">
        <v>892.03630302677846</v>
      </c>
      <c r="O786" s="109">
        <v>-3174433.792487382</v>
      </c>
      <c r="P786" s="365">
        <v>1</v>
      </c>
      <c r="Q786" s="365">
        <v>0</v>
      </c>
      <c r="R786" s="365">
        <v>0</v>
      </c>
      <c r="S786" s="365">
        <v>0</v>
      </c>
      <c r="T786" s="109">
        <v>-2655.9108509197386</v>
      </c>
      <c r="V786" s="368">
        <f t="shared" si="72"/>
        <v>58695486.479122929</v>
      </c>
      <c r="W786" s="30">
        <f t="shared" si="73"/>
        <v>62936112.001454368</v>
      </c>
      <c r="X786" s="30"/>
      <c r="Y786">
        <f t="shared" si="74"/>
        <v>0</v>
      </c>
      <c r="Z786">
        <f t="shared" si="75"/>
        <v>1</v>
      </c>
      <c r="AA786">
        <f t="shared" si="76"/>
        <v>0</v>
      </c>
      <c r="AB786">
        <f t="shared" si="77"/>
        <v>1</v>
      </c>
    </row>
    <row r="787" spans="6:28" x14ac:dyDescent="0.3">
      <c r="F787" s="28"/>
      <c r="G787">
        <v>779</v>
      </c>
      <c r="H787" s="109">
        <v>1181.5522863078586</v>
      </c>
      <c r="I787" s="370">
        <v>2306190.3429165585</v>
      </c>
      <c r="J787">
        <v>0</v>
      </c>
      <c r="K787">
        <v>0</v>
      </c>
      <c r="L787">
        <v>0</v>
      </c>
      <c r="M787">
        <v>1</v>
      </c>
      <c r="N787" s="109">
        <v>1951.8309681605326</v>
      </c>
      <c r="O787" s="109">
        <v>-2533739.8572701835</v>
      </c>
      <c r="P787" s="365">
        <v>1</v>
      </c>
      <c r="Q787" s="365">
        <v>0</v>
      </c>
      <c r="R787" s="365">
        <v>0</v>
      </c>
      <c r="S787" s="365">
        <v>0</v>
      </c>
      <c r="T787" s="109">
        <v>-2144.4161943841445</v>
      </c>
      <c r="V787" s="368">
        <f t="shared" si="72"/>
        <v>56771423.972476371</v>
      </c>
      <c r="W787" s="30">
        <f t="shared" si="73"/>
        <v>61611354.172663108</v>
      </c>
      <c r="X787" s="30"/>
      <c r="Y787">
        <f t="shared" si="74"/>
        <v>0</v>
      </c>
      <c r="Z787">
        <f t="shared" si="75"/>
        <v>1</v>
      </c>
      <c r="AA787">
        <f t="shared" si="76"/>
        <v>0</v>
      </c>
      <c r="AB787">
        <f t="shared" si="77"/>
        <v>1</v>
      </c>
    </row>
    <row r="788" spans="6:28" x14ac:dyDescent="0.3">
      <c r="F788" s="28"/>
      <c r="G788">
        <v>780</v>
      </c>
      <c r="H788" s="109">
        <v>1052.2043997038272</v>
      </c>
      <c r="I788" s="370">
        <v>1372528.8158075416</v>
      </c>
      <c r="J788">
        <v>0</v>
      </c>
      <c r="K788">
        <v>0</v>
      </c>
      <c r="L788">
        <v>0</v>
      </c>
      <c r="M788">
        <v>1</v>
      </c>
      <c r="N788" s="109">
        <v>1304.4317398728601</v>
      </c>
      <c r="O788" s="109">
        <v>-2751986.3999657715</v>
      </c>
      <c r="P788" s="365">
        <v>1</v>
      </c>
      <c r="Q788" s="365">
        <v>0</v>
      </c>
      <c r="R788" s="365">
        <v>0</v>
      </c>
      <c r="S788" s="365">
        <v>0</v>
      </c>
      <c r="T788" s="109">
        <v>-2615.448482006344</v>
      </c>
      <c r="V788" s="368">
        <f t="shared" si="72"/>
        <v>51237691.169383816</v>
      </c>
      <c r="W788" s="30">
        <f t="shared" si="73"/>
        <v>55362206.385157131</v>
      </c>
      <c r="X788" s="30"/>
      <c r="Y788">
        <f t="shared" si="74"/>
        <v>0</v>
      </c>
      <c r="Z788">
        <f t="shared" si="75"/>
        <v>1</v>
      </c>
      <c r="AA788">
        <f t="shared" si="76"/>
        <v>0</v>
      </c>
      <c r="AB788">
        <f t="shared" si="77"/>
        <v>1</v>
      </c>
    </row>
    <row r="789" spans="6:28" x14ac:dyDescent="0.3">
      <c r="F789" s="28"/>
      <c r="G789">
        <v>781</v>
      </c>
      <c r="H789" s="109">
        <v>1093.0604501759226</v>
      </c>
      <c r="I789" s="370">
        <v>1574532.2376491791</v>
      </c>
      <c r="J789">
        <v>0</v>
      </c>
      <c r="K789">
        <v>0</v>
      </c>
      <c r="L789">
        <v>0</v>
      </c>
      <c r="M789">
        <v>1</v>
      </c>
      <c r="N789" s="109">
        <v>1440.4804760759262</v>
      </c>
      <c r="O789" s="109">
        <v>-2373163.75187098</v>
      </c>
      <c r="P789" s="365">
        <v>1</v>
      </c>
      <c r="Q789" s="365">
        <v>0</v>
      </c>
      <c r="R789" s="365">
        <v>0</v>
      </c>
      <c r="S789" s="365">
        <v>0</v>
      </c>
      <c r="T789" s="109">
        <v>-2171.1184879930761</v>
      </c>
      <c r="V789" s="368">
        <f t="shared" si="72"/>
        <v>53078490.271146953</v>
      </c>
      <c r="W789" s="30">
        <f t="shared" si="73"/>
        <v>57026186.260667115</v>
      </c>
      <c r="X789" s="30"/>
      <c r="Y789">
        <f t="shared" si="74"/>
        <v>0</v>
      </c>
      <c r="Z789">
        <f t="shared" si="75"/>
        <v>1</v>
      </c>
      <c r="AA789">
        <f t="shared" si="76"/>
        <v>0</v>
      </c>
      <c r="AB789">
        <f t="shared" si="77"/>
        <v>1</v>
      </c>
    </row>
    <row r="790" spans="6:28" x14ac:dyDescent="0.3">
      <c r="F790" s="28"/>
      <c r="G790">
        <v>782</v>
      </c>
      <c r="H790" s="109">
        <v>1132.1873954497132</v>
      </c>
      <c r="I790" s="370">
        <v>945814.6668797899</v>
      </c>
      <c r="J790">
        <v>0</v>
      </c>
      <c r="K790">
        <v>0</v>
      </c>
      <c r="L790">
        <v>0</v>
      </c>
      <c r="M790">
        <v>1</v>
      </c>
      <c r="N790" s="109">
        <v>835.38703105249226</v>
      </c>
      <c r="O790" s="109">
        <v>-3612745.1422453271</v>
      </c>
      <c r="P790" s="365">
        <v>1</v>
      </c>
      <c r="Q790" s="365">
        <v>0</v>
      </c>
      <c r="R790" s="365">
        <v>0</v>
      </c>
      <c r="S790" s="365">
        <v>0</v>
      </c>
      <c r="T790" s="109">
        <v>-3190.9427333010699</v>
      </c>
      <c r="V790" s="368">
        <f t="shared" si="72"/>
        <v>55663555.10560587</v>
      </c>
      <c r="W790" s="30">
        <f t="shared" si="73"/>
        <v>60222114.914730988</v>
      </c>
      <c r="X790" s="30"/>
      <c r="Y790">
        <f t="shared" si="74"/>
        <v>0</v>
      </c>
      <c r="Z790">
        <f t="shared" si="75"/>
        <v>1</v>
      </c>
      <c r="AA790">
        <f t="shared" si="76"/>
        <v>0</v>
      </c>
      <c r="AB790">
        <f t="shared" si="77"/>
        <v>1</v>
      </c>
    </row>
    <row r="791" spans="6:28" x14ac:dyDescent="0.3">
      <c r="F791" s="28"/>
      <c r="G791">
        <v>783</v>
      </c>
      <c r="H791" s="109">
        <v>1321.1241776712195</v>
      </c>
      <c r="I791" s="370">
        <v>1062095.2481253955</v>
      </c>
      <c r="J791">
        <v>0</v>
      </c>
      <c r="K791">
        <v>0</v>
      </c>
      <c r="L791">
        <v>0</v>
      </c>
      <c r="M791">
        <v>1</v>
      </c>
      <c r="N791" s="109">
        <v>803.93294292560665</v>
      </c>
      <c r="O791" s="109">
        <v>-3983588.0934124943</v>
      </c>
      <c r="P791" s="365">
        <v>1</v>
      </c>
      <c r="Q791" s="365">
        <v>0</v>
      </c>
      <c r="R791" s="365">
        <v>0</v>
      </c>
      <c r="S791" s="365">
        <v>0</v>
      </c>
      <c r="T791" s="109">
        <v>-3015.301786721117</v>
      </c>
      <c r="V791" s="368">
        <f t="shared" si="72"/>
        <v>64994113.635435581</v>
      </c>
      <c r="W791" s="30">
        <f t="shared" si="73"/>
        <v>70039796.976973474</v>
      </c>
      <c r="X791" s="30"/>
      <c r="Y791">
        <f t="shared" si="74"/>
        <v>0</v>
      </c>
      <c r="Z791">
        <f t="shared" si="75"/>
        <v>1</v>
      </c>
      <c r="AA791">
        <f t="shared" si="76"/>
        <v>0</v>
      </c>
      <c r="AB791">
        <f t="shared" si="77"/>
        <v>1</v>
      </c>
    </row>
    <row r="792" spans="6:28" x14ac:dyDescent="0.3">
      <c r="F792" s="28"/>
      <c r="G792">
        <v>784</v>
      </c>
      <c r="H792" s="109">
        <v>1227.1019389343637</v>
      </c>
      <c r="I792" s="370">
        <v>1368010.1669417738</v>
      </c>
      <c r="J792">
        <v>0</v>
      </c>
      <c r="K792">
        <v>0</v>
      </c>
      <c r="L792">
        <v>0</v>
      </c>
      <c r="M792">
        <v>1</v>
      </c>
      <c r="N792" s="109">
        <v>1114.8300915649902</v>
      </c>
      <c r="O792" s="109">
        <v>-2926156.3793447958</v>
      </c>
      <c r="P792" s="365">
        <v>1</v>
      </c>
      <c r="Q792" s="365">
        <v>0</v>
      </c>
      <c r="R792" s="365">
        <v>0</v>
      </c>
      <c r="S792" s="365">
        <v>0</v>
      </c>
      <c r="T792" s="109">
        <v>-2384.607412393073</v>
      </c>
      <c r="V792" s="368">
        <f t="shared" si="72"/>
        <v>59987086.779776409</v>
      </c>
      <c r="W792" s="30">
        <f t="shared" si="73"/>
        <v>64281253.326062985</v>
      </c>
      <c r="X792" s="30"/>
      <c r="Y792">
        <f t="shared" si="74"/>
        <v>0</v>
      </c>
      <c r="Z792">
        <f t="shared" si="75"/>
        <v>1</v>
      </c>
      <c r="AA792">
        <f t="shared" si="76"/>
        <v>0</v>
      </c>
      <c r="AB792">
        <f t="shared" si="77"/>
        <v>1</v>
      </c>
    </row>
    <row r="793" spans="6:28" x14ac:dyDescent="0.3">
      <c r="F793" s="28"/>
      <c r="G793">
        <v>785</v>
      </c>
      <c r="H793" s="109">
        <v>870.23238503339962</v>
      </c>
      <c r="I793" s="370">
        <v>950521.29124894086</v>
      </c>
      <c r="J793">
        <v>0</v>
      </c>
      <c r="K793">
        <v>0</v>
      </c>
      <c r="L793">
        <v>0</v>
      </c>
      <c r="M793">
        <v>1</v>
      </c>
      <c r="N793" s="109">
        <v>1092.2614552117132</v>
      </c>
      <c r="O793" s="109">
        <v>-1878477.4716784852</v>
      </c>
      <c r="P793" s="365">
        <v>1</v>
      </c>
      <c r="Q793" s="365">
        <v>0</v>
      </c>
      <c r="R793" s="365">
        <v>0</v>
      </c>
      <c r="S793" s="365">
        <v>0</v>
      </c>
      <c r="T793" s="109">
        <v>-2158.5929275734652</v>
      </c>
      <c r="V793" s="368">
        <f t="shared" si="72"/>
        <v>42561097.960421041</v>
      </c>
      <c r="W793" s="30">
        <f t="shared" si="73"/>
        <v>45390096.723348469</v>
      </c>
      <c r="X793" s="30"/>
      <c r="Y793">
        <f t="shared" si="74"/>
        <v>0</v>
      </c>
      <c r="Z793">
        <f t="shared" si="75"/>
        <v>1</v>
      </c>
      <c r="AA793">
        <f t="shared" si="76"/>
        <v>0</v>
      </c>
      <c r="AB793">
        <f t="shared" si="77"/>
        <v>1</v>
      </c>
    </row>
    <row r="794" spans="6:28" x14ac:dyDescent="0.3">
      <c r="F794" s="28"/>
      <c r="G794">
        <v>786</v>
      </c>
      <c r="H794" s="109">
        <v>1203.6634832718119</v>
      </c>
      <c r="I794" s="370">
        <v>990566.04865799251</v>
      </c>
      <c r="J794">
        <v>0</v>
      </c>
      <c r="K794">
        <v>0</v>
      </c>
      <c r="L794">
        <v>0</v>
      </c>
      <c r="M794">
        <v>1</v>
      </c>
      <c r="N794" s="109">
        <v>822.95929254697046</v>
      </c>
      <c r="O794" s="109">
        <v>-3611229.4870944</v>
      </c>
      <c r="P794" s="365">
        <v>1</v>
      </c>
      <c r="Q794" s="365">
        <v>0</v>
      </c>
      <c r="R794" s="365">
        <v>0</v>
      </c>
      <c r="S794" s="365">
        <v>0</v>
      </c>
      <c r="T794" s="109">
        <v>-3000.1985914520847</v>
      </c>
      <c r="V794" s="368">
        <f t="shared" si="72"/>
        <v>59192608.114932604</v>
      </c>
      <c r="W794" s="30">
        <f t="shared" si="73"/>
        <v>63794403.650684997</v>
      </c>
      <c r="X794" s="30"/>
      <c r="Y794">
        <f t="shared" si="74"/>
        <v>0</v>
      </c>
      <c r="Z794">
        <f t="shared" si="75"/>
        <v>1</v>
      </c>
      <c r="AA794">
        <f t="shared" si="76"/>
        <v>0</v>
      </c>
      <c r="AB794">
        <f t="shared" si="77"/>
        <v>1</v>
      </c>
    </row>
    <row r="795" spans="6:28" x14ac:dyDescent="0.3">
      <c r="F795" s="28"/>
      <c r="G795">
        <v>787</v>
      </c>
      <c r="H795" s="109">
        <v>1277.4975992930849</v>
      </c>
      <c r="I795" s="370">
        <v>900276.05089225795</v>
      </c>
      <c r="J795">
        <v>0</v>
      </c>
      <c r="K795">
        <v>0</v>
      </c>
      <c r="L795">
        <v>0</v>
      </c>
      <c r="M795">
        <v>1</v>
      </c>
      <c r="N795" s="109">
        <v>704.71838960044545</v>
      </c>
      <c r="O795" s="109">
        <v>-4675316.7197434697</v>
      </c>
      <c r="P795" s="365">
        <v>1</v>
      </c>
      <c r="Q795" s="365">
        <v>0</v>
      </c>
      <c r="R795" s="365">
        <v>0</v>
      </c>
      <c r="S795" s="365">
        <v>0</v>
      </c>
      <c r="T795" s="109">
        <v>-3659.7459927365808</v>
      </c>
      <c r="V795" s="368">
        <f t="shared" si="72"/>
        <v>62974603.913761988</v>
      </c>
      <c r="W795" s="30">
        <f t="shared" si="73"/>
        <v>68550196.684397712</v>
      </c>
      <c r="X795" s="30"/>
      <c r="Y795">
        <f t="shared" si="74"/>
        <v>0</v>
      </c>
      <c r="Z795">
        <f t="shared" si="75"/>
        <v>1</v>
      </c>
      <c r="AA795">
        <f t="shared" si="76"/>
        <v>0</v>
      </c>
      <c r="AB795">
        <f t="shared" si="77"/>
        <v>1</v>
      </c>
    </row>
    <row r="796" spans="6:28" x14ac:dyDescent="0.3">
      <c r="F796" s="28"/>
      <c r="G796">
        <v>788</v>
      </c>
      <c r="H796" s="109">
        <v>1333.6707881639159</v>
      </c>
      <c r="I796" s="370">
        <v>1700871.5230463818</v>
      </c>
      <c r="J796">
        <v>0</v>
      </c>
      <c r="K796">
        <v>0</v>
      </c>
      <c r="L796">
        <v>0</v>
      </c>
      <c r="M796">
        <v>1</v>
      </c>
      <c r="N796" s="109">
        <v>1275.3308673634492</v>
      </c>
      <c r="O796" s="109">
        <v>-3033315.8340943758</v>
      </c>
      <c r="P796" s="365">
        <v>1</v>
      </c>
      <c r="Q796" s="365">
        <v>0</v>
      </c>
      <c r="R796" s="365">
        <v>0</v>
      </c>
      <c r="S796" s="365">
        <v>0</v>
      </c>
      <c r="T796" s="109">
        <v>-2274.4112422754542</v>
      </c>
      <c r="V796" s="368">
        <f t="shared" si="72"/>
        <v>64982667.885149412</v>
      </c>
      <c r="W796" s="30">
        <f t="shared" si="73"/>
        <v>69716855.242290169</v>
      </c>
      <c r="X796" s="30"/>
      <c r="Y796">
        <f t="shared" si="74"/>
        <v>0</v>
      </c>
      <c r="Z796">
        <f t="shared" si="75"/>
        <v>1</v>
      </c>
      <c r="AA796">
        <f t="shared" si="76"/>
        <v>0</v>
      </c>
      <c r="AB796">
        <f t="shared" si="77"/>
        <v>1</v>
      </c>
    </row>
    <row r="797" spans="6:28" x14ac:dyDescent="0.3">
      <c r="F797" s="28"/>
      <c r="G797">
        <v>789</v>
      </c>
      <c r="H797" s="109">
        <v>1058.0507882404709</v>
      </c>
      <c r="I797" s="370">
        <v>1619718.7690837895</v>
      </c>
      <c r="J797">
        <v>0</v>
      </c>
      <c r="K797">
        <v>0</v>
      </c>
      <c r="L797">
        <v>0</v>
      </c>
      <c r="M797">
        <v>1</v>
      </c>
      <c r="N797" s="109">
        <v>1530.8516255418774</v>
      </c>
      <c r="O797" s="109">
        <v>-2686644.5701441625</v>
      </c>
      <c r="P797" s="365">
        <v>1</v>
      </c>
      <c r="Q797" s="365">
        <v>0</v>
      </c>
      <c r="R797" s="365">
        <v>0</v>
      </c>
      <c r="S797" s="365">
        <v>0</v>
      </c>
      <c r="T797" s="109">
        <v>-2539.2397038066847</v>
      </c>
      <c r="V797" s="368">
        <f t="shared" si="72"/>
        <v>51282820.642939754</v>
      </c>
      <c r="W797" s="30">
        <f t="shared" si="73"/>
        <v>55589183.982167706</v>
      </c>
      <c r="X797" s="30"/>
      <c r="Y797">
        <f t="shared" si="74"/>
        <v>0</v>
      </c>
      <c r="Z797">
        <f t="shared" si="75"/>
        <v>1</v>
      </c>
      <c r="AA797">
        <f t="shared" si="76"/>
        <v>0</v>
      </c>
      <c r="AB797">
        <f t="shared" si="77"/>
        <v>1</v>
      </c>
    </row>
    <row r="798" spans="6:28" x14ac:dyDescent="0.3">
      <c r="F798" s="28"/>
      <c r="G798">
        <v>790</v>
      </c>
      <c r="H798" s="109">
        <v>1197.9333048522676</v>
      </c>
      <c r="I798" s="370">
        <v>1901454.7416412542</v>
      </c>
      <c r="J798">
        <v>0</v>
      </c>
      <c r="K798">
        <v>0</v>
      </c>
      <c r="L798">
        <v>0</v>
      </c>
      <c r="M798">
        <v>1</v>
      </c>
      <c r="N798" s="109">
        <v>1587.2793033963997</v>
      </c>
      <c r="O798" s="109">
        <v>-2570297.3073563725</v>
      </c>
      <c r="P798" s="365">
        <v>1</v>
      </c>
      <c r="Q798" s="365">
        <v>0</v>
      </c>
      <c r="R798" s="365">
        <v>0</v>
      </c>
      <c r="S798" s="365">
        <v>0</v>
      </c>
      <c r="T798" s="109">
        <v>-2145.6096904103929</v>
      </c>
      <c r="V798" s="368">
        <f t="shared" si="72"/>
        <v>57995210.500972129</v>
      </c>
      <c r="W798" s="30">
        <f t="shared" si="73"/>
        <v>62466962.549969755</v>
      </c>
      <c r="X798" s="30"/>
      <c r="Y798">
        <f t="shared" si="74"/>
        <v>0</v>
      </c>
      <c r="Z798">
        <f t="shared" si="75"/>
        <v>1</v>
      </c>
      <c r="AA798">
        <f t="shared" si="76"/>
        <v>0</v>
      </c>
      <c r="AB798">
        <f t="shared" si="77"/>
        <v>1</v>
      </c>
    </row>
    <row r="799" spans="6:28" x14ac:dyDescent="0.3">
      <c r="F799" s="28"/>
      <c r="G799">
        <v>791</v>
      </c>
      <c r="H799" s="109">
        <v>1260.6362380185747</v>
      </c>
      <c r="I799" s="370">
        <v>1341587.6263272562</v>
      </c>
      <c r="J799">
        <v>0</v>
      </c>
      <c r="K799">
        <v>0</v>
      </c>
      <c r="L799">
        <v>0</v>
      </c>
      <c r="M799">
        <v>1</v>
      </c>
      <c r="N799" s="109">
        <v>1064.2147083094471</v>
      </c>
      <c r="O799" s="109">
        <v>-2924998.9041368077</v>
      </c>
      <c r="P799" s="365">
        <v>1</v>
      </c>
      <c r="Q799" s="365">
        <v>0</v>
      </c>
      <c r="R799" s="365">
        <v>0</v>
      </c>
      <c r="S799" s="365">
        <v>0</v>
      </c>
      <c r="T799" s="109">
        <v>-2320.2560865093183</v>
      </c>
      <c r="V799" s="368">
        <f t="shared" si="72"/>
        <v>61690224.274601482</v>
      </c>
      <c r="W799" s="30">
        <f t="shared" si="73"/>
        <v>65956810.805065542</v>
      </c>
      <c r="X799" s="30"/>
      <c r="Y799">
        <f t="shared" si="74"/>
        <v>0</v>
      </c>
      <c r="Z799">
        <f t="shared" si="75"/>
        <v>1</v>
      </c>
      <c r="AA799">
        <f t="shared" si="76"/>
        <v>0</v>
      </c>
      <c r="AB799">
        <f t="shared" si="77"/>
        <v>1</v>
      </c>
    </row>
    <row r="800" spans="6:28" x14ac:dyDescent="0.3">
      <c r="F800" s="28"/>
      <c r="G800">
        <v>792</v>
      </c>
      <c r="H800" s="109">
        <v>1199.4278117682043</v>
      </c>
      <c r="I800" s="370">
        <v>2220417.4701707601</v>
      </c>
      <c r="J800">
        <v>0</v>
      </c>
      <c r="K800">
        <v>0</v>
      </c>
      <c r="L800">
        <v>0</v>
      </c>
      <c r="M800">
        <v>1</v>
      </c>
      <c r="N800" s="109">
        <v>1851.2306021130244</v>
      </c>
      <c r="O800" s="109">
        <v>-3404732.8323075487</v>
      </c>
      <c r="P800" s="365">
        <v>1</v>
      </c>
      <c r="Q800" s="365">
        <v>0</v>
      </c>
      <c r="R800" s="365">
        <v>0</v>
      </c>
      <c r="S800" s="365">
        <v>0</v>
      </c>
      <c r="T800" s="109">
        <v>-2838.6308862458923</v>
      </c>
      <c r="V800" s="368">
        <f t="shared" si="72"/>
        <v>57750973.118239455</v>
      </c>
      <c r="W800" s="30">
        <f t="shared" si="73"/>
        <v>63376123.420717761</v>
      </c>
      <c r="X800" s="30"/>
      <c r="Y800">
        <f t="shared" si="74"/>
        <v>0</v>
      </c>
      <c r="Z800">
        <f t="shared" si="75"/>
        <v>1</v>
      </c>
      <c r="AA800">
        <f t="shared" si="76"/>
        <v>0</v>
      </c>
      <c r="AB800">
        <f t="shared" si="77"/>
        <v>1</v>
      </c>
    </row>
    <row r="801" spans="6:28" x14ac:dyDescent="0.3">
      <c r="F801" s="28"/>
      <c r="G801">
        <v>793</v>
      </c>
      <c r="H801" s="109">
        <v>1255.4069421542663</v>
      </c>
      <c r="I801" s="370">
        <v>1269654.2112175275</v>
      </c>
      <c r="J801">
        <v>0</v>
      </c>
      <c r="K801">
        <v>0</v>
      </c>
      <c r="L801">
        <v>0</v>
      </c>
      <c r="M801">
        <v>1</v>
      </c>
      <c r="N801" s="109">
        <v>1011.3487257277811</v>
      </c>
      <c r="O801" s="109">
        <v>-4474116.8333484353</v>
      </c>
      <c r="P801" s="365">
        <v>1</v>
      </c>
      <c r="Q801" s="365">
        <v>0</v>
      </c>
      <c r="R801" s="365">
        <v>0</v>
      </c>
      <c r="S801" s="365">
        <v>0</v>
      </c>
      <c r="T801" s="109">
        <v>-3563.8777221280088</v>
      </c>
      <c r="V801" s="368">
        <f t="shared" si="72"/>
        <v>61500692.896495782</v>
      </c>
      <c r="W801" s="30">
        <f t="shared" si="73"/>
        <v>67244463.94106175</v>
      </c>
      <c r="X801" s="30"/>
      <c r="Y801">
        <f t="shared" si="74"/>
        <v>0</v>
      </c>
      <c r="Z801">
        <f t="shared" si="75"/>
        <v>1</v>
      </c>
      <c r="AA801">
        <f t="shared" si="76"/>
        <v>0</v>
      </c>
      <c r="AB801">
        <f t="shared" si="77"/>
        <v>1</v>
      </c>
    </row>
    <row r="802" spans="6:28" x14ac:dyDescent="0.3">
      <c r="F802" s="28"/>
      <c r="G802">
        <v>794</v>
      </c>
      <c r="H802" s="109">
        <v>1429.3152918396227</v>
      </c>
      <c r="I802" s="370">
        <v>1334330.3310658967</v>
      </c>
      <c r="J802">
        <v>0</v>
      </c>
      <c r="K802">
        <v>0</v>
      </c>
      <c r="L802">
        <v>0</v>
      </c>
      <c r="M802">
        <v>1</v>
      </c>
      <c r="N802" s="109">
        <v>933.54513079372839</v>
      </c>
      <c r="O802" s="109">
        <v>-3994377.1068860805</v>
      </c>
      <c r="P802" s="365">
        <v>1</v>
      </c>
      <c r="Q802" s="365">
        <v>0</v>
      </c>
      <c r="R802" s="365">
        <v>0</v>
      </c>
      <c r="S802" s="365">
        <v>0</v>
      </c>
      <c r="T802" s="109">
        <v>-2794.6088100303291</v>
      </c>
      <c r="V802" s="368">
        <f t="shared" si="72"/>
        <v>70131434.260915235</v>
      </c>
      <c r="W802" s="30">
        <f t="shared" si="73"/>
        <v>75460141.698867202</v>
      </c>
      <c r="X802" s="30"/>
      <c r="Y802">
        <f t="shared" si="74"/>
        <v>0</v>
      </c>
      <c r="Z802">
        <f t="shared" si="75"/>
        <v>1</v>
      </c>
      <c r="AA802">
        <f t="shared" si="76"/>
        <v>0</v>
      </c>
      <c r="AB802">
        <f t="shared" si="77"/>
        <v>1</v>
      </c>
    </row>
    <row r="803" spans="6:28" x14ac:dyDescent="0.3">
      <c r="F803" s="28"/>
      <c r="G803">
        <v>795</v>
      </c>
      <c r="H803" s="109">
        <v>1109.8074365174034</v>
      </c>
      <c r="I803" s="370">
        <v>1459559.9597847878</v>
      </c>
      <c r="J803">
        <v>0</v>
      </c>
      <c r="K803">
        <v>0</v>
      </c>
      <c r="L803">
        <v>0</v>
      </c>
      <c r="M803">
        <v>1</v>
      </c>
      <c r="N803" s="109">
        <v>1315.1470352054178</v>
      </c>
      <c r="O803" s="109">
        <v>-2513593.0742435507</v>
      </c>
      <c r="P803" s="365">
        <v>1</v>
      </c>
      <c r="Q803" s="365">
        <v>0</v>
      </c>
      <c r="R803" s="365">
        <v>0</v>
      </c>
      <c r="S803" s="365">
        <v>0</v>
      </c>
      <c r="T803" s="109">
        <v>-2264.8911797989504</v>
      </c>
      <c r="V803" s="368">
        <f t="shared" si="72"/>
        <v>54030811.86608538</v>
      </c>
      <c r="W803" s="30">
        <f t="shared" si="73"/>
        <v>58003964.900113724</v>
      </c>
      <c r="X803" s="30"/>
      <c r="Y803">
        <f t="shared" si="74"/>
        <v>0</v>
      </c>
      <c r="Z803">
        <f t="shared" si="75"/>
        <v>1</v>
      </c>
      <c r="AA803">
        <f t="shared" si="76"/>
        <v>0</v>
      </c>
      <c r="AB803">
        <f t="shared" si="77"/>
        <v>1</v>
      </c>
    </row>
    <row r="804" spans="6:28" x14ac:dyDescent="0.3">
      <c r="F804" s="28"/>
      <c r="G804">
        <v>796</v>
      </c>
      <c r="H804" s="109">
        <v>1254.5036758344067</v>
      </c>
      <c r="I804" s="370">
        <v>908821.97011576861</v>
      </c>
      <c r="J804">
        <v>0</v>
      </c>
      <c r="K804">
        <v>0</v>
      </c>
      <c r="L804">
        <v>0</v>
      </c>
      <c r="M804">
        <v>1</v>
      </c>
      <c r="N804" s="109">
        <v>724.44743496768535</v>
      </c>
      <c r="O804" s="109">
        <v>-3609046.9707646435</v>
      </c>
      <c r="P804" s="365">
        <v>1</v>
      </c>
      <c r="Q804" s="365">
        <v>0</v>
      </c>
      <c r="R804" s="365">
        <v>0</v>
      </c>
      <c r="S804" s="365">
        <v>0</v>
      </c>
      <c r="T804" s="109">
        <v>-2876.8723761324668</v>
      </c>
      <c r="V804" s="368">
        <f t="shared" si="72"/>
        <v>61816361.821604572</v>
      </c>
      <c r="W804" s="30">
        <f t="shared" si="73"/>
        <v>66334230.762484983</v>
      </c>
      <c r="X804" s="30"/>
      <c r="Y804">
        <f t="shared" si="74"/>
        <v>0</v>
      </c>
      <c r="Z804">
        <f t="shared" si="75"/>
        <v>1</v>
      </c>
      <c r="AA804">
        <f t="shared" si="76"/>
        <v>0</v>
      </c>
      <c r="AB804">
        <f t="shared" si="77"/>
        <v>1</v>
      </c>
    </row>
    <row r="805" spans="6:28" x14ac:dyDescent="0.3">
      <c r="F805" s="28"/>
      <c r="G805">
        <v>797</v>
      </c>
      <c r="H805" s="109">
        <v>905.33412618787406</v>
      </c>
      <c r="I805" s="370">
        <v>832219.9369999317</v>
      </c>
      <c r="J805">
        <v>0</v>
      </c>
      <c r="K805">
        <v>0</v>
      </c>
      <c r="L805">
        <v>0</v>
      </c>
      <c r="M805">
        <v>1</v>
      </c>
      <c r="N805" s="109">
        <v>919.24065704249199</v>
      </c>
      <c r="O805" s="109">
        <v>-2835645.675364763</v>
      </c>
      <c r="P805" s="365">
        <v>1</v>
      </c>
      <c r="Q805" s="365">
        <v>0</v>
      </c>
      <c r="R805" s="365">
        <v>0</v>
      </c>
      <c r="S805" s="365">
        <v>0</v>
      </c>
      <c r="T805" s="109">
        <v>-3132.1537467110929</v>
      </c>
      <c r="V805" s="368">
        <f t="shared" si="72"/>
        <v>44434486.372393772</v>
      </c>
      <c r="W805" s="30">
        <f t="shared" si="73"/>
        <v>48102351.984758466</v>
      </c>
      <c r="X805" s="30"/>
      <c r="Y805">
        <f t="shared" si="74"/>
        <v>0</v>
      </c>
      <c r="Z805">
        <f t="shared" si="75"/>
        <v>1</v>
      </c>
      <c r="AA805">
        <f t="shared" si="76"/>
        <v>0</v>
      </c>
      <c r="AB805">
        <f t="shared" si="77"/>
        <v>1</v>
      </c>
    </row>
    <row r="806" spans="6:28" x14ac:dyDescent="0.3">
      <c r="F806" s="28"/>
      <c r="G806">
        <v>798</v>
      </c>
      <c r="H806" s="109">
        <v>1287.6063005535398</v>
      </c>
      <c r="I806" s="370">
        <v>1727247.8930723781</v>
      </c>
      <c r="J806">
        <v>0</v>
      </c>
      <c r="K806">
        <v>0</v>
      </c>
      <c r="L806">
        <v>0</v>
      </c>
      <c r="M806">
        <v>1</v>
      </c>
      <c r="N806" s="109">
        <v>1341.4410074957207</v>
      </c>
      <c r="O806" s="109">
        <v>-3368906.4388109175</v>
      </c>
      <c r="P806" s="365">
        <v>1</v>
      </c>
      <c r="Q806" s="365">
        <v>0</v>
      </c>
      <c r="R806" s="365">
        <v>0</v>
      </c>
      <c r="S806" s="365">
        <v>0</v>
      </c>
      <c r="T806" s="109">
        <v>-2616.4103401502698</v>
      </c>
      <c r="V806" s="368">
        <f t="shared" si="72"/>
        <v>62653067.134604603</v>
      </c>
      <c r="W806" s="30">
        <f t="shared" si="73"/>
        <v>67749221.466487899</v>
      </c>
      <c r="X806" s="30"/>
      <c r="Y806">
        <f t="shared" si="74"/>
        <v>0</v>
      </c>
      <c r="Z806">
        <f t="shared" si="75"/>
        <v>1</v>
      </c>
      <c r="AA806">
        <f t="shared" si="76"/>
        <v>0</v>
      </c>
      <c r="AB806">
        <f t="shared" si="77"/>
        <v>1</v>
      </c>
    </row>
    <row r="807" spans="6:28" x14ac:dyDescent="0.3">
      <c r="F807" s="28"/>
      <c r="G807">
        <v>799</v>
      </c>
      <c r="H807" s="109">
        <v>1208.2303967070111</v>
      </c>
      <c r="I807" s="370">
        <v>1130100.3027894273</v>
      </c>
      <c r="J807">
        <v>0</v>
      </c>
      <c r="K807">
        <v>0</v>
      </c>
      <c r="L807">
        <v>0</v>
      </c>
      <c r="M807">
        <v>1</v>
      </c>
      <c r="N807" s="109">
        <v>935.33510319677066</v>
      </c>
      <c r="O807" s="109">
        <v>-3853309.3112720964</v>
      </c>
      <c r="P807" s="365">
        <v>1</v>
      </c>
      <c r="Q807" s="365">
        <v>0</v>
      </c>
      <c r="R807" s="365">
        <v>0</v>
      </c>
      <c r="S807" s="365">
        <v>0</v>
      </c>
      <c r="T807" s="109">
        <v>-3189.2173229329055</v>
      </c>
      <c r="V807" s="368">
        <f t="shared" si="72"/>
        <v>59281419.532561131</v>
      </c>
      <c r="W807" s="30">
        <f t="shared" si="73"/>
        <v>64264829.146622658</v>
      </c>
      <c r="X807" s="30"/>
      <c r="Y807">
        <f t="shared" si="74"/>
        <v>0</v>
      </c>
      <c r="Z807">
        <f t="shared" si="75"/>
        <v>1</v>
      </c>
      <c r="AA807">
        <f t="shared" si="76"/>
        <v>0</v>
      </c>
      <c r="AB807">
        <f t="shared" si="77"/>
        <v>1</v>
      </c>
    </row>
    <row r="808" spans="6:28" x14ac:dyDescent="0.3">
      <c r="F808" s="28"/>
      <c r="G808">
        <v>800</v>
      </c>
      <c r="H808" s="109">
        <v>1302.9937740791065</v>
      </c>
      <c r="I808" s="370">
        <v>1610570.5358488269</v>
      </c>
      <c r="J808">
        <v>0</v>
      </c>
      <c r="K808">
        <v>0</v>
      </c>
      <c r="L808">
        <v>0</v>
      </c>
      <c r="M808">
        <v>1</v>
      </c>
      <c r="N808" s="109">
        <v>1236.0538997871274</v>
      </c>
      <c r="O808" s="109">
        <v>-4251674.5977360178</v>
      </c>
      <c r="P808" s="365">
        <v>1</v>
      </c>
      <c r="Q808" s="365">
        <v>0</v>
      </c>
      <c r="R808" s="365">
        <v>0</v>
      </c>
      <c r="S808" s="365">
        <v>0</v>
      </c>
      <c r="T808" s="109">
        <v>-3263.00453794639</v>
      </c>
      <c r="V808" s="368">
        <f t="shared" si="72"/>
        <v>63539118.168106496</v>
      </c>
      <c r="W808" s="30">
        <f t="shared" si="73"/>
        <v>69401363.301691338</v>
      </c>
      <c r="X808" s="30"/>
      <c r="Y808">
        <f t="shared" si="74"/>
        <v>0</v>
      </c>
      <c r="Z808">
        <f t="shared" si="75"/>
        <v>1</v>
      </c>
      <c r="AA808">
        <f t="shared" si="76"/>
        <v>0</v>
      </c>
      <c r="AB808">
        <f t="shared" si="77"/>
        <v>1</v>
      </c>
    </row>
    <row r="809" spans="6:28" x14ac:dyDescent="0.3">
      <c r="F809" s="28"/>
      <c r="G809">
        <v>801</v>
      </c>
      <c r="H809" s="109">
        <v>1355.9824024670597</v>
      </c>
      <c r="I809" s="370">
        <v>1706527.9312263052</v>
      </c>
      <c r="J809">
        <v>0</v>
      </c>
      <c r="K809">
        <v>0</v>
      </c>
      <c r="L809">
        <v>0</v>
      </c>
      <c r="M809">
        <v>1</v>
      </c>
      <c r="N809" s="109">
        <v>1258.5177566622301</v>
      </c>
      <c r="O809" s="109">
        <v>-4658799.512952677</v>
      </c>
      <c r="P809" s="365">
        <v>1</v>
      </c>
      <c r="Q809" s="365">
        <v>0</v>
      </c>
      <c r="R809" s="365">
        <v>0</v>
      </c>
      <c r="S809" s="365">
        <v>0</v>
      </c>
      <c r="T809" s="109">
        <v>-3435.7374435512638</v>
      </c>
      <c r="V809" s="368">
        <f t="shared" si="72"/>
        <v>66092592.192126684</v>
      </c>
      <c r="W809" s="30">
        <f t="shared" si="73"/>
        <v>72457919.63630566</v>
      </c>
      <c r="X809" s="30"/>
      <c r="Y809">
        <f t="shared" si="74"/>
        <v>0</v>
      </c>
      <c r="Z809">
        <f t="shared" si="75"/>
        <v>1</v>
      </c>
      <c r="AA809">
        <f t="shared" si="76"/>
        <v>0</v>
      </c>
      <c r="AB809">
        <f t="shared" si="77"/>
        <v>1</v>
      </c>
    </row>
    <row r="810" spans="6:28" x14ac:dyDescent="0.3">
      <c r="F810" s="28"/>
      <c r="G810">
        <v>802</v>
      </c>
      <c r="H810" s="109">
        <v>1235.0666487950366</v>
      </c>
      <c r="I810" s="370">
        <v>1098602.6709986639</v>
      </c>
      <c r="J810">
        <v>0</v>
      </c>
      <c r="K810">
        <v>0</v>
      </c>
      <c r="L810">
        <v>0</v>
      </c>
      <c r="M810">
        <v>1</v>
      </c>
      <c r="N810" s="109">
        <v>889.50881482427644</v>
      </c>
      <c r="O810" s="109">
        <v>-3744982.0517689027</v>
      </c>
      <c r="P810" s="365">
        <v>1</v>
      </c>
      <c r="Q810" s="365">
        <v>0</v>
      </c>
      <c r="R810" s="365">
        <v>0</v>
      </c>
      <c r="S810" s="365">
        <v>0</v>
      </c>
      <c r="T810" s="109">
        <v>-3032.2104927880655</v>
      </c>
      <c r="V810" s="368">
        <f t="shared" si="72"/>
        <v>60654729.768753171</v>
      </c>
      <c r="W810" s="30">
        <f t="shared" si="73"/>
        <v>65498314.491520733</v>
      </c>
      <c r="X810" s="30"/>
      <c r="Y810">
        <f t="shared" si="74"/>
        <v>0</v>
      </c>
      <c r="Z810">
        <f t="shared" si="75"/>
        <v>1</v>
      </c>
      <c r="AA810">
        <f t="shared" si="76"/>
        <v>0</v>
      </c>
      <c r="AB810">
        <f t="shared" si="77"/>
        <v>1</v>
      </c>
    </row>
    <row r="811" spans="6:28" x14ac:dyDescent="0.3">
      <c r="F811" s="28"/>
      <c r="G811">
        <v>803</v>
      </c>
      <c r="H811" s="109">
        <v>1139.9300262685574</v>
      </c>
      <c r="I811" s="370">
        <v>1627495.9464300575</v>
      </c>
      <c r="J811">
        <v>0</v>
      </c>
      <c r="K811">
        <v>0</v>
      </c>
      <c r="L811">
        <v>0</v>
      </c>
      <c r="M811">
        <v>1</v>
      </c>
      <c r="N811" s="109">
        <v>1427.7156570368591</v>
      </c>
      <c r="O811" s="109">
        <v>-3130159.5885211281</v>
      </c>
      <c r="P811" s="365">
        <v>1</v>
      </c>
      <c r="Q811" s="365">
        <v>0</v>
      </c>
      <c r="R811" s="365">
        <v>0</v>
      </c>
      <c r="S811" s="365">
        <v>0</v>
      </c>
      <c r="T811" s="109">
        <v>-2745.9225710260307</v>
      </c>
      <c r="V811" s="368">
        <f t="shared" si="72"/>
        <v>55369005.366997816</v>
      </c>
      <c r="W811" s="30">
        <f t="shared" si="73"/>
        <v>60126660.901949003</v>
      </c>
      <c r="X811" s="30"/>
      <c r="Y811">
        <f t="shared" si="74"/>
        <v>0</v>
      </c>
      <c r="Z811">
        <f t="shared" si="75"/>
        <v>1</v>
      </c>
      <c r="AA811">
        <f t="shared" si="76"/>
        <v>0</v>
      </c>
      <c r="AB811">
        <f t="shared" si="77"/>
        <v>1</v>
      </c>
    </row>
    <row r="812" spans="6:28" x14ac:dyDescent="0.3">
      <c r="F812" s="28"/>
      <c r="G812">
        <v>804</v>
      </c>
      <c r="H812" s="109">
        <v>1219.2933573062837</v>
      </c>
      <c r="I812" s="370">
        <v>610556.16300876171</v>
      </c>
      <c r="J812">
        <v>0</v>
      </c>
      <c r="K812">
        <v>0</v>
      </c>
      <c r="L812">
        <v>0</v>
      </c>
      <c r="M812">
        <v>1</v>
      </c>
      <c r="N812" s="109">
        <v>500.74591102311024</v>
      </c>
      <c r="O812" s="109">
        <v>-4464950.6291462015</v>
      </c>
      <c r="P812" s="365">
        <v>1</v>
      </c>
      <c r="Q812" s="365">
        <v>0</v>
      </c>
      <c r="R812" s="365">
        <v>0</v>
      </c>
      <c r="S812" s="365">
        <v>0</v>
      </c>
      <c r="T812" s="109">
        <v>-3661.9166358868433</v>
      </c>
      <c r="V812" s="368">
        <f t="shared" si="72"/>
        <v>60354111.702305421</v>
      </c>
      <c r="W812" s="30">
        <f t="shared" si="73"/>
        <v>65429618.494460389</v>
      </c>
      <c r="X812" s="30"/>
      <c r="Y812">
        <f t="shared" si="74"/>
        <v>0</v>
      </c>
      <c r="Z812">
        <f t="shared" si="75"/>
        <v>1</v>
      </c>
      <c r="AA812">
        <f t="shared" si="76"/>
        <v>0</v>
      </c>
      <c r="AB812">
        <f t="shared" si="77"/>
        <v>1</v>
      </c>
    </row>
    <row r="813" spans="6:28" x14ac:dyDescent="0.3">
      <c r="F813" s="28"/>
      <c r="G813">
        <v>805</v>
      </c>
      <c r="H813" s="109">
        <v>1064.5480047158344</v>
      </c>
      <c r="I813" s="370">
        <v>1825676.9394336904</v>
      </c>
      <c r="J813">
        <v>0</v>
      </c>
      <c r="K813">
        <v>0</v>
      </c>
      <c r="L813">
        <v>0</v>
      </c>
      <c r="M813">
        <v>1</v>
      </c>
      <c r="N813" s="109">
        <v>1714.9784991810006</v>
      </c>
      <c r="O813" s="109">
        <v>-2296396.2846108628</v>
      </c>
      <c r="P813" s="365">
        <v>1</v>
      </c>
      <c r="Q813" s="365">
        <v>0</v>
      </c>
      <c r="R813" s="365">
        <v>0</v>
      </c>
      <c r="S813" s="365">
        <v>0</v>
      </c>
      <c r="T813" s="109">
        <v>-2157.1561587059218</v>
      </c>
      <c r="V813" s="368">
        <f t="shared" si="72"/>
        <v>51401723.296358027</v>
      </c>
      <c r="W813" s="30">
        <f t="shared" si="73"/>
        <v>55523796.52040258</v>
      </c>
      <c r="X813" s="30"/>
      <c r="Y813">
        <f t="shared" si="74"/>
        <v>0</v>
      </c>
      <c r="Z813">
        <f t="shared" si="75"/>
        <v>1</v>
      </c>
      <c r="AA813">
        <f t="shared" si="76"/>
        <v>0</v>
      </c>
      <c r="AB813">
        <f t="shared" si="77"/>
        <v>1</v>
      </c>
    </row>
    <row r="814" spans="6:28" x14ac:dyDescent="0.3">
      <c r="F814" s="28"/>
      <c r="G814">
        <v>806</v>
      </c>
      <c r="H814" s="109">
        <v>1182.7408348237586</v>
      </c>
      <c r="I814" s="370">
        <v>250090.26513858166</v>
      </c>
      <c r="J814">
        <v>0</v>
      </c>
      <c r="K814">
        <v>0</v>
      </c>
      <c r="L814">
        <v>0</v>
      </c>
      <c r="M814">
        <v>1</v>
      </c>
      <c r="N814" s="109">
        <v>211.44975955433875</v>
      </c>
      <c r="O814" s="109">
        <v>-4546802.4126746831</v>
      </c>
      <c r="P814" s="365">
        <v>1</v>
      </c>
      <c r="Q814" s="365">
        <v>0</v>
      </c>
      <c r="R814" s="365">
        <v>0</v>
      </c>
      <c r="S814" s="365">
        <v>0</v>
      </c>
      <c r="T814" s="109">
        <v>-3844.293085012328</v>
      </c>
      <c r="V814" s="368">
        <f t="shared" si="72"/>
        <v>58886951.476049349</v>
      </c>
      <c r="W814" s="30">
        <f t="shared" si="73"/>
        <v>63683844.15386261</v>
      </c>
      <c r="X814" s="30"/>
      <c r="Y814">
        <f t="shared" si="74"/>
        <v>0</v>
      </c>
      <c r="Z814">
        <f t="shared" si="75"/>
        <v>1</v>
      </c>
      <c r="AA814">
        <f t="shared" si="76"/>
        <v>0</v>
      </c>
      <c r="AB814">
        <f t="shared" si="77"/>
        <v>1</v>
      </c>
    </row>
    <row r="815" spans="6:28" x14ac:dyDescent="0.3">
      <c r="F815" s="28"/>
      <c r="G815">
        <v>807</v>
      </c>
      <c r="H815" s="109">
        <v>1161.6863906408689</v>
      </c>
      <c r="I815" s="370">
        <v>1012064.8665160984</v>
      </c>
      <c r="J815">
        <v>0</v>
      </c>
      <c r="K815">
        <v>0</v>
      </c>
      <c r="L815">
        <v>0</v>
      </c>
      <c r="M815">
        <v>1</v>
      </c>
      <c r="N815" s="109">
        <v>871.20317038212988</v>
      </c>
      <c r="O815" s="109">
        <v>-3896666.3811544394</v>
      </c>
      <c r="P815" s="365">
        <v>1</v>
      </c>
      <c r="Q815" s="365">
        <v>0</v>
      </c>
      <c r="R815" s="365">
        <v>0</v>
      </c>
      <c r="S815" s="365">
        <v>0</v>
      </c>
      <c r="T815" s="109">
        <v>-3354.3186978413</v>
      </c>
      <c r="V815" s="368">
        <f t="shared" si="72"/>
        <v>57072254.665527351</v>
      </c>
      <c r="W815" s="30">
        <f t="shared" si="73"/>
        <v>61980985.91319789</v>
      </c>
      <c r="X815" s="30"/>
      <c r="Y815">
        <f t="shared" si="74"/>
        <v>0</v>
      </c>
      <c r="Z815">
        <f t="shared" si="75"/>
        <v>1</v>
      </c>
      <c r="AA815">
        <f t="shared" si="76"/>
        <v>0</v>
      </c>
      <c r="AB815">
        <f t="shared" si="77"/>
        <v>1</v>
      </c>
    </row>
    <row r="816" spans="6:28" x14ac:dyDescent="0.3">
      <c r="F816" s="28"/>
      <c r="G816">
        <v>808</v>
      </c>
      <c r="H816" s="109">
        <v>1025.0550644085306</v>
      </c>
      <c r="I816" s="370">
        <v>1675963.6165152888</v>
      </c>
      <c r="J816">
        <v>0</v>
      </c>
      <c r="K816">
        <v>0</v>
      </c>
      <c r="L816">
        <v>0</v>
      </c>
      <c r="M816">
        <v>1</v>
      </c>
      <c r="N816" s="109">
        <v>1634.9986207641834</v>
      </c>
      <c r="O816" s="109">
        <v>-2228845.0085564796</v>
      </c>
      <c r="P816" s="365">
        <v>1</v>
      </c>
      <c r="Q816" s="365">
        <v>0</v>
      </c>
      <c r="R816" s="365">
        <v>0</v>
      </c>
      <c r="S816" s="365">
        <v>0</v>
      </c>
      <c r="T816" s="109">
        <v>-2174.3661252408433</v>
      </c>
      <c r="V816" s="368">
        <f t="shared" si="72"/>
        <v>49576789.603911243</v>
      </c>
      <c r="W816" s="30">
        <f t="shared" si="73"/>
        <v>53481598.228983007</v>
      </c>
      <c r="X816" s="30"/>
      <c r="Y816">
        <f t="shared" si="74"/>
        <v>0</v>
      </c>
      <c r="Z816">
        <f t="shared" si="75"/>
        <v>1</v>
      </c>
      <c r="AA816">
        <f t="shared" si="76"/>
        <v>0</v>
      </c>
      <c r="AB816">
        <f t="shared" si="77"/>
        <v>1</v>
      </c>
    </row>
    <row r="817" spans="6:28" x14ac:dyDescent="0.3">
      <c r="F817" s="28"/>
      <c r="G817">
        <v>809</v>
      </c>
      <c r="H817" s="109">
        <v>1079.6723243267334</v>
      </c>
      <c r="I817" s="370">
        <v>741884.52242072963</v>
      </c>
      <c r="J817">
        <v>0</v>
      </c>
      <c r="K817">
        <v>0</v>
      </c>
      <c r="L817">
        <v>0</v>
      </c>
      <c r="M817">
        <v>1</v>
      </c>
      <c r="N817" s="109">
        <v>687.13859353888427</v>
      </c>
      <c r="O817" s="109">
        <v>-2811327.9799693157</v>
      </c>
      <c r="P817" s="365">
        <v>1</v>
      </c>
      <c r="Q817" s="365">
        <v>0</v>
      </c>
      <c r="R817" s="365">
        <v>0</v>
      </c>
      <c r="S817" s="365">
        <v>0</v>
      </c>
      <c r="T817" s="109">
        <v>-2603.871486399742</v>
      </c>
      <c r="V817" s="368">
        <f t="shared" si="72"/>
        <v>53241731.693915941</v>
      </c>
      <c r="W817" s="30">
        <f t="shared" si="73"/>
        <v>56794944.196305983</v>
      </c>
      <c r="X817" s="30"/>
      <c r="Y817">
        <f t="shared" si="74"/>
        <v>0</v>
      </c>
      <c r="Z817">
        <f t="shared" si="75"/>
        <v>1</v>
      </c>
      <c r="AA817">
        <f t="shared" si="76"/>
        <v>0</v>
      </c>
      <c r="AB817">
        <f t="shared" si="77"/>
        <v>1</v>
      </c>
    </row>
    <row r="818" spans="6:28" x14ac:dyDescent="0.3">
      <c r="F818" s="28"/>
      <c r="G818">
        <v>810</v>
      </c>
      <c r="H818" s="109">
        <v>1168.6474450292299</v>
      </c>
      <c r="I818" s="370">
        <v>828338.25171969424</v>
      </c>
      <c r="J818">
        <v>0</v>
      </c>
      <c r="K818">
        <v>0</v>
      </c>
      <c r="L818">
        <v>0</v>
      </c>
      <c r="M818">
        <v>1</v>
      </c>
      <c r="N818" s="109">
        <v>708.80080664445052</v>
      </c>
      <c r="O818" s="109">
        <v>-3228342.1221570997</v>
      </c>
      <c r="P818" s="365">
        <v>1</v>
      </c>
      <c r="Q818" s="365">
        <v>0</v>
      </c>
      <c r="R818" s="365">
        <v>0</v>
      </c>
      <c r="S818" s="365">
        <v>0</v>
      </c>
      <c r="T818" s="109">
        <v>-2762.4602577010328</v>
      </c>
      <c r="V818" s="368">
        <f t="shared" si="72"/>
        <v>57604033.9997418</v>
      </c>
      <c r="W818" s="30">
        <f t="shared" si="73"/>
        <v>61660714.373618588</v>
      </c>
      <c r="X818" s="30"/>
      <c r="Y818">
        <f t="shared" si="74"/>
        <v>0</v>
      </c>
      <c r="Z818">
        <f t="shared" si="75"/>
        <v>1</v>
      </c>
      <c r="AA818">
        <f t="shared" si="76"/>
        <v>0</v>
      </c>
      <c r="AB818">
        <f t="shared" si="77"/>
        <v>1</v>
      </c>
    </row>
    <row r="819" spans="6:28" x14ac:dyDescent="0.3">
      <c r="F819" s="28"/>
      <c r="G819">
        <v>811</v>
      </c>
      <c r="H819" s="109">
        <v>1174.8631891081823</v>
      </c>
      <c r="I819" s="370">
        <v>1537308.7895804897</v>
      </c>
      <c r="J819">
        <v>0</v>
      </c>
      <c r="K819">
        <v>0</v>
      </c>
      <c r="L819">
        <v>0</v>
      </c>
      <c r="M819">
        <v>1</v>
      </c>
      <c r="N819" s="109">
        <v>1308.5002609941619</v>
      </c>
      <c r="O819" s="109">
        <v>-3340017.5482636881</v>
      </c>
      <c r="P819" s="365">
        <v>1</v>
      </c>
      <c r="Q819" s="365">
        <v>0</v>
      </c>
      <c r="R819" s="365">
        <v>0</v>
      </c>
      <c r="S819" s="365">
        <v>0</v>
      </c>
      <c r="T819" s="109">
        <v>-2842.8991385788809</v>
      </c>
      <c r="V819" s="368">
        <f t="shared" si="72"/>
        <v>57205850.66582863</v>
      </c>
      <c r="W819" s="30">
        <f t="shared" si="73"/>
        <v>62083177.003672808</v>
      </c>
      <c r="X819" s="30"/>
      <c r="Y819">
        <f t="shared" si="74"/>
        <v>0</v>
      </c>
      <c r="Z819">
        <f t="shared" si="75"/>
        <v>1</v>
      </c>
      <c r="AA819">
        <f t="shared" si="76"/>
        <v>0</v>
      </c>
      <c r="AB819">
        <f t="shared" si="77"/>
        <v>1</v>
      </c>
    </row>
    <row r="820" spans="6:28" x14ac:dyDescent="0.3">
      <c r="F820" s="28"/>
      <c r="G820">
        <v>812</v>
      </c>
      <c r="H820" s="109">
        <v>1306.081953456167</v>
      </c>
      <c r="I820" s="370">
        <v>1005680.2003627248</v>
      </c>
      <c r="J820">
        <v>0</v>
      </c>
      <c r="K820">
        <v>0</v>
      </c>
      <c r="L820">
        <v>0</v>
      </c>
      <c r="M820">
        <v>1</v>
      </c>
      <c r="N820" s="109">
        <v>769.99777671032359</v>
      </c>
      <c r="O820" s="109">
        <v>-3016985.8513748841</v>
      </c>
      <c r="P820" s="365">
        <v>1</v>
      </c>
      <c r="Q820" s="365">
        <v>0</v>
      </c>
      <c r="R820" s="365">
        <v>0</v>
      </c>
      <c r="S820" s="365">
        <v>0</v>
      </c>
      <c r="T820" s="109">
        <v>-2309.9514110820583</v>
      </c>
      <c r="V820" s="368">
        <f t="shared" si="72"/>
        <v>64298417.472445622</v>
      </c>
      <c r="W820" s="30">
        <f t="shared" si="73"/>
        <v>68321083.524183229</v>
      </c>
      <c r="X820" s="30"/>
      <c r="Y820">
        <f t="shared" si="74"/>
        <v>0</v>
      </c>
      <c r="Z820">
        <f t="shared" si="75"/>
        <v>1</v>
      </c>
      <c r="AA820">
        <f t="shared" si="76"/>
        <v>0</v>
      </c>
      <c r="AB820">
        <f t="shared" si="77"/>
        <v>1</v>
      </c>
    </row>
    <row r="821" spans="6:28" x14ac:dyDescent="0.3">
      <c r="F821" s="28"/>
      <c r="G821">
        <v>813</v>
      </c>
      <c r="H821" s="109">
        <v>1135.5721908185296</v>
      </c>
      <c r="I821" s="370">
        <v>711136.06608642428</v>
      </c>
      <c r="J821">
        <v>0</v>
      </c>
      <c r="K821">
        <v>0</v>
      </c>
      <c r="L821">
        <v>0</v>
      </c>
      <c r="M821">
        <v>1</v>
      </c>
      <c r="N821" s="109">
        <v>626.2358939715067</v>
      </c>
      <c r="O821" s="109">
        <v>-4238639.1982409004</v>
      </c>
      <c r="P821" s="365">
        <v>1</v>
      </c>
      <c r="Q821" s="365">
        <v>0</v>
      </c>
      <c r="R821" s="365">
        <v>0</v>
      </c>
      <c r="S821" s="365">
        <v>0</v>
      </c>
      <c r="T821" s="109">
        <v>-3732.602147632424</v>
      </c>
      <c r="V821" s="368">
        <f t="shared" si="72"/>
        <v>56067473.474840052</v>
      </c>
      <c r="W821" s="30">
        <f t="shared" si="73"/>
        <v>61017248.739167377</v>
      </c>
      <c r="X821" s="30"/>
      <c r="Y821">
        <f t="shared" si="74"/>
        <v>0</v>
      </c>
      <c r="Z821">
        <f t="shared" si="75"/>
        <v>1</v>
      </c>
      <c r="AA821">
        <f t="shared" si="76"/>
        <v>0</v>
      </c>
      <c r="AB821">
        <f t="shared" si="77"/>
        <v>1</v>
      </c>
    </row>
    <row r="822" spans="6:28" x14ac:dyDescent="0.3">
      <c r="F822" s="28"/>
      <c r="G822">
        <v>814</v>
      </c>
      <c r="H822" s="109">
        <v>1331.8765584454595</v>
      </c>
      <c r="I822" s="370">
        <v>556842.69722056435</v>
      </c>
      <c r="J822">
        <v>0</v>
      </c>
      <c r="K822">
        <v>0</v>
      </c>
      <c r="L822">
        <v>0</v>
      </c>
      <c r="M822">
        <v>1</v>
      </c>
      <c r="N822" s="109">
        <v>418.08881888461224</v>
      </c>
      <c r="O822" s="109">
        <v>-5460938.288340833</v>
      </c>
      <c r="P822" s="365">
        <v>1</v>
      </c>
      <c r="Q822" s="365">
        <v>0</v>
      </c>
      <c r="R822" s="365">
        <v>0</v>
      </c>
      <c r="S822" s="365">
        <v>0</v>
      </c>
      <c r="T822" s="109">
        <v>-4100.1834995239606</v>
      </c>
      <c r="V822" s="368">
        <f t="shared" si="72"/>
        <v>66036985.225052409</v>
      </c>
      <c r="W822" s="30">
        <f t="shared" si="73"/>
        <v>72054766.210613802</v>
      </c>
      <c r="X822" s="30"/>
      <c r="Y822">
        <f t="shared" si="74"/>
        <v>0</v>
      </c>
      <c r="Z822">
        <f t="shared" si="75"/>
        <v>1</v>
      </c>
      <c r="AA822">
        <f t="shared" si="76"/>
        <v>0</v>
      </c>
      <c r="AB822">
        <f t="shared" si="77"/>
        <v>1</v>
      </c>
    </row>
    <row r="823" spans="6:28" x14ac:dyDescent="0.3">
      <c r="F823" s="28"/>
      <c r="G823">
        <v>815</v>
      </c>
      <c r="H823" s="109">
        <v>1174.1767777412388</v>
      </c>
      <c r="I823" s="370">
        <v>940720.32650580711</v>
      </c>
      <c r="J823">
        <v>0</v>
      </c>
      <c r="K823">
        <v>0</v>
      </c>
      <c r="L823">
        <v>0</v>
      </c>
      <c r="M823">
        <v>1</v>
      </c>
      <c r="N823" s="109">
        <v>801.17435835809044</v>
      </c>
      <c r="O823" s="109">
        <v>-3638502.5996274445</v>
      </c>
      <c r="P823" s="365">
        <v>1</v>
      </c>
      <c r="Q823" s="365">
        <v>0</v>
      </c>
      <c r="R823" s="365">
        <v>0</v>
      </c>
      <c r="S823" s="365">
        <v>0</v>
      </c>
      <c r="T823" s="109">
        <v>-3098.7690002069567</v>
      </c>
      <c r="V823" s="368">
        <f t="shared" si="72"/>
        <v>57768118.560556129</v>
      </c>
      <c r="W823" s="30">
        <f t="shared" si="73"/>
        <v>62347341.486689381</v>
      </c>
      <c r="X823" s="30"/>
      <c r="Y823">
        <f t="shared" si="74"/>
        <v>0</v>
      </c>
      <c r="Z823">
        <f t="shared" si="75"/>
        <v>1</v>
      </c>
      <c r="AA823">
        <f t="shared" si="76"/>
        <v>0</v>
      </c>
      <c r="AB823">
        <f t="shared" si="77"/>
        <v>1</v>
      </c>
    </row>
    <row r="824" spans="6:28" x14ac:dyDescent="0.3">
      <c r="F824" s="28"/>
      <c r="G824">
        <v>816</v>
      </c>
      <c r="H824" s="109">
        <v>1318.6604282275293</v>
      </c>
      <c r="I824" s="370">
        <v>1357983.3869801871</v>
      </c>
      <c r="J824">
        <v>0</v>
      </c>
      <c r="K824">
        <v>0</v>
      </c>
      <c r="L824">
        <v>0</v>
      </c>
      <c r="M824">
        <v>1</v>
      </c>
      <c r="N824" s="109">
        <v>1029.8203827997731</v>
      </c>
      <c r="O824" s="109">
        <v>-3820957.7926238067</v>
      </c>
      <c r="P824" s="365">
        <v>1</v>
      </c>
      <c r="Q824" s="365">
        <v>0</v>
      </c>
      <c r="R824" s="365">
        <v>0</v>
      </c>
      <c r="S824" s="365">
        <v>0</v>
      </c>
      <c r="T824" s="109">
        <v>-2897.6055630635155</v>
      </c>
      <c r="V824" s="368">
        <f t="shared" si="72"/>
        <v>64575038.024396285</v>
      </c>
      <c r="W824" s="30">
        <f t="shared" si="73"/>
        <v>69753979.204000279</v>
      </c>
      <c r="X824" s="30"/>
      <c r="Y824">
        <f t="shared" si="74"/>
        <v>0</v>
      </c>
      <c r="Z824">
        <f t="shared" si="75"/>
        <v>1</v>
      </c>
      <c r="AA824">
        <f t="shared" si="76"/>
        <v>0</v>
      </c>
      <c r="AB824">
        <f t="shared" si="77"/>
        <v>1</v>
      </c>
    </row>
    <row r="825" spans="6:28" x14ac:dyDescent="0.3">
      <c r="F825" s="28"/>
      <c r="G825">
        <v>817</v>
      </c>
      <c r="H825" s="109">
        <v>1126.3841989827342</v>
      </c>
      <c r="I825" s="370">
        <v>1020778.1109462942</v>
      </c>
      <c r="J825">
        <v>0</v>
      </c>
      <c r="K825">
        <v>0</v>
      </c>
      <c r="L825">
        <v>0</v>
      </c>
      <c r="M825">
        <v>1</v>
      </c>
      <c r="N825" s="109">
        <v>906.24327992898372</v>
      </c>
      <c r="O825" s="109">
        <v>-3161571.9833496935</v>
      </c>
      <c r="P825" s="365">
        <v>1</v>
      </c>
      <c r="Q825" s="365">
        <v>0</v>
      </c>
      <c r="R825" s="365">
        <v>0</v>
      </c>
      <c r="S825" s="365">
        <v>0</v>
      </c>
      <c r="T825" s="109">
        <v>-2806.8326830267933</v>
      </c>
      <c r="V825" s="368">
        <f t="shared" si="72"/>
        <v>55298431.838190414</v>
      </c>
      <c r="W825" s="30">
        <f t="shared" si="73"/>
        <v>59480781.932486407</v>
      </c>
      <c r="X825" s="30"/>
      <c r="Y825">
        <f t="shared" si="74"/>
        <v>0</v>
      </c>
      <c r="Z825">
        <f t="shared" si="75"/>
        <v>1</v>
      </c>
      <c r="AA825">
        <f t="shared" si="76"/>
        <v>0</v>
      </c>
      <c r="AB825">
        <f t="shared" si="77"/>
        <v>1</v>
      </c>
    </row>
    <row r="826" spans="6:28" x14ac:dyDescent="0.3">
      <c r="F826" s="28"/>
      <c r="G826">
        <v>818</v>
      </c>
      <c r="H826" s="109">
        <v>1269.4890930930706</v>
      </c>
      <c r="I826" s="370">
        <v>1470171.8108701527</v>
      </c>
      <c r="J826">
        <v>0</v>
      </c>
      <c r="K826">
        <v>0</v>
      </c>
      <c r="L826">
        <v>0</v>
      </c>
      <c r="M826">
        <v>1</v>
      </c>
      <c r="N826" s="109">
        <v>1158.0814824396207</v>
      </c>
      <c r="O826" s="109">
        <v>-3133895.7213935349</v>
      </c>
      <c r="P826" s="365">
        <v>1</v>
      </c>
      <c r="Q826" s="365">
        <v>0</v>
      </c>
      <c r="R826" s="365">
        <v>0</v>
      </c>
      <c r="S826" s="365">
        <v>0</v>
      </c>
      <c r="T826" s="109">
        <v>-2468.62752775441</v>
      </c>
      <c r="V826" s="368">
        <f t="shared" si="72"/>
        <v>62004282.843783371</v>
      </c>
      <c r="W826" s="30">
        <f t="shared" si="73"/>
        <v>66608350.37604706</v>
      </c>
      <c r="X826" s="30"/>
      <c r="Y826">
        <f t="shared" si="74"/>
        <v>0</v>
      </c>
      <c r="Z826">
        <f t="shared" si="75"/>
        <v>1</v>
      </c>
      <c r="AA826">
        <f t="shared" si="76"/>
        <v>0</v>
      </c>
      <c r="AB826">
        <f t="shared" si="77"/>
        <v>1</v>
      </c>
    </row>
    <row r="827" spans="6:28" x14ac:dyDescent="0.3">
      <c r="F827" s="28"/>
      <c r="G827">
        <v>819</v>
      </c>
      <c r="H827" s="109">
        <v>1229.5931697144188</v>
      </c>
      <c r="I827" s="370">
        <v>1083543.0004402385</v>
      </c>
      <c r="J827">
        <v>0</v>
      </c>
      <c r="K827">
        <v>0</v>
      </c>
      <c r="L827">
        <v>0</v>
      </c>
      <c r="M827">
        <v>1</v>
      </c>
      <c r="N827" s="109">
        <v>881.22073798758868</v>
      </c>
      <c r="O827" s="109">
        <v>-4011566.7331923204</v>
      </c>
      <c r="P827" s="365">
        <v>1</v>
      </c>
      <c r="Q827" s="365">
        <v>0</v>
      </c>
      <c r="R827" s="365">
        <v>0</v>
      </c>
      <c r="S827" s="365">
        <v>0</v>
      </c>
      <c r="T827" s="109">
        <v>-3262.5154660903277</v>
      </c>
      <c r="V827" s="368">
        <f t="shared" si="72"/>
        <v>60396115.4852807</v>
      </c>
      <c r="W827" s="30">
        <f t="shared" si="73"/>
        <v>65491225.218913257</v>
      </c>
      <c r="X827" s="30"/>
      <c r="Y827">
        <f t="shared" si="74"/>
        <v>0</v>
      </c>
      <c r="Z827">
        <f t="shared" si="75"/>
        <v>1</v>
      </c>
      <c r="AA827">
        <f t="shared" si="76"/>
        <v>0</v>
      </c>
      <c r="AB827">
        <f t="shared" si="77"/>
        <v>1</v>
      </c>
    </row>
    <row r="828" spans="6:28" x14ac:dyDescent="0.3">
      <c r="F828" s="28"/>
      <c r="G828">
        <v>820</v>
      </c>
      <c r="H828" s="109">
        <v>1114.6013265736692</v>
      </c>
      <c r="I828" s="370">
        <v>876935.09389502695</v>
      </c>
      <c r="J828">
        <v>0</v>
      </c>
      <c r="K828">
        <v>0</v>
      </c>
      <c r="L828">
        <v>0</v>
      </c>
      <c r="M828">
        <v>1</v>
      </c>
      <c r="N828" s="109">
        <v>786.77018678127888</v>
      </c>
      <c r="O828" s="109">
        <v>-3970996.5477387179</v>
      </c>
      <c r="P828" s="365">
        <v>1</v>
      </c>
      <c r="Q828" s="365">
        <v>0</v>
      </c>
      <c r="R828" s="365">
        <v>0</v>
      </c>
      <c r="S828" s="365">
        <v>0</v>
      </c>
      <c r="T828" s="109">
        <v>-3562.705743358234</v>
      </c>
      <c r="V828" s="368">
        <f t="shared" si="72"/>
        <v>54853131.234788433</v>
      </c>
      <c r="W828" s="30">
        <f t="shared" si="73"/>
        <v>59701062.876422174</v>
      </c>
      <c r="X828" s="30"/>
      <c r="Y828">
        <f t="shared" si="74"/>
        <v>0</v>
      </c>
      <c r="Z828">
        <f t="shared" si="75"/>
        <v>1</v>
      </c>
      <c r="AA828">
        <f t="shared" si="76"/>
        <v>0</v>
      </c>
      <c r="AB828">
        <f t="shared" si="77"/>
        <v>1</v>
      </c>
    </row>
    <row r="829" spans="6:28" x14ac:dyDescent="0.3">
      <c r="F829" s="28"/>
      <c r="G829">
        <v>821</v>
      </c>
      <c r="H829" s="109">
        <v>1330.7513535451289</v>
      </c>
      <c r="I829" s="370">
        <v>1422491.589774543</v>
      </c>
      <c r="J829">
        <v>0</v>
      </c>
      <c r="K829">
        <v>0</v>
      </c>
      <c r="L829">
        <v>0</v>
      </c>
      <c r="M829">
        <v>1</v>
      </c>
      <c r="N829" s="109">
        <v>1068.9386758728574</v>
      </c>
      <c r="O829" s="109">
        <v>-4198552.6087122774</v>
      </c>
      <c r="P829" s="365">
        <v>1</v>
      </c>
      <c r="Q829" s="365">
        <v>0</v>
      </c>
      <c r="R829" s="365">
        <v>0</v>
      </c>
      <c r="S829" s="365">
        <v>0</v>
      </c>
      <c r="T829" s="109">
        <v>-3155.0241129023166</v>
      </c>
      <c r="V829" s="368">
        <f t="shared" si="72"/>
        <v>65115076.087481909</v>
      </c>
      <c r="W829" s="30">
        <f t="shared" si="73"/>
        <v>70736120.285968721</v>
      </c>
      <c r="X829" s="30"/>
      <c r="Y829">
        <f t="shared" si="74"/>
        <v>0</v>
      </c>
      <c r="Z829">
        <f t="shared" si="75"/>
        <v>1</v>
      </c>
      <c r="AA829">
        <f t="shared" si="76"/>
        <v>0</v>
      </c>
      <c r="AB829">
        <f t="shared" si="77"/>
        <v>1</v>
      </c>
    </row>
    <row r="830" spans="6:28" x14ac:dyDescent="0.3">
      <c r="F830" s="28"/>
      <c r="G830">
        <v>822</v>
      </c>
      <c r="H830" s="109">
        <v>1231.8108575114456</v>
      </c>
      <c r="I830" s="370">
        <v>1496502.1589916074</v>
      </c>
      <c r="J830">
        <v>0</v>
      </c>
      <c r="K830">
        <v>0</v>
      </c>
      <c r="L830">
        <v>0</v>
      </c>
      <c r="M830">
        <v>1</v>
      </c>
      <c r="N830" s="109">
        <v>1214.8798249878248</v>
      </c>
      <c r="O830" s="109">
        <v>-3935434.6068242686</v>
      </c>
      <c r="P830" s="365">
        <v>1</v>
      </c>
      <c r="Q830" s="365">
        <v>0</v>
      </c>
      <c r="R830" s="365">
        <v>0</v>
      </c>
      <c r="S830" s="365">
        <v>0</v>
      </c>
      <c r="T830" s="109">
        <v>-3194.8367582786154</v>
      </c>
      <c r="V830" s="368">
        <f t="shared" si="72"/>
        <v>60094040.716580674</v>
      </c>
      <c r="W830" s="30">
        <f t="shared" si="73"/>
        <v>65525977.48239655</v>
      </c>
      <c r="X830" s="30"/>
      <c r="Y830">
        <f t="shared" si="74"/>
        <v>0</v>
      </c>
      <c r="Z830">
        <f t="shared" si="75"/>
        <v>1</v>
      </c>
      <c r="AA830">
        <f t="shared" si="76"/>
        <v>0</v>
      </c>
      <c r="AB830">
        <f t="shared" si="77"/>
        <v>1</v>
      </c>
    </row>
    <row r="831" spans="6:28" x14ac:dyDescent="0.3">
      <c r="F831" s="28"/>
      <c r="G831">
        <v>823</v>
      </c>
      <c r="H831" s="109">
        <v>1298.0632422999988</v>
      </c>
      <c r="I831" s="370">
        <v>1263463.3965575828</v>
      </c>
      <c r="J831">
        <v>0</v>
      </c>
      <c r="K831">
        <v>0</v>
      </c>
      <c r="L831">
        <v>0</v>
      </c>
      <c r="M831">
        <v>1</v>
      </c>
      <c r="N831" s="109">
        <v>973.34502309678714</v>
      </c>
      <c r="O831" s="109">
        <v>-4166360.6776564941</v>
      </c>
      <c r="P831" s="365">
        <v>1</v>
      </c>
      <c r="Q831" s="365">
        <v>0</v>
      </c>
      <c r="R831" s="365">
        <v>0</v>
      </c>
      <c r="S831" s="365">
        <v>0</v>
      </c>
      <c r="T831" s="109">
        <v>-3209.6746459550354</v>
      </c>
      <c r="V831" s="368">
        <f t="shared" si="72"/>
        <v>63639698.718442358</v>
      </c>
      <c r="W831" s="30">
        <f t="shared" si="73"/>
        <v>69069522.792656437</v>
      </c>
      <c r="X831" s="30"/>
      <c r="Y831">
        <f t="shared" si="74"/>
        <v>0</v>
      </c>
      <c r="Z831">
        <f t="shared" si="75"/>
        <v>1</v>
      </c>
      <c r="AA831">
        <f t="shared" si="76"/>
        <v>0</v>
      </c>
      <c r="AB831">
        <f t="shared" si="77"/>
        <v>1</v>
      </c>
    </row>
    <row r="832" spans="6:28" x14ac:dyDescent="0.3">
      <c r="F832" s="28"/>
      <c r="G832">
        <v>824</v>
      </c>
      <c r="H832" s="109">
        <v>1094.7548908728349</v>
      </c>
      <c r="I832" s="370">
        <v>605946.52209924732</v>
      </c>
      <c r="J832">
        <v>0</v>
      </c>
      <c r="K832">
        <v>0</v>
      </c>
      <c r="L832">
        <v>0</v>
      </c>
      <c r="M832">
        <v>1</v>
      </c>
      <c r="N832" s="109">
        <v>553.49971683262675</v>
      </c>
      <c r="O832" s="109">
        <v>-3775900.506804219</v>
      </c>
      <c r="P832" s="365">
        <v>1</v>
      </c>
      <c r="Q832" s="365">
        <v>0</v>
      </c>
      <c r="R832" s="365">
        <v>0</v>
      </c>
      <c r="S832" s="365">
        <v>0</v>
      </c>
      <c r="T832" s="109">
        <v>-3449.083021491449</v>
      </c>
      <c r="V832" s="368">
        <f t="shared" si="72"/>
        <v>54131798.021542497</v>
      </c>
      <c r="W832" s="30">
        <f t="shared" si="73"/>
        <v>58513645.050445966</v>
      </c>
      <c r="X832" s="30"/>
      <c r="Y832">
        <f t="shared" si="74"/>
        <v>0</v>
      </c>
      <c r="Z832">
        <f t="shared" si="75"/>
        <v>1</v>
      </c>
      <c r="AA832">
        <f t="shared" si="76"/>
        <v>0</v>
      </c>
      <c r="AB832">
        <f t="shared" si="77"/>
        <v>1</v>
      </c>
    </row>
    <row r="833" spans="6:28" x14ac:dyDescent="0.3">
      <c r="F833" s="28"/>
      <c r="G833">
        <v>825</v>
      </c>
      <c r="H833" s="109">
        <v>1255.7999292447203</v>
      </c>
      <c r="I833" s="370">
        <v>1303465.1187719256</v>
      </c>
      <c r="J833">
        <v>0</v>
      </c>
      <c r="K833">
        <v>0</v>
      </c>
      <c r="L833">
        <v>0</v>
      </c>
      <c r="M833">
        <v>1</v>
      </c>
      <c r="N833" s="109">
        <v>1037.9560377550529</v>
      </c>
      <c r="O833" s="109">
        <v>-3783982.4309754348</v>
      </c>
      <c r="P833" s="365">
        <v>1</v>
      </c>
      <c r="Q833" s="365">
        <v>0</v>
      </c>
      <c r="R833" s="365">
        <v>0</v>
      </c>
      <c r="S833" s="365">
        <v>0</v>
      </c>
      <c r="T833" s="109">
        <v>-3013.2048448603173</v>
      </c>
      <c r="V833" s="368">
        <f t="shared" si="72"/>
        <v>61486531.343464084</v>
      </c>
      <c r="W833" s="30">
        <f t="shared" si="73"/>
        <v>66573978.893211447</v>
      </c>
      <c r="X833" s="30"/>
      <c r="Y833">
        <f t="shared" si="74"/>
        <v>0</v>
      </c>
      <c r="Z833">
        <f t="shared" si="75"/>
        <v>1</v>
      </c>
      <c r="AA833">
        <f t="shared" si="76"/>
        <v>0</v>
      </c>
      <c r="AB833">
        <f t="shared" si="77"/>
        <v>1</v>
      </c>
    </row>
    <row r="834" spans="6:28" x14ac:dyDescent="0.3">
      <c r="F834" s="28"/>
      <c r="G834">
        <v>826</v>
      </c>
      <c r="H834" s="109">
        <v>1217.9065999076629</v>
      </c>
      <c r="I834" s="370">
        <v>1032726.0642390603</v>
      </c>
      <c r="J834">
        <v>0</v>
      </c>
      <c r="K834">
        <v>0</v>
      </c>
      <c r="L834">
        <v>0</v>
      </c>
      <c r="M834">
        <v>1</v>
      </c>
      <c r="N834" s="109">
        <v>847.95177587292631</v>
      </c>
      <c r="O834" s="109">
        <v>-3076549.1201763023</v>
      </c>
      <c r="P834" s="365">
        <v>1</v>
      </c>
      <c r="Q834" s="365">
        <v>0</v>
      </c>
      <c r="R834" s="365">
        <v>0</v>
      </c>
      <c r="S834" s="365">
        <v>0</v>
      </c>
      <c r="T834" s="109">
        <v>-2526.0961065565739</v>
      </c>
      <c r="V834" s="368">
        <f t="shared" si="72"/>
        <v>59862603.931144081</v>
      </c>
      <c r="W834" s="30">
        <f t="shared" si="73"/>
        <v>63971879.115559444</v>
      </c>
      <c r="X834" s="30"/>
      <c r="Y834">
        <f t="shared" si="74"/>
        <v>0</v>
      </c>
      <c r="Z834">
        <f t="shared" si="75"/>
        <v>1</v>
      </c>
      <c r="AA834">
        <f t="shared" si="76"/>
        <v>0</v>
      </c>
      <c r="AB834">
        <f t="shared" si="77"/>
        <v>1</v>
      </c>
    </row>
    <row r="835" spans="6:28" x14ac:dyDescent="0.3">
      <c r="F835" s="28"/>
      <c r="G835">
        <v>827</v>
      </c>
      <c r="H835" s="109">
        <v>1262.7417142879494</v>
      </c>
      <c r="I835" s="370">
        <v>959973.95956806885</v>
      </c>
      <c r="J835">
        <v>0</v>
      </c>
      <c r="K835">
        <v>0</v>
      </c>
      <c r="L835">
        <v>0</v>
      </c>
      <c r="M835">
        <v>1</v>
      </c>
      <c r="N835" s="109">
        <v>760.22986229562468</v>
      </c>
      <c r="O835" s="109">
        <v>-4085533.1290581869</v>
      </c>
      <c r="P835" s="365">
        <v>1</v>
      </c>
      <c r="Q835" s="365">
        <v>0</v>
      </c>
      <c r="R835" s="365">
        <v>0</v>
      </c>
      <c r="S835" s="365">
        <v>0</v>
      </c>
      <c r="T835" s="109">
        <v>-3235.4463963851772</v>
      </c>
      <c r="V835" s="368">
        <f t="shared" si="72"/>
        <v>62177111.754829407</v>
      </c>
      <c r="W835" s="30">
        <f t="shared" si="73"/>
        <v>67222618.843455657</v>
      </c>
      <c r="X835" s="30"/>
      <c r="Y835">
        <f t="shared" si="74"/>
        <v>0</v>
      </c>
      <c r="Z835">
        <f t="shared" si="75"/>
        <v>1</v>
      </c>
      <c r="AA835">
        <f t="shared" si="76"/>
        <v>0</v>
      </c>
      <c r="AB835">
        <f t="shared" si="77"/>
        <v>1</v>
      </c>
    </row>
    <row r="836" spans="6:28" x14ac:dyDescent="0.3">
      <c r="F836" s="28"/>
      <c r="G836">
        <v>828</v>
      </c>
      <c r="H836" s="109">
        <v>1184.7921228098639</v>
      </c>
      <c r="I836" s="370">
        <v>1507533.8068572106</v>
      </c>
      <c r="J836">
        <v>0</v>
      </c>
      <c r="K836">
        <v>0</v>
      </c>
      <c r="L836">
        <v>0</v>
      </c>
      <c r="M836">
        <v>1</v>
      </c>
      <c r="N836" s="109">
        <v>1272.4036375950318</v>
      </c>
      <c r="O836" s="109">
        <v>-2593626.3226119019</v>
      </c>
      <c r="P836" s="365">
        <v>1</v>
      </c>
      <c r="Q836" s="365">
        <v>0</v>
      </c>
      <c r="R836" s="365">
        <v>0</v>
      </c>
      <c r="S836" s="365">
        <v>0</v>
      </c>
      <c r="T836" s="109">
        <v>-2189.0982162008586</v>
      </c>
      <c r="V836" s="368">
        <f t="shared" si="72"/>
        <v>57732072.333635986</v>
      </c>
      <c r="W836" s="30">
        <f t="shared" si="73"/>
        <v>61833232.463105097</v>
      </c>
      <c r="X836" s="30"/>
      <c r="Y836">
        <f t="shared" si="74"/>
        <v>0</v>
      </c>
      <c r="Z836">
        <f t="shared" si="75"/>
        <v>1</v>
      </c>
      <c r="AA836">
        <f t="shared" si="76"/>
        <v>0</v>
      </c>
      <c r="AB836">
        <f t="shared" si="77"/>
        <v>1</v>
      </c>
    </row>
    <row r="837" spans="6:28" x14ac:dyDescent="0.3">
      <c r="F837" s="28"/>
      <c r="G837">
        <v>829</v>
      </c>
      <c r="H837" s="109">
        <v>960.21480586892721</v>
      </c>
      <c r="I837" s="370">
        <v>919762.07094347547</v>
      </c>
      <c r="J837">
        <v>0</v>
      </c>
      <c r="K837">
        <v>0</v>
      </c>
      <c r="L837">
        <v>0</v>
      </c>
      <c r="M837">
        <v>1</v>
      </c>
      <c r="N837" s="109">
        <v>957.87116103792539</v>
      </c>
      <c r="O837" s="109">
        <v>-3286206.8130743899</v>
      </c>
      <c r="P837" s="365">
        <v>1</v>
      </c>
      <c r="Q837" s="365">
        <v>0</v>
      </c>
      <c r="R837" s="365">
        <v>0</v>
      </c>
      <c r="S837" s="365">
        <v>0</v>
      </c>
      <c r="T837" s="109">
        <v>-3422.3663215655197</v>
      </c>
      <c r="V837" s="368">
        <f t="shared" si="72"/>
        <v>47090978.222502887</v>
      </c>
      <c r="W837" s="30">
        <f t="shared" si="73"/>
        <v>51296947.10652075</v>
      </c>
      <c r="X837" s="30"/>
      <c r="Y837">
        <f t="shared" si="74"/>
        <v>0</v>
      </c>
      <c r="Z837">
        <f t="shared" si="75"/>
        <v>1</v>
      </c>
      <c r="AA837">
        <f t="shared" si="76"/>
        <v>0</v>
      </c>
      <c r="AB837">
        <f t="shared" si="77"/>
        <v>1</v>
      </c>
    </row>
    <row r="838" spans="6:28" x14ac:dyDescent="0.3">
      <c r="F838" s="28"/>
      <c r="G838">
        <v>830</v>
      </c>
      <c r="H838" s="109">
        <v>1202.6259672191518</v>
      </c>
      <c r="I838" s="370">
        <v>1195557.1038822776</v>
      </c>
      <c r="J838">
        <v>0</v>
      </c>
      <c r="K838">
        <v>0</v>
      </c>
      <c r="L838">
        <v>0</v>
      </c>
      <c r="M838">
        <v>1</v>
      </c>
      <c r="N838" s="109">
        <v>994.1221431022152</v>
      </c>
      <c r="O838" s="109">
        <v>-4299950.228590833</v>
      </c>
      <c r="P838" s="365">
        <v>1</v>
      </c>
      <c r="Q838" s="365">
        <v>0</v>
      </c>
      <c r="R838" s="365">
        <v>0</v>
      </c>
      <c r="S838" s="365">
        <v>0</v>
      </c>
      <c r="T838" s="109">
        <v>-3575.467639812955</v>
      </c>
      <c r="V838" s="368">
        <f t="shared" si="72"/>
        <v>58935741.257075317</v>
      </c>
      <c r="W838" s="30">
        <f t="shared" si="73"/>
        <v>64431248.589548424</v>
      </c>
      <c r="X838" s="30"/>
      <c r="Y838">
        <f t="shared" si="74"/>
        <v>0</v>
      </c>
      <c r="Z838">
        <f t="shared" si="75"/>
        <v>1</v>
      </c>
      <c r="AA838">
        <f t="shared" si="76"/>
        <v>0</v>
      </c>
      <c r="AB838">
        <f t="shared" si="77"/>
        <v>1</v>
      </c>
    </row>
    <row r="839" spans="6:28" x14ac:dyDescent="0.3">
      <c r="F839" s="28"/>
      <c r="G839">
        <v>831</v>
      </c>
      <c r="H839" s="109">
        <v>1177.1608651011193</v>
      </c>
      <c r="I839" s="370">
        <v>1365680.9017111636</v>
      </c>
      <c r="J839">
        <v>0</v>
      </c>
      <c r="K839">
        <v>0</v>
      </c>
      <c r="L839">
        <v>0</v>
      </c>
      <c r="M839">
        <v>1</v>
      </c>
      <c r="N839" s="109">
        <v>1160.1480665888857</v>
      </c>
      <c r="O839" s="109">
        <v>-3378405.2465069364</v>
      </c>
      <c r="P839" s="365">
        <v>1</v>
      </c>
      <c r="Q839" s="365">
        <v>0</v>
      </c>
      <c r="R839" s="365">
        <v>0</v>
      </c>
      <c r="S839" s="365">
        <v>0</v>
      </c>
      <c r="T839" s="109">
        <v>-2869.9605522620973</v>
      </c>
      <c r="V839" s="368">
        <f t="shared" si="72"/>
        <v>57492362.353344798</v>
      </c>
      <c r="W839" s="30">
        <f t="shared" si="73"/>
        <v>62236448.501562901</v>
      </c>
      <c r="X839" s="30"/>
      <c r="Y839">
        <f t="shared" si="74"/>
        <v>0</v>
      </c>
      <c r="Z839">
        <f t="shared" si="75"/>
        <v>1</v>
      </c>
      <c r="AA839">
        <f t="shared" si="76"/>
        <v>0</v>
      </c>
      <c r="AB839">
        <f t="shared" si="77"/>
        <v>1</v>
      </c>
    </row>
    <row r="840" spans="6:28" x14ac:dyDescent="0.3">
      <c r="F840" s="28"/>
      <c r="G840">
        <v>832</v>
      </c>
      <c r="H840" s="109">
        <v>1338.812738256529</v>
      </c>
      <c r="I840" s="370">
        <v>766672.97643167118</v>
      </c>
      <c r="J840">
        <v>0</v>
      </c>
      <c r="K840">
        <v>0</v>
      </c>
      <c r="L840">
        <v>0</v>
      </c>
      <c r="M840">
        <v>1</v>
      </c>
      <c r="N840" s="109">
        <v>572.65139068670078</v>
      </c>
      <c r="O840" s="109">
        <v>-4803696.7050419888</v>
      </c>
      <c r="P840" s="365">
        <v>1</v>
      </c>
      <c r="Q840" s="365">
        <v>0</v>
      </c>
      <c r="R840" s="365">
        <v>0</v>
      </c>
      <c r="S840" s="365">
        <v>0</v>
      </c>
      <c r="T840" s="109">
        <v>-3588.0273377870685</v>
      </c>
      <c r="V840" s="368">
        <f t="shared" si="72"/>
        <v>66173963.936394781</v>
      </c>
      <c r="W840" s="30">
        <f t="shared" si="73"/>
        <v>71744333.617868438</v>
      </c>
      <c r="X840" s="30"/>
      <c r="Y840">
        <f t="shared" si="74"/>
        <v>0</v>
      </c>
      <c r="Z840">
        <f t="shared" si="75"/>
        <v>1</v>
      </c>
      <c r="AA840">
        <f t="shared" si="76"/>
        <v>0</v>
      </c>
      <c r="AB840">
        <f t="shared" si="77"/>
        <v>1</v>
      </c>
    </row>
    <row r="841" spans="6:28" x14ac:dyDescent="0.3">
      <c r="F841" s="28"/>
      <c r="G841">
        <v>833</v>
      </c>
      <c r="H841" s="109">
        <v>1188.9258287031989</v>
      </c>
      <c r="I841" s="370">
        <v>803359.02021311852</v>
      </c>
      <c r="J841">
        <v>0</v>
      </c>
      <c r="K841">
        <v>0</v>
      </c>
      <c r="L841">
        <v>0</v>
      </c>
      <c r="M841">
        <v>1</v>
      </c>
      <c r="N841" s="109">
        <v>675.70154573003856</v>
      </c>
      <c r="O841" s="109">
        <v>-3940495.3231469356</v>
      </c>
      <c r="P841" s="365">
        <v>1</v>
      </c>
      <c r="Q841" s="365">
        <v>0</v>
      </c>
      <c r="R841" s="365">
        <v>0</v>
      </c>
      <c r="S841" s="365">
        <v>0</v>
      </c>
      <c r="T841" s="109">
        <v>-3314.332339339423</v>
      </c>
      <c r="V841" s="368">
        <f t="shared" ref="V841:V904" si="78">H841*WTPinput-I841</f>
        <v>58642932.414946824</v>
      </c>
      <c r="W841" s="30">
        <f t="shared" ref="W841:W904" si="79">H841*WTPinput-O841</f>
        <v>63386786.758306876</v>
      </c>
      <c r="X841" s="30"/>
      <c r="Y841">
        <f t="shared" si="74"/>
        <v>0</v>
      </c>
      <c r="Z841">
        <f t="shared" si="75"/>
        <v>1</v>
      </c>
      <c r="AA841">
        <f t="shared" si="76"/>
        <v>0</v>
      </c>
      <c r="AB841">
        <f t="shared" si="77"/>
        <v>1</v>
      </c>
    </row>
    <row r="842" spans="6:28" x14ac:dyDescent="0.3">
      <c r="F842" s="28"/>
      <c r="G842">
        <v>834</v>
      </c>
      <c r="H842" s="109">
        <v>1215.1838862395525</v>
      </c>
      <c r="I842" s="370">
        <v>2143685.5825131917</v>
      </c>
      <c r="J842">
        <v>0</v>
      </c>
      <c r="K842">
        <v>0</v>
      </c>
      <c r="L842">
        <v>0</v>
      </c>
      <c r="M842">
        <v>1</v>
      </c>
      <c r="N842" s="109">
        <v>1764.0832854910002</v>
      </c>
      <c r="O842" s="109">
        <v>-2945742.9938479359</v>
      </c>
      <c r="P842" s="365">
        <v>1</v>
      </c>
      <c r="Q842" s="365">
        <v>0</v>
      </c>
      <c r="R842" s="365">
        <v>0</v>
      </c>
      <c r="S842" s="365">
        <v>0</v>
      </c>
      <c r="T842" s="109">
        <v>-2424.1129488341762</v>
      </c>
      <c r="V842" s="368">
        <f t="shared" si="78"/>
        <v>58615508.729464434</v>
      </c>
      <c r="W842" s="30">
        <f t="shared" si="79"/>
        <v>63704937.305825561</v>
      </c>
      <c r="X842" s="30"/>
      <c r="Y842">
        <f t="shared" ref="Y842:Y905" si="80">IF(V842&lt;0,1,0)</f>
        <v>0</v>
      </c>
      <c r="Z842">
        <f t="shared" ref="Z842:Z905" si="81">IF(V842&gt;0,1,0)</f>
        <v>1</v>
      </c>
      <c r="AA842">
        <f t="shared" ref="AA842:AA905" si="82">IF(W842&lt;0,1,0)</f>
        <v>0</v>
      </c>
      <c r="AB842">
        <f t="shared" ref="AB842:AB905" si="83">IF(W842&gt;0,1,0)</f>
        <v>1</v>
      </c>
    </row>
    <row r="843" spans="6:28" x14ac:dyDescent="0.3">
      <c r="F843" s="28"/>
      <c r="G843">
        <v>835</v>
      </c>
      <c r="H843" s="109">
        <v>1088.2287827284454</v>
      </c>
      <c r="I843" s="370">
        <v>1285814.8844313663</v>
      </c>
      <c r="J843">
        <v>0</v>
      </c>
      <c r="K843">
        <v>0</v>
      </c>
      <c r="L843">
        <v>0</v>
      </c>
      <c r="M843">
        <v>1</v>
      </c>
      <c r="N843" s="109">
        <v>1181.5666933634361</v>
      </c>
      <c r="O843" s="109">
        <v>-3563379.2368820948</v>
      </c>
      <c r="P843" s="365">
        <v>1</v>
      </c>
      <c r="Q843" s="365">
        <v>0</v>
      </c>
      <c r="R843" s="365">
        <v>0</v>
      </c>
      <c r="S843" s="365">
        <v>0</v>
      </c>
      <c r="T843" s="109">
        <v>-3274.4761886814513</v>
      </c>
      <c r="V843" s="368">
        <f t="shared" si="78"/>
        <v>53125624.251990899</v>
      </c>
      <c r="W843" s="30">
        <f t="shared" si="79"/>
        <v>57974818.373304367</v>
      </c>
      <c r="X843" s="30"/>
      <c r="Y843">
        <f t="shared" si="80"/>
        <v>0</v>
      </c>
      <c r="Z843">
        <f t="shared" si="81"/>
        <v>1</v>
      </c>
      <c r="AA843">
        <f t="shared" si="82"/>
        <v>0</v>
      </c>
      <c r="AB843">
        <f t="shared" si="83"/>
        <v>1</v>
      </c>
    </row>
    <row r="844" spans="6:28" x14ac:dyDescent="0.3">
      <c r="F844" s="28"/>
      <c r="G844">
        <v>836</v>
      </c>
      <c r="H844" s="109">
        <v>933.6848051924535</v>
      </c>
      <c r="I844" s="370">
        <v>1298344.6738741098</v>
      </c>
      <c r="J844">
        <v>0</v>
      </c>
      <c r="K844">
        <v>0</v>
      </c>
      <c r="L844">
        <v>0</v>
      </c>
      <c r="M844">
        <v>1</v>
      </c>
      <c r="N844" s="109">
        <v>1390.5599262767178</v>
      </c>
      <c r="O844" s="109">
        <v>-3057943.0515668406</v>
      </c>
      <c r="P844" s="365">
        <v>1</v>
      </c>
      <c r="Q844" s="365">
        <v>0</v>
      </c>
      <c r="R844" s="365">
        <v>0</v>
      </c>
      <c r="S844" s="365">
        <v>0</v>
      </c>
      <c r="T844" s="109">
        <v>-3275.1342150593632</v>
      </c>
      <c r="V844" s="368">
        <f t="shared" si="78"/>
        <v>45385895.585748568</v>
      </c>
      <c r="W844" s="30">
        <f t="shared" si="79"/>
        <v>49742183.311189517</v>
      </c>
      <c r="X844" s="30"/>
      <c r="Y844">
        <f t="shared" si="80"/>
        <v>0</v>
      </c>
      <c r="Z844">
        <f t="shared" si="81"/>
        <v>1</v>
      </c>
      <c r="AA844">
        <f t="shared" si="82"/>
        <v>0</v>
      </c>
      <c r="AB844">
        <f t="shared" si="83"/>
        <v>1</v>
      </c>
    </row>
    <row r="845" spans="6:28" x14ac:dyDescent="0.3">
      <c r="F845" s="28"/>
      <c r="G845">
        <v>837</v>
      </c>
      <c r="H845" s="109">
        <v>1472.9668243768465</v>
      </c>
      <c r="I845" s="370">
        <v>1469841.8200427769</v>
      </c>
      <c r="J845">
        <v>0</v>
      </c>
      <c r="K845">
        <v>0</v>
      </c>
      <c r="L845">
        <v>0</v>
      </c>
      <c r="M845">
        <v>1</v>
      </c>
      <c r="N845" s="109">
        <v>997.87842856855127</v>
      </c>
      <c r="O845" s="109">
        <v>-3982065.4691862599</v>
      </c>
      <c r="P845" s="365">
        <v>1</v>
      </c>
      <c r="Q845" s="365">
        <v>0</v>
      </c>
      <c r="R845" s="365">
        <v>0</v>
      </c>
      <c r="S845" s="365">
        <v>0</v>
      </c>
      <c r="T845" s="109">
        <v>-2703.4318786310159</v>
      </c>
      <c r="V845" s="368">
        <f t="shared" si="78"/>
        <v>72178499.398799554</v>
      </c>
      <c r="W845" s="30">
        <f t="shared" si="79"/>
        <v>77630406.688028589</v>
      </c>
      <c r="X845" s="30"/>
      <c r="Y845">
        <f t="shared" si="80"/>
        <v>0</v>
      </c>
      <c r="Z845">
        <f t="shared" si="81"/>
        <v>1</v>
      </c>
      <c r="AA845">
        <f t="shared" si="82"/>
        <v>0</v>
      </c>
      <c r="AB845">
        <f t="shared" si="83"/>
        <v>1</v>
      </c>
    </row>
    <row r="846" spans="6:28" x14ac:dyDescent="0.3">
      <c r="F846" s="28"/>
      <c r="G846">
        <v>838</v>
      </c>
      <c r="H846" s="109">
        <v>1062.4291804954119</v>
      </c>
      <c r="I846" s="370">
        <v>1092251.9552765165</v>
      </c>
      <c r="J846">
        <v>0</v>
      </c>
      <c r="K846">
        <v>0</v>
      </c>
      <c r="L846">
        <v>0</v>
      </c>
      <c r="M846">
        <v>1</v>
      </c>
      <c r="N846" s="109">
        <v>1028.0703649039442</v>
      </c>
      <c r="O846" s="109">
        <v>-3334987.4138271315</v>
      </c>
      <c r="P846" s="365">
        <v>1</v>
      </c>
      <c r="Q846" s="365">
        <v>0</v>
      </c>
      <c r="R846" s="365">
        <v>0</v>
      </c>
      <c r="S846" s="365">
        <v>0</v>
      </c>
      <c r="T846" s="109">
        <v>-3139.0209108074605</v>
      </c>
      <c r="V846" s="368">
        <f t="shared" si="78"/>
        <v>52029207.069494076</v>
      </c>
      <c r="W846" s="30">
        <f t="shared" si="79"/>
        <v>56456446.438597724</v>
      </c>
      <c r="X846" s="30"/>
      <c r="Y846">
        <f t="shared" si="80"/>
        <v>0</v>
      </c>
      <c r="Z846">
        <f t="shared" si="81"/>
        <v>1</v>
      </c>
      <c r="AA846">
        <f t="shared" si="82"/>
        <v>0</v>
      </c>
      <c r="AB846">
        <f t="shared" si="83"/>
        <v>1</v>
      </c>
    </row>
    <row r="847" spans="6:28" x14ac:dyDescent="0.3">
      <c r="F847" s="28"/>
      <c r="G847">
        <v>839</v>
      </c>
      <c r="H847" s="109">
        <v>1299.422505980503</v>
      </c>
      <c r="I847" s="370">
        <v>1394126.2573914463</v>
      </c>
      <c r="J847">
        <v>0</v>
      </c>
      <c r="K847">
        <v>0</v>
      </c>
      <c r="L847">
        <v>0</v>
      </c>
      <c r="M847">
        <v>1</v>
      </c>
      <c r="N847" s="109">
        <v>1072.881415378813</v>
      </c>
      <c r="O847" s="109">
        <v>-2919448.043179797</v>
      </c>
      <c r="P847" s="365">
        <v>1</v>
      </c>
      <c r="Q847" s="365">
        <v>0</v>
      </c>
      <c r="R847" s="365">
        <v>0</v>
      </c>
      <c r="S847" s="365">
        <v>0</v>
      </c>
      <c r="T847" s="109">
        <v>-2246.7273190538394</v>
      </c>
      <c r="V847" s="368">
        <f t="shared" si="78"/>
        <v>63576999.04163371</v>
      </c>
      <c r="W847" s="30">
        <f t="shared" si="79"/>
        <v>67890573.342204958</v>
      </c>
      <c r="X847" s="30"/>
      <c r="Y847">
        <f t="shared" si="80"/>
        <v>0</v>
      </c>
      <c r="Z847">
        <f t="shared" si="81"/>
        <v>1</v>
      </c>
      <c r="AA847">
        <f t="shared" si="82"/>
        <v>0</v>
      </c>
      <c r="AB847">
        <f t="shared" si="83"/>
        <v>1</v>
      </c>
    </row>
    <row r="848" spans="6:28" x14ac:dyDescent="0.3">
      <c r="F848" s="28"/>
      <c r="G848">
        <v>840</v>
      </c>
      <c r="H848" s="109">
        <v>1042.6116555257831</v>
      </c>
      <c r="I848" s="370">
        <v>1806770.3983718769</v>
      </c>
      <c r="J848">
        <v>0</v>
      </c>
      <c r="K848">
        <v>0</v>
      </c>
      <c r="L848">
        <v>0</v>
      </c>
      <c r="M848">
        <v>1</v>
      </c>
      <c r="N848" s="109">
        <v>1732.9274891529319</v>
      </c>
      <c r="O848" s="109">
        <v>-2003489.162321819</v>
      </c>
      <c r="P848" s="365">
        <v>1</v>
      </c>
      <c r="Q848" s="365">
        <v>0</v>
      </c>
      <c r="R848" s="365">
        <v>0</v>
      </c>
      <c r="S848" s="365">
        <v>0</v>
      </c>
      <c r="T848" s="109">
        <v>-1921.6063351137877</v>
      </c>
      <c r="V848" s="368">
        <f t="shared" si="78"/>
        <v>50323812.377917282</v>
      </c>
      <c r="W848" s="30">
        <f t="shared" si="79"/>
        <v>54134071.938610978</v>
      </c>
      <c r="X848" s="30"/>
      <c r="Y848">
        <f t="shared" si="80"/>
        <v>0</v>
      </c>
      <c r="Z848">
        <f t="shared" si="81"/>
        <v>1</v>
      </c>
      <c r="AA848">
        <f t="shared" si="82"/>
        <v>0</v>
      </c>
      <c r="AB848">
        <f t="shared" si="83"/>
        <v>1</v>
      </c>
    </row>
    <row r="849" spans="6:28" x14ac:dyDescent="0.3">
      <c r="F849" s="28"/>
      <c r="G849">
        <v>841</v>
      </c>
      <c r="H849" s="109">
        <v>1168.7363854816722</v>
      </c>
      <c r="I849" s="370">
        <v>1636735.234485348</v>
      </c>
      <c r="J849">
        <v>0</v>
      </c>
      <c r="K849">
        <v>0</v>
      </c>
      <c r="L849">
        <v>0</v>
      </c>
      <c r="M849">
        <v>1</v>
      </c>
      <c r="N849" s="109">
        <v>1400.431487217538</v>
      </c>
      <c r="O849" s="109">
        <v>-2826159.8339496306</v>
      </c>
      <c r="P849" s="365">
        <v>1</v>
      </c>
      <c r="Q849" s="365">
        <v>0</v>
      </c>
      <c r="R849" s="365">
        <v>0</v>
      </c>
      <c r="S849" s="365">
        <v>0</v>
      </c>
      <c r="T849" s="109">
        <v>-2418.1328390703634</v>
      </c>
      <c r="V849" s="368">
        <f t="shared" si="78"/>
        <v>56800084.039598256</v>
      </c>
      <c r="W849" s="30">
        <f t="shared" si="79"/>
        <v>61262979.10803324</v>
      </c>
      <c r="X849" s="30"/>
      <c r="Y849">
        <f t="shared" si="80"/>
        <v>0</v>
      </c>
      <c r="Z849">
        <f t="shared" si="81"/>
        <v>1</v>
      </c>
      <c r="AA849">
        <f t="shared" si="82"/>
        <v>0</v>
      </c>
      <c r="AB849">
        <f t="shared" si="83"/>
        <v>1</v>
      </c>
    </row>
    <row r="850" spans="6:28" x14ac:dyDescent="0.3">
      <c r="F850" s="28"/>
      <c r="G850">
        <v>842</v>
      </c>
      <c r="H850" s="109">
        <v>1180.5842094154141</v>
      </c>
      <c r="I850" s="370">
        <v>1037554.8843621821</v>
      </c>
      <c r="J850">
        <v>0</v>
      </c>
      <c r="K850">
        <v>0</v>
      </c>
      <c r="L850">
        <v>0</v>
      </c>
      <c r="M850">
        <v>1</v>
      </c>
      <c r="N850" s="109">
        <v>878.84868871483945</v>
      </c>
      <c r="O850" s="109">
        <v>-3692308.3162134932</v>
      </c>
      <c r="P850" s="365">
        <v>1</v>
      </c>
      <c r="Q850" s="365">
        <v>0</v>
      </c>
      <c r="R850" s="365">
        <v>0</v>
      </c>
      <c r="S850" s="365">
        <v>0</v>
      </c>
      <c r="T850" s="109">
        <v>-3127.5264286668726</v>
      </c>
      <c r="V850" s="368">
        <f t="shared" si="78"/>
        <v>57991655.586408518</v>
      </c>
      <c r="W850" s="30">
        <f t="shared" si="79"/>
        <v>62721518.786984198</v>
      </c>
      <c r="X850" s="30"/>
      <c r="Y850">
        <f t="shared" si="80"/>
        <v>0</v>
      </c>
      <c r="Z850">
        <f t="shared" si="81"/>
        <v>1</v>
      </c>
      <c r="AA850">
        <f t="shared" si="82"/>
        <v>0</v>
      </c>
      <c r="AB850">
        <f t="shared" si="83"/>
        <v>1</v>
      </c>
    </row>
    <row r="851" spans="6:28" x14ac:dyDescent="0.3">
      <c r="F851" s="28"/>
      <c r="G851">
        <v>843</v>
      </c>
      <c r="H851" s="109">
        <v>1285.90565388291</v>
      </c>
      <c r="I851" s="370">
        <v>2204800.6710929177</v>
      </c>
      <c r="J851">
        <v>0</v>
      </c>
      <c r="K851">
        <v>0</v>
      </c>
      <c r="L851">
        <v>0</v>
      </c>
      <c r="M851">
        <v>1</v>
      </c>
      <c r="N851" s="109">
        <v>1714.5897635921579</v>
      </c>
      <c r="O851" s="109">
        <v>-2616090.1834493605</v>
      </c>
      <c r="P851" s="365">
        <v>1</v>
      </c>
      <c r="Q851" s="365">
        <v>0</v>
      </c>
      <c r="R851" s="365">
        <v>0</v>
      </c>
      <c r="S851" s="365">
        <v>0</v>
      </c>
      <c r="T851" s="109">
        <v>-2034.4340003093046</v>
      </c>
      <c r="V851" s="368">
        <f t="shared" si="78"/>
        <v>62090482.023052581</v>
      </c>
      <c r="W851" s="30">
        <f t="shared" si="79"/>
        <v>66911372.877594858</v>
      </c>
      <c r="X851" s="30"/>
      <c r="Y851">
        <f t="shared" si="80"/>
        <v>0</v>
      </c>
      <c r="Z851">
        <f t="shared" si="81"/>
        <v>1</v>
      </c>
      <c r="AA851">
        <f t="shared" si="82"/>
        <v>0</v>
      </c>
      <c r="AB851">
        <f t="shared" si="83"/>
        <v>1</v>
      </c>
    </row>
    <row r="852" spans="6:28" x14ac:dyDescent="0.3">
      <c r="F852" s="28"/>
      <c r="G852">
        <v>844</v>
      </c>
      <c r="H852" s="109">
        <v>1225.4007604931976</v>
      </c>
      <c r="I852" s="370">
        <v>1316253.8430100926</v>
      </c>
      <c r="J852">
        <v>0</v>
      </c>
      <c r="K852">
        <v>0</v>
      </c>
      <c r="L852">
        <v>0</v>
      </c>
      <c r="M852">
        <v>1</v>
      </c>
      <c r="N852" s="109">
        <v>1074.1415261406632</v>
      </c>
      <c r="O852" s="109">
        <v>-3385161.6894858335</v>
      </c>
      <c r="P852" s="365">
        <v>1</v>
      </c>
      <c r="Q852" s="365">
        <v>0</v>
      </c>
      <c r="R852" s="365">
        <v>0</v>
      </c>
      <c r="S852" s="365">
        <v>0</v>
      </c>
      <c r="T852" s="109">
        <v>-2762.4935438455077</v>
      </c>
      <c r="V852" s="368">
        <f t="shared" si="78"/>
        <v>59953784.181649789</v>
      </c>
      <c r="W852" s="30">
        <f t="shared" si="79"/>
        <v>64655199.714145713</v>
      </c>
      <c r="X852" s="30"/>
      <c r="Y852">
        <f t="shared" si="80"/>
        <v>0</v>
      </c>
      <c r="Z852">
        <f t="shared" si="81"/>
        <v>1</v>
      </c>
      <c r="AA852">
        <f t="shared" si="82"/>
        <v>0</v>
      </c>
      <c r="AB852">
        <f t="shared" si="83"/>
        <v>1</v>
      </c>
    </row>
    <row r="853" spans="6:28" x14ac:dyDescent="0.3">
      <c r="F853" s="28"/>
      <c r="G853">
        <v>845</v>
      </c>
      <c r="H853" s="109">
        <v>1022.5745970108546</v>
      </c>
      <c r="I853" s="370">
        <v>927921.18735214474</v>
      </c>
      <c r="J853">
        <v>0</v>
      </c>
      <c r="K853">
        <v>0</v>
      </c>
      <c r="L853">
        <v>0</v>
      </c>
      <c r="M853">
        <v>1</v>
      </c>
      <c r="N853" s="109">
        <v>907.43618124741545</v>
      </c>
      <c r="O853" s="109">
        <v>-3218748.6278561414</v>
      </c>
      <c r="P853" s="365">
        <v>1</v>
      </c>
      <c r="Q853" s="365">
        <v>0</v>
      </c>
      <c r="R853" s="365">
        <v>0</v>
      </c>
      <c r="S853" s="365">
        <v>0</v>
      </c>
      <c r="T853" s="109">
        <v>-3147.6907770494659</v>
      </c>
      <c r="V853" s="368">
        <f t="shared" si="78"/>
        <v>50200808.663190588</v>
      </c>
      <c r="W853" s="30">
        <f t="shared" si="79"/>
        <v>54347478.478398874</v>
      </c>
      <c r="X853" s="30"/>
      <c r="Y853">
        <f t="shared" si="80"/>
        <v>0</v>
      </c>
      <c r="Z853">
        <f t="shared" si="81"/>
        <v>1</v>
      </c>
      <c r="AA853">
        <f t="shared" si="82"/>
        <v>0</v>
      </c>
      <c r="AB853">
        <f t="shared" si="83"/>
        <v>1</v>
      </c>
    </row>
    <row r="854" spans="6:28" x14ac:dyDescent="0.3">
      <c r="F854" s="28"/>
      <c r="G854">
        <v>846</v>
      </c>
      <c r="H854" s="109">
        <v>1003.6696911505351</v>
      </c>
      <c r="I854" s="370">
        <v>1367155.8010432248</v>
      </c>
      <c r="J854">
        <v>0</v>
      </c>
      <c r="K854">
        <v>0</v>
      </c>
      <c r="L854">
        <v>0</v>
      </c>
      <c r="M854">
        <v>1</v>
      </c>
      <c r="N854" s="109">
        <v>1362.1571051687486</v>
      </c>
      <c r="O854" s="109">
        <v>-2656521.8164389692</v>
      </c>
      <c r="P854" s="365">
        <v>1</v>
      </c>
      <c r="Q854" s="365">
        <v>0</v>
      </c>
      <c r="R854" s="365">
        <v>0</v>
      </c>
      <c r="S854" s="365">
        <v>0</v>
      </c>
      <c r="T854" s="109">
        <v>-2646.8088454416938</v>
      </c>
      <c r="V854" s="368">
        <f t="shared" si="78"/>
        <v>48816328.756483525</v>
      </c>
      <c r="W854" s="30">
        <f t="shared" si="79"/>
        <v>52840006.373965725</v>
      </c>
      <c r="X854" s="30"/>
      <c r="Y854">
        <f t="shared" si="80"/>
        <v>0</v>
      </c>
      <c r="Z854">
        <f t="shared" si="81"/>
        <v>1</v>
      </c>
      <c r="AA854">
        <f t="shared" si="82"/>
        <v>0</v>
      </c>
      <c r="AB854">
        <f t="shared" si="83"/>
        <v>1</v>
      </c>
    </row>
    <row r="855" spans="6:28" x14ac:dyDescent="0.3">
      <c r="F855" s="28"/>
      <c r="G855">
        <v>847</v>
      </c>
      <c r="H855" s="109">
        <v>1388.6790034009318</v>
      </c>
      <c r="I855" s="370">
        <v>1091847.5615487911</v>
      </c>
      <c r="J855">
        <v>0</v>
      </c>
      <c r="K855">
        <v>0</v>
      </c>
      <c r="L855">
        <v>0</v>
      </c>
      <c r="M855">
        <v>1</v>
      </c>
      <c r="N855" s="109">
        <v>786.2490603478642</v>
      </c>
      <c r="O855" s="109">
        <v>-4597692.897393384</v>
      </c>
      <c r="P855" s="365">
        <v>1</v>
      </c>
      <c r="Q855" s="365">
        <v>0</v>
      </c>
      <c r="R855" s="365">
        <v>0</v>
      </c>
      <c r="S855" s="365">
        <v>0</v>
      </c>
      <c r="T855" s="109">
        <v>-3310.8392120378039</v>
      </c>
      <c r="V855" s="368">
        <f t="shared" si="78"/>
        <v>68342102.608497813</v>
      </c>
      <c r="W855" s="30">
        <f t="shared" si="79"/>
        <v>74031643.067439988</v>
      </c>
      <c r="X855" s="30"/>
      <c r="Y855">
        <f t="shared" si="80"/>
        <v>0</v>
      </c>
      <c r="Z855">
        <f t="shared" si="81"/>
        <v>1</v>
      </c>
      <c r="AA855">
        <f t="shared" si="82"/>
        <v>0</v>
      </c>
      <c r="AB855">
        <f t="shared" si="83"/>
        <v>1</v>
      </c>
    </row>
    <row r="856" spans="6:28" x14ac:dyDescent="0.3">
      <c r="F856" s="28"/>
      <c r="G856">
        <v>848</v>
      </c>
      <c r="H856" s="109">
        <v>1258.4483233496576</v>
      </c>
      <c r="I856" s="370">
        <v>590224.94494566694</v>
      </c>
      <c r="J856">
        <v>0</v>
      </c>
      <c r="K856">
        <v>0</v>
      </c>
      <c r="L856">
        <v>0</v>
      </c>
      <c r="M856">
        <v>1</v>
      </c>
      <c r="N856" s="109">
        <v>469.01007692921689</v>
      </c>
      <c r="O856" s="109">
        <v>-4080312.6530936738</v>
      </c>
      <c r="P856" s="365">
        <v>1</v>
      </c>
      <c r="Q856" s="365">
        <v>0</v>
      </c>
      <c r="R856" s="365">
        <v>0</v>
      </c>
      <c r="S856" s="365">
        <v>0</v>
      </c>
      <c r="T856" s="109">
        <v>-3242.3362782453851</v>
      </c>
      <c r="V856" s="368">
        <f t="shared" si="78"/>
        <v>62332191.22253722</v>
      </c>
      <c r="W856" s="30">
        <f t="shared" si="79"/>
        <v>67002728.820576556</v>
      </c>
      <c r="X856" s="30"/>
      <c r="Y856">
        <f t="shared" si="80"/>
        <v>0</v>
      </c>
      <c r="Z856">
        <f t="shared" si="81"/>
        <v>1</v>
      </c>
      <c r="AA856">
        <f t="shared" si="82"/>
        <v>0</v>
      </c>
      <c r="AB856">
        <f t="shared" si="83"/>
        <v>1</v>
      </c>
    </row>
    <row r="857" spans="6:28" x14ac:dyDescent="0.3">
      <c r="F857" s="28"/>
      <c r="G857">
        <v>849</v>
      </c>
      <c r="H857" s="109">
        <v>1366.024337838433</v>
      </c>
      <c r="I857" s="370">
        <v>1736560.5087255917</v>
      </c>
      <c r="J857">
        <v>0</v>
      </c>
      <c r="K857">
        <v>0</v>
      </c>
      <c r="L857">
        <v>0</v>
      </c>
      <c r="M857">
        <v>1</v>
      </c>
      <c r="N857" s="109">
        <v>1271.2515147962056</v>
      </c>
      <c r="O857" s="109">
        <v>-3751540.0840403838</v>
      </c>
      <c r="P857" s="365">
        <v>1</v>
      </c>
      <c r="Q857" s="365">
        <v>0</v>
      </c>
      <c r="R857" s="365">
        <v>0</v>
      </c>
      <c r="S857" s="365">
        <v>0</v>
      </c>
      <c r="T857" s="109">
        <v>-2746.3200911754902</v>
      </c>
      <c r="V857" s="368">
        <f t="shared" si="78"/>
        <v>66564656.383196063</v>
      </c>
      <c r="W857" s="30">
        <f t="shared" si="79"/>
        <v>72052756.975962043</v>
      </c>
      <c r="X857" s="30"/>
      <c r="Y857">
        <f t="shared" si="80"/>
        <v>0</v>
      </c>
      <c r="Z857">
        <f t="shared" si="81"/>
        <v>1</v>
      </c>
      <c r="AA857">
        <f t="shared" si="82"/>
        <v>0</v>
      </c>
      <c r="AB857">
        <f t="shared" si="83"/>
        <v>1</v>
      </c>
    </row>
    <row r="858" spans="6:28" x14ac:dyDescent="0.3">
      <c r="F858" s="28"/>
      <c r="G858">
        <v>850</v>
      </c>
      <c r="H858" s="109">
        <v>1404.0450321843891</v>
      </c>
      <c r="I858" s="370">
        <v>1443791.2851962724</v>
      </c>
      <c r="J858">
        <v>0</v>
      </c>
      <c r="K858">
        <v>0</v>
      </c>
      <c r="L858">
        <v>0</v>
      </c>
      <c r="M858">
        <v>1</v>
      </c>
      <c r="N858" s="109">
        <v>1028.3083890479259</v>
      </c>
      <c r="O858" s="109">
        <v>-4483014.8232069742</v>
      </c>
      <c r="P858" s="365">
        <v>1</v>
      </c>
      <c r="Q858" s="365">
        <v>0</v>
      </c>
      <c r="R858" s="365">
        <v>0</v>
      </c>
      <c r="S858" s="365">
        <v>0</v>
      </c>
      <c r="T858" s="109">
        <v>-3192.9280902282576</v>
      </c>
      <c r="V858" s="368">
        <f t="shared" si="78"/>
        <v>68758460.324023187</v>
      </c>
      <c r="W858" s="30">
        <f t="shared" si="79"/>
        <v>74685266.432426438</v>
      </c>
      <c r="X858" s="30"/>
      <c r="Y858">
        <f t="shared" si="80"/>
        <v>0</v>
      </c>
      <c r="Z858">
        <f t="shared" si="81"/>
        <v>1</v>
      </c>
      <c r="AA858">
        <f t="shared" si="82"/>
        <v>0</v>
      </c>
      <c r="AB858">
        <f t="shared" si="83"/>
        <v>1</v>
      </c>
    </row>
    <row r="859" spans="6:28" x14ac:dyDescent="0.3">
      <c r="F859" s="28"/>
      <c r="G859">
        <v>851</v>
      </c>
      <c r="H859" s="109">
        <v>1167.6885346673371</v>
      </c>
      <c r="I859" s="370">
        <v>2406224.500124231</v>
      </c>
      <c r="J859">
        <v>0</v>
      </c>
      <c r="K859">
        <v>0</v>
      </c>
      <c r="L859">
        <v>0</v>
      </c>
      <c r="M859">
        <v>1</v>
      </c>
      <c r="N859" s="109">
        <v>2060.6732263666017</v>
      </c>
      <c r="O859" s="109">
        <v>-2146133.3509730808</v>
      </c>
      <c r="P859" s="365">
        <v>1</v>
      </c>
      <c r="Q859" s="365">
        <v>0</v>
      </c>
      <c r="R859" s="365">
        <v>0</v>
      </c>
      <c r="S859" s="365">
        <v>0</v>
      </c>
      <c r="T859" s="109">
        <v>-1837.9330508580294</v>
      </c>
      <c r="V859" s="368">
        <f t="shared" si="78"/>
        <v>55978202.233242624</v>
      </c>
      <c r="W859" s="30">
        <f t="shared" si="79"/>
        <v>60530560.084339932</v>
      </c>
      <c r="X859" s="30"/>
      <c r="Y859">
        <f t="shared" si="80"/>
        <v>0</v>
      </c>
      <c r="Z859">
        <f t="shared" si="81"/>
        <v>1</v>
      </c>
      <c r="AA859">
        <f t="shared" si="82"/>
        <v>0</v>
      </c>
      <c r="AB859">
        <f t="shared" si="83"/>
        <v>1</v>
      </c>
    </row>
    <row r="860" spans="6:28" x14ac:dyDescent="0.3">
      <c r="F860" s="28"/>
      <c r="G860">
        <v>852</v>
      </c>
      <c r="H860" s="109">
        <v>1214.5558398055218</v>
      </c>
      <c r="I860" s="370">
        <v>848266.63413755631</v>
      </c>
      <c r="J860">
        <v>0</v>
      </c>
      <c r="K860">
        <v>0</v>
      </c>
      <c r="L860">
        <v>0</v>
      </c>
      <c r="M860">
        <v>1</v>
      </c>
      <c r="N860" s="109">
        <v>698.41715492750268</v>
      </c>
      <c r="O860" s="109">
        <v>-3129594.0910138329</v>
      </c>
      <c r="P860" s="365">
        <v>1</v>
      </c>
      <c r="Q860" s="365">
        <v>0</v>
      </c>
      <c r="R860" s="365">
        <v>0</v>
      </c>
      <c r="S860" s="365">
        <v>0</v>
      </c>
      <c r="T860" s="109">
        <v>-2576.7395688574948</v>
      </c>
      <c r="V860" s="368">
        <f t="shared" si="78"/>
        <v>59879525.356138535</v>
      </c>
      <c r="W860" s="30">
        <f t="shared" si="79"/>
        <v>63857386.081289925</v>
      </c>
      <c r="X860" s="30"/>
      <c r="Y860">
        <f t="shared" si="80"/>
        <v>0</v>
      </c>
      <c r="Z860">
        <f t="shared" si="81"/>
        <v>1</v>
      </c>
      <c r="AA860">
        <f t="shared" si="82"/>
        <v>0</v>
      </c>
      <c r="AB860">
        <f t="shared" si="83"/>
        <v>1</v>
      </c>
    </row>
    <row r="861" spans="6:28" x14ac:dyDescent="0.3">
      <c r="F861" s="28"/>
      <c r="G861">
        <v>853</v>
      </c>
      <c r="H861" s="109">
        <v>1090.8380832452094</v>
      </c>
      <c r="I861" s="370">
        <v>1797611.0144104122</v>
      </c>
      <c r="J861">
        <v>0</v>
      </c>
      <c r="K861">
        <v>0</v>
      </c>
      <c r="L861">
        <v>0</v>
      </c>
      <c r="M861">
        <v>1</v>
      </c>
      <c r="N861" s="109">
        <v>1647.917360074719</v>
      </c>
      <c r="O861" s="109">
        <v>-2182227.9134835089</v>
      </c>
      <c r="P861" s="365">
        <v>1</v>
      </c>
      <c r="Q861" s="365">
        <v>0</v>
      </c>
      <c r="R861" s="365">
        <v>0</v>
      </c>
      <c r="S861" s="365">
        <v>0</v>
      </c>
      <c r="T861" s="109">
        <v>-2000.5058009997676</v>
      </c>
      <c r="V861" s="368">
        <f t="shared" si="78"/>
        <v>52744293.147850059</v>
      </c>
      <c r="W861" s="30">
        <f t="shared" si="79"/>
        <v>56724132.075743981</v>
      </c>
      <c r="X861" s="30"/>
      <c r="Y861">
        <f t="shared" si="80"/>
        <v>0</v>
      </c>
      <c r="Z861">
        <f t="shared" si="81"/>
        <v>1</v>
      </c>
      <c r="AA861">
        <f t="shared" si="82"/>
        <v>0</v>
      </c>
      <c r="AB861">
        <f t="shared" si="83"/>
        <v>1</v>
      </c>
    </row>
    <row r="862" spans="6:28" x14ac:dyDescent="0.3">
      <c r="F862" s="28"/>
      <c r="G862">
        <v>854</v>
      </c>
      <c r="H862" s="109">
        <v>1305.5188601057234</v>
      </c>
      <c r="I862" s="370">
        <v>1197523.5770452172</v>
      </c>
      <c r="J862">
        <v>0</v>
      </c>
      <c r="K862">
        <v>0</v>
      </c>
      <c r="L862">
        <v>0</v>
      </c>
      <c r="M862">
        <v>1</v>
      </c>
      <c r="N862" s="109">
        <v>917.27788363642594</v>
      </c>
      <c r="O862" s="109">
        <v>-3317947.9754971317</v>
      </c>
      <c r="P862" s="365">
        <v>1</v>
      </c>
      <c r="Q862" s="365">
        <v>0</v>
      </c>
      <c r="R862" s="365">
        <v>0</v>
      </c>
      <c r="S862" s="365">
        <v>0</v>
      </c>
      <c r="T862" s="109">
        <v>-2541.478393677467</v>
      </c>
      <c r="V862" s="368">
        <f t="shared" si="78"/>
        <v>64078419.428240955</v>
      </c>
      <c r="W862" s="30">
        <f t="shared" si="79"/>
        <v>68593890.980783299</v>
      </c>
      <c r="X862" s="30"/>
      <c r="Y862">
        <f t="shared" si="80"/>
        <v>0</v>
      </c>
      <c r="Z862">
        <f t="shared" si="81"/>
        <v>1</v>
      </c>
      <c r="AA862">
        <f t="shared" si="82"/>
        <v>0</v>
      </c>
      <c r="AB862">
        <f t="shared" si="83"/>
        <v>1</v>
      </c>
    </row>
    <row r="863" spans="6:28" x14ac:dyDescent="0.3">
      <c r="F863" s="28"/>
      <c r="G863">
        <v>855</v>
      </c>
      <c r="H863" s="109">
        <v>1102.9986445841641</v>
      </c>
      <c r="I863" s="370">
        <v>904242.39951345208</v>
      </c>
      <c r="J863">
        <v>0</v>
      </c>
      <c r="K863">
        <v>0</v>
      </c>
      <c r="L863">
        <v>0</v>
      </c>
      <c r="M863">
        <v>1</v>
      </c>
      <c r="N863" s="109">
        <v>819.80372682539053</v>
      </c>
      <c r="O863" s="109">
        <v>-3695061.098018657</v>
      </c>
      <c r="P863" s="365">
        <v>1</v>
      </c>
      <c r="Q863" s="365">
        <v>0</v>
      </c>
      <c r="R863" s="365">
        <v>0</v>
      </c>
      <c r="S863" s="365">
        <v>0</v>
      </c>
      <c r="T863" s="109">
        <v>-3350.0141783145282</v>
      </c>
      <c r="V863" s="368">
        <f t="shared" si="78"/>
        <v>54245689.829694755</v>
      </c>
      <c r="W863" s="30">
        <f t="shared" si="79"/>
        <v>58844993.327226862</v>
      </c>
      <c r="X863" s="30"/>
      <c r="Y863">
        <f t="shared" si="80"/>
        <v>0</v>
      </c>
      <c r="Z863">
        <f t="shared" si="81"/>
        <v>1</v>
      </c>
      <c r="AA863">
        <f t="shared" si="82"/>
        <v>0</v>
      </c>
      <c r="AB863">
        <f t="shared" si="83"/>
        <v>1</v>
      </c>
    </row>
    <row r="864" spans="6:28" x14ac:dyDescent="0.3">
      <c r="F864" s="28"/>
      <c r="G864">
        <v>856</v>
      </c>
      <c r="H864" s="109">
        <v>1076.8389375547631</v>
      </c>
      <c r="I864" s="370">
        <v>1740133.0582656672</v>
      </c>
      <c r="J864">
        <v>0</v>
      </c>
      <c r="K864">
        <v>0</v>
      </c>
      <c r="L864">
        <v>0</v>
      </c>
      <c r="M864">
        <v>1</v>
      </c>
      <c r="N864" s="109">
        <v>1615.9640941449259</v>
      </c>
      <c r="O864" s="109">
        <v>-2629011.8472718699</v>
      </c>
      <c r="P864" s="365">
        <v>1</v>
      </c>
      <c r="Q864" s="365">
        <v>0</v>
      </c>
      <c r="R864" s="365">
        <v>0</v>
      </c>
      <c r="S864" s="365">
        <v>0</v>
      </c>
      <c r="T864" s="109">
        <v>-2441.4160331550702</v>
      </c>
      <c r="V864" s="368">
        <f t="shared" si="78"/>
        <v>52101813.819472492</v>
      </c>
      <c r="W864" s="30">
        <f t="shared" si="79"/>
        <v>56470958.725010023</v>
      </c>
      <c r="X864" s="30"/>
      <c r="Y864">
        <f t="shared" si="80"/>
        <v>0</v>
      </c>
      <c r="Z864">
        <f t="shared" si="81"/>
        <v>1</v>
      </c>
      <c r="AA864">
        <f t="shared" si="82"/>
        <v>0</v>
      </c>
      <c r="AB864">
        <f t="shared" si="83"/>
        <v>1</v>
      </c>
    </row>
    <row r="865" spans="6:28" x14ac:dyDescent="0.3">
      <c r="F865" s="28"/>
      <c r="G865">
        <v>857</v>
      </c>
      <c r="H865" s="109">
        <v>1217.2443588649985</v>
      </c>
      <c r="I865" s="370">
        <v>808449.02117437148</v>
      </c>
      <c r="J865">
        <v>0</v>
      </c>
      <c r="K865">
        <v>0</v>
      </c>
      <c r="L865">
        <v>0</v>
      </c>
      <c r="M865">
        <v>1</v>
      </c>
      <c r="N865" s="109">
        <v>664.16329251112552</v>
      </c>
      <c r="O865" s="109">
        <v>-4229220.9440073306</v>
      </c>
      <c r="P865" s="365">
        <v>1</v>
      </c>
      <c r="Q865" s="365">
        <v>0</v>
      </c>
      <c r="R865" s="365">
        <v>0</v>
      </c>
      <c r="S865" s="365">
        <v>0</v>
      </c>
      <c r="T865" s="109">
        <v>-3474.4222991929123</v>
      </c>
      <c r="V865" s="368">
        <f t="shared" si="78"/>
        <v>60053768.922075555</v>
      </c>
      <c r="W865" s="30">
        <f t="shared" si="79"/>
        <v>65091438.887257256</v>
      </c>
      <c r="X865" s="30"/>
      <c r="Y865">
        <f t="shared" si="80"/>
        <v>0</v>
      </c>
      <c r="Z865">
        <f t="shared" si="81"/>
        <v>1</v>
      </c>
      <c r="AA865">
        <f t="shared" si="82"/>
        <v>0</v>
      </c>
      <c r="AB865">
        <f t="shared" si="83"/>
        <v>1</v>
      </c>
    </row>
    <row r="866" spans="6:28" x14ac:dyDescent="0.3">
      <c r="F866" s="28"/>
      <c r="G866">
        <v>858</v>
      </c>
      <c r="H866" s="109">
        <v>993.08748926233238</v>
      </c>
      <c r="I866" s="370">
        <v>1336257.1165572405</v>
      </c>
      <c r="J866">
        <v>0</v>
      </c>
      <c r="K866">
        <v>0</v>
      </c>
      <c r="L866">
        <v>0</v>
      </c>
      <c r="M866">
        <v>1</v>
      </c>
      <c r="N866" s="109">
        <v>1345.5583027733189</v>
      </c>
      <c r="O866" s="109">
        <v>-2099766.6363243503</v>
      </c>
      <c r="P866" s="365">
        <v>1</v>
      </c>
      <c r="Q866" s="365">
        <v>0</v>
      </c>
      <c r="R866" s="365">
        <v>0</v>
      </c>
      <c r="S866" s="365">
        <v>0</v>
      </c>
      <c r="T866" s="109">
        <v>-2114.3823268623205</v>
      </c>
      <c r="V866" s="368">
        <f t="shared" si="78"/>
        <v>48318117.346559376</v>
      </c>
      <c r="W866" s="30">
        <f t="shared" si="79"/>
        <v>51754141.09944097</v>
      </c>
      <c r="X866" s="30"/>
      <c r="Y866">
        <f t="shared" si="80"/>
        <v>0</v>
      </c>
      <c r="Z866">
        <f t="shared" si="81"/>
        <v>1</v>
      </c>
      <c r="AA866">
        <f t="shared" si="82"/>
        <v>0</v>
      </c>
      <c r="AB866">
        <f t="shared" si="83"/>
        <v>1</v>
      </c>
    </row>
    <row r="867" spans="6:28" x14ac:dyDescent="0.3">
      <c r="F867" s="28"/>
      <c r="G867">
        <v>859</v>
      </c>
      <c r="H867" s="109">
        <v>954.34162138387182</v>
      </c>
      <c r="I867" s="370">
        <v>527370.39235705102</v>
      </c>
      <c r="J867">
        <v>0</v>
      </c>
      <c r="K867">
        <v>0</v>
      </c>
      <c r="L867">
        <v>0</v>
      </c>
      <c r="M867">
        <v>1</v>
      </c>
      <c r="N867" s="109">
        <v>552.60127038399696</v>
      </c>
      <c r="O867" s="109">
        <v>-3231211.7618197864</v>
      </c>
      <c r="P867" s="365">
        <v>1</v>
      </c>
      <c r="Q867" s="365">
        <v>0</v>
      </c>
      <c r="R867" s="365">
        <v>0</v>
      </c>
      <c r="S867" s="365">
        <v>0</v>
      </c>
      <c r="T867" s="109">
        <v>-3385.8019910462149</v>
      </c>
      <c r="V867" s="368">
        <f t="shared" si="78"/>
        <v>47189710.676836543</v>
      </c>
      <c r="W867" s="30">
        <f t="shared" si="79"/>
        <v>50948292.831013381</v>
      </c>
      <c r="X867" s="30"/>
      <c r="Y867">
        <f t="shared" si="80"/>
        <v>0</v>
      </c>
      <c r="Z867">
        <f t="shared" si="81"/>
        <v>1</v>
      </c>
      <c r="AA867">
        <f t="shared" si="82"/>
        <v>0</v>
      </c>
      <c r="AB867">
        <f t="shared" si="83"/>
        <v>1</v>
      </c>
    </row>
    <row r="868" spans="6:28" x14ac:dyDescent="0.3">
      <c r="F868" s="28"/>
      <c r="G868">
        <v>860</v>
      </c>
      <c r="H868" s="109">
        <v>1393.0363304434868</v>
      </c>
      <c r="I868" s="370">
        <v>497492.59237799747</v>
      </c>
      <c r="J868">
        <v>0</v>
      </c>
      <c r="K868">
        <v>0</v>
      </c>
      <c r="L868">
        <v>0</v>
      </c>
      <c r="M868">
        <v>1</v>
      </c>
      <c r="N868" s="109">
        <v>357.12822523416588</v>
      </c>
      <c r="O868" s="109">
        <v>-4884506.2227489911</v>
      </c>
      <c r="P868" s="365">
        <v>1</v>
      </c>
      <c r="Q868" s="365">
        <v>0</v>
      </c>
      <c r="R868" s="365">
        <v>0</v>
      </c>
      <c r="S868" s="365">
        <v>0</v>
      </c>
      <c r="T868" s="109">
        <v>-3506.3738942070236</v>
      </c>
      <c r="V868" s="368">
        <f t="shared" si="78"/>
        <v>69154323.929796353</v>
      </c>
      <c r="W868" s="30">
        <f t="shared" si="79"/>
        <v>74536322.744923338</v>
      </c>
      <c r="X868" s="30"/>
      <c r="Y868">
        <f t="shared" si="80"/>
        <v>0</v>
      </c>
      <c r="Z868">
        <f t="shared" si="81"/>
        <v>1</v>
      </c>
      <c r="AA868">
        <f t="shared" si="82"/>
        <v>0</v>
      </c>
      <c r="AB868">
        <f t="shared" si="83"/>
        <v>1</v>
      </c>
    </row>
    <row r="869" spans="6:28" x14ac:dyDescent="0.3">
      <c r="F869" s="28"/>
      <c r="G869">
        <v>861</v>
      </c>
      <c r="H869" s="109">
        <v>1203.9488025943283</v>
      </c>
      <c r="I869" s="370">
        <v>1708846.4475798411</v>
      </c>
      <c r="J869">
        <v>0</v>
      </c>
      <c r="K869">
        <v>0</v>
      </c>
      <c r="L869">
        <v>0</v>
      </c>
      <c r="M869">
        <v>1</v>
      </c>
      <c r="N869" s="109">
        <v>1419.3680361636098</v>
      </c>
      <c r="O869" s="109">
        <v>-3320898.7728892546</v>
      </c>
      <c r="P869" s="365">
        <v>1</v>
      </c>
      <c r="Q869" s="365">
        <v>0</v>
      </c>
      <c r="R869" s="365">
        <v>0</v>
      </c>
      <c r="S869" s="365">
        <v>0</v>
      </c>
      <c r="T869" s="109">
        <v>-2758.3388643547119</v>
      </c>
      <c r="V869" s="368">
        <f t="shared" si="78"/>
        <v>58488593.682136573</v>
      </c>
      <c r="W869" s="30">
        <f t="shared" si="79"/>
        <v>63518338.902605668</v>
      </c>
      <c r="X869" s="30"/>
      <c r="Y869">
        <f t="shared" si="80"/>
        <v>0</v>
      </c>
      <c r="Z869">
        <f t="shared" si="81"/>
        <v>1</v>
      </c>
      <c r="AA869">
        <f t="shared" si="82"/>
        <v>0</v>
      </c>
      <c r="AB869">
        <f t="shared" si="83"/>
        <v>1</v>
      </c>
    </row>
    <row r="870" spans="6:28" x14ac:dyDescent="0.3">
      <c r="F870" s="28"/>
      <c r="G870">
        <v>862</v>
      </c>
      <c r="H870" s="109">
        <v>1250.4483606729846</v>
      </c>
      <c r="I870" s="370">
        <v>1253004.281640558</v>
      </c>
      <c r="J870">
        <v>0</v>
      </c>
      <c r="K870">
        <v>0</v>
      </c>
      <c r="L870">
        <v>0</v>
      </c>
      <c r="M870">
        <v>1</v>
      </c>
      <c r="N870" s="109">
        <v>1002.0440036133903</v>
      </c>
      <c r="O870" s="109">
        <v>-3368688.4792419695</v>
      </c>
      <c r="P870" s="365">
        <v>1</v>
      </c>
      <c r="Q870" s="365">
        <v>0</v>
      </c>
      <c r="R870" s="365">
        <v>0</v>
      </c>
      <c r="S870" s="365">
        <v>0</v>
      </c>
      <c r="T870" s="109">
        <v>-2693.9844820372746</v>
      </c>
      <c r="V870" s="368">
        <f t="shared" si="78"/>
        <v>61269413.752008669</v>
      </c>
      <c r="W870" s="30">
        <f t="shared" si="79"/>
        <v>65891106.512891196</v>
      </c>
      <c r="X870" s="30"/>
      <c r="Y870">
        <f t="shared" si="80"/>
        <v>0</v>
      </c>
      <c r="Z870">
        <f t="shared" si="81"/>
        <v>1</v>
      </c>
      <c r="AA870">
        <f t="shared" si="82"/>
        <v>0</v>
      </c>
      <c r="AB870">
        <f t="shared" si="83"/>
        <v>1</v>
      </c>
    </row>
    <row r="871" spans="6:28" x14ac:dyDescent="0.3">
      <c r="F871" s="28"/>
      <c r="G871">
        <v>863</v>
      </c>
      <c r="H871" s="109">
        <v>1254.7086628935867</v>
      </c>
      <c r="I871" s="370">
        <v>1009482.8359392467</v>
      </c>
      <c r="J871">
        <v>0</v>
      </c>
      <c r="K871">
        <v>0</v>
      </c>
      <c r="L871">
        <v>0</v>
      </c>
      <c r="M871">
        <v>1</v>
      </c>
      <c r="N871" s="109">
        <v>804.55556400734122</v>
      </c>
      <c r="O871" s="109">
        <v>-4358234.7247111313</v>
      </c>
      <c r="P871" s="365">
        <v>1</v>
      </c>
      <c r="Q871" s="365">
        <v>0</v>
      </c>
      <c r="R871" s="365">
        <v>0</v>
      </c>
      <c r="S871" s="365">
        <v>0</v>
      </c>
      <c r="T871" s="109">
        <v>-3473.5033347584035</v>
      </c>
      <c r="V871" s="368">
        <f t="shared" si="78"/>
        <v>61725950.308740094</v>
      </c>
      <c r="W871" s="30">
        <f t="shared" si="79"/>
        <v>67093667.869390473</v>
      </c>
      <c r="X871" s="30"/>
      <c r="Y871">
        <f t="shared" si="80"/>
        <v>0</v>
      </c>
      <c r="Z871">
        <f t="shared" si="81"/>
        <v>1</v>
      </c>
      <c r="AA871">
        <f t="shared" si="82"/>
        <v>0</v>
      </c>
      <c r="AB871">
        <f t="shared" si="83"/>
        <v>1</v>
      </c>
    </row>
    <row r="872" spans="6:28" x14ac:dyDescent="0.3">
      <c r="F872" s="28"/>
      <c r="G872">
        <v>864</v>
      </c>
      <c r="H872" s="109">
        <v>1189.7037896726324</v>
      </c>
      <c r="I872" s="370">
        <v>1358107.2770986932</v>
      </c>
      <c r="J872">
        <v>0</v>
      </c>
      <c r="K872">
        <v>0</v>
      </c>
      <c r="L872">
        <v>0</v>
      </c>
      <c r="M872">
        <v>1</v>
      </c>
      <c r="N872" s="109">
        <v>1141.5507699377843</v>
      </c>
      <c r="O872" s="109">
        <v>-4369917.0213796543</v>
      </c>
      <c r="P872" s="365">
        <v>1</v>
      </c>
      <c r="Q872" s="365">
        <v>0</v>
      </c>
      <c r="R872" s="365">
        <v>0</v>
      </c>
      <c r="S872" s="365">
        <v>0</v>
      </c>
      <c r="T872" s="109">
        <v>-3673.1134752307653</v>
      </c>
      <c r="V872" s="368">
        <f t="shared" si="78"/>
        <v>58127082.206532925</v>
      </c>
      <c r="W872" s="30">
        <f t="shared" si="79"/>
        <v>63855106.505011275</v>
      </c>
      <c r="X872" s="30"/>
      <c r="Y872">
        <f t="shared" si="80"/>
        <v>0</v>
      </c>
      <c r="Z872">
        <f t="shared" si="81"/>
        <v>1</v>
      </c>
      <c r="AA872">
        <f t="shared" si="82"/>
        <v>0</v>
      </c>
      <c r="AB872">
        <f t="shared" si="83"/>
        <v>1</v>
      </c>
    </row>
    <row r="873" spans="6:28" x14ac:dyDescent="0.3">
      <c r="F873" s="28"/>
      <c r="G873">
        <v>865</v>
      </c>
      <c r="H873" s="109">
        <v>1171.1449595475933</v>
      </c>
      <c r="I873" s="370">
        <v>1151982.4872053708</v>
      </c>
      <c r="J873">
        <v>0</v>
      </c>
      <c r="K873">
        <v>0</v>
      </c>
      <c r="L873">
        <v>0</v>
      </c>
      <c r="M873">
        <v>1</v>
      </c>
      <c r="N873" s="109">
        <v>983.63783049570156</v>
      </c>
      <c r="O873" s="109">
        <v>-3700395.0401926283</v>
      </c>
      <c r="P873" s="365">
        <v>1</v>
      </c>
      <c r="Q873" s="365">
        <v>0</v>
      </c>
      <c r="R873" s="365">
        <v>0</v>
      </c>
      <c r="S873" s="365">
        <v>0</v>
      </c>
      <c r="T873" s="109">
        <v>-3159.6387876886479</v>
      </c>
      <c r="V873" s="368">
        <f t="shared" si="78"/>
        <v>57405265.490174294</v>
      </c>
      <c r="W873" s="30">
        <f t="shared" si="79"/>
        <v>62257643.017572291</v>
      </c>
      <c r="X873" s="30"/>
      <c r="Y873">
        <f t="shared" si="80"/>
        <v>0</v>
      </c>
      <c r="Z873">
        <f t="shared" si="81"/>
        <v>1</v>
      </c>
      <c r="AA873">
        <f t="shared" si="82"/>
        <v>0</v>
      </c>
      <c r="AB873">
        <f t="shared" si="83"/>
        <v>1</v>
      </c>
    </row>
    <row r="874" spans="6:28" x14ac:dyDescent="0.3">
      <c r="F874" s="28"/>
      <c r="G874">
        <v>866</v>
      </c>
      <c r="H874" s="109">
        <v>1323.6529731205082</v>
      </c>
      <c r="I874" s="370">
        <v>692199.35413074098</v>
      </c>
      <c r="J874">
        <v>0</v>
      </c>
      <c r="K874">
        <v>0</v>
      </c>
      <c r="L874">
        <v>0</v>
      </c>
      <c r="M874">
        <v>1</v>
      </c>
      <c r="N874" s="109">
        <v>522.94624662753029</v>
      </c>
      <c r="O874" s="109">
        <v>-4898462.6134041501</v>
      </c>
      <c r="P874" s="365">
        <v>1</v>
      </c>
      <c r="Q874" s="365">
        <v>0</v>
      </c>
      <c r="R874" s="365">
        <v>0</v>
      </c>
      <c r="S874" s="365">
        <v>0</v>
      </c>
      <c r="T874" s="109">
        <v>-3700.7151518392602</v>
      </c>
      <c r="V874" s="368">
        <f t="shared" si="78"/>
        <v>65490449.301894672</v>
      </c>
      <c r="W874" s="30">
        <f t="shared" si="79"/>
        <v>71081111.269429564</v>
      </c>
      <c r="X874" s="30"/>
      <c r="Y874">
        <f t="shared" si="80"/>
        <v>0</v>
      </c>
      <c r="Z874">
        <f t="shared" si="81"/>
        <v>1</v>
      </c>
      <c r="AA874">
        <f t="shared" si="82"/>
        <v>0</v>
      </c>
      <c r="AB874">
        <f t="shared" si="83"/>
        <v>1</v>
      </c>
    </row>
    <row r="875" spans="6:28" x14ac:dyDescent="0.3">
      <c r="F875" s="28"/>
      <c r="G875">
        <v>867</v>
      </c>
      <c r="H875" s="109">
        <v>1341.4568064583582</v>
      </c>
      <c r="I875" s="370">
        <v>1465935.7555123672</v>
      </c>
      <c r="J875">
        <v>0</v>
      </c>
      <c r="K875">
        <v>0</v>
      </c>
      <c r="L875">
        <v>0</v>
      </c>
      <c r="M875">
        <v>1</v>
      </c>
      <c r="N875" s="109">
        <v>1092.7938554970335</v>
      </c>
      <c r="O875" s="109">
        <v>-3711999.6790805538</v>
      </c>
      <c r="P875" s="365">
        <v>1</v>
      </c>
      <c r="Q875" s="365">
        <v>0</v>
      </c>
      <c r="R875" s="365">
        <v>0</v>
      </c>
      <c r="S875" s="365">
        <v>0</v>
      </c>
      <c r="T875" s="109">
        <v>-2767.1406646933156</v>
      </c>
      <c r="V875" s="368">
        <f t="shared" si="78"/>
        <v>65606904.567405544</v>
      </c>
      <c r="W875" s="30">
        <f t="shared" si="79"/>
        <v>70784840.001998469</v>
      </c>
      <c r="X875" s="30"/>
      <c r="Y875">
        <f t="shared" si="80"/>
        <v>0</v>
      </c>
      <c r="Z875">
        <f t="shared" si="81"/>
        <v>1</v>
      </c>
      <c r="AA875">
        <f t="shared" si="82"/>
        <v>0</v>
      </c>
      <c r="AB875">
        <f t="shared" si="83"/>
        <v>1</v>
      </c>
    </row>
    <row r="876" spans="6:28" x14ac:dyDescent="0.3">
      <c r="F876" s="28"/>
      <c r="G876">
        <v>868</v>
      </c>
      <c r="H876" s="109">
        <v>1233.686660919826</v>
      </c>
      <c r="I876" s="370">
        <v>1491747.5368270762</v>
      </c>
      <c r="J876">
        <v>0</v>
      </c>
      <c r="K876">
        <v>0</v>
      </c>
      <c r="L876">
        <v>0</v>
      </c>
      <c r="M876">
        <v>1</v>
      </c>
      <c r="N876" s="109">
        <v>1209.1786221590839</v>
      </c>
      <c r="O876" s="109">
        <v>-3524994.0751939612</v>
      </c>
      <c r="P876" s="365">
        <v>1</v>
      </c>
      <c r="Q876" s="365">
        <v>0</v>
      </c>
      <c r="R876" s="365">
        <v>0</v>
      </c>
      <c r="S876" s="365">
        <v>0</v>
      </c>
      <c r="T876" s="109">
        <v>-2857.2847440579089</v>
      </c>
      <c r="V876" s="368">
        <f t="shared" si="78"/>
        <v>60192585.509164214</v>
      </c>
      <c r="W876" s="30">
        <f t="shared" si="79"/>
        <v>65209327.121185258</v>
      </c>
      <c r="X876" s="30"/>
      <c r="Y876">
        <f t="shared" si="80"/>
        <v>0</v>
      </c>
      <c r="Z876">
        <f t="shared" si="81"/>
        <v>1</v>
      </c>
      <c r="AA876">
        <f t="shared" si="82"/>
        <v>0</v>
      </c>
      <c r="AB876">
        <f t="shared" si="83"/>
        <v>1</v>
      </c>
    </row>
    <row r="877" spans="6:28" x14ac:dyDescent="0.3">
      <c r="F877" s="28"/>
      <c r="G877">
        <v>869</v>
      </c>
      <c r="H877" s="109">
        <v>1057.9118782421574</v>
      </c>
      <c r="I877" s="370">
        <v>948319.25446565368</v>
      </c>
      <c r="J877">
        <v>0</v>
      </c>
      <c r="K877">
        <v>0</v>
      </c>
      <c r="L877">
        <v>0</v>
      </c>
      <c r="M877">
        <v>1</v>
      </c>
      <c r="N877" s="109">
        <v>896.40666105516789</v>
      </c>
      <c r="O877" s="109">
        <v>-3024119.6865873546</v>
      </c>
      <c r="P877" s="365">
        <v>1</v>
      </c>
      <c r="Q877" s="365">
        <v>0</v>
      </c>
      <c r="R877" s="365">
        <v>0</v>
      </c>
      <c r="S877" s="365">
        <v>0</v>
      </c>
      <c r="T877" s="109">
        <v>-2858.5742808864934</v>
      </c>
      <c r="V877" s="368">
        <f t="shared" si="78"/>
        <v>51947274.657642215</v>
      </c>
      <c r="W877" s="30">
        <f t="shared" si="79"/>
        <v>55919713.598695226</v>
      </c>
      <c r="X877" s="30"/>
      <c r="Y877">
        <f t="shared" si="80"/>
        <v>0</v>
      </c>
      <c r="Z877">
        <f t="shared" si="81"/>
        <v>1</v>
      </c>
      <c r="AA877">
        <f t="shared" si="82"/>
        <v>0</v>
      </c>
      <c r="AB877">
        <f t="shared" si="83"/>
        <v>1</v>
      </c>
    </row>
    <row r="878" spans="6:28" x14ac:dyDescent="0.3">
      <c r="F878" s="28"/>
      <c r="G878">
        <v>870</v>
      </c>
      <c r="H878" s="109">
        <v>1016.2865728890465</v>
      </c>
      <c r="I878" s="370">
        <v>1296137.891879732</v>
      </c>
      <c r="J878">
        <v>0</v>
      </c>
      <c r="K878">
        <v>0</v>
      </c>
      <c r="L878">
        <v>0</v>
      </c>
      <c r="M878">
        <v>1</v>
      </c>
      <c r="N878" s="109">
        <v>1275.3665417374734</v>
      </c>
      <c r="O878" s="109">
        <v>-3460825.7274869252</v>
      </c>
      <c r="P878" s="365">
        <v>1</v>
      </c>
      <c r="Q878" s="365">
        <v>0</v>
      </c>
      <c r="R878" s="365">
        <v>0</v>
      </c>
      <c r="S878" s="365">
        <v>0</v>
      </c>
      <c r="T878" s="109">
        <v>-3405.3640181909223</v>
      </c>
      <c r="V878" s="368">
        <f t="shared" si="78"/>
        <v>49518190.752572596</v>
      </c>
      <c r="W878" s="30">
        <f t="shared" si="79"/>
        <v>54275154.371939249</v>
      </c>
      <c r="X878" s="30"/>
      <c r="Y878">
        <f t="shared" si="80"/>
        <v>0</v>
      </c>
      <c r="Z878">
        <f t="shared" si="81"/>
        <v>1</v>
      </c>
      <c r="AA878">
        <f t="shared" si="82"/>
        <v>0</v>
      </c>
      <c r="AB878">
        <f t="shared" si="83"/>
        <v>1</v>
      </c>
    </row>
    <row r="879" spans="6:28" x14ac:dyDescent="0.3">
      <c r="F879" s="28"/>
      <c r="G879">
        <v>871</v>
      </c>
      <c r="H879" s="109">
        <v>1347.5458663693862</v>
      </c>
      <c r="I879" s="370">
        <v>1592551.5939186395</v>
      </c>
      <c r="J879">
        <v>0</v>
      </c>
      <c r="K879">
        <v>0</v>
      </c>
      <c r="L879">
        <v>0</v>
      </c>
      <c r="M879">
        <v>1</v>
      </c>
      <c r="N879" s="109">
        <v>1181.816243635074</v>
      </c>
      <c r="O879" s="109">
        <v>-3678346.8513512136</v>
      </c>
      <c r="P879" s="365">
        <v>1</v>
      </c>
      <c r="Q879" s="365">
        <v>0</v>
      </c>
      <c r="R879" s="365">
        <v>0</v>
      </c>
      <c r="S879" s="365">
        <v>0</v>
      </c>
      <c r="T879" s="109">
        <v>-2729.6635633350038</v>
      </c>
      <c r="V879" s="368">
        <f t="shared" si="78"/>
        <v>65784741.724550679</v>
      </c>
      <c r="W879" s="30">
        <f t="shared" si="79"/>
        <v>71055640.169820532</v>
      </c>
      <c r="X879" s="30"/>
      <c r="Y879">
        <f t="shared" si="80"/>
        <v>0</v>
      </c>
      <c r="Z879">
        <f t="shared" si="81"/>
        <v>1</v>
      </c>
      <c r="AA879">
        <f t="shared" si="82"/>
        <v>0</v>
      </c>
      <c r="AB879">
        <f t="shared" si="83"/>
        <v>1</v>
      </c>
    </row>
    <row r="880" spans="6:28" x14ac:dyDescent="0.3">
      <c r="F880" s="28"/>
      <c r="G880">
        <v>872</v>
      </c>
      <c r="H880" s="109">
        <v>1244.513755372187</v>
      </c>
      <c r="I880" s="370">
        <v>697980.13562318485</v>
      </c>
      <c r="J880">
        <v>0</v>
      </c>
      <c r="K880">
        <v>0</v>
      </c>
      <c r="L880">
        <v>0</v>
      </c>
      <c r="M880">
        <v>1</v>
      </c>
      <c r="N880" s="109">
        <v>560.84565767973004</v>
      </c>
      <c r="O880" s="109">
        <v>-3950566.3784224703</v>
      </c>
      <c r="P880" s="365">
        <v>1</v>
      </c>
      <c r="Q880" s="365">
        <v>0</v>
      </c>
      <c r="R880" s="365">
        <v>0</v>
      </c>
      <c r="S880" s="365">
        <v>0</v>
      </c>
      <c r="T880" s="109">
        <v>-3174.3854669095281</v>
      </c>
      <c r="V880" s="368">
        <f t="shared" si="78"/>
        <v>61527707.632986166</v>
      </c>
      <c r="W880" s="30">
        <f t="shared" si="79"/>
        <v>66176254.147031821</v>
      </c>
      <c r="X880" s="30"/>
      <c r="Y880">
        <f t="shared" si="80"/>
        <v>0</v>
      </c>
      <c r="Z880">
        <f t="shared" si="81"/>
        <v>1</v>
      </c>
      <c r="AA880">
        <f t="shared" si="82"/>
        <v>0</v>
      </c>
      <c r="AB880">
        <f t="shared" si="83"/>
        <v>1</v>
      </c>
    </row>
    <row r="881" spans="6:28" x14ac:dyDescent="0.3">
      <c r="F881" s="28"/>
      <c r="G881">
        <v>873</v>
      </c>
      <c r="H881" s="109">
        <v>1083.3076729229069</v>
      </c>
      <c r="I881" s="370">
        <v>941014.12247010414</v>
      </c>
      <c r="J881">
        <v>0</v>
      </c>
      <c r="K881">
        <v>0</v>
      </c>
      <c r="L881">
        <v>0</v>
      </c>
      <c r="M881">
        <v>1</v>
      </c>
      <c r="N881" s="109">
        <v>868.64899602448486</v>
      </c>
      <c r="O881" s="109">
        <v>-2879658.8391282731</v>
      </c>
      <c r="P881" s="365">
        <v>1</v>
      </c>
      <c r="Q881" s="365">
        <v>0</v>
      </c>
      <c r="R881" s="365">
        <v>0</v>
      </c>
      <c r="S881" s="365">
        <v>0</v>
      </c>
      <c r="T881" s="109">
        <v>-2658.2095845020408</v>
      </c>
      <c r="V881" s="368">
        <f t="shared" si="78"/>
        <v>53224369.523675241</v>
      </c>
      <c r="W881" s="30">
        <f t="shared" si="79"/>
        <v>57045042.485273615</v>
      </c>
      <c r="X881" s="30"/>
      <c r="Y881">
        <f t="shared" si="80"/>
        <v>0</v>
      </c>
      <c r="Z881">
        <f t="shared" si="81"/>
        <v>1</v>
      </c>
      <c r="AA881">
        <f t="shared" si="82"/>
        <v>0</v>
      </c>
      <c r="AB881">
        <f t="shared" si="83"/>
        <v>1</v>
      </c>
    </row>
    <row r="882" spans="6:28" x14ac:dyDescent="0.3">
      <c r="F882" s="28"/>
      <c r="G882">
        <v>874</v>
      </c>
      <c r="H882" s="109">
        <v>1153.3620511281697</v>
      </c>
      <c r="I882" s="370">
        <v>2010125.9926002473</v>
      </c>
      <c r="J882">
        <v>0</v>
      </c>
      <c r="K882">
        <v>0</v>
      </c>
      <c r="L882">
        <v>0</v>
      </c>
      <c r="M882">
        <v>1</v>
      </c>
      <c r="N882" s="109">
        <v>1742.8404121966971</v>
      </c>
      <c r="O882" s="109">
        <v>-1955510.1519968866</v>
      </c>
      <c r="P882" s="365">
        <v>1</v>
      </c>
      <c r="Q882" s="365">
        <v>0</v>
      </c>
      <c r="R882" s="365">
        <v>0</v>
      </c>
      <c r="S882" s="365">
        <v>0</v>
      </c>
      <c r="T882" s="109">
        <v>-1695.4868162031946</v>
      </c>
      <c r="V882" s="368">
        <f t="shared" si="78"/>
        <v>55657976.56380824</v>
      </c>
      <c r="W882" s="30">
        <f t="shared" si="79"/>
        <v>59623612.708405375</v>
      </c>
      <c r="X882" s="30"/>
      <c r="Y882">
        <f t="shared" si="80"/>
        <v>0</v>
      </c>
      <c r="Z882">
        <f t="shared" si="81"/>
        <v>1</v>
      </c>
      <c r="AA882">
        <f t="shared" si="82"/>
        <v>0</v>
      </c>
      <c r="AB882">
        <f t="shared" si="83"/>
        <v>1</v>
      </c>
    </row>
    <row r="883" spans="6:28" x14ac:dyDescent="0.3">
      <c r="F883" s="28"/>
      <c r="G883">
        <v>875</v>
      </c>
      <c r="H883" s="109">
        <v>1217.9819382535643</v>
      </c>
      <c r="I883" s="370">
        <v>1523544.9395459907</v>
      </c>
      <c r="J883">
        <v>0</v>
      </c>
      <c r="K883">
        <v>0</v>
      </c>
      <c r="L883">
        <v>0</v>
      </c>
      <c r="M883">
        <v>1</v>
      </c>
      <c r="N883" s="109">
        <v>1250.8764635135444</v>
      </c>
      <c r="O883" s="109">
        <v>-4074582.2093813317</v>
      </c>
      <c r="P883" s="365">
        <v>1</v>
      </c>
      <c r="Q883" s="365">
        <v>0</v>
      </c>
      <c r="R883" s="365">
        <v>0</v>
      </c>
      <c r="S883" s="365">
        <v>0</v>
      </c>
      <c r="T883" s="109">
        <v>-3345.3551989644275</v>
      </c>
      <c r="V883" s="368">
        <f t="shared" si="78"/>
        <v>59375551.973132223</v>
      </c>
      <c r="W883" s="30">
        <f t="shared" si="79"/>
        <v>64973679.122059546</v>
      </c>
      <c r="X883" s="30"/>
      <c r="Y883">
        <f t="shared" si="80"/>
        <v>0</v>
      </c>
      <c r="Z883">
        <f t="shared" si="81"/>
        <v>1</v>
      </c>
      <c r="AA883">
        <f t="shared" si="82"/>
        <v>0</v>
      </c>
      <c r="AB883">
        <f t="shared" si="83"/>
        <v>1</v>
      </c>
    </row>
    <row r="884" spans="6:28" x14ac:dyDescent="0.3">
      <c r="F884" s="28"/>
      <c r="G884">
        <v>876</v>
      </c>
      <c r="H884" s="109">
        <v>1172.161709572385</v>
      </c>
      <c r="I884" s="370">
        <v>781507.72063804185</v>
      </c>
      <c r="J884">
        <v>0</v>
      </c>
      <c r="K884">
        <v>0</v>
      </c>
      <c r="L884">
        <v>0</v>
      </c>
      <c r="M884">
        <v>1</v>
      </c>
      <c r="N884" s="109">
        <v>666.72346849065968</v>
      </c>
      <c r="O884" s="109">
        <v>-3334160.8862127978</v>
      </c>
      <c r="P884" s="365">
        <v>1</v>
      </c>
      <c r="Q884" s="365">
        <v>0</v>
      </c>
      <c r="R884" s="365">
        <v>0</v>
      </c>
      <c r="S884" s="365">
        <v>0</v>
      </c>
      <c r="T884" s="109">
        <v>-2844.4547019277138</v>
      </c>
      <c r="V884" s="368">
        <f t="shared" si="78"/>
        <v>57826577.757981203</v>
      </c>
      <c r="W884" s="30">
        <f t="shared" si="79"/>
        <v>61942246.364832044</v>
      </c>
      <c r="X884" s="30"/>
      <c r="Y884">
        <f t="shared" si="80"/>
        <v>0</v>
      </c>
      <c r="Z884">
        <f t="shared" si="81"/>
        <v>1</v>
      </c>
      <c r="AA884">
        <f t="shared" si="82"/>
        <v>0</v>
      </c>
      <c r="AB884">
        <f t="shared" si="83"/>
        <v>1</v>
      </c>
    </row>
    <row r="885" spans="6:28" x14ac:dyDescent="0.3">
      <c r="F885" s="28"/>
      <c r="G885">
        <v>877</v>
      </c>
      <c r="H885" s="109">
        <v>1233.3265850022508</v>
      </c>
      <c r="I885" s="370">
        <v>1692620.2748748171</v>
      </c>
      <c r="J885">
        <v>0</v>
      </c>
      <c r="K885">
        <v>0</v>
      </c>
      <c r="L885">
        <v>0</v>
      </c>
      <c r="M885">
        <v>1</v>
      </c>
      <c r="N885" s="109">
        <v>1372.4023267298078</v>
      </c>
      <c r="O885" s="109">
        <v>-2712088.5387491006</v>
      </c>
      <c r="P885" s="365">
        <v>1</v>
      </c>
      <c r="Q885" s="365">
        <v>0</v>
      </c>
      <c r="R885" s="365">
        <v>0</v>
      </c>
      <c r="S885" s="365">
        <v>0</v>
      </c>
      <c r="T885" s="109">
        <v>-2199.002739200786</v>
      </c>
      <c r="V885" s="368">
        <f t="shared" si="78"/>
        <v>59973708.975237727</v>
      </c>
      <c r="W885" s="30">
        <f t="shared" si="79"/>
        <v>64378417.78886164</v>
      </c>
      <c r="X885" s="30"/>
      <c r="Y885">
        <f t="shared" si="80"/>
        <v>0</v>
      </c>
      <c r="Z885">
        <f t="shared" si="81"/>
        <v>1</v>
      </c>
      <c r="AA885">
        <f t="shared" si="82"/>
        <v>0</v>
      </c>
      <c r="AB885">
        <f t="shared" si="83"/>
        <v>1</v>
      </c>
    </row>
    <row r="886" spans="6:28" x14ac:dyDescent="0.3">
      <c r="F886" s="28"/>
      <c r="G886">
        <v>878</v>
      </c>
      <c r="H886" s="109">
        <v>1118.9942820710276</v>
      </c>
      <c r="I886" s="370">
        <v>917536.25124896795</v>
      </c>
      <c r="J886">
        <v>0</v>
      </c>
      <c r="K886">
        <v>0</v>
      </c>
      <c r="L886">
        <v>0</v>
      </c>
      <c r="M886">
        <v>1</v>
      </c>
      <c r="N886" s="109">
        <v>819.96509361137896</v>
      </c>
      <c r="O886" s="109">
        <v>-3584570.8644276909</v>
      </c>
      <c r="P886" s="365">
        <v>1</v>
      </c>
      <c r="Q886" s="365">
        <v>0</v>
      </c>
      <c r="R886" s="365">
        <v>0</v>
      </c>
      <c r="S886" s="365">
        <v>0</v>
      </c>
      <c r="T886" s="109">
        <v>-3203.3862208780815</v>
      </c>
      <c r="V886" s="368">
        <f t="shared" si="78"/>
        <v>55032177.85230241</v>
      </c>
      <c r="W886" s="30">
        <f t="shared" si="79"/>
        <v>59534284.967979074</v>
      </c>
      <c r="X886" s="30"/>
      <c r="Y886">
        <f t="shared" si="80"/>
        <v>0</v>
      </c>
      <c r="Z886">
        <f t="shared" si="81"/>
        <v>1</v>
      </c>
      <c r="AA886">
        <f t="shared" si="82"/>
        <v>0</v>
      </c>
      <c r="AB886">
        <f t="shared" si="83"/>
        <v>1</v>
      </c>
    </row>
    <row r="887" spans="6:28" x14ac:dyDescent="0.3">
      <c r="F887" s="28"/>
      <c r="G887">
        <v>879</v>
      </c>
      <c r="H887" s="109">
        <v>1065.7993924096663</v>
      </c>
      <c r="I887" s="370">
        <v>1626825.1370028325</v>
      </c>
      <c r="J887">
        <v>0</v>
      </c>
      <c r="K887">
        <v>0</v>
      </c>
      <c r="L887">
        <v>0</v>
      </c>
      <c r="M887">
        <v>1</v>
      </c>
      <c r="N887" s="109">
        <v>1526.3896269679258</v>
      </c>
      <c r="O887" s="109">
        <v>-2336100.4045895231</v>
      </c>
      <c r="P887" s="365">
        <v>1</v>
      </c>
      <c r="Q887" s="365">
        <v>0</v>
      </c>
      <c r="R887" s="365">
        <v>0</v>
      </c>
      <c r="S887" s="365">
        <v>0</v>
      </c>
      <c r="T887" s="109">
        <v>-2191.8762773056501</v>
      </c>
      <c r="V887" s="368">
        <f t="shared" si="78"/>
        <v>51663144.483480483</v>
      </c>
      <c r="W887" s="30">
        <f t="shared" si="79"/>
        <v>55626070.025072843</v>
      </c>
      <c r="X887" s="30"/>
      <c r="Y887">
        <f t="shared" si="80"/>
        <v>0</v>
      </c>
      <c r="Z887">
        <f t="shared" si="81"/>
        <v>1</v>
      </c>
      <c r="AA887">
        <f t="shared" si="82"/>
        <v>0</v>
      </c>
      <c r="AB887">
        <f t="shared" si="83"/>
        <v>1</v>
      </c>
    </row>
    <row r="888" spans="6:28" x14ac:dyDescent="0.3">
      <c r="F888" s="28"/>
      <c r="G888">
        <v>880</v>
      </c>
      <c r="H888" s="109">
        <v>1020.939672947592</v>
      </c>
      <c r="I888" s="370">
        <v>1932928.8377997959</v>
      </c>
      <c r="J888">
        <v>0</v>
      </c>
      <c r="K888">
        <v>0</v>
      </c>
      <c r="L888">
        <v>0</v>
      </c>
      <c r="M888">
        <v>1</v>
      </c>
      <c r="N888" s="109">
        <v>1893.2840881960897</v>
      </c>
      <c r="O888" s="109">
        <v>-2472904.2601596983</v>
      </c>
      <c r="P888" s="365">
        <v>1</v>
      </c>
      <c r="Q888" s="365">
        <v>0</v>
      </c>
      <c r="R888" s="365">
        <v>0</v>
      </c>
      <c r="S888" s="365">
        <v>0</v>
      </c>
      <c r="T888" s="109">
        <v>-2422.1845087282059</v>
      </c>
      <c r="V888" s="368">
        <f t="shared" si="78"/>
        <v>49114054.809579805</v>
      </c>
      <c r="W888" s="30">
        <f t="shared" si="79"/>
        <v>53519887.907539301</v>
      </c>
      <c r="X888" s="30"/>
      <c r="Y888">
        <f t="shared" si="80"/>
        <v>0</v>
      </c>
      <c r="Z888">
        <f t="shared" si="81"/>
        <v>1</v>
      </c>
      <c r="AA888">
        <f t="shared" si="82"/>
        <v>0</v>
      </c>
      <c r="AB888">
        <f t="shared" si="83"/>
        <v>1</v>
      </c>
    </row>
    <row r="889" spans="6:28" x14ac:dyDescent="0.3">
      <c r="F889" s="28"/>
      <c r="G889">
        <v>881</v>
      </c>
      <c r="H889" s="109">
        <v>1011.4340161133005</v>
      </c>
      <c r="I889" s="370">
        <v>1442040.4575349919</v>
      </c>
      <c r="J889">
        <v>0</v>
      </c>
      <c r="K889">
        <v>0</v>
      </c>
      <c r="L889">
        <v>0</v>
      </c>
      <c r="M889">
        <v>1</v>
      </c>
      <c r="N889" s="109">
        <v>1425.7385400942014</v>
      </c>
      <c r="O889" s="109">
        <v>-2031583.2745375324</v>
      </c>
      <c r="P889" s="365">
        <v>1</v>
      </c>
      <c r="Q889" s="365">
        <v>0</v>
      </c>
      <c r="R889" s="365">
        <v>0</v>
      </c>
      <c r="S889" s="365">
        <v>0</v>
      </c>
      <c r="T889" s="109">
        <v>-2008.616718611484</v>
      </c>
      <c r="V889" s="368">
        <f t="shared" si="78"/>
        <v>49129660.348130032</v>
      </c>
      <c r="W889" s="30">
        <f t="shared" si="79"/>
        <v>52603284.080202557</v>
      </c>
      <c r="X889" s="30"/>
      <c r="Y889">
        <f t="shared" si="80"/>
        <v>0</v>
      </c>
      <c r="Z889">
        <f t="shared" si="81"/>
        <v>1</v>
      </c>
      <c r="AA889">
        <f t="shared" si="82"/>
        <v>0</v>
      </c>
      <c r="AB889">
        <f t="shared" si="83"/>
        <v>1</v>
      </c>
    </row>
    <row r="890" spans="6:28" x14ac:dyDescent="0.3">
      <c r="F890" s="28"/>
      <c r="G890">
        <v>882</v>
      </c>
      <c r="H890" s="109">
        <v>1335.8033978426174</v>
      </c>
      <c r="I890" s="370">
        <v>1349097.7503463442</v>
      </c>
      <c r="J890">
        <v>0</v>
      </c>
      <c r="K890">
        <v>0</v>
      </c>
      <c r="L890">
        <v>0</v>
      </c>
      <c r="M890">
        <v>1</v>
      </c>
      <c r="N890" s="109">
        <v>1009.9523272101252</v>
      </c>
      <c r="O890" s="109">
        <v>-4093217.4621207444</v>
      </c>
      <c r="P890" s="365">
        <v>1</v>
      </c>
      <c r="Q890" s="365">
        <v>0</v>
      </c>
      <c r="R890" s="365">
        <v>0</v>
      </c>
      <c r="S890" s="365">
        <v>0</v>
      </c>
      <c r="T890" s="109">
        <v>-3064.2364503125796</v>
      </c>
      <c r="V890" s="368">
        <f t="shared" si="78"/>
        <v>65441072.141784526</v>
      </c>
      <c r="W890" s="30">
        <f t="shared" si="79"/>
        <v>70883387.354251623</v>
      </c>
      <c r="X890" s="30"/>
      <c r="Y890">
        <f t="shared" si="80"/>
        <v>0</v>
      </c>
      <c r="Z890">
        <f t="shared" si="81"/>
        <v>1</v>
      </c>
      <c r="AA890">
        <f t="shared" si="82"/>
        <v>0</v>
      </c>
      <c r="AB890">
        <f t="shared" si="83"/>
        <v>1</v>
      </c>
    </row>
    <row r="891" spans="6:28" x14ac:dyDescent="0.3">
      <c r="F891" s="28"/>
      <c r="G891">
        <v>883</v>
      </c>
      <c r="H891" s="109">
        <v>1143.000845601011</v>
      </c>
      <c r="I891" s="370">
        <v>628459.20869889006</v>
      </c>
      <c r="J891">
        <v>0</v>
      </c>
      <c r="K891">
        <v>0</v>
      </c>
      <c r="L891">
        <v>0</v>
      </c>
      <c r="M891">
        <v>1</v>
      </c>
      <c r="N891" s="109">
        <v>549.83267170588545</v>
      </c>
      <c r="O891" s="109">
        <v>-2866652.5858773682</v>
      </c>
      <c r="P891" s="365">
        <v>1</v>
      </c>
      <c r="Q891" s="365">
        <v>0</v>
      </c>
      <c r="R891" s="365">
        <v>0</v>
      </c>
      <c r="S891" s="365">
        <v>0</v>
      </c>
      <c r="T891" s="109">
        <v>-2508.0056562600612</v>
      </c>
      <c r="V891" s="368">
        <f t="shared" si="78"/>
        <v>56521583.071351655</v>
      </c>
      <c r="W891" s="30">
        <f t="shared" si="79"/>
        <v>60016694.865927912</v>
      </c>
      <c r="X891" s="30"/>
      <c r="Y891">
        <f t="shared" si="80"/>
        <v>0</v>
      </c>
      <c r="Z891">
        <f t="shared" si="81"/>
        <v>1</v>
      </c>
      <c r="AA891">
        <f t="shared" si="82"/>
        <v>0</v>
      </c>
      <c r="AB891">
        <f t="shared" si="83"/>
        <v>1</v>
      </c>
    </row>
    <row r="892" spans="6:28" x14ac:dyDescent="0.3">
      <c r="F892" s="28"/>
      <c r="G892">
        <v>884</v>
      </c>
      <c r="H892" s="109">
        <v>1095.5572505896489</v>
      </c>
      <c r="I892" s="370">
        <v>1416935.0268999059</v>
      </c>
      <c r="J892">
        <v>0</v>
      </c>
      <c r="K892">
        <v>0</v>
      </c>
      <c r="L892">
        <v>0</v>
      </c>
      <c r="M892">
        <v>1</v>
      </c>
      <c r="N892" s="109">
        <v>1293.3464007812331</v>
      </c>
      <c r="O892" s="109">
        <v>-2821871.4100871538</v>
      </c>
      <c r="P892" s="365">
        <v>1</v>
      </c>
      <c r="Q892" s="365">
        <v>0</v>
      </c>
      <c r="R892" s="365">
        <v>0</v>
      </c>
      <c r="S892" s="365">
        <v>0</v>
      </c>
      <c r="T892" s="109">
        <v>-2575.7407096419388</v>
      </c>
      <c r="V892" s="368">
        <f t="shared" si="78"/>
        <v>53360927.502582543</v>
      </c>
      <c r="W892" s="30">
        <f t="shared" si="79"/>
        <v>57599733.9395696</v>
      </c>
      <c r="X892" s="30"/>
      <c r="Y892">
        <f t="shared" si="80"/>
        <v>0</v>
      </c>
      <c r="Z892">
        <f t="shared" si="81"/>
        <v>1</v>
      </c>
      <c r="AA892">
        <f t="shared" si="82"/>
        <v>0</v>
      </c>
      <c r="AB892">
        <f t="shared" si="83"/>
        <v>1</v>
      </c>
    </row>
    <row r="893" spans="6:28" x14ac:dyDescent="0.3">
      <c r="F893" s="28"/>
      <c r="G893">
        <v>885</v>
      </c>
      <c r="H893" s="109">
        <v>1273.7291709678248</v>
      </c>
      <c r="I893" s="370">
        <v>1038074.031725758</v>
      </c>
      <c r="J893">
        <v>0</v>
      </c>
      <c r="K893">
        <v>0</v>
      </c>
      <c r="L893">
        <v>0</v>
      </c>
      <c r="M893">
        <v>1</v>
      </c>
      <c r="N893" s="109">
        <v>814.98803308162633</v>
      </c>
      <c r="O893" s="109">
        <v>-4052851.9672972574</v>
      </c>
      <c r="P893" s="365">
        <v>1</v>
      </c>
      <c r="Q893" s="365">
        <v>0</v>
      </c>
      <c r="R893" s="365">
        <v>0</v>
      </c>
      <c r="S893" s="365">
        <v>0</v>
      </c>
      <c r="T893" s="109">
        <v>-3181.878895195402</v>
      </c>
      <c r="V893" s="368">
        <f t="shared" si="78"/>
        <v>62648384.516665481</v>
      </c>
      <c r="W893" s="30">
        <f t="shared" si="79"/>
        <v>67739310.515688494</v>
      </c>
      <c r="X893" s="30"/>
      <c r="Y893">
        <f t="shared" si="80"/>
        <v>0</v>
      </c>
      <c r="Z893">
        <f t="shared" si="81"/>
        <v>1</v>
      </c>
      <c r="AA893">
        <f t="shared" si="82"/>
        <v>0</v>
      </c>
      <c r="AB893">
        <f t="shared" si="83"/>
        <v>1</v>
      </c>
    </row>
    <row r="894" spans="6:28" x14ac:dyDescent="0.3">
      <c r="F894" s="28"/>
      <c r="G894">
        <v>886</v>
      </c>
      <c r="H894" s="109">
        <v>1169.1077177107072</v>
      </c>
      <c r="I894" s="370">
        <v>764457.61215941748</v>
      </c>
      <c r="J894">
        <v>0</v>
      </c>
      <c r="K894">
        <v>0</v>
      </c>
      <c r="L894">
        <v>0</v>
      </c>
      <c r="M894">
        <v>1</v>
      </c>
      <c r="N894" s="109">
        <v>653.88124685066919</v>
      </c>
      <c r="O894" s="109">
        <v>-3621854.7291457304</v>
      </c>
      <c r="P894" s="365">
        <v>1</v>
      </c>
      <c r="Q894" s="365">
        <v>0</v>
      </c>
      <c r="R894" s="365">
        <v>0</v>
      </c>
      <c r="S894" s="365">
        <v>0</v>
      </c>
      <c r="T894" s="109">
        <v>-3097.9649473513691</v>
      </c>
      <c r="V894" s="368">
        <f t="shared" si="78"/>
        <v>57690928.273375943</v>
      </c>
      <c r="W894" s="30">
        <f t="shared" si="79"/>
        <v>62077240.614681087</v>
      </c>
      <c r="X894" s="30"/>
      <c r="Y894">
        <f t="shared" si="80"/>
        <v>0</v>
      </c>
      <c r="Z894">
        <f t="shared" si="81"/>
        <v>1</v>
      </c>
      <c r="AA894">
        <f t="shared" si="82"/>
        <v>0</v>
      </c>
      <c r="AB894">
        <f t="shared" si="83"/>
        <v>1</v>
      </c>
    </row>
    <row r="895" spans="6:28" x14ac:dyDescent="0.3">
      <c r="F895" s="28"/>
      <c r="G895">
        <v>887</v>
      </c>
      <c r="H895" s="109">
        <v>1094.733941587263</v>
      </c>
      <c r="I895" s="370">
        <v>741710.09204228781</v>
      </c>
      <c r="J895">
        <v>0</v>
      </c>
      <c r="K895">
        <v>0</v>
      </c>
      <c r="L895">
        <v>0</v>
      </c>
      <c r="M895">
        <v>1</v>
      </c>
      <c r="N895" s="109">
        <v>677.52543688092544</v>
      </c>
      <c r="O895" s="109">
        <v>-3761781.1911686584</v>
      </c>
      <c r="P895" s="365">
        <v>1</v>
      </c>
      <c r="Q895" s="365">
        <v>0</v>
      </c>
      <c r="R895" s="365">
        <v>0</v>
      </c>
      <c r="S895" s="365">
        <v>0</v>
      </c>
      <c r="T895" s="109">
        <v>-3436.2515386290333</v>
      </c>
      <c r="V895" s="368">
        <f t="shared" si="78"/>
        <v>53994986.987320855</v>
      </c>
      <c r="W895" s="30">
        <f t="shared" si="79"/>
        <v>58498478.270531803</v>
      </c>
      <c r="X895" s="30"/>
      <c r="Y895">
        <f t="shared" si="80"/>
        <v>0</v>
      </c>
      <c r="Z895">
        <f t="shared" si="81"/>
        <v>1</v>
      </c>
      <c r="AA895">
        <f t="shared" si="82"/>
        <v>0</v>
      </c>
      <c r="AB895">
        <f t="shared" si="83"/>
        <v>1</v>
      </c>
    </row>
    <row r="896" spans="6:28" x14ac:dyDescent="0.3">
      <c r="F896" s="28"/>
      <c r="G896">
        <v>888</v>
      </c>
      <c r="H896" s="109">
        <v>1151.5336263181234</v>
      </c>
      <c r="I896" s="370">
        <v>965052.05471004255</v>
      </c>
      <c r="J896">
        <v>0</v>
      </c>
      <c r="K896">
        <v>0</v>
      </c>
      <c r="L896">
        <v>0</v>
      </c>
      <c r="M896">
        <v>1</v>
      </c>
      <c r="N896" s="109">
        <v>838.05807546903247</v>
      </c>
      <c r="O896" s="109">
        <v>-3741508.9017065624</v>
      </c>
      <c r="P896" s="365">
        <v>1</v>
      </c>
      <c r="Q896" s="365">
        <v>0</v>
      </c>
      <c r="R896" s="365">
        <v>0</v>
      </c>
      <c r="S896" s="365">
        <v>0</v>
      </c>
      <c r="T896" s="109">
        <v>-3249.1529697396181</v>
      </c>
      <c r="V896" s="368">
        <f t="shared" si="78"/>
        <v>56611629.261196129</v>
      </c>
      <c r="W896" s="30">
        <f t="shared" si="79"/>
        <v>61318190.217612736</v>
      </c>
      <c r="X896" s="30"/>
      <c r="Y896">
        <f t="shared" si="80"/>
        <v>0</v>
      </c>
      <c r="Z896">
        <f t="shared" si="81"/>
        <v>1</v>
      </c>
      <c r="AA896">
        <f t="shared" si="82"/>
        <v>0</v>
      </c>
      <c r="AB896">
        <f t="shared" si="83"/>
        <v>1</v>
      </c>
    </row>
    <row r="897" spans="6:28" x14ac:dyDescent="0.3">
      <c r="F897" s="28"/>
      <c r="G897">
        <v>889</v>
      </c>
      <c r="H897" s="109">
        <v>1243.9641808088054</v>
      </c>
      <c r="I897" s="370">
        <v>1106453.3716411206</v>
      </c>
      <c r="J897">
        <v>0</v>
      </c>
      <c r="K897">
        <v>0</v>
      </c>
      <c r="L897">
        <v>0</v>
      </c>
      <c r="M897">
        <v>1</v>
      </c>
      <c r="N897" s="109">
        <v>889.4575814246698</v>
      </c>
      <c r="O897" s="109">
        <v>-4189842.9070486263</v>
      </c>
      <c r="P897" s="365">
        <v>1</v>
      </c>
      <c r="Q897" s="365">
        <v>0</v>
      </c>
      <c r="R897" s="365">
        <v>0</v>
      </c>
      <c r="S897" s="365">
        <v>0</v>
      </c>
      <c r="T897" s="109">
        <v>-3368.1379027525199</v>
      </c>
      <c r="V897" s="368">
        <f t="shared" si="78"/>
        <v>61091755.668799147</v>
      </c>
      <c r="W897" s="30">
        <f t="shared" si="79"/>
        <v>66388051.947488897</v>
      </c>
      <c r="X897" s="30"/>
      <c r="Y897">
        <f t="shared" si="80"/>
        <v>0</v>
      </c>
      <c r="Z897">
        <f t="shared" si="81"/>
        <v>1</v>
      </c>
      <c r="AA897">
        <f t="shared" si="82"/>
        <v>0</v>
      </c>
      <c r="AB897">
        <f t="shared" si="83"/>
        <v>1</v>
      </c>
    </row>
    <row r="898" spans="6:28" x14ac:dyDescent="0.3">
      <c r="F898" s="28"/>
      <c r="G898">
        <v>890</v>
      </c>
      <c r="H898" s="109">
        <v>1180.9877899485655</v>
      </c>
      <c r="I898" s="370">
        <v>1540871.9231705379</v>
      </c>
      <c r="J898">
        <v>0</v>
      </c>
      <c r="K898">
        <v>0</v>
      </c>
      <c r="L898">
        <v>0</v>
      </c>
      <c r="M898">
        <v>1</v>
      </c>
      <c r="N898" s="109">
        <v>1304.7314597872737</v>
      </c>
      <c r="O898" s="109">
        <v>-2997197.2515762611</v>
      </c>
      <c r="P898" s="365">
        <v>1</v>
      </c>
      <c r="Q898" s="365">
        <v>0</v>
      </c>
      <c r="R898" s="365">
        <v>0</v>
      </c>
      <c r="S898" s="365">
        <v>0</v>
      </c>
      <c r="T898" s="109">
        <v>-2537.8731914804939</v>
      </c>
      <c r="V898" s="368">
        <f t="shared" si="78"/>
        <v>57508517.574257739</v>
      </c>
      <c r="W898" s="30">
        <f t="shared" si="79"/>
        <v>62046586.749004535</v>
      </c>
      <c r="X898" s="30"/>
      <c r="Y898">
        <f t="shared" si="80"/>
        <v>0</v>
      </c>
      <c r="Z898">
        <f t="shared" si="81"/>
        <v>1</v>
      </c>
      <c r="AA898">
        <f t="shared" si="82"/>
        <v>0</v>
      </c>
      <c r="AB898">
        <f t="shared" si="83"/>
        <v>1</v>
      </c>
    </row>
    <row r="899" spans="6:28" x14ac:dyDescent="0.3">
      <c r="F899" s="28"/>
      <c r="G899">
        <v>891</v>
      </c>
      <c r="H899" s="109">
        <v>1480.1970124153086</v>
      </c>
      <c r="I899" s="370">
        <v>1570975.1475205522</v>
      </c>
      <c r="J899">
        <v>0</v>
      </c>
      <c r="K899">
        <v>0</v>
      </c>
      <c r="L899">
        <v>0</v>
      </c>
      <c r="M899">
        <v>1</v>
      </c>
      <c r="N899" s="109">
        <v>1061.328413950192</v>
      </c>
      <c r="O899" s="109">
        <v>-4921076.7879372686</v>
      </c>
      <c r="P899" s="365">
        <v>1</v>
      </c>
      <c r="Q899" s="365">
        <v>0</v>
      </c>
      <c r="R899" s="365">
        <v>0</v>
      </c>
      <c r="S899" s="365">
        <v>0</v>
      </c>
      <c r="T899" s="109">
        <v>-3324.6093233949387</v>
      </c>
      <c r="V899" s="368">
        <f t="shared" si="78"/>
        <v>72438875.473244876</v>
      </c>
      <c r="W899" s="30">
        <f t="shared" si="79"/>
        <v>78930927.408702701</v>
      </c>
      <c r="X899" s="30"/>
      <c r="Y899">
        <f t="shared" si="80"/>
        <v>0</v>
      </c>
      <c r="Z899">
        <f t="shared" si="81"/>
        <v>1</v>
      </c>
      <c r="AA899">
        <f t="shared" si="82"/>
        <v>0</v>
      </c>
      <c r="AB899">
        <f t="shared" si="83"/>
        <v>1</v>
      </c>
    </row>
    <row r="900" spans="6:28" x14ac:dyDescent="0.3">
      <c r="F900" s="28"/>
      <c r="G900">
        <v>892</v>
      </c>
      <c r="H900" s="109">
        <v>1134.3141701935674</v>
      </c>
      <c r="I900" s="370">
        <v>1521458.8720327367</v>
      </c>
      <c r="J900">
        <v>0</v>
      </c>
      <c r="K900">
        <v>0</v>
      </c>
      <c r="L900">
        <v>0</v>
      </c>
      <c r="M900">
        <v>1</v>
      </c>
      <c r="N900" s="109">
        <v>1341.3028876938954</v>
      </c>
      <c r="O900" s="109">
        <v>-2961636.6118412362</v>
      </c>
      <c r="P900" s="365">
        <v>1</v>
      </c>
      <c r="Q900" s="365">
        <v>0</v>
      </c>
      <c r="R900" s="365">
        <v>0</v>
      </c>
      <c r="S900" s="365">
        <v>0</v>
      </c>
      <c r="T900" s="109">
        <v>-2610.9491441298328</v>
      </c>
      <c r="V900" s="368">
        <f t="shared" si="78"/>
        <v>55194249.637645632</v>
      </c>
      <c r="W900" s="30">
        <f t="shared" si="79"/>
        <v>59677345.12151961</v>
      </c>
      <c r="X900" s="30"/>
      <c r="Y900">
        <f t="shared" si="80"/>
        <v>0</v>
      </c>
      <c r="Z900">
        <f t="shared" si="81"/>
        <v>1</v>
      </c>
      <c r="AA900">
        <f t="shared" si="82"/>
        <v>0</v>
      </c>
      <c r="AB900">
        <f t="shared" si="83"/>
        <v>1</v>
      </c>
    </row>
    <row r="901" spans="6:28" x14ac:dyDescent="0.3">
      <c r="F901" s="28"/>
      <c r="G901">
        <v>893</v>
      </c>
      <c r="H901" s="109">
        <v>1067.9124465261048</v>
      </c>
      <c r="I901" s="370">
        <v>1249250.6025890734</v>
      </c>
      <c r="J901">
        <v>0</v>
      </c>
      <c r="K901">
        <v>0</v>
      </c>
      <c r="L901">
        <v>0</v>
      </c>
      <c r="M901">
        <v>1</v>
      </c>
      <c r="N901" s="109">
        <v>1169.8062014848292</v>
      </c>
      <c r="O901" s="109">
        <v>-3090951.3785418165</v>
      </c>
      <c r="P901" s="365">
        <v>1</v>
      </c>
      <c r="Q901" s="365">
        <v>0</v>
      </c>
      <c r="R901" s="365">
        <v>0</v>
      </c>
      <c r="S901" s="365">
        <v>0</v>
      </c>
      <c r="T901" s="109">
        <v>-2894.3865094901853</v>
      </c>
      <c r="V901" s="368">
        <f t="shared" si="78"/>
        <v>52146371.72371617</v>
      </c>
      <c r="W901" s="30">
        <f t="shared" si="79"/>
        <v>56486573.70484706</v>
      </c>
      <c r="X901" s="30"/>
      <c r="Y901">
        <f t="shared" si="80"/>
        <v>0</v>
      </c>
      <c r="Z901">
        <f t="shared" si="81"/>
        <v>1</v>
      </c>
      <c r="AA901">
        <f t="shared" si="82"/>
        <v>0</v>
      </c>
      <c r="AB901">
        <f t="shared" si="83"/>
        <v>1</v>
      </c>
    </row>
    <row r="902" spans="6:28" x14ac:dyDescent="0.3">
      <c r="F902" s="28"/>
      <c r="G902">
        <v>894</v>
      </c>
      <c r="H902" s="109">
        <v>1214.9084369331322</v>
      </c>
      <c r="I902" s="370">
        <v>1754609.3155946657</v>
      </c>
      <c r="J902">
        <v>0</v>
      </c>
      <c r="K902">
        <v>0</v>
      </c>
      <c r="L902">
        <v>0</v>
      </c>
      <c r="M902">
        <v>1</v>
      </c>
      <c r="N902" s="109">
        <v>1444.2317315895291</v>
      </c>
      <c r="O902" s="109">
        <v>-2631727.4970208798</v>
      </c>
      <c r="P902" s="365">
        <v>1</v>
      </c>
      <c r="Q902" s="365">
        <v>0</v>
      </c>
      <c r="R902" s="365">
        <v>0</v>
      </c>
      <c r="S902" s="365">
        <v>0</v>
      </c>
      <c r="T902" s="109">
        <v>-2166.1941073224502</v>
      </c>
      <c r="V902" s="368">
        <f t="shared" si="78"/>
        <v>58990812.53106194</v>
      </c>
      <c r="W902" s="30">
        <f t="shared" si="79"/>
        <v>63377149.343677483</v>
      </c>
      <c r="X902" s="30"/>
      <c r="Y902">
        <f t="shared" si="80"/>
        <v>0</v>
      </c>
      <c r="Z902">
        <f t="shared" si="81"/>
        <v>1</v>
      </c>
      <c r="AA902">
        <f t="shared" si="82"/>
        <v>0</v>
      </c>
      <c r="AB902">
        <f t="shared" si="83"/>
        <v>1</v>
      </c>
    </row>
    <row r="903" spans="6:28" x14ac:dyDescent="0.3">
      <c r="F903" s="28"/>
      <c r="G903">
        <v>895</v>
      </c>
      <c r="H903" s="109">
        <v>1201.1940112565062</v>
      </c>
      <c r="I903" s="370">
        <v>1188228.4254027675</v>
      </c>
      <c r="J903">
        <v>0</v>
      </c>
      <c r="K903">
        <v>0</v>
      </c>
      <c r="L903">
        <v>0</v>
      </c>
      <c r="M903">
        <v>1</v>
      </c>
      <c r="N903" s="109">
        <v>989.20608516839332</v>
      </c>
      <c r="O903" s="109">
        <v>-3467850.3604622493</v>
      </c>
      <c r="P903" s="365">
        <v>1</v>
      </c>
      <c r="Q903" s="365">
        <v>0</v>
      </c>
      <c r="R903" s="365">
        <v>0</v>
      </c>
      <c r="S903" s="365">
        <v>0</v>
      </c>
      <c r="T903" s="109">
        <v>-2887.0027056118206</v>
      </c>
      <c r="V903" s="368">
        <f t="shared" si="78"/>
        <v>58871472.137422539</v>
      </c>
      <c r="W903" s="30">
        <f t="shared" si="79"/>
        <v>63527550.923287556</v>
      </c>
      <c r="X903" s="30"/>
      <c r="Y903">
        <f t="shared" si="80"/>
        <v>0</v>
      </c>
      <c r="Z903">
        <f t="shared" si="81"/>
        <v>1</v>
      </c>
      <c r="AA903">
        <f t="shared" si="82"/>
        <v>0</v>
      </c>
      <c r="AB903">
        <f t="shared" si="83"/>
        <v>1</v>
      </c>
    </row>
    <row r="904" spans="6:28" x14ac:dyDescent="0.3">
      <c r="F904" s="28"/>
      <c r="G904">
        <v>896</v>
      </c>
      <c r="H904" s="109">
        <v>1243.5928502486859</v>
      </c>
      <c r="I904" s="370">
        <v>1761591.7716718523</v>
      </c>
      <c r="J904">
        <v>0</v>
      </c>
      <c r="K904">
        <v>0</v>
      </c>
      <c r="L904">
        <v>0</v>
      </c>
      <c r="M904">
        <v>1</v>
      </c>
      <c r="N904" s="109">
        <v>1416.5341746051213</v>
      </c>
      <c r="O904" s="109">
        <v>-2972885.6891270713</v>
      </c>
      <c r="P904" s="365">
        <v>1</v>
      </c>
      <c r="Q904" s="365">
        <v>0</v>
      </c>
      <c r="R904" s="365">
        <v>0</v>
      </c>
      <c r="S904" s="365">
        <v>0</v>
      </c>
      <c r="T904" s="109">
        <v>-2390.5619017772356</v>
      </c>
      <c r="V904" s="368">
        <f t="shared" si="78"/>
        <v>60418050.740762442</v>
      </c>
      <c r="W904" s="30">
        <f t="shared" si="79"/>
        <v>65152528.201561369</v>
      </c>
      <c r="X904" s="30"/>
      <c r="Y904">
        <f t="shared" si="80"/>
        <v>0</v>
      </c>
      <c r="Z904">
        <f t="shared" si="81"/>
        <v>1</v>
      </c>
      <c r="AA904">
        <f t="shared" si="82"/>
        <v>0</v>
      </c>
      <c r="AB904">
        <f t="shared" si="83"/>
        <v>1</v>
      </c>
    </row>
    <row r="905" spans="6:28" x14ac:dyDescent="0.3">
      <c r="F905" s="28"/>
      <c r="G905">
        <v>897</v>
      </c>
      <c r="H905" s="109">
        <v>1111.8395913145796</v>
      </c>
      <c r="I905" s="370">
        <v>1127725.2184999429</v>
      </c>
      <c r="J905">
        <v>0</v>
      </c>
      <c r="K905">
        <v>0</v>
      </c>
      <c r="L905">
        <v>0</v>
      </c>
      <c r="M905">
        <v>1</v>
      </c>
      <c r="N905" s="109">
        <v>1014.2876969928558</v>
      </c>
      <c r="O905" s="109">
        <v>-3402018.8565054787</v>
      </c>
      <c r="P905" s="365">
        <v>1</v>
      </c>
      <c r="Q905" s="365">
        <v>0</v>
      </c>
      <c r="R905" s="365">
        <v>0</v>
      </c>
      <c r="S905" s="365">
        <v>0</v>
      </c>
      <c r="T905" s="109">
        <v>-3059.8108603806004</v>
      </c>
      <c r="V905" s="368">
        <f t="shared" ref="V905:V968" si="84">H905*WTPinput-I905</f>
        <v>54464254.347229034</v>
      </c>
      <c r="W905" s="30">
        <f t="shared" ref="W905:W968" si="85">H905*WTPinput-O905</f>
        <v>58993998.422234453</v>
      </c>
      <c r="X905" s="30"/>
      <c r="Y905">
        <f t="shared" si="80"/>
        <v>0</v>
      </c>
      <c r="Z905">
        <f t="shared" si="81"/>
        <v>1</v>
      </c>
      <c r="AA905">
        <f t="shared" si="82"/>
        <v>0</v>
      </c>
      <c r="AB905">
        <f t="shared" si="83"/>
        <v>1</v>
      </c>
    </row>
    <row r="906" spans="6:28" x14ac:dyDescent="0.3">
      <c r="F906" s="28"/>
      <c r="G906">
        <v>898</v>
      </c>
      <c r="H906" s="109">
        <v>1204.2419780391574</v>
      </c>
      <c r="I906" s="370">
        <v>1147646.7126395889</v>
      </c>
      <c r="J906">
        <v>0</v>
      </c>
      <c r="K906">
        <v>0</v>
      </c>
      <c r="L906">
        <v>0</v>
      </c>
      <c r="M906">
        <v>1</v>
      </c>
      <c r="N906" s="109">
        <v>953.00341091603411</v>
      </c>
      <c r="O906" s="109">
        <v>-3361928.8058812059</v>
      </c>
      <c r="P906" s="365">
        <v>1</v>
      </c>
      <c r="Q906" s="365">
        <v>0</v>
      </c>
      <c r="R906" s="365">
        <v>0</v>
      </c>
      <c r="S906" s="365">
        <v>0</v>
      </c>
      <c r="T906" s="109">
        <v>-2791.7385933974547</v>
      </c>
      <c r="V906" s="368">
        <f t="shared" si="84"/>
        <v>59064452.189318284</v>
      </c>
      <c r="W906" s="30">
        <f t="shared" si="85"/>
        <v>63574027.707839072</v>
      </c>
      <c r="X906" s="30"/>
      <c r="Y906">
        <f t="shared" ref="Y906:Y969" si="86">IF(V906&lt;0,1,0)</f>
        <v>0</v>
      </c>
      <c r="Z906">
        <f t="shared" ref="Z906:Z969" si="87">IF(V906&gt;0,1,0)</f>
        <v>1</v>
      </c>
      <c r="AA906">
        <f t="shared" ref="AA906:AA969" si="88">IF(W906&lt;0,1,0)</f>
        <v>0</v>
      </c>
      <c r="AB906">
        <f t="shared" ref="AB906:AB969" si="89">IF(W906&gt;0,1,0)</f>
        <v>1</v>
      </c>
    </row>
    <row r="907" spans="6:28" x14ac:dyDescent="0.3">
      <c r="F907" s="28"/>
      <c r="G907">
        <v>899</v>
      </c>
      <c r="H907" s="109">
        <v>1326.8397941978765</v>
      </c>
      <c r="I907" s="370">
        <v>1241261.2442083559</v>
      </c>
      <c r="J907">
        <v>0</v>
      </c>
      <c r="K907">
        <v>0</v>
      </c>
      <c r="L907">
        <v>0</v>
      </c>
      <c r="M907">
        <v>1</v>
      </c>
      <c r="N907" s="109">
        <v>935.50197215689036</v>
      </c>
      <c r="O907" s="109">
        <v>-3913370.9701847131</v>
      </c>
      <c r="P907" s="365">
        <v>1</v>
      </c>
      <c r="Q907" s="365">
        <v>0</v>
      </c>
      <c r="R907" s="365">
        <v>0</v>
      </c>
      <c r="S907" s="365">
        <v>0</v>
      </c>
      <c r="T907" s="109">
        <v>-2949.3922230079706</v>
      </c>
      <c r="V907" s="368">
        <f t="shared" si="84"/>
        <v>65100728.465685464</v>
      </c>
      <c r="W907" s="30">
        <f t="shared" si="85"/>
        <v>70255360.680078536</v>
      </c>
      <c r="X907" s="30"/>
      <c r="Y907">
        <f t="shared" si="86"/>
        <v>0</v>
      </c>
      <c r="Z907">
        <f t="shared" si="87"/>
        <v>1</v>
      </c>
      <c r="AA907">
        <f t="shared" si="88"/>
        <v>0</v>
      </c>
      <c r="AB907">
        <f t="shared" si="89"/>
        <v>1</v>
      </c>
    </row>
    <row r="908" spans="6:28" x14ac:dyDescent="0.3">
      <c r="F908" s="28"/>
      <c r="G908">
        <v>900</v>
      </c>
      <c r="H908" s="109">
        <v>1333.9901524119123</v>
      </c>
      <c r="I908" s="370">
        <v>1374169.0517979146</v>
      </c>
      <c r="J908">
        <v>0</v>
      </c>
      <c r="K908">
        <v>0</v>
      </c>
      <c r="L908">
        <v>0</v>
      </c>
      <c r="M908">
        <v>1</v>
      </c>
      <c r="N908" s="109">
        <v>1030.1193373229607</v>
      </c>
      <c r="O908" s="109">
        <v>-3725605.6145584635</v>
      </c>
      <c r="P908" s="365">
        <v>1</v>
      </c>
      <c r="Q908" s="365">
        <v>0</v>
      </c>
      <c r="R908" s="365">
        <v>0</v>
      </c>
      <c r="S908" s="365">
        <v>0</v>
      </c>
      <c r="T908" s="109">
        <v>-2792.8284236749473</v>
      </c>
      <c r="V908" s="368">
        <f t="shared" si="84"/>
        <v>65325338.5687977</v>
      </c>
      <c r="W908" s="30">
        <f t="shared" si="85"/>
        <v>70425113.235154077</v>
      </c>
      <c r="X908" s="30"/>
      <c r="Y908">
        <f t="shared" si="86"/>
        <v>0</v>
      </c>
      <c r="Z908">
        <f t="shared" si="87"/>
        <v>1</v>
      </c>
      <c r="AA908">
        <f t="shared" si="88"/>
        <v>0</v>
      </c>
      <c r="AB908">
        <f t="shared" si="89"/>
        <v>1</v>
      </c>
    </row>
    <row r="909" spans="6:28" x14ac:dyDescent="0.3">
      <c r="F909" s="28"/>
      <c r="G909">
        <v>901</v>
      </c>
      <c r="H909" s="109">
        <v>1187.7361689497993</v>
      </c>
      <c r="I909" s="370">
        <v>1890543.2283771471</v>
      </c>
      <c r="J909">
        <v>0</v>
      </c>
      <c r="K909">
        <v>0</v>
      </c>
      <c r="L909">
        <v>0</v>
      </c>
      <c r="M909">
        <v>1</v>
      </c>
      <c r="N909" s="109">
        <v>1591.7198430092201</v>
      </c>
      <c r="O909" s="109">
        <v>-3027395.0692415452</v>
      </c>
      <c r="P909" s="365">
        <v>1</v>
      </c>
      <c r="Q909" s="365">
        <v>0</v>
      </c>
      <c r="R909" s="365">
        <v>0</v>
      </c>
      <c r="S909" s="365">
        <v>0</v>
      </c>
      <c r="T909" s="109">
        <v>-2548.8784027839947</v>
      </c>
      <c r="V909" s="368">
        <f t="shared" si="84"/>
        <v>57496265.219112821</v>
      </c>
      <c r="W909" s="30">
        <f t="shared" si="85"/>
        <v>62414203.516731516</v>
      </c>
      <c r="X909" s="30"/>
      <c r="Y909">
        <f t="shared" si="86"/>
        <v>0</v>
      </c>
      <c r="Z909">
        <f t="shared" si="87"/>
        <v>1</v>
      </c>
      <c r="AA909">
        <f t="shared" si="88"/>
        <v>0</v>
      </c>
      <c r="AB909">
        <f t="shared" si="89"/>
        <v>1</v>
      </c>
    </row>
    <row r="910" spans="6:28" x14ac:dyDescent="0.3">
      <c r="F910" s="28"/>
      <c r="G910">
        <v>902</v>
      </c>
      <c r="H910" s="109">
        <v>1045.7636857230682</v>
      </c>
      <c r="I910" s="370">
        <v>2151679.4210314872</v>
      </c>
      <c r="J910">
        <v>0</v>
      </c>
      <c r="K910">
        <v>0</v>
      </c>
      <c r="L910">
        <v>0</v>
      </c>
      <c r="M910">
        <v>1</v>
      </c>
      <c r="N910" s="109">
        <v>2057.5197345313823</v>
      </c>
      <c r="O910" s="109">
        <v>-1592218.7123670212</v>
      </c>
      <c r="P910" s="365">
        <v>1</v>
      </c>
      <c r="Q910" s="365">
        <v>0</v>
      </c>
      <c r="R910" s="365">
        <v>0</v>
      </c>
      <c r="S910" s="365">
        <v>0</v>
      </c>
      <c r="T910" s="109">
        <v>-1522.5415972119167</v>
      </c>
      <c r="V910" s="368">
        <f t="shared" si="84"/>
        <v>50136504.865121916</v>
      </c>
      <c r="W910" s="30">
        <f t="shared" si="85"/>
        <v>53880402.998520426</v>
      </c>
      <c r="X910" s="30"/>
      <c r="Y910">
        <f t="shared" si="86"/>
        <v>0</v>
      </c>
      <c r="Z910">
        <f t="shared" si="87"/>
        <v>1</v>
      </c>
      <c r="AA910">
        <f t="shared" si="88"/>
        <v>0</v>
      </c>
      <c r="AB910">
        <f t="shared" si="89"/>
        <v>1</v>
      </c>
    </row>
    <row r="911" spans="6:28" x14ac:dyDescent="0.3">
      <c r="F911" s="28"/>
      <c r="G911">
        <v>903</v>
      </c>
      <c r="H911" s="109">
        <v>1236.3695473212283</v>
      </c>
      <c r="I911" s="370">
        <v>1206714.1364750315</v>
      </c>
      <c r="J911">
        <v>0</v>
      </c>
      <c r="K911">
        <v>0</v>
      </c>
      <c r="L911">
        <v>0</v>
      </c>
      <c r="M911">
        <v>1</v>
      </c>
      <c r="N911" s="109">
        <v>976.01412060783161</v>
      </c>
      <c r="O911" s="109">
        <v>-3905664.6293772054</v>
      </c>
      <c r="P911" s="365">
        <v>1</v>
      </c>
      <c r="Q911" s="365">
        <v>0</v>
      </c>
      <c r="R911" s="365">
        <v>0</v>
      </c>
      <c r="S911" s="365">
        <v>0</v>
      </c>
      <c r="T911" s="109">
        <v>-3158.9783474038059</v>
      </c>
      <c r="V911" s="368">
        <f t="shared" si="84"/>
        <v>60611763.229586385</v>
      </c>
      <c r="W911" s="30">
        <f t="shared" si="85"/>
        <v>65724141.995438628</v>
      </c>
      <c r="X911" s="30"/>
      <c r="Y911">
        <f t="shared" si="86"/>
        <v>0</v>
      </c>
      <c r="Z911">
        <f t="shared" si="87"/>
        <v>1</v>
      </c>
      <c r="AA911">
        <f t="shared" si="88"/>
        <v>0</v>
      </c>
      <c r="AB911">
        <f t="shared" si="89"/>
        <v>1</v>
      </c>
    </row>
    <row r="912" spans="6:28" x14ac:dyDescent="0.3">
      <c r="F912" s="28"/>
      <c r="G912">
        <v>904</v>
      </c>
      <c r="H912" s="109">
        <v>1022.8408040410286</v>
      </c>
      <c r="I912" s="370">
        <v>1028413.109268688</v>
      </c>
      <c r="J912">
        <v>0</v>
      </c>
      <c r="K912">
        <v>0</v>
      </c>
      <c r="L912">
        <v>0</v>
      </c>
      <c r="M912">
        <v>1</v>
      </c>
      <c r="N912" s="109">
        <v>1005.4478714631293</v>
      </c>
      <c r="O912" s="109">
        <v>-2392962.9753576666</v>
      </c>
      <c r="P912" s="365">
        <v>1</v>
      </c>
      <c r="Q912" s="365">
        <v>0</v>
      </c>
      <c r="R912" s="365">
        <v>0</v>
      </c>
      <c r="S912" s="365">
        <v>0</v>
      </c>
      <c r="T912" s="109">
        <v>-2339.5263132870473</v>
      </c>
      <c r="V912" s="368">
        <f t="shared" si="84"/>
        <v>50113627.092782743</v>
      </c>
      <c r="W912" s="30">
        <f t="shared" si="85"/>
        <v>53535003.177409098</v>
      </c>
      <c r="X912" s="30"/>
      <c r="Y912">
        <f t="shared" si="86"/>
        <v>0</v>
      </c>
      <c r="Z912">
        <f t="shared" si="87"/>
        <v>1</v>
      </c>
      <c r="AA912">
        <f t="shared" si="88"/>
        <v>0</v>
      </c>
      <c r="AB912">
        <f t="shared" si="89"/>
        <v>1</v>
      </c>
    </row>
    <row r="913" spans="6:28" x14ac:dyDescent="0.3">
      <c r="F913" s="28"/>
      <c r="G913">
        <v>905</v>
      </c>
      <c r="H913" s="109">
        <v>1406.5023550719779</v>
      </c>
      <c r="I913" s="370">
        <v>2397141.6066939053</v>
      </c>
      <c r="J913">
        <v>0</v>
      </c>
      <c r="K913">
        <v>0</v>
      </c>
      <c r="L913">
        <v>0</v>
      </c>
      <c r="M913">
        <v>1</v>
      </c>
      <c r="N913" s="109">
        <v>1704.3281854805223</v>
      </c>
      <c r="O913" s="109">
        <v>-3373694.3099890142</v>
      </c>
      <c r="P913" s="365">
        <v>1</v>
      </c>
      <c r="Q913" s="365">
        <v>0</v>
      </c>
      <c r="R913" s="365">
        <v>0</v>
      </c>
      <c r="S913" s="365">
        <v>0</v>
      </c>
      <c r="T913" s="109">
        <v>-2398.6410671998947</v>
      </c>
      <c r="V913" s="368">
        <f t="shared" si="84"/>
        <v>67927976.14690499</v>
      </c>
      <c r="W913" s="30">
        <f t="shared" si="85"/>
        <v>73698812.063587919</v>
      </c>
      <c r="X913" s="30"/>
      <c r="Y913">
        <f t="shared" si="86"/>
        <v>0</v>
      </c>
      <c r="Z913">
        <f t="shared" si="87"/>
        <v>1</v>
      </c>
      <c r="AA913">
        <f t="shared" si="88"/>
        <v>0</v>
      </c>
      <c r="AB913">
        <f t="shared" si="89"/>
        <v>1</v>
      </c>
    </row>
    <row r="914" spans="6:28" x14ac:dyDescent="0.3">
      <c r="F914" s="28"/>
      <c r="G914">
        <v>906</v>
      </c>
      <c r="H914" s="109">
        <v>1243.5438356052837</v>
      </c>
      <c r="I914" s="370">
        <v>1085742.4810078673</v>
      </c>
      <c r="J914">
        <v>0</v>
      </c>
      <c r="K914">
        <v>0</v>
      </c>
      <c r="L914">
        <v>0</v>
      </c>
      <c r="M914">
        <v>1</v>
      </c>
      <c r="N914" s="109">
        <v>873.10350461380551</v>
      </c>
      <c r="O914" s="109">
        <v>-3441160.8135462692</v>
      </c>
      <c r="P914" s="365">
        <v>1</v>
      </c>
      <c r="Q914" s="365">
        <v>0</v>
      </c>
      <c r="R914" s="365">
        <v>0</v>
      </c>
      <c r="S914" s="365">
        <v>0</v>
      </c>
      <c r="T914" s="109">
        <v>-2767.2211586102353</v>
      </c>
      <c r="V914" s="368">
        <f t="shared" si="84"/>
        <v>61091449.299256317</v>
      </c>
      <c r="W914" s="30">
        <f t="shared" si="85"/>
        <v>65618352.593810454</v>
      </c>
      <c r="X914" s="30"/>
      <c r="Y914">
        <f t="shared" si="86"/>
        <v>0</v>
      </c>
      <c r="Z914">
        <f t="shared" si="87"/>
        <v>1</v>
      </c>
      <c r="AA914">
        <f t="shared" si="88"/>
        <v>0</v>
      </c>
      <c r="AB914">
        <f t="shared" si="89"/>
        <v>1</v>
      </c>
    </row>
    <row r="915" spans="6:28" x14ac:dyDescent="0.3">
      <c r="F915" s="28"/>
      <c r="G915">
        <v>907</v>
      </c>
      <c r="H915" s="109">
        <v>970.07676394667942</v>
      </c>
      <c r="I915" s="370">
        <v>1541727.4866136268</v>
      </c>
      <c r="J915">
        <v>0</v>
      </c>
      <c r="K915">
        <v>0</v>
      </c>
      <c r="L915">
        <v>0</v>
      </c>
      <c r="M915">
        <v>1</v>
      </c>
      <c r="N915" s="109">
        <v>1589.2840071142746</v>
      </c>
      <c r="O915" s="109">
        <v>-2043720.0493423892</v>
      </c>
      <c r="P915" s="365">
        <v>1</v>
      </c>
      <c r="Q915" s="365">
        <v>0</v>
      </c>
      <c r="R915" s="365">
        <v>0</v>
      </c>
      <c r="S915" s="365">
        <v>0</v>
      </c>
      <c r="T915" s="109">
        <v>-2106.7611608669795</v>
      </c>
      <c r="V915" s="368">
        <f t="shared" si="84"/>
        <v>46962110.710720345</v>
      </c>
      <c r="W915" s="30">
        <f t="shared" si="85"/>
        <v>50547558.246676356</v>
      </c>
      <c r="X915" s="30"/>
      <c r="Y915">
        <f t="shared" si="86"/>
        <v>0</v>
      </c>
      <c r="Z915">
        <f t="shared" si="87"/>
        <v>1</v>
      </c>
      <c r="AA915">
        <f t="shared" si="88"/>
        <v>0</v>
      </c>
      <c r="AB915">
        <f t="shared" si="89"/>
        <v>1</v>
      </c>
    </row>
    <row r="916" spans="6:28" x14ac:dyDescent="0.3">
      <c r="F916" s="28"/>
      <c r="G916">
        <v>908</v>
      </c>
      <c r="H916" s="109">
        <v>1383.1234422725756</v>
      </c>
      <c r="I916" s="370">
        <v>914332.08928277087</v>
      </c>
      <c r="J916">
        <v>0</v>
      </c>
      <c r="K916">
        <v>0</v>
      </c>
      <c r="L916">
        <v>0</v>
      </c>
      <c r="M916">
        <v>1</v>
      </c>
      <c r="N916" s="109">
        <v>661.06325822983274</v>
      </c>
      <c r="O916" s="109">
        <v>-3914665.6551985661</v>
      </c>
      <c r="P916" s="365">
        <v>1</v>
      </c>
      <c r="Q916" s="365">
        <v>0</v>
      </c>
      <c r="R916" s="365">
        <v>0</v>
      </c>
      <c r="S916" s="365">
        <v>0</v>
      </c>
      <c r="T916" s="109">
        <v>-2830.3082252488443</v>
      </c>
      <c r="V916" s="368">
        <f t="shared" si="84"/>
        <v>68241840.024346009</v>
      </c>
      <c r="W916" s="30">
        <f t="shared" si="85"/>
        <v>73070837.768827334</v>
      </c>
      <c r="X916" s="30"/>
      <c r="Y916">
        <f t="shared" si="86"/>
        <v>0</v>
      </c>
      <c r="Z916">
        <f t="shared" si="87"/>
        <v>1</v>
      </c>
      <c r="AA916">
        <f t="shared" si="88"/>
        <v>0</v>
      </c>
      <c r="AB916">
        <f t="shared" si="89"/>
        <v>1</v>
      </c>
    </row>
    <row r="917" spans="6:28" x14ac:dyDescent="0.3">
      <c r="F917" s="28"/>
      <c r="G917">
        <v>909</v>
      </c>
      <c r="H917" s="109">
        <v>1323.1749035526955</v>
      </c>
      <c r="I917" s="370">
        <v>1085785.5884853837</v>
      </c>
      <c r="J917">
        <v>0</v>
      </c>
      <c r="K917">
        <v>0</v>
      </c>
      <c r="L917">
        <v>0</v>
      </c>
      <c r="M917">
        <v>1</v>
      </c>
      <c r="N917" s="109">
        <v>820.59112938892156</v>
      </c>
      <c r="O917" s="109">
        <v>-4807173.3763381066</v>
      </c>
      <c r="P917" s="365">
        <v>1</v>
      </c>
      <c r="Q917" s="365">
        <v>0</v>
      </c>
      <c r="R917" s="365">
        <v>0</v>
      </c>
      <c r="S917" s="365">
        <v>0</v>
      </c>
      <c r="T917" s="109">
        <v>-3633.0596684013217</v>
      </c>
      <c r="V917" s="368">
        <f t="shared" si="84"/>
        <v>65072959.589149393</v>
      </c>
      <c r="W917" s="30">
        <f t="shared" si="85"/>
        <v>70965918.553972885</v>
      </c>
      <c r="X917" s="30"/>
      <c r="Y917">
        <f t="shared" si="86"/>
        <v>0</v>
      </c>
      <c r="Z917">
        <f t="shared" si="87"/>
        <v>1</v>
      </c>
      <c r="AA917">
        <f t="shared" si="88"/>
        <v>0</v>
      </c>
      <c r="AB917">
        <f t="shared" si="89"/>
        <v>1</v>
      </c>
    </row>
    <row r="918" spans="6:28" x14ac:dyDescent="0.3">
      <c r="F918" s="28"/>
      <c r="G918">
        <v>910</v>
      </c>
      <c r="H918" s="109">
        <v>1051.6578294118153</v>
      </c>
      <c r="I918" s="370">
        <v>433009.48320663412</v>
      </c>
      <c r="J918">
        <v>0</v>
      </c>
      <c r="K918">
        <v>0</v>
      </c>
      <c r="L918">
        <v>0</v>
      </c>
      <c r="M918">
        <v>1</v>
      </c>
      <c r="N918" s="109">
        <v>411.73989400032633</v>
      </c>
      <c r="O918" s="109">
        <v>-3859972.9724573148</v>
      </c>
      <c r="P918" s="365">
        <v>1</v>
      </c>
      <c r="Q918" s="365">
        <v>0</v>
      </c>
      <c r="R918" s="365">
        <v>0</v>
      </c>
      <c r="S918" s="365">
        <v>0</v>
      </c>
      <c r="T918" s="109">
        <v>-3670.3696435333632</v>
      </c>
      <c r="V918" s="368">
        <f t="shared" si="84"/>
        <v>52149881.987384126</v>
      </c>
      <c r="W918" s="30">
        <f t="shared" si="85"/>
        <v>56442864.443048075</v>
      </c>
      <c r="X918" s="30"/>
      <c r="Y918">
        <f t="shared" si="86"/>
        <v>0</v>
      </c>
      <c r="Z918">
        <f t="shared" si="87"/>
        <v>1</v>
      </c>
      <c r="AA918">
        <f t="shared" si="88"/>
        <v>0</v>
      </c>
      <c r="AB918">
        <f t="shared" si="89"/>
        <v>1</v>
      </c>
    </row>
    <row r="919" spans="6:28" x14ac:dyDescent="0.3">
      <c r="F919" s="28"/>
      <c r="G919">
        <v>911</v>
      </c>
      <c r="H919" s="109">
        <v>1008.7863914695699</v>
      </c>
      <c r="I919" s="370">
        <v>1107690.3758035938</v>
      </c>
      <c r="J919">
        <v>0</v>
      </c>
      <c r="K919">
        <v>0</v>
      </c>
      <c r="L919">
        <v>0</v>
      </c>
      <c r="M919">
        <v>1</v>
      </c>
      <c r="N919" s="109">
        <v>1098.0425441603584</v>
      </c>
      <c r="O919" s="109">
        <v>-2991443.3342574323</v>
      </c>
      <c r="P919" s="365">
        <v>1</v>
      </c>
      <c r="Q919" s="365">
        <v>0</v>
      </c>
      <c r="R919" s="365">
        <v>0</v>
      </c>
      <c r="S919" s="365">
        <v>0</v>
      </c>
      <c r="T919" s="109">
        <v>-2965.388272040017</v>
      </c>
      <c r="V919" s="368">
        <f t="shared" si="84"/>
        <v>49331629.1976749</v>
      </c>
      <c r="W919" s="30">
        <f t="shared" si="85"/>
        <v>53430762.907735929</v>
      </c>
      <c r="X919" s="30"/>
      <c r="Y919">
        <f t="shared" si="86"/>
        <v>0</v>
      </c>
      <c r="Z919">
        <f t="shared" si="87"/>
        <v>1</v>
      </c>
      <c r="AA919">
        <f t="shared" si="88"/>
        <v>0</v>
      </c>
      <c r="AB919">
        <f t="shared" si="89"/>
        <v>1</v>
      </c>
    </row>
    <row r="920" spans="6:28" x14ac:dyDescent="0.3">
      <c r="F920" s="28"/>
      <c r="G920">
        <v>912</v>
      </c>
      <c r="H920" s="109">
        <v>1205.3862888861258</v>
      </c>
      <c r="I920" s="370">
        <v>1142546.4311354174</v>
      </c>
      <c r="J920">
        <v>0</v>
      </c>
      <c r="K920">
        <v>0</v>
      </c>
      <c r="L920">
        <v>0</v>
      </c>
      <c r="M920">
        <v>1</v>
      </c>
      <c r="N920" s="109">
        <v>947.8674526746297</v>
      </c>
      <c r="O920" s="109">
        <v>-4007755.6578912074</v>
      </c>
      <c r="P920" s="365">
        <v>1</v>
      </c>
      <c r="Q920" s="365">
        <v>0</v>
      </c>
      <c r="R920" s="365">
        <v>0</v>
      </c>
      <c r="S920" s="365">
        <v>0</v>
      </c>
      <c r="T920" s="109">
        <v>-3324.8724453259683</v>
      </c>
      <c r="V920" s="368">
        <f t="shared" si="84"/>
        <v>59126768.013170876</v>
      </c>
      <c r="W920" s="30">
        <f t="shared" si="85"/>
        <v>64277070.102197498</v>
      </c>
      <c r="X920" s="30"/>
      <c r="Y920">
        <f t="shared" si="86"/>
        <v>0</v>
      </c>
      <c r="Z920">
        <f t="shared" si="87"/>
        <v>1</v>
      </c>
      <c r="AA920">
        <f t="shared" si="88"/>
        <v>0</v>
      </c>
      <c r="AB920">
        <f t="shared" si="89"/>
        <v>1</v>
      </c>
    </row>
    <row r="921" spans="6:28" x14ac:dyDescent="0.3">
      <c r="F921" s="28"/>
      <c r="G921">
        <v>913</v>
      </c>
      <c r="H921" s="109">
        <v>1226.4349154983356</v>
      </c>
      <c r="I921" s="370">
        <v>861109.48369650927</v>
      </c>
      <c r="J921">
        <v>0</v>
      </c>
      <c r="K921">
        <v>0</v>
      </c>
      <c r="L921">
        <v>0</v>
      </c>
      <c r="M921">
        <v>1</v>
      </c>
      <c r="N921" s="109">
        <v>702.12407753135096</v>
      </c>
      <c r="O921" s="109">
        <v>-3663042.8158578286</v>
      </c>
      <c r="P921" s="365">
        <v>1</v>
      </c>
      <c r="Q921" s="365">
        <v>0</v>
      </c>
      <c r="R921" s="365">
        <v>0</v>
      </c>
      <c r="S921" s="365">
        <v>0</v>
      </c>
      <c r="T921" s="109">
        <v>-2986.7404862405024</v>
      </c>
      <c r="V921" s="368">
        <f t="shared" si="84"/>
        <v>60460636.29122027</v>
      </c>
      <c r="W921" s="30">
        <f t="shared" si="85"/>
        <v>64984788.590774611</v>
      </c>
      <c r="X921" s="30"/>
      <c r="Y921">
        <f t="shared" si="86"/>
        <v>0</v>
      </c>
      <c r="Z921">
        <f t="shared" si="87"/>
        <v>1</v>
      </c>
      <c r="AA921">
        <f t="shared" si="88"/>
        <v>0</v>
      </c>
      <c r="AB921">
        <f t="shared" si="89"/>
        <v>1</v>
      </c>
    </row>
    <row r="922" spans="6:28" x14ac:dyDescent="0.3">
      <c r="F922" s="28"/>
      <c r="G922">
        <v>914</v>
      </c>
      <c r="H922" s="109">
        <v>1165.0224429784939</v>
      </c>
      <c r="I922" s="370">
        <v>849900.92701120267</v>
      </c>
      <c r="J922">
        <v>0</v>
      </c>
      <c r="K922">
        <v>0</v>
      </c>
      <c r="L922">
        <v>0</v>
      </c>
      <c r="M922">
        <v>1</v>
      </c>
      <c r="N922" s="109">
        <v>729.51463908141352</v>
      </c>
      <c r="O922" s="109">
        <v>-3589234.4108842211</v>
      </c>
      <c r="P922" s="365">
        <v>1</v>
      </c>
      <c r="Q922" s="365">
        <v>0</v>
      </c>
      <c r="R922" s="365">
        <v>0</v>
      </c>
      <c r="S922" s="365">
        <v>0</v>
      </c>
      <c r="T922" s="109">
        <v>-3080.8285561503794</v>
      </c>
      <c r="V922" s="368">
        <f t="shared" si="84"/>
        <v>57401221.221913494</v>
      </c>
      <c r="W922" s="30">
        <f t="shared" si="85"/>
        <v>61840356.559808917</v>
      </c>
      <c r="X922" s="30"/>
      <c r="Y922">
        <f t="shared" si="86"/>
        <v>0</v>
      </c>
      <c r="Z922">
        <f t="shared" si="87"/>
        <v>1</v>
      </c>
      <c r="AA922">
        <f t="shared" si="88"/>
        <v>0</v>
      </c>
      <c r="AB922">
        <f t="shared" si="89"/>
        <v>1</v>
      </c>
    </row>
    <row r="923" spans="6:28" x14ac:dyDescent="0.3">
      <c r="F923" s="28"/>
      <c r="G923">
        <v>915</v>
      </c>
      <c r="H923" s="109">
        <v>1250.6554647591038</v>
      </c>
      <c r="I923" s="370">
        <v>759335.87513526017</v>
      </c>
      <c r="J923">
        <v>0</v>
      </c>
      <c r="K923">
        <v>0</v>
      </c>
      <c r="L923">
        <v>0</v>
      </c>
      <c r="M923">
        <v>1</v>
      </c>
      <c r="N923" s="109">
        <v>607.15032759363532</v>
      </c>
      <c r="O923" s="109">
        <v>-4026728.0782537125</v>
      </c>
      <c r="P923" s="365">
        <v>1</v>
      </c>
      <c r="Q923" s="365">
        <v>0</v>
      </c>
      <c r="R923" s="365">
        <v>0</v>
      </c>
      <c r="S923" s="365">
        <v>0</v>
      </c>
      <c r="T923" s="109">
        <v>-3219.6941457648568</v>
      </c>
      <c r="V923" s="368">
        <f t="shared" si="84"/>
        <v>61773437.362819932</v>
      </c>
      <c r="W923" s="30">
        <f t="shared" si="85"/>
        <v>66559501.316208899</v>
      </c>
      <c r="X923" s="30"/>
      <c r="Y923">
        <f t="shared" si="86"/>
        <v>0</v>
      </c>
      <c r="Z923">
        <f t="shared" si="87"/>
        <v>1</v>
      </c>
      <c r="AA923">
        <f t="shared" si="88"/>
        <v>0</v>
      </c>
      <c r="AB923">
        <f t="shared" si="89"/>
        <v>1</v>
      </c>
    </row>
    <row r="924" spans="6:28" x14ac:dyDescent="0.3">
      <c r="F924" s="28"/>
      <c r="G924">
        <v>916</v>
      </c>
      <c r="H924" s="109">
        <v>870.39952453762817</v>
      </c>
      <c r="I924" s="370">
        <v>663713.50490863982</v>
      </c>
      <c r="J924">
        <v>0</v>
      </c>
      <c r="K924">
        <v>0</v>
      </c>
      <c r="L924">
        <v>0</v>
      </c>
      <c r="M924">
        <v>1</v>
      </c>
      <c r="N924" s="109">
        <v>762.53891023345443</v>
      </c>
      <c r="O924" s="109">
        <v>-2226395.3718561889</v>
      </c>
      <c r="P924" s="365">
        <v>1</v>
      </c>
      <c r="Q924" s="365">
        <v>0</v>
      </c>
      <c r="R924" s="365">
        <v>0</v>
      </c>
      <c r="S924" s="365">
        <v>0</v>
      </c>
      <c r="T924" s="109">
        <v>-2557.9004917757625</v>
      </c>
      <c r="V924" s="368">
        <f t="shared" si="84"/>
        <v>42856262.721972771</v>
      </c>
      <c r="W924" s="30">
        <f t="shared" si="85"/>
        <v>45746371.598737597</v>
      </c>
      <c r="X924" s="30"/>
      <c r="Y924">
        <f t="shared" si="86"/>
        <v>0</v>
      </c>
      <c r="Z924">
        <f t="shared" si="87"/>
        <v>1</v>
      </c>
      <c r="AA924">
        <f t="shared" si="88"/>
        <v>0</v>
      </c>
      <c r="AB924">
        <f t="shared" si="89"/>
        <v>1</v>
      </c>
    </row>
    <row r="925" spans="6:28" x14ac:dyDescent="0.3">
      <c r="F925" s="28"/>
      <c r="G925">
        <v>917</v>
      </c>
      <c r="H925" s="109">
        <v>1146.2679286680068</v>
      </c>
      <c r="I925" s="370">
        <v>694085.36306743359</v>
      </c>
      <c r="J925">
        <v>0</v>
      </c>
      <c r="K925">
        <v>0</v>
      </c>
      <c r="L925">
        <v>0</v>
      </c>
      <c r="M925">
        <v>1</v>
      </c>
      <c r="N925" s="109">
        <v>605.51756330998364</v>
      </c>
      <c r="O925" s="109">
        <v>-3987164.3564771162</v>
      </c>
      <c r="P925" s="365">
        <v>1</v>
      </c>
      <c r="Q925" s="365">
        <v>0</v>
      </c>
      <c r="R925" s="365">
        <v>0</v>
      </c>
      <c r="S925" s="365">
        <v>0</v>
      </c>
      <c r="T925" s="109">
        <v>-3478.3877806912956</v>
      </c>
      <c r="V925" s="368">
        <f t="shared" si="84"/>
        <v>56619311.070332907</v>
      </c>
      <c r="W925" s="30">
        <f t="shared" si="85"/>
        <v>61300560.789877459</v>
      </c>
      <c r="X925" s="30"/>
      <c r="Y925">
        <f t="shared" si="86"/>
        <v>0</v>
      </c>
      <c r="Z925">
        <f t="shared" si="87"/>
        <v>1</v>
      </c>
      <c r="AA925">
        <f t="shared" si="88"/>
        <v>0</v>
      </c>
      <c r="AB925">
        <f t="shared" si="89"/>
        <v>1</v>
      </c>
    </row>
    <row r="926" spans="6:28" x14ac:dyDescent="0.3">
      <c r="F926" s="28"/>
      <c r="G926">
        <v>918</v>
      </c>
      <c r="H926" s="109">
        <v>1188.9237922648244</v>
      </c>
      <c r="I926" s="370">
        <v>1609209.4870523375</v>
      </c>
      <c r="J926">
        <v>0</v>
      </c>
      <c r="K926">
        <v>0</v>
      </c>
      <c r="L926">
        <v>0</v>
      </c>
      <c r="M926">
        <v>1</v>
      </c>
      <c r="N926" s="109">
        <v>1353.5009539904113</v>
      </c>
      <c r="O926" s="109">
        <v>-2387569.5110141495</v>
      </c>
      <c r="P926" s="365">
        <v>1</v>
      </c>
      <c r="Q926" s="365">
        <v>0</v>
      </c>
      <c r="R926" s="365">
        <v>0</v>
      </c>
      <c r="S926" s="365">
        <v>0</v>
      </c>
      <c r="T926" s="109">
        <v>-2008.1770812795166</v>
      </c>
      <c r="V926" s="368">
        <f t="shared" si="84"/>
        <v>57836980.126188889</v>
      </c>
      <c r="W926" s="30">
        <f t="shared" si="85"/>
        <v>61833759.124255374</v>
      </c>
      <c r="X926" s="30"/>
      <c r="Y926">
        <f t="shared" si="86"/>
        <v>0</v>
      </c>
      <c r="Z926">
        <f t="shared" si="87"/>
        <v>1</v>
      </c>
      <c r="AA926">
        <f t="shared" si="88"/>
        <v>0</v>
      </c>
      <c r="AB926">
        <f t="shared" si="89"/>
        <v>1</v>
      </c>
    </row>
    <row r="927" spans="6:28" x14ac:dyDescent="0.3">
      <c r="F927" s="28"/>
      <c r="G927">
        <v>919</v>
      </c>
      <c r="H927" s="109">
        <v>1209.3220271047903</v>
      </c>
      <c r="I927" s="370">
        <v>1162164.7264074062</v>
      </c>
      <c r="J927">
        <v>0</v>
      </c>
      <c r="K927">
        <v>0</v>
      </c>
      <c r="L927">
        <v>0</v>
      </c>
      <c r="M927">
        <v>1</v>
      </c>
      <c r="N927" s="109">
        <v>961.00517509775091</v>
      </c>
      <c r="O927" s="109">
        <v>-3451013.0207669968</v>
      </c>
      <c r="P927" s="365">
        <v>1</v>
      </c>
      <c r="Q927" s="365">
        <v>0</v>
      </c>
      <c r="R927" s="365">
        <v>0</v>
      </c>
      <c r="S927" s="365">
        <v>0</v>
      </c>
      <c r="T927" s="109">
        <v>-2853.6758145627982</v>
      </c>
      <c r="V927" s="368">
        <f t="shared" si="84"/>
        <v>59303936.628832109</v>
      </c>
      <c r="W927" s="30">
        <f t="shared" si="85"/>
        <v>63917114.376006514</v>
      </c>
      <c r="X927" s="30"/>
      <c r="Y927">
        <f t="shared" si="86"/>
        <v>0</v>
      </c>
      <c r="Z927">
        <f t="shared" si="87"/>
        <v>1</v>
      </c>
      <c r="AA927">
        <f t="shared" si="88"/>
        <v>0</v>
      </c>
      <c r="AB927">
        <f t="shared" si="89"/>
        <v>1</v>
      </c>
    </row>
    <row r="928" spans="6:28" x14ac:dyDescent="0.3">
      <c r="F928" s="28"/>
      <c r="G928">
        <v>920</v>
      </c>
      <c r="H928" s="109">
        <v>1256.1042329020929</v>
      </c>
      <c r="I928" s="370">
        <v>1724760.107399056</v>
      </c>
      <c r="J928">
        <v>0</v>
      </c>
      <c r="K928">
        <v>0</v>
      </c>
      <c r="L928">
        <v>0</v>
      </c>
      <c r="M928">
        <v>1</v>
      </c>
      <c r="N928" s="109">
        <v>1373.1026950002265</v>
      </c>
      <c r="O928" s="109">
        <v>-4149024.5264484994</v>
      </c>
      <c r="P928" s="365">
        <v>1</v>
      </c>
      <c r="Q928" s="365">
        <v>0</v>
      </c>
      <c r="R928" s="365">
        <v>0</v>
      </c>
      <c r="S928" s="365">
        <v>0</v>
      </c>
      <c r="T928" s="109">
        <v>-3303.0893597600793</v>
      </c>
      <c r="V928" s="368">
        <f t="shared" si="84"/>
        <v>61080451.537705593</v>
      </c>
      <c r="W928" s="30">
        <f t="shared" si="85"/>
        <v>66954236.17155315</v>
      </c>
      <c r="X928" s="30"/>
      <c r="Y928">
        <f t="shared" si="86"/>
        <v>0</v>
      </c>
      <c r="Z928">
        <f t="shared" si="87"/>
        <v>1</v>
      </c>
      <c r="AA928">
        <f t="shared" si="88"/>
        <v>0</v>
      </c>
      <c r="AB928">
        <f t="shared" si="89"/>
        <v>1</v>
      </c>
    </row>
    <row r="929" spans="6:28" x14ac:dyDescent="0.3">
      <c r="F929" s="28"/>
      <c r="G929">
        <v>921</v>
      </c>
      <c r="H929" s="109">
        <v>1134.5996215845444</v>
      </c>
      <c r="I929" s="370">
        <v>1464363.6995486459</v>
      </c>
      <c r="J929">
        <v>0</v>
      </c>
      <c r="K929">
        <v>0</v>
      </c>
      <c r="L929">
        <v>0</v>
      </c>
      <c r="M929">
        <v>1</v>
      </c>
      <c r="N929" s="109">
        <v>1290.6435642059919</v>
      </c>
      <c r="O929" s="109">
        <v>-3210932.5443223678</v>
      </c>
      <c r="P929" s="365">
        <v>1</v>
      </c>
      <c r="Q929" s="365">
        <v>0</v>
      </c>
      <c r="R929" s="365">
        <v>0</v>
      </c>
      <c r="S929" s="365">
        <v>0</v>
      </c>
      <c r="T929" s="109">
        <v>-2830.0137627739427</v>
      </c>
      <c r="V929" s="368">
        <f t="shared" si="84"/>
        <v>55265617.37967857</v>
      </c>
      <c r="W929" s="30">
        <f t="shared" si="85"/>
        <v>59940913.623549581</v>
      </c>
      <c r="X929" s="30"/>
      <c r="Y929">
        <f t="shared" si="86"/>
        <v>0</v>
      </c>
      <c r="Z929">
        <f t="shared" si="87"/>
        <v>1</v>
      </c>
      <c r="AA929">
        <f t="shared" si="88"/>
        <v>0</v>
      </c>
      <c r="AB929">
        <f t="shared" si="89"/>
        <v>1</v>
      </c>
    </row>
    <row r="930" spans="6:28" x14ac:dyDescent="0.3">
      <c r="F930" s="28"/>
      <c r="G930">
        <v>922</v>
      </c>
      <c r="H930" s="109">
        <v>1098.1213519838202</v>
      </c>
      <c r="I930" s="370">
        <v>1122061.2588828288</v>
      </c>
      <c r="J930">
        <v>0</v>
      </c>
      <c r="K930">
        <v>0</v>
      </c>
      <c r="L930">
        <v>0</v>
      </c>
      <c r="M930">
        <v>1</v>
      </c>
      <c r="N930" s="109">
        <v>1021.8007844540676</v>
      </c>
      <c r="O930" s="109">
        <v>-3445027.4587138575</v>
      </c>
      <c r="P930" s="365">
        <v>1</v>
      </c>
      <c r="Q930" s="365">
        <v>0</v>
      </c>
      <c r="R930" s="365">
        <v>0</v>
      </c>
      <c r="S930" s="365">
        <v>0</v>
      </c>
      <c r="T930" s="109">
        <v>-3137.2010502211024</v>
      </c>
      <c r="V930" s="368">
        <f t="shared" si="84"/>
        <v>53784006.340308182</v>
      </c>
      <c r="W930" s="30">
        <f t="shared" si="85"/>
        <v>58351095.057904869</v>
      </c>
      <c r="X930" s="30"/>
      <c r="Y930">
        <f t="shared" si="86"/>
        <v>0</v>
      </c>
      <c r="Z930">
        <f t="shared" si="87"/>
        <v>1</v>
      </c>
      <c r="AA930">
        <f t="shared" si="88"/>
        <v>0</v>
      </c>
      <c r="AB930">
        <f t="shared" si="89"/>
        <v>1</v>
      </c>
    </row>
    <row r="931" spans="6:28" x14ac:dyDescent="0.3">
      <c r="F931" s="28"/>
      <c r="G931">
        <v>923</v>
      </c>
      <c r="H931" s="109">
        <v>1224.6275282934221</v>
      </c>
      <c r="I931" s="370">
        <v>1797882.1669207336</v>
      </c>
      <c r="J931">
        <v>0</v>
      </c>
      <c r="K931">
        <v>0</v>
      </c>
      <c r="L931">
        <v>0</v>
      </c>
      <c r="M931">
        <v>1</v>
      </c>
      <c r="N931" s="109">
        <v>1468.105301720736</v>
      </c>
      <c r="O931" s="109">
        <v>-2315187.9893446523</v>
      </c>
      <c r="P931" s="365">
        <v>1</v>
      </c>
      <c r="Q931" s="365">
        <v>0</v>
      </c>
      <c r="R931" s="365">
        <v>0</v>
      </c>
      <c r="S931" s="365">
        <v>0</v>
      </c>
      <c r="T931" s="109">
        <v>-1890.5242090801105</v>
      </c>
      <c r="V931" s="368">
        <f t="shared" si="84"/>
        <v>59433494.247750364</v>
      </c>
      <c r="W931" s="30">
        <f t="shared" si="85"/>
        <v>63546564.40401575</v>
      </c>
      <c r="X931" s="30"/>
      <c r="Y931">
        <f t="shared" si="86"/>
        <v>0</v>
      </c>
      <c r="Z931">
        <f t="shared" si="87"/>
        <v>1</v>
      </c>
      <c r="AA931">
        <f t="shared" si="88"/>
        <v>0</v>
      </c>
      <c r="AB931">
        <f t="shared" si="89"/>
        <v>1</v>
      </c>
    </row>
    <row r="932" spans="6:28" x14ac:dyDescent="0.3">
      <c r="F932" s="28"/>
      <c r="G932">
        <v>924</v>
      </c>
      <c r="H932" s="109">
        <v>1483.2186328559619</v>
      </c>
      <c r="I932" s="370">
        <v>1984946.8550959728</v>
      </c>
      <c r="J932">
        <v>0</v>
      </c>
      <c r="K932">
        <v>0</v>
      </c>
      <c r="L932">
        <v>0</v>
      </c>
      <c r="M932">
        <v>1</v>
      </c>
      <c r="N932" s="109">
        <v>1338.269902444473</v>
      </c>
      <c r="O932" s="109">
        <v>-4317014.6337023657</v>
      </c>
      <c r="P932" s="365">
        <v>1</v>
      </c>
      <c r="Q932" s="365">
        <v>0</v>
      </c>
      <c r="R932" s="365">
        <v>0</v>
      </c>
      <c r="S932" s="365">
        <v>0</v>
      </c>
      <c r="T932" s="109">
        <v>-2910.5720074389051</v>
      </c>
      <c r="V932" s="368">
        <f t="shared" si="84"/>
        <v>72175984.787702128</v>
      </c>
      <c r="W932" s="30">
        <f t="shared" si="85"/>
        <v>78477946.276500463</v>
      </c>
      <c r="X932" s="30"/>
      <c r="Y932">
        <f t="shared" si="86"/>
        <v>0</v>
      </c>
      <c r="Z932">
        <f t="shared" si="87"/>
        <v>1</v>
      </c>
      <c r="AA932">
        <f t="shared" si="88"/>
        <v>0</v>
      </c>
      <c r="AB932">
        <f t="shared" si="89"/>
        <v>1</v>
      </c>
    </row>
    <row r="933" spans="6:28" x14ac:dyDescent="0.3">
      <c r="F933" s="28"/>
      <c r="G933">
        <v>925</v>
      </c>
      <c r="H933" s="109">
        <v>962.98404124854278</v>
      </c>
      <c r="I933" s="370">
        <v>1126576.2294397149</v>
      </c>
      <c r="J933">
        <v>0</v>
      </c>
      <c r="K933">
        <v>0</v>
      </c>
      <c r="L933">
        <v>0</v>
      </c>
      <c r="M933">
        <v>1</v>
      </c>
      <c r="N933" s="109">
        <v>1169.8804769174255</v>
      </c>
      <c r="O933" s="109">
        <v>-2750658.198716809</v>
      </c>
      <c r="P933" s="365">
        <v>1</v>
      </c>
      <c r="Q933" s="365">
        <v>0</v>
      </c>
      <c r="R933" s="365">
        <v>0</v>
      </c>
      <c r="S933" s="365">
        <v>0</v>
      </c>
      <c r="T933" s="109">
        <v>-2856.3902213275346</v>
      </c>
      <c r="V933" s="368">
        <f t="shared" si="84"/>
        <v>47022625.832987428</v>
      </c>
      <c r="W933" s="30">
        <f t="shared" si="85"/>
        <v>50899860.261143953</v>
      </c>
      <c r="X933" s="30"/>
      <c r="Y933">
        <f t="shared" si="86"/>
        <v>0</v>
      </c>
      <c r="Z933">
        <f t="shared" si="87"/>
        <v>1</v>
      </c>
      <c r="AA933">
        <f t="shared" si="88"/>
        <v>0</v>
      </c>
      <c r="AB933">
        <f t="shared" si="89"/>
        <v>1</v>
      </c>
    </row>
    <row r="934" spans="6:28" x14ac:dyDescent="0.3">
      <c r="F934" s="28"/>
      <c r="G934">
        <v>926</v>
      </c>
      <c r="H934" s="109">
        <v>1327.3470710288457</v>
      </c>
      <c r="I934" s="370">
        <v>1108468.363265319</v>
      </c>
      <c r="J934">
        <v>0</v>
      </c>
      <c r="K934">
        <v>0</v>
      </c>
      <c r="L934">
        <v>0</v>
      </c>
      <c r="M934">
        <v>1</v>
      </c>
      <c r="N934" s="109">
        <v>835.10062097483615</v>
      </c>
      <c r="O934" s="109">
        <v>-3981009.8910818552</v>
      </c>
      <c r="P934" s="365">
        <v>1</v>
      </c>
      <c r="Q934" s="365">
        <v>0</v>
      </c>
      <c r="R934" s="365">
        <v>0</v>
      </c>
      <c r="S934" s="365">
        <v>0</v>
      </c>
      <c r="T934" s="109">
        <v>-2999.2230200923391</v>
      </c>
      <c r="V934" s="368">
        <f t="shared" si="84"/>
        <v>65258885.18817696</v>
      </c>
      <c r="W934" s="30">
        <f t="shared" si="85"/>
        <v>70348363.442524135</v>
      </c>
      <c r="X934" s="30"/>
      <c r="Y934">
        <f t="shared" si="86"/>
        <v>0</v>
      </c>
      <c r="Z934">
        <f t="shared" si="87"/>
        <v>1</v>
      </c>
      <c r="AA934">
        <f t="shared" si="88"/>
        <v>0</v>
      </c>
      <c r="AB934">
        <f t="shared" si="89"/>
        <v>1</v>
      </c>
    </row>
    <row r="935" spans="6:28" x14ac:dyDescent="0.3">
      <c r="F935" s="28"/>
      <c r="G935">
        <v>927</v>
      </c>
      <c r="H935" s="109">
        <v>1151.7072417694289</v>
      </c>
      <c r="I935" s="370">
        <v>1481475.0439966163</v>
      </c>
      <c r="J935">
        <v>0</v>
      </c>
      <c r="K935">
        <v>0</v>
      </c>
      <c r="L935">
        <v>0</v>
      </c>
      <c r="M935">
        <v>1</v>
      </c>
      <c r="N935" s="109">
        <v>1286.3295378090595</v>
      </c>
      <c r="O935" s="109">
        <v>-3026670.0326642143</v>
      </c>
      <c r="P935" s="365">
        <v>1</v>
      </c>
      <c r="Q935" s="365">
        <v>0</v>
      </c>
      <c r="R935" s="365">
        <v>0</v>
      </c>
      <c r="S935" s="365">
        <v>0</v>
      </c>
      <c r="T935" s="109">
        <v>-2627.9855877385821</v>
      </c>
      <c r="V935" s="368">
        <f t="shared" si="84"/>
        <v>56103887.044474833</v>
      </c>
      <c r="W935" s="30">
        <f t="shared" si="85"/>
        <v>60612032.121135667</v>
      </c>
      <c r="X935" s="30"/>
      <c r="Y935">
        <f t="shared" si="86"/>
        <v>0</v>
      </c>
      <c r="Z935">
        <f t="shared" si="87"/>
        <v>1</v>
      </c>
      <c r="AA935">
        <f t="shared" si="88"/>
        <v>0</v>
      </c>
      <c r="AB935">
        <f t="shared" si="89"/>
        <v>1</v>
      </c>
    </row>
    <row r="936" spans="6:28" x14ac:dyDescent="0.3">
      <c r="F936" s="28"/>
      <c r="G936">
        <v>928</v>
      </c>
      <c r="H936" s="109">
        <v>1283.2337629520407</v>
      </c>
      <c r="I936" s="370">
        <v>579950.85521881329</v>
      </c>
      <c r="J936">
        <v>0</v>
      </c>
      <c r="K936">
        <v>0</v>
      </c>
      <c r="L936">
        <v>0</v>
      </c>
      <c r="M936">
        <v>1</v>
      </c>
      <c r="N936" s="109">
        <v>451.94482249645131</v>
      </c>
      <c r="O936" s="109">
        <v>-3577810.6589363497</v>
      </c>
      <c r="P936" s="365">
        <v>1</v>
      </c>
      <c r="Q936" s="365">
        <v>0</v>
      </c>
      <c r="R936" s="365">
        <v>0</v>
      </c>
      <c r="S936" s="365">
        <v>0</v>
      </c>
      <c r="T936" s="109">
        <v>-2788.1207323486437</v>
      </c>
      <c r="V936" s="368">
        <f t="shared" si="84"/>
        <v>63581737.292383224</v>
      </c>
      <c r="W936" s="30">
        <f t="shared" si="85"/>
        <v>67739498.806538388</v>
      </c>
      <c r="X936" s="30"/>
      <c r="Y936">
        <f t="shared" si="86"/>
        <v>0</v>
      </c>
      <c r="Z936">
        <f t="shared" si="87"/>
        <v>1</v>
      </c>
      <c r="AA936">
        <f t="shared" si="88"/>
        <v>0</v>
      </c>
      <c r="AB936">
        <f t="shared" si="89"/>
        <v>1</v>
      </c>
    </row>
    <row r="937" spans="6:28" x14ac:dyDescent="0.3">
      <c r="F937" s="28"/>
      <c r="G937">
        <v>929</v>
      </c>
      <c r="H937" s="109">
        <v>1084.1281900841423</v>
      </c>
      <c r="I937" s="370">
        <v>1186551.3763866234</v>
      </c>
      <c r="J937">
        <v>0</v>
      </c>
      <c r="K937">
        <v>0</v>
      </c>
      <c r="L937">
        <v>0</v>
      </c>
      <c r="M937">
        <v>1</v>
      </c>
      <c r="N937" s="109">
        <v>1094.475161922071</v>
      </c>
      <c r="O937" s="109">
        <v>-2851072.0322674681</v>
      </c>
      <c r="P937" s="365">
        <v>1</v>
      </c>
      <c r="Q937" s="365">
        <v>0</v>
      </c>
      <c r="R937" s="365">
        <v>0</v>
      </c>
      <c r="S937" s="365">
        <v>0</v>
      </c>
      <c r="T937" s="109">
        <v>-2629.8292566732243</v>
      </c>
      <c r="V937" s="368">
        <f t="shared" si="84"/>
        <v>53019858.127820492</v>
      </c>
      <c r="W937" s="30">
        <f t="shared" si="85"/>
        <v>57057481.536474578</v>
      </c>
      <c r="X937" s="30"/>
      <c r="Y937">
        <f t="shared" si="86"/>
        <v>0</v>
      </c>
      <c r="Z937">
        <f t="shared" si="87"/>
        <v>1</v>
      </c>
      <c r="AA937">
        <f t="shared" si="88"/>
        <v>0</v>
      </c>
      <c r="AB937">
        <f t="shared" si="89"/>
        <v>1</v>
      </c>
    </row>
    <row r="938" spans="6:28" x14ac:dyDescent="0.3">
      <c r="F938" s="28"/>
      <c r="G938">
        <v>930</v>
      </c>
      <c r="H938" s="109">
        <v>1177.2758540643626</v>
      </c>
      <c r="I938" s="370">
        <v>1033919.2006552733</v>
      </c>
      <c r="J938">
        <v>0</v>
      </c>
      <c r="K938">
        <v>0</v>
      </c>
      <c r="L938">
        <v>0</v>
      </c>
      <c r="M938">
        <v>1</v>
      </c>
      <c r="N938" s="109">
        <v>878.23019310710174</v>
      </c>
      <c r="O938" s="109">
        <v>-3657064.6013349066</v>
      </c>
      <c r="P938" s="365">
        <v>1</v>
      </c>
      <c r="Q938" s="365">
        <v>0</v>
      </c>
      <c r="R938" s="365">
        <v>0</v>
      </c>
      <c r="S938" s="365">
        <v>0</v>
      </c>
      <c r="T938" s="109">
        <v>-3106.3786696290908</v>
      </c>
      <c r="V938" s="368">
        <f t="shared" si="84"/>
        <v>57829873.502562858</v>
      </c>
      <c r="W938" s="30">
        <f t="shared" si="85"/>
        <v>62520857.304553039</v>
      </c>
      <c r="X938" s="30"/>
      <c r="Y938">
        <f t="shared" si="86"/>
        <v>0</v>
      </c>
      <c r="Z938">
        <f t="shared" si="87"/>
        <v>1</v>
      </c>
      <c r="AA938">
        <f t="shared" si="88"/>
        <v>0</v>
      </c>
      <c r="AB938">
        <f t="shared" si="89"/>
        <v>1</v>
      </c>
    </row>
    <row r="939" spans="6:28" x14ac:dyDescent="0.3">
      <c r="F939" s="28"/>
      <c r="G939">
        <v>931</v>
      </c>
      <c r="H939" s="109">
        <v>1180.1457117866958</v>
      </c>
      <c r="I939" s="370">
        <v>473299.3125848326</v>
      </c>
      <c r="J939">
        <v>0</v>
      </c>
      <c r="K939">
        <v>0</v>
      </c>
      <c r="L939">
        <v>0</v>
      </c>
      <c r="M939">
        <v>1</v>
      </c>
      <c r="N939" s="109">
        <v>401.05158867905845</v>
      </c>
      <c r="O939" s="109">
        <v>-4274295.8216309296</v>
      </c>
      <c r="P939" s="365">
        <v>1</v>
      </c>
      <c r="Q939" s="365">
        <v>0</v>
      </c>
      <c r="R939" s="365">
        <v>0</v>
      </c>
      <c r="S939" s="365">
        <v>0</v>
      </c>
      <c r="T939" s="109">
        <v>-3621.8373535923865</v>
      </c>
      <c r="V939" s="368">
        <f t="shared" si="84"/>
        <v>58533986.276749954</v>
      </c>
      <c r="W939" s="30">
        <f t="shared" si="85"/>
        <v>63281581.410965718</v>
      </c>
      <c r="X939" s="30"/>
      <c r="Y939">
        <f t="shared" si="86"/>
        <v>0</v>
      </c>
      <c r="Z939">
        <f t="shared" si="87"/>
        <v>1</v>
      </c>
      <c r="AA939">
        <f t="shared" si="88"/>
        <v>0</v>
      </c>
      <c r="AB939">
        <f t="shared" si="89"/>
        <v>1</v>
      </c>
    </row>
    <row r="940" spans="6:28" x14ac:dyDescent="0.3">
      <c r="F940" s="28"/>
      <c r="G940">
        <v>932</v>
      </c>
      <c r="H940" s="109">
        <v>1330.792892486068</v>
      </c>
      <c r="I940" s="370">
        <v>1633882.784142857</v>
      </c>
      <c r="J940">
        <v>0</v>
      </c>
      <c r="K940">
        <v>0</v>
      </c>
      <c r="L940">
        <v>0</v>
      </c>
      <c r="M940">
        <v>1</v>
      </c>
      <c r="N940" s="109">
        <v>1227.7513603868019</v>
      </c>
      <c r="O940" s="109">
        <v>-3353692.889359381</v>
      </c>
      <c r="P940" s="365">
        <v>1</v>
      </c>
      <c r="Q940" s="365">
        <v>0</v>
      </c>
      <c r="R940" s="365">
        <v>0</v>
      </c>
      <c r="S940" s="365">
        <v>0</v>
      </c>
      <c r="T940" s="109">
        <v>-2520.071235948903</v>
      </c>
      <c r="V940" s="368">
        <f t="shared" si="84"/>
        <v>64905761.840160541</v>
      </c>
      <c r="W940" s="30">
        <f t="shared" si="85"/>
        <v>69893337.513662785</v>
      </c>
      <c r="X940" s="30"/>
      <c r="Y940">
        <f t="shared" si="86"/>
        <v>0</v>
      </c>
      <c r="Z940">
        <f t="shared" si="87"/>
        <v>1</v>
      </c>
      <c r="AA940">
        <f t="shared" si="88"/>
        <v>0</v>
      </c>
      <c r="AB940">
        <f t="shared" si="89"/>
        <v>1</v>
      </c>
    </row>
    <row r="941" spans="6:28" x14ac:dyDescent="0.3">
      <c r="F941" s="28"/>
      <c r="G941">
        <v>933</v>
      </c>
      <c r="H941" s="109">
        <v>1221.4522200851206</v>
      </c>
      <c r="I941" s="370">
        <v>1132362.2404944852</v>
      </c>
      <c r="J941">
        <v>0</v>
      </c>
      <c r="K941">
        <v>0</v>
      </c>
      <c r="L941">
        <v>0</v>
      </c>
      <c r="M941">
        <v>1</v>
      </c>
      <c r="N941" s="109">
        <v>927.06224760520968</v>
      </c>
      <c r="O941" s="109">
        <v>-4150067.6558971973</v>
      </c>
      <c r="P941" s="365">
        <v>1</v>
      </c>
      <c r="Q941" s="365">
        <v>0</v>
      </c>
      <c r="R941" s="365">
        <v>0</v>
      </c>
      <c r="S941" s="365">
        <v>0</v>
      </c>
      <c r="T941" s="109">
        <v>-3397.6504259888179</v>
      </c>
      <c r="V941" s="368">
        <f t="shared" si="84"/>
        <v>59940248.76376155</v>
      </c>
      <c r="W941" s="30">
        <f t="shared" si="85"/>
        <v>65222678.660153233</v>
      </c>
      <c r="X941" s="30"/>
      <c r="Y941">
        <f t="shared" si="86"/>
        <v>0</v>
      </c>
      <c r="Z941">
        <f t="shared" si="87"/>
        <v>1</v>
      </c>
      <c r="AA941">
        <f t="shared" si="88"/>
        <v>0</v>
      </c>
      <c r="AB941">
        <f t="shared" si="89"/>
        <v>1</v>
      </c>
    </row>
    <row r="942" spans="6:28" x14ac:dyDescent="0.3">
      <c r="F942" s="28"/>
      <c r="G942">
        <v>934</v>
      </c>
      <c r="H942" s="109">
        <v>1035.3322406730585</v>
      </c>
      <c r="I942" s="370">
        <v>1385514.2662480054</v>
      </c>
      <c r="J942">
        <v>0</v>
      </c>
      <c r="K942">
        <v>0</v>
      </c>
      <c r="L942">
        <v>0</v>
      </c>
      <c r="M942">
        <v>1</v>
      </c>
      <c r="N942" s="109">
        <v>1338.2315471478964</v>
      </c>
      <c r="O942" s="109">
        <v>-3170838.6615235466</v>
      </c>
      <c r="P942" s="365">
        <v>1</v>
      </c>
      <c r="Q942" s="365">
        <v>0</v>
      </c>
      <c r="R942" s="365">
        <v>0</v>
      </c>
      <c r="S942" s="365">
        <v>0</v>
      </c>
      <c r="T942" s="109">
        <v>-3062.6291126239998</v>
      </c>
      <c r="V942" s="368">
        <f t="shared" si="84"/>
        <v>50381097.767404921</v>
      </c>
      <c r="W942" s="30">
        <f t="shared" si="85"/>
        <v>54937450.695176467</v>
      </c>
      <c r="X942" s="30"/>
      <c r="Y942">
        <f t="shared" si="86"/>
        <v>0</v>
      </c>
      <c r="Z942">
        <f t="shared" si="87"/>
        <v>1</v>
      </c>
      <c r="AA942">
        <f t="shared" si="88"/>
        <v>0</v>
      </c>
      <c r="AB942">
        <f t="shared" si="89"/>
        <v>1</v>
      </c>
    </row>
    <row r="943" spans="6:28" x14ac:dyDescent="0.3">
      <c r="F943" s="28"/>
      <c r="G943">
        <v>935</v>
      </c>
      <c r="H943" s="109">
        <v>1257.4212470271596</v>
      </c>
      <c r="I943" s="370">
        <v>608256.72587862203</v>
      </c>
      <c r="J943">
        <v>0</v>
      </c>
      <c r="K943">
        <v>0</v>
      </c>
      <c r="L943">
        <v>0</v>
      </c>
      <c r="M943">
        <v>1</v>
      </c>
      <c r="N943" s="109">
        <v>483.73345632315693</v>
      </c>
      <c r="O943" s="109">
        <v>-4717123.8185744099</v>
      </c>
      <c r="P943" s="365">
        <v>1</v>
      </c>
      <c r="Q943" s="365">
        <v>0</v>
      </c>
      <c r="R943" s="365">
        <v>0</v>
      </c>
      <c r="S943" s="365">
        <v>0</v>
      </c>
      <c r="T943" s="109">
        <v>-3751.4268426168264</v>
      </c>
      <c r="V943" s="368">
        <f t="shared" si="84"/>
        <v>62262805.625479355</v>
      </c>
      <c r="W943" s="30">
        <f t="shared" si="85"/>
        <v>67588186.16993238</v>
      </c>
      <c r="X943" s="30"/>
      <c r="Y943">
        <f t="shared" si="86"/>
        <v>0</v>
      </c>
      <c r="Z943">
        <f t="shared" si="87"/>
        <v>1</v>
      </c>
      <c r="AA943">
        <f t="shared" si="88"/>
        <v>0</v>
      </c>
      <c r="AB943">
        <f t="shared" si="89"/>
        <v>1</v>
      </c>
    </row>
    <row r="944" spans="6:28" x14ac:dyDescent="0.3">
      <c r="F944" s="28"/>
      <c r="G944">
        <v>936</v>
      </c>
      <c r="H944" s="109">
        <v>1108.9873219715228</v>
      </c>
      <c r="I944" s="370">
        <v>1033221.5283759241</v>
      </c>
      <c r="J944">
        <v>0</v>
      </c>
      <c r="K944">
        <v>0</v>
      </c>
      <c r="L944">
        <v>0</v>
      </c>
      <c r="M944">
        <v>1</v>
      </c>
      <c r="N944" s="109">
        <v>931.68019859694641</v>
      </c>
      <c r="O944" s="109">
        <v>-3322128.9763428653</v>
      </c>
      <c r="P944" s="365">
        <v>1</v>
      </c>
      <c r="Q944" s="365">
        <v>0</v>
      </c>
      <c r="R944" s="365">
        <v>0</v>
      </c>
      <c r="S944" s="365">
        <v>0</v>
      </c>
      <c r="T944" s="109">
        <v>-2995.641979420368</v>
      </c>
      <c r="V944" s="368">
        <f t="shared" si="84"/>
        <v>54416144.570200212</v>
      </c>
      <c r="W944" s="30">
        <f t="shared" si="85"/>
        <v>58771495.074919</v>
      </c>
      <c r="X944" s="30"/>
      <c r="Y944">
        <f t="shared" si="86"/>
        <v>0</v>
      </c>
      <c r="Z944">
        <f t="shared" si="87"/>
        <v>1</v>
      </c>
      <c r="AA944">
        <f t="shared" si="88"/>
        <v>0</v>
      </c>
      <c r="AB944">
        <f t="shared" si="89"/>
        <v>1</v>
      </c>
    </row>
    <row r="945" spans="6:28" x14ac:dyDescent="0.3">
      <c r="F945" s="28"/>
      <c r="G945">
        <v>937</v>
      </c>
      <c r="H945" s="109">
        <v>1300.0258592952887</v>
      </c>
      <c r="I945" s="370">
        <v>507957.90736491489</v>
      </c>
      <c r="J945">
        <v>0</v>
      </c>
      <c r="K945">
        <v>0</v>
      </c>
      <c r="L945">
        <v>0</v>
      </c>
      <c r="M945">
        <v>1</v>
      </c>
      <c r="N945" s="109">
        <v>390.72907952789961</v>
      </c>
      <c r="O945" s="109">
        <v>-4689679.0079295607</v>
      </c>
      <c r="P945" s="365">
        <v>1</v>
      </c>
      <c r="Q945" s="365">
        <v>0</v>
      </c>
      <c r="R945" s="365">
        <v>0</v>
      </c>
      <c r="S945" s="365">
        <v>0</v>
      </c>
      <c r="T945" s="109">
        <v>-3607.3736336842699</v>
      </c>
      <c r="V945" s="368">
        <f t="shared" si="84"/>
        <v>64493335.057399519</v>
      </c>
      <c r="W945" s="30">
        <f t="shared" si="85"/>
        <v>69690971.972693995</v>
      </c>
      <c r="X945" s="30"/>
      <c r="Y945">
        <f t="shared" si="86"/>
        <v>0</v>
      </c>
      <c r="Z945">
        <f t="shared" si="87"/>
        <v>1</v>
      </c>
      <c r="AA945">
        <f t="shared" si="88"/>
        <v>0</v>
      </c>
      <c r="AB945">
        <f t="shared" si="89"/>
        <v>1</v>
      </c>
    </row>
    <row r="946" spans="6:28" x14ac:dyDescent="0.3">
      <c r="F946" s="28"/>
      <c r="G946">
        <v>938</v>
      </c>
      <c r="H946" s="109">
        <v>1321.3891611155123</v>
      </c>
      <c r="I946" s="370">
        <v>1055938.9075486436</v>
      </c>
      <c r="J946">
        <v>0</v>
      </c>
      <c r="K946">
        <v>0</v>
      </c>
      <c r="L946">
        <v>0</v>
      </c>
      <c r="M946">
        <v>1</v>
      </c>
      <c r="N946" s="109">
        <v>799.11273576455221</v>
      </c>
      <c r="O946" s="109">
        <v>-4338294.1045946321</v>
      </c>
      <c r="P946" s="365">
        <v>1</v>
      </c>
      <c r="Q946" s="365">
        <v>0</v>
      </c>
      <c r="R946" s="365">
        <v>0</v>
      </c>
      <c r="S946" s="365">
        <v>0</v>
      </c>
      <c r="T946" s="109">
        <v>-3283.1312926256023</v>
      </c>
      <c r="V946" s="368">
        <f t="shared" si="84"/>
        <v>65013519.148226969</v>
      </c>
      <c r="W946" s="30">
        <f t="shared" si="85"/>
        <v>70407752.160370246</v>
      </c>
      <c r="X946" s="30"/>
      <c r="Y946">
        <f t="shared" si="86"/>
        <v>0</v>
      </c>
      <c r="Z946">
        <f t="shared" si="87"/>
        <v>1</v>
      </c>
      <c r="AA946">
        <f t="shared" si="88"/>
        <v>0</v>
      </c>
      <c r="AB946">
        <f t="shared" si="89"/>
        <v>1</v>
      </c>
    </row>
    <row r="947" spans="6:28" x14ac:dyDescent="0.3">
      <c r="F947" s="28"/>
      <c r="G947">
        <v>939</v>
      </c>
      <c r="H947" s="109">
        <v>1060.5123321039209</v>
      </c>
      <c r="I947" s="370">
        <v>604684.22923530883</v>
      </c>
      <c r="J947">
        <v>0</v>
      </c>
      <c r="K947">
        <v>0</v>
      </c>
      <c r="L947">
        <v>0</v>
      </c>
      <c r="M947">
        <v>1</v>
      </c>
      <c r="N947" s="109">
        <v>570.18123309862187</v>
      </c>
      <c r="O947" s="109">
        <v>-4035216.7862190469</v>
      </c>
      <c r="P947" s="365">
        <v>1</v>
      </c>
      <c r="Q947" s="365">
        <v>0</v>
      </c>
      <c r="R947" s="365">
        <v>0</v>
      </c>
      <c r="S947" s="365">
        <v>0</v>
      </c>
      <c r="T947" s="109">
        <v>-3804.9692248403112</v>
      </c>
      <c r="V947" s="368">
        <f t="shared" si="84"/>
        <v>52420932.375960737</v>
      </c>
      <c r="W947" s="30">
        <f t="shared" si="85"/>
        <v>57060833.391415089</v>
      </c>
      <c r="X947" s="30"/>
      <c r="Y947">
        <f t="shared" si="86"/>
        <v>0</v>
      </c>
      <c r="Z947">
        <f t="shared" si="87"/>
        <v>1</v>
      </c>
      <c r="AA947">
        <f t="shared" si="88"/>
        <v>0</v>
      </c>
      <c r="AB947">
        <f t="shared" si="89"/>
        <v>1</v>
      </c>
    </row>
    <row r="948" spans="6:28" x14ac:dyDescent="0.3">
      <c r="F948" s="28"/>
      <c r="G948">
        <v>940</v>
      </c>
      <c r="H948" s="109">
        <v>1383.8819823868325</v>
      </c>
      <c r="I948" s="370">
        <v>868756.81235956168</v>
      </c>
      <c r="J948">
        <v>0</v>
      </c>
      <c r="K948">
        <v>0</v>
      </c>
      <c r="L948">
        <v>0</v>
      </c>
      <c r="M948">
        <v>1</v>
      </c>
      <c r="N948" s="109">
        <v>627.7679913580381</v>
      </c>
      <c r="O948" s="109">
        <v>-4701959.332832261</v>
      </c>
      <c r="P948" s="365">
        <v>1</v>
      </c>
      <c r="Q948" s="365">
        <v>0</v>
      </c>
      <c r="R948" s="365">
        <v>0</v>
      </c>
      <c r="S948" s="365">
        <v>0</v>
      </c>
      <c r="T948" s="109">
        <v>-3397.6591881936474</v>
      </c>
      <c r="V948" s="368">
        <f t="shared" si="84"/>
        <v>68325342.30698207</v>
      </c>
      <c r="W948" s="30">
        <f t="shared" si="85"/>
        <v>73896058.452173889</v>
      </c>
      <c r="X948" s="30"/>
      <c r="Y948">
        <f t="shared" si="86"/>
        <v>0</v>
      </c>
      <c r="Z948">
        <f t="shared" si="87"/>
        <v>1</v>
      </c>
      <c r="AA948">
        <f t="shared" si="88"/>
        <v>0</v>
      </c>
      <c r="AB948">
        <f t="shared" si="89"/>
        <v>1</v>
      </c>
    </row>
    <row r="949" spans="6:28" x14ac:dyDescent="0.3">
      <c r="F949" s="28"/>
      <c r="G949">
        <v>941</v>
      </c>
      <c r="H949" s="109">
        <v>1231.4497275825634</v>
      </c>
      <c r="I949" s="370">
        <v>1432774.0041902501</v>
      </c>
      <c r="J949">
        <v>0</v>
      </c>
      <c r="K949">
        <v>0</v>
      </c>
      <c r="L949">
        <v>0</v>
      </c>
      <c r="M949">
        <v>1</v>
      </c>
      <c r="N949" s="109">
        <v>1163.48558296643</v>
      </c>
      <c r="O949" s="109">
        <v>-3804561.6944885207</v>
      </c>
      <c r="P949" s="365">
        <v>1</v>
      </c>
      <c r="Q949" s="365">
        <v>0</v>
      </c>
      <c r="R949" s="365">
        <v>0</v>
      </c>
      <c r="S949" s="365">
        <v>0</v>
      </c>
      <c r="T949" s="109">
        <v>-3089.4981819170052</v>
      </c>
      <c r="V949" s="368">
        <f t="shared" si="84"/>
        <v>60139712.374937914</v>
      </c>
      <c r="W949" s="30">
        <f t="shared" si="85"/>
        <v>65377048.073616683</v>
      </c>
      <c r="X949" s="30"/>
      <c r="Y949">
        <f t="shared" si="86"/>
        <v>0</v>
      </c>
      <c r="Z949">
        <f t="shared" si="87"/>
        <v>1</v>
      </c>
      <c r="AA949">
        <f t="shared" si="88"/>
        <v>0</v>
      </c>
      <c r="AB949">
        <f t="shared" si="89"/>
        <v>1</v>
      </c>
    </row>
    <row r="950" spans="6:28" x14ac:dyDescent="0.3">
      <c r="F950" s="28"/>
      <c r="G950">
        <v>942</v>
      </c>
      <c r="H950" s="109">
        <v>1029.1630847461056</v>
      </c>
      <c r="I950" s="370">
        <v>-172263.53955322728</v>
      </c>
      <c r="J950">
        <v>1</v>
      </c>
      <c r="K950">
        <v>0</v>
      </c>
      <c r="L950">
        <v>0</v>
      </c>
      <c r="M950">
        <v>0</v>
      </c>
      <c r="N950" s="109">
        <v>-167.38215945213841</v>
      </c>
      <c r="O950" s="109">
        <v>-4265445.2352948347</v>
      </c>
      <c r="P950" s="365">
        <v>1</v>
      </c>
      <c r="Q950" s="365">
        <v>0</v>
      </c>
      <c r="R950" s="365">
        <v>0</v>
      </c>
      <c r="S950" s="365">
        <v>0</v>
      </c>
      <c r="T950" s="109">
        <v>-4144.5765967666039</v>
      </c>
      <c r="V950" s="368">
        <f t="shared" si="84"/>
        <v>51630417.776858509</v>
      </c>
      <c r="W950" s="30">
        <f t="shared" si="85"/>
        <v>55723599.472600117</v>
      </c>
      <c r="X950" s="30"/>
      <c r="Y950">
        <f t="shared" si="86"/>
        <v>0</v>
      </c>
      <c r="Z950">
        <f t="shared" si="87"/>
        <v>1</v>
      </c>
      <c r="AA950">
        <f t="shared" si="88"/>
        <v>0</v>
      </c>
      <c r="AB950">
        <f t="shared" si="89"/>
        <v>1</v>
      </c>
    </row>
    <row r="951" spans="6:28" x14ac:dyDescent="0.3">
      <c r="F951" s="28"/>
      <c r="G951">
        <v>943</v>
      </c>
      <c r="H951" s="109">
        <v>1160.4110469846055</v>
      </c>
      <c r="I951" s="370">
        <v>1938401.9619847941</v>
      </c>
      <c r="J951">
        <v>0</v>
      </c>
      <c r="K951">
        <v>0</v>
      </c>
      <c r="L951">
        <v>0</v>
      </c>
      <c r="M951">
        <v>1</v>
      </c>
      <c r="N951" s="109">
        <v>1670.4442507866868</v>
      </c>
      <c r="O951" s="109">
        <v>-2316103.3512241216</v>
      </c>
      <c r="P951" s="365">
        <v>1</v>
      </c>
      <c r="Q951" s="365">
        <v>0</v>
      </c>
      <c r="R951" s="365">
        <v>0</v>
      </c>
      <c r="S951" s="365">
        <v>0</v>
      </c>
      <c r="T951" s="109">
        <v>-1995.9335592699231</v>
      </c>
      <c r="V951" s="368">
        <f t="shared" si="84"/>
        <v>56082150.387245484</v>
      </c>
      <c r="W951" s="30">
        <f t="shared" si="85"/>
        <v>60336655.700454399</v>
      </c>
      <c r="X951" s="30"/>
      <c r="Y951">
        <f t="shared" si="86"/>
        <v>0</v>
      </c>
      <c r="Z951">
        <f t="shared" si="87"/>
        <v>1</v>
      </c>
      <c r="AA951">
        <f t="shared" si="88"/>
        <v>0</v>
      </c>
      <c r="AB951">
        <f t="shared" si="89"/>
        <v>1</v>
      </c>
    </row>
    <row r="952" spans="6:28" x14ac:dyDescent="0.3">
      <c r="F952" s="28"/>
      <c r="G952">
        <v>944</v>
      </c>
      <c r="H952" s="109">
        <v>1301.3452102018491</v>
      </c>
      <c r="I952" s="370">
        <v>945082.0734354934</v>
      </c>
      <c r="J952">
        <v>0</v>
      </c>
      <c r="K952">
        <v>0</v>
      </c>
      <c r="L952">
        <v>0</v>
      </c>
      <c r="M952">
        <v>1</v>
      </c>
      <c r="N952" s="109">
        <v>726.2347192939709</v>
      </c>
      <c r="O952" s="109">
        <v>-4742734.3875766443</v>
      </c>
      <c r="P952" s="365">
        <v>1</v>
      </c>
      <c r="Q952" s="365">
        <v>0</v>
      </c>
      <c r="R952" s="365">
        <v>0</v>
      </c>
      <c r="S952" s="365">
        <v>0</v>
      </c>
      <c r="T952" s="109">
        <v>-3644.4859906473303</v>
      </c>
      <c r="V952" s="368">
        <f t="shared" si="84"/>
        <v>64122178.436656959</v>
      </c>
      <c r="W952" s="30">
        <f t="shared" si="85"/>
        <v>69809994.897669092</v>
      </c>
      <c r="X952" s="30"/>
      <c r="Y952">
        <f t="shared" si="86"/>
        <v>0</v>
      </c>
      <c r="Z952">
        <f t="shared" si="87"/>
        <v>1</v>
      </c>
      <c r="AA952">
        <f t="shared" si="88"/>
        <v>0</v>
      </c>
      <c r="AB952">
        <f t="shared" si="89"/>
        <v>1</v>
      </c>
    </row>
    <row r="953" spans="6:28" x14ac:dyDescent="0.3">
      <c r="F953" s="28"/>
      <c r="G953">
        <v>945</v>
      </c>
      <c r="H953" s="109">
        <v>1425.510528235136</v>
      </c>
      <c r="I953" s="370">
        <v>998618.10278823669</v>
      </c>
      <c r="J953">
        <v>0</v>
      </c>
      <c r="K953">
        <v>0</v>
      </c>
      <c r="L953">
        <v>0</v>
      </c>
      <c r="M953">
        <v>1</v>
      </c>
      <c r="N953" s="109">
        <v>700.53365654519814</v>
      </c>
      <c r="O953" s="109">
        <v>-4370761.5474742046</v>
      </c>
      <c r="P953" s="365">
        <v>1</v>
      </c>
      <c r="Q953" s="365">
        <v>0</v>
      </c>
      <c r="R953" s="365">
        <v>0</v>
      </c>
      <c r="S953" s="365">
        <v>0</v>
      </c>
      <c r="T953" s="109">
        <v>-3066.1026073833764</v>
      </c>
      <c r="V953" s="368">
        <f t="shared" si="84"/>
        <v>70276908.308968559</v>
      </c>
      <c r="W953" s="30">
        <f t="shared" si="85"/>
        <v>75646287.959231004</v>
      </c>
      <c r="X953" s="30"/>
      <c r="Y953">
        <f t="shared" si="86"/>
        <v>0</v>
      </c>
      <c r="Z953">
        <f t="shared" si="87"/>
        <v>1</v>
      </c>
      <c r="AA953">
        <f t="shared" si="88"/>
        <v>0</v>
      </c>
      <c r="AB953">
        <f t="shared" si="89"/>
        <v>1</v>
      </c>
    </row>
    <row r="954" spans="6:28" x14ac:dyDescent="0.3">
      <c r="F954" s="28"/>
      <c r="G954">
        <v>946</v>
      </c>
      <c r="H954" s="109">
        <v>1182.7953596977677</v>
      </c>
      <c r="I954" s="370">
        <v>1657096.9841843722</v>
      </c>
      <c r="J954">
        <v>0</v>
      </c>
      <c r="K954">
        <v>0</v>
      </c>
      <c r="L954">
        <v>0</v>
      </c>
      <c r="M954">
        <v>1</v>
      </c>
      <c r="N954" s="109">
        <v>1401.0005793460332</v>
      </c>
      <c r="O954" s="109">
        <v>-2544153.5497669308</v>
      </c>
      <c r="P954" s="365">
        <v>1</v>
      </c>
      <c r="Q954" s="365">
        <v>0</v>
      </c>
      <c r="R954" s="365">
        <v>0</v>
      </c>
      <c r="S954" s="365">
        <v>0</v>
      </c>
      <c r="T954" s="109">
        <v>-2150.966799884151</v>
      </c>
      <c r="V954" s="368">
        <f t="shared" si="84"/>
        <v>57482671.000704013</v>
      </c>
      <c r="W954" s="30">
        <f t="shared" si="85"/>
        <v>61683921.53465531</v>
      </c>
      <c r="X954" s="30"/>
      <c r="Y954">
        <f t="shared" si="86"/>
        <v>0</v>
      </c>
      <c r="Z954">
        <f t="shared" si="87"/>
        <v>1</v>
      </c>
      <c r="AA954">
        <f t="shared" si="88"/>
        <v>0</v>
      </c>
      <c r="AB954">
        <f t="shared" si="89"/>
        <v>1</v>
      </c>
    </row>
    <row r="955" spans="6:28" x14ac:dyDescent="0.3">
      <c r="F955" s="28"/>
      <c r="G955">
        <v>947</v>
      </c>
      <c r="H955" s="109">
        <v>998.80646952940151</v>
      </c>
      <c r="I955" s="370">
        <v>2008069.610159161</v>
      </c>
      <c r="J955">
        <v>0</v>
      </c>
      <c r="K955">
        <v>0</v>
      </c>
      <c r="L955">
        <v>0</v>
      </c>
      <c r="M955">
        <v>1</v>
      </c>
      <c r="N955" s="109">
        <v>2010.4691663694216</v>
      </c>
      <c r="O955" s="109">
        <v>-1412252.3785155602</v>
      </c>
      <c r="P955" s="365">
        <v>1</v>
      </c>
      <c r="Q955" s="365">
        <v>0</v>
      </c>
      <c r="R955" s="365">
        <v>0</v>
      </c>
      <c r="S955" s="365">
        <v>0</v>
      </c>
      <c r="T955" s="109">
        <v>-1413.9399589401521</v>
      </c>
      <c r="V955" s="368">
        <f t="shared" si="84"/>
        <v>47932253.866310917</v>
      </c>
      <c r="W955" s="30">
        <f t="shared" si="85"/>
        <v>51352575.854985639</v>
      </c>
      <c r="X955" s="30"/>
      <c r="Y955">
        <f t="shared" si="86"/>
        <v>0</v>
      </c>
      <c r="Z955">
        <f t="shared" si="87"/>
        <v>1</v>
      </c>
      <c r="AA955">
        <f t="shared" si="88"/>
        <v>0</v>
      </c>
      <c r="AB955">
        <f t="shared" si="89"/>
        <v>1</v>
      </c>
    </row>
    <row r="956" spans="6:28" x14ac:dyDescent="0.3">
      <c r="F956" s="28"/>
      <c r="G956">
        <v>948</v>
      </c>
      <c r="H956" s="109">
        <v>964.25186371883319</v>
      </c>
      <c r="I956" s="370">
        <v>566454.50724133151</v>
      </c>
      <c r="J956">
        <v>0</v>
      </c>
      <c r="K956">
        <v>0</v>
      </c>
      <c r="L956">
        <v>0</v>
      </c>
      <c r="M956">
        <v>1</v>
      </c>
      <c r="N956" s="109">
        <v>587.45492599483771</v>
      </c>
      <c r="O956" s="109">
        <v>-3721609.9434312535</v>
      </c>
      <c r="P956" s="365">
        <v>1</v>
      </c>
      <c r="Q956" s="365">
        <v>0</v>
      </c>
      <c r="R956" s="365">
        <v>0</v>
      </c>
      <c r="S956" s="365">
        <v>0</v>
      </c>
      <c r="T956" s="109">
        <v>-3859.5828366647993</v>
      </c>
      <c r="V956" s="368">
        <f t="shared" si="84"/>
        <v>47646138.678700328</v>
      </c>
      <c r="W956" s="30">
        <f t="shared" si="85"/>
        <v>51934203.12937291</v>
      </c>
      <c r="X956" s="30"/>
      <c r="Y956">
        <f t="shared" si="86"/>
        <v>0</v>
      </c>
      <c r="Z956">
        <f t="shared" si="87"/>
        <v>1</v>
      </c>
      <c r="AA956">
        <f t="shared" si="88"/>
        <v>0</v>
      </c>
      <c r="AB956">
        <f t="shared" si="89"/>
        <v>1</v>
      </c>
    </row>
    <row r="957" spans="6:28" x14ac:dyDescent="0.3">
      <c r="F957" s="28"/>
      <c r="G957">
        <v>949</v>
      </c>
      <c r="H957" s="109">
        <v>1140.4561448481982</v>
      </c>
      <c r="I957" s="370">
        <v>2224922.7405453878</v>
      </c>
      <c r="J957">
        <v>0</v>
      </c>
      <c r="K957">
        <v>0</v>
      </c>
      <c r="L957">
        <v>0</v>
      </c>
      <c r="M957">
        <v>1</v>
      </c>
      <c r="N957" s="109">
        <v>1950.9060042300346</v>
      </c>
      <c r="O957" s="109">
        <v>-1966555.1925062542</v>
      </c>
      <c r="P957" s="365">
        <v>1</v>
      </c>
      <c r="Q957" s="365">
        <v>0</v>
      </c>
      <c r="R957" s="365">
        <v>0</v>
      </c>
      <c r="S957" s="365">
        <v>0</v>
      </c>
      <c r="T957" s="109">
        <v>-1724.35845200169</v>
      </c>
      <c r="V957" s="368">
        <f t="shared" si="84"/>
        <v>54797884.501864523</v>
      </c>
      <c r="W957" s="30">
        <f t="shared" si="85"/>
        <v>58989362.434916161</v>
      </c>
      <c r="X957" s="30"/>
      <c r="Y957">
        <f t="shared" si="86"/>
        <v>0</v>
      </c>
      <c r="Z957">
        <f t="shared" si="87"/>
        <v>1</v>
      </c>
      <c r="AA957">
        <f t="shared" si="88"/>
        <v>0</v>
      </c>
      <c r="AB957">
        <f t="shared" si="89"/>
        <v>1</v>
      </c>
    </row>
    <row r="958" spans="6:28" x14ac:dyDescent="0.3">
      <c r="F958" s="28"/>
      <c r="G958">
        <v>950</v>
      </c>
      <c r="H958" s="109">
        <v>1086.2538375365111</v>
      </c>
      <c r="I958" s="370">
        <v>1437100.3234107599</v>
      </c>
      <c r="J958">
        <v>0</v>
      </c>
      <c r="K958">
        <v>0</v>
      </c>
      <c r="L958">
        <v>0</v>
      </c>
      <c r="M958">
        <v>1</v>
      </c>
      <c r="N958" s="109">
        <v>1322.9875686054422</v>
      </c>
      <c r="O958" s="109">
        <v>-2870514.7780350624</v>
      </c>
      <c r="P958" s="365">
        <v>1</v>
      </c>
      <c r="Q958" s="365">
        <v>0</v>
      </c>
      <c r="R958" s="365">
        <v>0</v>
      </c>
      <c r="S958" s="365">
        <v>0</v>
      </c>
      <c r="T958" s="109">
        <v>-2642.5819443317537</v>
      </c>
      <c r="V958" s="368">
        <f t="shared" si="84"/>
        <v>52875591.553414799</v>
      </c>
      <c r="W958" s="30">
        <f t="shared" si="85"/>
        <v>57183206.654860616</v>
      </c>
      <c r="X958" s="30"/>
      <c r="Y958">
        <f t="shared" si="86"/>
        <v>0</v>
      </c>
      <c r="Z958">
        <f t="shared" si="87"/>
        <v>1</v>
      </c>
      <c r="AA958">
        <f t="shared" si="88"/>
        <v>0</v>
      </c>
      <c r="AB958">
        <f t="shared" si="89"/>
        <v>1</v>
      </c>
    </row>
    <row r="959" spans="6:28" x14ac:dyDescent="0.3">
      <c r="F959" s="28"/>
      <c r="G959">
        <v>951</v>
      </c>
      <c r="H959" s="109">
        <v>1235.2405724508208</v>
      </c>
      <c r="I959" s="370">
        <v>1600480.1237305722</v>
      </c>
      <c r="J959">
        <v>0</v>
      </c>
      <c r="K959">
        <v>0</v>
      </c>
      <c r="L959">
        <v>0</v>
      </c>
      <c r="M959">
        <v>1</v>
      </c>
      <c r="N959" s="109">
        <v>1295.6829296459114</v>
      </c>
      <c r="O959" s="109">
        <v>-2735628.5351265511</v>
      </c>
      <c r="P959" s="365">
        <v>1</v>
      </c>
      <c r="Q959" s="365">
        <v>0</v>
      </c>
      <c r="R959" s="365">
        <v>0</v>
      </c>
      <c r="S959" s="365">
        <v>0</v>
      </c>
      <c r="T959" s="109">
        <v>-2214.6524297682636</v>
      </c>
      <c r="V959" s="368">
        <f t="shared" si="84"/>
        <v>60161548.49881047</v>
      </c>
      <c r="W959" s="30">
        <f t="shared" si="85"/>
        <v>64497657.157667592</v>
      </c>
      <c r="X959" s="30"/>
      <c r="Y959">
        <f t="shared" si="86"/>
        <v>0</v>
      </c>
      <c r="Z959">
        <f t="shared" si="87"/>
        <v>1</v>
      </c>
      <c r="AA959">
        <f t="shared" si="88"/>
        <v>0</v>
      </c>
      <c r="AB959">
        <f t="shared" si="89"/>
        <v>1</v>
      </c>
    </row>
    <row r="960" spans="6:28" x14ac:dyDescent="0.3">
      <c r="F960" s="28"/>
      <c r="G960">
        <v>952</v>
      </c>
      <c r="H960" s="109">
        <v>1083.3919496929811</v>
      </c>
      <c r="I960" s="370">
        <v>2514841.0052885013</v>
      </c>
      <c r="J960">
        <v>0</v>
      </c>
      <c r="K960">
        <v>0</v>
      </c>
      <c r="L960">
        <v>0</v>
      </c>
      <c r="M960">
        <v>1</v>
      </c>
      <c r="N960" s="109">
        <v>2321.2660994953617</v>
      </c>
      <c r="O960" s="109">
        <v>-1743496.4944986443</v>
      </c>
      <c r="P960" s="365">
        <v>1</v>
      </c>
      <c r="Q960" s="365">
        <v>0</v>
      </c>
      <c r="R960" s="365">
        <v>0</v>
      </c>
      <c r="S960" s="365">
        <v>0</v>
      </c>
      <c r="T960" s="109">
        <v>-1609.2943047922111</v>
      </c>
      <c r="V960" s="368">
        <f t="shared" si="84"/>
        <v>51654756.479360551</v>
      </c>
      <c r="W960" s="30">
        <f t="shared" si="85"/>
        <v>55913093.979147702</v>
      </c>
      <c r="X960" s="30"/>
      <c r="Y960">
        <f t="shared" si="86"/>
        <v>0</v>
      </c>
      <c r="Z960">
        <f t="shared" si="87"/>
        <v>1</v>
      </c>
      <c r="AA960">
        <f t="shared" si="88"/>
        <v>0</v>
      </c>
      <c r="AB960">
        <f t="shared" si="89"/>
        <v>1</v>
      </c>
    </row>
    <row r="961" spans="6:28" x14ac:dyDescent="0.3">
      <c r="F961" s="28"/>
      <c r="G961">
        <v>953</v>
      </c>
      <c r="H961" s="109">
        <v>1227.1603549065476</v>
      </c>
      <c r="I961" s="370">
        <v>273375.13076446665</v>
      </c>
      <c r="J961">
        <v>0</v>
      </c>
      <c r="K961">
        <v>0</v>
      </c>
      <c r="L961">
        <v>0</v>
      </c>
      <c r="M961">
        <v>1</v>
      </c>
      <c r="N961" s="109">
        <v>222.77050401068823</v>
      </c>
      <c r="O961" s="109">
        <v>-4186291.3333875346</v>
      </c>
      <c r="P961" s="365">
        <v>1</v>
      </c>
      <c r="Q961" s="365">
        <v>0</v>
      </c>
      <c r="R961" s="365">
        <v>0</v>
      </c>
      <c r="S961" s="365">
        <v>0</v>
      </c>
      <c r="T961" s="109">
        <v>-3411.3645512173794</v>
      </c>
      <c r="V961" s="368">
        <f t="shared" si="84"/>
        <v>61084642.614562906</v>
      </c>
      <c r="W961" s="30">
        <f t="shared" si="85"/>
        <v>65544309.078714907</v>
      </c>
      <c r="X961" s="30"/>
      <c r="Y961">
        <f t="shared" si="86"/>
        <v>0</v>
      </c>
      <c r="Z961">
        <f t="shared" si="87"/>
        <v>1</v>
      </c>
      <c r="AA961">
        <f t="shared" si="88"/>
        <v>0</v>
      </c>
      <c r="AB961">
        <f t="shared" si="89"/>
        <v>1</v>
      </c>
    </row>
    <row r="962" spans="6:28" x14ac:dyDescent="0.3">
      <c r="F962" s="28"/>
      <c r="G962">
        <v>954</v>
      </c>
      <c r="H962" s="109">
        <v>1115.9964669522305</v>
      </c>
      <c r="I962" s="370">
        <v>1463081.0125705949</v>
      </c>
      <c r="J962">
        <v>0</v>
      </c>
      <c r="K962">
        <v>0</v>
      </c>
      <c r="L962">
        <v>0</v>
      </c>
      <c r="M962">
        <v>1</v>
      </c>
      <c r="N962" s="109">
        <v>1311.0086419594561</v>
      </c>
      <c r="O962" s="109">
        <v>-2899588.1304443763</v>
      </c>
      <c r="P962" s="365">
        <v>1</v>
      </c>
      <c r="Q962" s="365">
        <v>0</v>
      </c>
      <c r="R962" s="365">
        <v>0</v>
      </c>
      <c r="S962" s="365">
        <v>0</v>
      </c>
      <c r="T962" s="109">
        <v>-2598.2054749358726</v>
      </c>
      <c r="V962" s="368">
        <f t="shared" si="84"/>
        <v>54336742.335040927</v>
      </c>
      <c r="W962" s="30">
        <f t="shared" si="85"/>
        <v>58699411.478055902</v>
      </c>
      <c r="X962" s="30"/>
      <c r="Y962">
        <f t="shared" si="86"/>
        <v>0</v>
      </c>
      <c r="Z962">
        <f t="shared" si="87"/>
        <v>1</v>
      </c>
      <c r="AA962">
        <f t="shared" si="88"/>
        <v>0</v>
      </c>
      <c r="AB962">
        <f t="shared" si="89"/>
        <v>1</v>
      </c>
    </row>
    <row r="963" spans="6:28" x14ac:dyDescent="0.3">
      <c r="F963" s="28"/>
      <c r="G963">
        <v>955</v>
      </c>
      <c r="H963" s="109">
        <v>1156.3027983541106</v>
      </c>
      <c r="I963" s="370">
        <v>819191.14800940349</v>
      </c>
      <c r="J963">
        <v>0</v>
      </c>
      <c r="K963">
        <v>0</v>
      </c>
      <c r="L963">
        <v>0</v>
      </c>
      <c r="M963">
        <v>1</v>
      </c>
      <c r="N963" s="109">
        <v>708.45729092366275</v>
      </c>
      <c r="O963" s="109">
        <v>-4333260.3774534995</v>
      </c>
      <c r="P963" s="365">
        <v>1</v>
      </c>
      <c r="Q963" s="365">
        <v>0</v>
      </c>
      <c r="R963" s="365">
        <v>0</v>
      </c>
      <c r="S963" s="365">
        <v>0</v>
      </c>
      <c r="T963" s="109">
        <v>-3747.5135264063119</v>
      </c>
      <c r="V963" s="368">
        <f t="shared" si="84"/>
        <v>56995948.769696124</v>
      </c>
      <c r="W963" s="30">
        <f t="shared" si="85"/>
        <v>62148400.295159027</v>
      </c>
      <c r="X963" s="30"/>
      <c r="Y963">
        <f t="shared" si="86"/>
        <v>0</v>
      </c>
      <c r="Z963">
        <f t="shared" si="87"/>
        <v>1</v>
      </c>
      <c r="AA963">
        <f t="shared" si="88"/>
        <v>0</v>
      </c>
      <c r="AB963">
        <f t="shared" si="89"/>
        <v>1</v>
      </c>
    </row>
    <row r="964" spans="6:28" x14ac:dyDescent="0.3">
      <c r="F964" s="28"/>
      <c r="G964">
        <v>956</v>
      </c>
      <c r="H964" s="109">
        <v>1274.7976540551535</v>
      </c>
      <c r="I964" s="370">
        <v>1975227.8832184554</v>
      </c>
      <c r="J964">
        <v>0</v>
      </c>
      <c r="K964">
        <v>0</v>
      </c>
      <c r="L964">
        <v>0</v>
      </c>
      <c r="M964">
        <v>1</v>
      </c>
      <c r="N964" s="109">
        <v>1549.4442407665413</v>
      </c>
      <c r="O964" s="109">
        <v>-3723526.0686119553</v>
      </c>
      <c r="P964" s="365">
        <v>1</v>
      </c>
      <c r="Q964" s="365">
        <v>0</v>
      </c>
      <c r="R964" s="365">
        <v>0</v>
      </c>
      <c r="S964" s="365">
        <v>0</v>
      </c>
      <c r="T964" s="109">
        <v>-2920.8761537702503</v>
      </c>
      <c r="V964" s="368">
        <f t="shared" si="84"/>
        <v>61764654.819539227</v>
      </c>
      <c r="W964" s="30">
        <f t="shared" si="85"/>
        <v>67463408.771369636</v>
      </c>
      <c r="X964" s="30"/>
      <c r="Y964">
        <f t="shared" si="86"/>
        <v>0</v>
      </c>
      <c r="Z964">
        <f t="shared" si="87"/>
        <v>1</v>
      </c>
      <c r="AA964">
        <f t="shared" si="88"/>
        <v>0</v>
      </c>
      <c r="AB964">
        <f t="shared" si="89"/>
        <v>1</v>
      </c>
    </row>
    <row r="965" spans="6:28" x14ac:dyDescent="0.3">
      <c r="F965" s="28"/>
      <c r="G965">
        <v>957</v>
      </c>
      <c r="H965" s="109">
        <v>1266.4233992577429</v>
      </c>
      <c r="I965" s="370">
        <v>1015943.8300020342</v>
      </c>
      <c r="J965">
        <v>0</v>
      </c>
      <c r="K965">
        <v>0</v>
      </c>
      <c r="L965">
        <v>0</v>
      </c>
      <c r="M965">
        <v>1</v>
      </c>
      <c r="N965" s="109">
        <v>802.21498639197921</v>
      </c>
      <c r="O965" s="109">
        <v>-3703083.3424615865</v>
      </c>
      <c r="P965" s="365">
        <v>1</v>
      </c>
      <c r="Q965" s="365">
        <v>0</v>
      </c>
      <c r="R965" s="365">
        <v>0</v>
      </c>
      <c r="S965" s="365">
        <v>0</v>
      </c>
      <c r="T965" s="109">
        <v>-2924.0484222196005</v>
      </c>
      <c r="V965" s="368">
        <f t="shared" si="84"/>
        <v>62305226.132885113</v>
      </c>
      <c r="W965" s="30">
        <f t="shared" si="85"/>
        <v>67024253.305348732</v>
      </c>
      <c r="X965" s="30"/>
      <c r="Y965">
        <f t="shared" si="86"/>
        <v>0</v>
      </c>
      <c r="Z965">
        <f t="shared" si="87"/>
        <v>1</v>
      </c>
      <c r="AA965">
        <f t="shared" si="88"/>
        <v>0</v>
      </c>
      <c r="AB965">
        <f t="shared" si="89"/>
        <v>1</v>
      </c>
    </row>
    <row r="966" spans="6:28" x14ac:dyDescent="0.3">
      <c r="F966" s="28"/>
      <c r="G966">
        <v>958</v>
      </c>
      <c r="H966" s="109">
        <v>984.76383665065805</v>
      </c>
      <c r="I966" s="370">
        <v>1117436.411095748</v>
      </c>
      <c r="J966">
        <v>0</v>
      </c>
      <c r="K966">
        <v>0</v>
      </c>
      <c r="L966">
        <v>0</v>
      </c>
      <c r="M966">
        <v>1</v>
      </c>
      <c r="N966" s="109">
        <v>1134.7252706763998</v>
      </c>
      <c r="O966" s="109">
        <v>-3089219.7926558214</v>
      </c>
      <c r="P966" s="365">
        <v>1</v>
      </c>
      <c r="Q966" s="365">
        <v>0</v>
      </c>
      <c r="R966" s="365">
        <v>0</v>
      </c>
      <c r="S966" s="365">
        <v>0</v>
      </c>
      <c r="T966" s="109">
        <v>-3137.0158790180194</v>
      </c>
      <c r="V966" s="368">
        <f t="shared" si="84"/>
        <v>48120755.421437159</v>
      </c>
      <c r="W966" s="30">
        <f t="shared" si="85"/>
        <v>52327411.625188723</v>
      </c>
      <c r="X966" s="30"/>
      <c r="Y966">
        <f t="shared" si="86"/>
        <v>0</v>
      </c>
      <c r="Z966">
        <f t="shared" si="87"/>
        <v>1</v>
      </c>
      <c r="AA966">
        <f t="shared" si="88"/>
        <v>0</v>
      </c>
      <c r="AB966">
        <f t="shared" si="89"/>
        <v>1</v>
      </c>
    </row>
    <row r="967" spans="6:28" x14ac:dyDescent="0.3">
      <c r="F967" s="28"/>
      <c r="G967">
        <v>959</v>
      </c>
      <c r="H967" s="109">
        <v>1035.0055895261903</v>
      </c>
      <c r="I967" s="370">
        <v>1558861.4689095574</v>
      </c>
      <c r="J967">
        <v>0</v>
      </c>
      <c r="K967">
        <v>0</v>
      </c>
      <c r="L967">
        <v>0</v>
      </c>
      <c r="M967">
        <v>1</v>
      </c>
      <c r="N967" s="109">
        <v>1506.1382128604546</v>
      </c>
      <c r="O967" s="109">
        <v>-2011891.0662877259</v>
      </c>
      <c r="P967" s="365">
        <v>1</v>
      </c>
      <c r="Q967" s="365">
        <v>0</v>
      </c>
      <c r="R967" s="365">
        <v>0</v>
      </c>
      <c r="S967" s="365">
        <v>0</v>
      </c>
      <c r="T967" s="109">
        <v>-1943.8456049389442</v>
      </c>
      <c r="V967" s="368">
        <f t="shared" si="84"/>
        <v>50191418.007399961</v>
      </c>
      <c r="W967" s="30">
        <f t="shared" si="85"/>
        <v>53762170.542597242</v>
      </c>
      <c r="X967" s="30"/>
      <c r="Y967">
        <f t="shared" si="86"/>
        <v>0</v>
      </c>
      <c r="Z967">
        <f t="shared" si="87"/>
        <v>1</v>
      </c>
      <c r="AA967">
        <f t="shared" si="88"/>
        <v>0</v>
      </c>
      <c r="AB967">
        <f t="shared" si="89"/>
        <v>1</v>
      </c>
    </row>
    <row r="968" spans="6:28" x14ac:dyDescent="0.3">
      <c r="F968" s="28"/>
      <c r="G968">
        <v>960</v>
      </c>
      <c r="H968" s="109">
        <v>1248.5568319003796</v>
      </c>
      <c r="I968" s="370">
        <v>467998.45648343547</v>
      </c>
      <c r="J968">
        <v>0</v>
      </c>
      <c r="K968">
        <v>0</v>
      </c>
      <c r="L968">
        <v>0</v>
      </c>
      <c r="M968">
        <v>1</v>
      </c>
      <c r="N968" s="109">
        <v>374.8315211019376</v>
      </c>
      <c r="O968" s="109">
        <v>-4278983.2653293749</v>
      </c>
      <c r="P968" s="365">
        <v>1</v>
      </c>
      <c r="Q968" s="365">
        <v>0</v>
      </c>
      <c r="R968" s="365">
        <v>0</v>
      </c>
      <c r="S968" s="365">
        <v>0</v>
      </c>
      <c r="T968" s="109">
        <v>-3427.1433674480813</v>
      </c>
      <c r="V968" s="368">
        <f t="shared" si="84"/>
        <v>61959843.138535544</v>
      </c>
      <c r="W968" s="30">
        <f t="shared" si="85"/>
        <v>66706824.860348359</v>
      </c>
      <c r="X968" s="30"/>
      <c r="Y968">
        <f t="shared" si="86"/>
        <v>0</v>
      </c>
      <c r="Z968">
        <f t="shared" si="87"/>
        <v>1</v>
      </c>
      <c r="AA968">
        <f t="shared" si="88"/>
        <v>0</v>
      </c>
      <c r="AB968">
        <f t="shared" si="89"/>
        <v>1</v>
      </c>
    </row>
    <row r="969" spans="6:28" x14ac:dyDescent="0.3">
      <c r="F969" s="28"/>
      <c r="G969">
        <v>961</v>
      </c>
      <c r="H969" s="109">
        <v>1089.9856541690824</v>
      </c>
      <c r="I969" s="370">
        <v>1788330.8311238545</v>
      </c>
      <c r="J969">
        <v>0</v>
      </c>
      <c r="K969">
        <v>0</v>
      </c>
      <c r="L969">
        <v>0</v>
      </c>
      <c r="M969">
        <v>1</v>
      </c>
      <c r="N969" s="109">
        <v>1640.6920809312251</v>
      </c>
      <c r="O969" s="109">
        <v>-2519891.6028549727</v>
      </c>
      <c r="P969" s="365">
        <v>1</v>
      </c>
      <c r="Q969" s="365">
        <v>0</v>
      </c>
      <c r="R969" s="365">
        <v>0</v>
      </c>
      <c r="S969" s="365">
        <v>0</v>
      </c>
      <c r="T969" s="109">
        <v>-2311.8575856633047</v>
      </c>
      <c r="V969" s="368">
        <f t="shared" ref="V969:V1008" si="90">H969*WTPinput-I969</f>
        <v>52710951.877330266</v>
      </c>
      <c r="W969" s="30">
        <f t="shared" ref="W969:W1008" si="91">H969*WTPinput-O969</f>
        <v>57019174.311309092</v>
      </c>
      <c r="X969" s="30"/>
      <c r="Y969">
        <f t="shared" si="86"/>
        <v>0</v>
      </c>
      <c r="Z969">
        <f t="shared" si="87"/>
        <v>1</v>
      </c>
      <c r="AA969">
        <f t="shared" si="88"/>
        <v>0</v>
      </c>
      <c r="AB969">
        <f t="shared" si="89"/>
        <v>1</v>
      </c>
    </row>
    <row r="970" spans="6:28" x14ac:dyDescent="0.3">
      <c r="F970" s="28"/>
      <c r="G970">
        <v>962</v>
      </c>
      <c r="H970" s="109">
        <v>1021.315528931169</v>
      </c>
      <c r="I970" s="370">
        <v>2201541.4421712481</v>
      </c>
      <c r="J970">
        <v>0</v>
      </c>
      <c r="K970">
        <v>0</v>
      </c>
      <c r="L970">
        <v>0</v>
      </c>
      <c r="M970">
        <v>1</v>
      </c>
      <c r="N970" s="109">
        <v>2155.593819742674</v>
      </c>
      <c r="O970" s="109">
        <v>-1358348.2437474567</v>
      </c>
      <c r="P970" s="365">
        <v>1</v>
      </c>
      <c r="Q970" s="365">
        <v>0</v>
      </c>
      <c r="R970" s="365">
        <v>0</v>
      </c>
      <c r="S970" s="365">
        <v>0</v>
      </c>
      <c r="T970" s="109">
        <v>-1329.9986196910181</v>
      </c>
      <c r="V970" s="368">
        <f t="shared" si="90"/>
        <v>48864235.0043872</v>
      </c>
      <c r="W970" s="30">
        <f t="shared" si="91"/>
        <v>52424124.690305904</v>
      </c>
      <c r="X970" s="30"/>
      <c r="Y970">
        <f t="shared" ref="Y970:Y1008" si="92">IF(V970&lt;0,1,0)</f>
        <v>0</v>
      </c>
      <c r="Z970">
        <f t="shared" ref="Z970:Z1008" si="93">IF(V970&gt;0,1,0)</f>
        <v>1</v>
      </c>
      <c r="AA970">
        <f t="shared" ref="AA970:AA1008" si="94">IF(W970&lt;0,1,0)</f>
        <v>0</v>
      </c>
      <c r="AB970">
        <f t="shared" ref="AB970:AB1008" si="95">IF(W970&gt;0,1,0)</f>
        <v>1</v>
      </c>
    </row>
    <row r="971" spans="6:28" x14ac:dyDescent="0.3">
      <c r="F971" s="28"/>
      <c r="G971">
        <v>963</v>
      </c>
      <c r="H971" s="109">
        <v>1198.5962362313439</v>
      </c>
      <c r="I971" s="370">
        <v>1433652.5736461463</v>
      </c>
      <c r="J971">
        <v>0</v>
      </c>
      <c r="K971">
        <v>0</v>
      </c>
      <c r="L971">
        <v>0</v>
      </c>
      <c r="M971">
        <v>1</v>
      </c>
      <c r="N971" s="109">
        <v>1196.1096909113216</v>
      </c>
      <c r="O971" s="109">
        <v>-2975403.5737424409</v>
      </c>
      <c r="P971" s="365">
        <v>1</v>
      </c>
      <c r="Q971" s="365">
        <v>0</v>
      </c>
      <c r="R971" s="365">
        <v>0</v>
      </c>
      <c r="S971" s="365">
        <v>0</v>
      </c>
      <c r="T971" s="109">
        <v>-2482.4069055128848</v>
      </c>
      <c r="V971" s="368">
        <f t="shared" si="90"/>
        <v>58496159.237921052</v>
      </c>
      <c r="W971" s="30">
        <f t="shared" si="91"/>
        <v>62905215.385309637</v>
      </c>
      <c r="X971" s="30"/>
      <c r="Y971">
        <f t="shared" si="92"/>
        <v>0</v>
      </c>
      <c r="Z971">
        <f t="shared" si="93"/>
        <v>1</v>
      </c>
      <c r="AA971">
        <f t="shared" si="94"/>
        <v>0</v>
      </c>
      <c r="AB971">
        <f t="shared" si="95"/>
        <v>1</v>
      </c>
    </row>
    <row r="972" spans="6:28" x14ac:dyDescent="0.3">
      <c r="F972" s="28"/>
      <c r="G972">
        <v>964</v>
      </c>
      <c r="H972" s="109">
        <v>1133.2872240389261</v>
      </c>
      <c r="I972" s="370">
        <v>963385.03946387942</v>
      </c>
      <c r="J972">
        <v>0</v>
      </c>
      <c r="K972">
        <v>0</v>
      </c>
      <c r="L972">
        <v>0</v>
      </c>
      <c r="M972">
        <v>1</v>
      </c>
      <c r="N972" s="109">
        <v>850.08020829041754</v>
      </c>
      <c r="O972" s="109">
        <v>-4051252.2414761274</v>
      </c>
      <c r="P972" s="365">
        <v>1</v>
      </c>
      <c r="Q972" s="365">
        <v>0</v>
      </c>
      <c r="R972" s="365">
        <v>0</v>
      </c>
      <c r="S972" s="365">
        <v>0</v>
      </c>
      <c r="T972" s="109">
        <v>-3574.7797694549631</v>
      </c>
      <c r="V972" s="368">
        <f t="shared" si="90"/>
        <v>55700976.162482426</v>
      </c>
      <c r="W972" s="30">
        <f t="shared" si="91"/>
        <v>60715613.443422429</v>
      </c>
      <c r="X972" s="30"/>
      <c r="Y972">
        <f t="shared" si="92"/>
        <v>0</v>
      </c>
      <c r="Z972">
        <f t="shared" si="93"/>
        <v>1</v>
      </c>
      <c r="AA972">
        <f t="shared" si="94"/>
        <v>0</v>
      </c>
      <c r="AB972">
        <f t="shared" si="95"/>
        <v>1</v>
      </c>
    </row>
    <row r="973" spans="6:28" x14ac:dyDescent="0.3">
      <c r="F973" s="28"/>
      <c r="G973">
        <v>965</v>
      </c>
      <c r="H973" s="109">
        <v>1176.1855240915465</v>
      </c>
      <c r="I973" s="370">
        <v>1517324.5117409755</v>
      </c>
      <c r="J973">
        <v>0</v>
      </c>
      <c r="K973">
        <v>0</v>
      </c>
      <c r="L973">
        <v>0</v>
      </c>
      <c r="M973">
        <v>1</v>
      </c>
      <c r="N973" s="109">
        <v>1290.0384171220908</v>
      </c>
      <c r="O973" s="109">
        <v>-2664405.1243431703</v>
      </c>
      <c r="P973" s="365">
        <v>1</v>
      </c>
      <c r="Q973" s="365">
        <v>0</v>
      </c>
      <c r="R973" s="365">
        <v>0</v>
      </c>
      <c r="S973" s="365">
        <v>0</v>
      </c>
      <c r="T973" s="109">
        <v>-2265.2932464893952</v>
      </c>
      <c r="V973" s="368">
        <f t="shared" si="90"/>
        <v>57291951.692836352</v>
      </c>
      <c r="W973" s="30">
        <f t="shared" si="91"/>
        <v>61473681.328920498</v>
      </c>
      <c r="X973" s="30"/>
      <c r="Y973">
        <f t="shared" si="92"/>
        <v>0</v>
      </c>
      <c r="Z973">
        <f t="shared" si="93"/>
        <v>1</v>
      </c>
      <c r="AA973">
        <f t="shared" si="94"/>
        <v>0</v>
      </c>
      <c r="AB973">
        <f t="shared" si="95"/>
        <v>1</v>
      </c>
    </row>
    <row r="974" spans="6:28" x14ac:dyDescent="0.3">
      <c r="F974" s="28"/>
      <c r="G974">
        <v>966</v>
      </c>
      <c r="H974" s="109">
        <v>1243.1141472197341</v>
      </c>
      <c r="I974" s="370">
        <v>786634.94132088334</v>
      </c>
      <c r="J974">
        <v>0</v>
      </c>
      <c r="K974">
        <v>0</v>
      </c>
      <c r="L974">
        <v>0</v>
      </c>
      <c r="M974">
        <v>1</v>
      </c>
      <c r="N974" s="109">
        <v>632.7938130864477</v>
      </c>
      <c r="O974" s="109">
        <v>-3126308.3461743202</v>
      </c>
      <c r="P974" s="365">
        <v>1</v>
      </c>
      <c r="Q974" s="365">
        <v>0</v>
      </c>
      <c r="R974" s="365">
        <v>0</v>
      </c>
      <c r="S974" s="365">
        <v>0</v>
      </c>
      <c r="T974" s="109">
        <v>-2514.9004644234901</v>
      </c>
      <c r="V974" s="368">
        <f t="shared" si="90"/>
        <v>61369072.419665828</v>
      </c>
      <c r="W974" s="30">
        <f t="shared" si="91"/>
        <v>65282015.707161032</v>
      </c>
      <c r="X974" s="30"/>
      <c r="Y974">
        <f t="shared" si="92"/>
        <v>0</v>
      </c>
      <c r="Z974">
        <f t="shared" si="93"/>
        <v>1</v>
      </c>
      <c r="AA974">
        <f t="shared" si="94"/>
        <v>0</v>
      </c>
      <c r="AB974">
        <f t="shared" si="95"/>
        <v>1</v>
      </c>
    </row>
    <row r="975" spans="6:28" x14ac:dyDescent="0.3">
      <c r="F975" s="28"/>
      <c r="G975">
        <v>967</v>
      </c>
      <c r="H975" s="109">
        <v>1195.9869596720964</v>
      </c>
      <c r="I975" s="370">
        <v>1031535.2839785825</v>
      </c>
      <c r="J975">
        <v>0</v>
      </c>
      <c r="K975">
        <v>0</v>
      </c>
      <c r="L975">
        <v>0</v>
      </c>
      <c r="M975">
        <v>1</v>
      </c>
      <c r="N975" s="109">
        <v>862.49709968526611</v>
      </c>
      <c r="O975" s="109">
        <v>-4030516.8132316275</v>
      </c>
      <c r="P975" s="365">
        <v>1</v>
      </c>
      <c r="Q975" s="365">
        <v>0</v>
      </c>
      <c r="R975" s="365">
        <v>0</v>
      </c>
      <c r="S975" s="365">
        <v>0</v>
      </c>
      <c r="T975" s="109">
        <v>-3370.0340799172873</v>
      </c>
      <c r="V975" s="368">
        <f t="shared" si="90"/>
        <v>58767812.699626237</v>
      </c>
      <c r="W975" s="30">
        <f t="shared" si="91"/>
        <v>63829864.796836443</v>
      </c>
      <c r="X975" s="30"/>
      <c r="Y975">
        <f t="shared" si="92"/>
        <v>0</v>
      </c>
      <c r="Z975">
        <f t="shared" si="93"/>
        <v>1</v>
      </c>
      <c r="AA975">
        <f t="shared" si="94"/>
        <v>0</v>
      </c>
      <c r="AB975">
        <f t="shared" si="95"/>
        <v>1</v>
      </c>
    </row>
    <row r="976" spans="6:28" x14ac:dyDescent="0.3">
      <c r="F976" s="28"/>
      <c r="G976">
        <v>968</v>
      </c>
      <c r="H976" s="109">
        <v>1062.1233663878666</v>
      </c>
      <c r="I976" s="370">
        <v>1463615.7017082998</v>
      </c>
      <c r="J976">
        <v>0</v>
      </c>
      <c r="K976">
        <v>0</v>
      </c>
      <c r="L976">
        <v>0</v>
      </c>
      <c r="M976">
        <v>1</v>
      </c>
      <c r="N976" s="109">
        <v>1378.0091353096323</v>
      </c>
      <c r="O976" s="109">
        <v>-2391806.8213498318</v>
      </c>
      <c r="P976" s="365">
        <v>1</v>
      </c>
      <c r="Q976" s="365">
        <v>0</v>
      </c>
      <c r="R976" s="365">
        <v>0</v>
      </c>
      <c r="S976" s="365">
        <v>0</v>
      </c>
      <c r="T976" s="109">
        <v>-2251.9105567595534</v>
      </c>
      <c r="V976" s="368">
        <f t="shared" si="90"/>
        <v>51642552.617685027</v>
      </c>
      <c r="W976" s="30">
        <f t="shared" si="91"/>
        <v>55497975.140743159</v>
      </c>
      <c r="X976" s="30"/>
      <c r="Y976">
        <f t="shared" si="92"/>
        <v>0</v>
      </c>
      <c r="Z976">
        <f t="shared" si="93"/>
        <v>1</v>
      </c>
      <c r="AA976">
        <f t="shared" si="94"/>
        <v>0</v>
      </c>
      <c r="AB976">
        <f t="shared" si="95"/>
        <v>1</v>
      </c>
    </row>
    <row r="977" spans="6:28" x14ac:dyDescent="0.3">
      <c r="F977" s="28"/>
      <c r="G977">
        <v>969</v>
      </c>
      <c r="H977" s="109">
        <v>1539.9294092982018</v>
      </c>
      <c r="I977" s="370">
        <v>1323571.4060322884</v>
      </c>
      <c r="J977">
        <v>0</v>
      </c>
      <c r="K977">
        <v>0</v>
      </c>
      <c r="L977">
        <v>0</v>
      </c>
      <c r="M977">
        <v>1</v>
      </c>
      <c r="N977" s="109">
        <v>859.5013498933597</v>
      </c>
      <c r="O977" s="109">
        <v>-5934795.0159203429</v>
      </c>
      <c r="P977" s="365">
        <v>1</v>
      </c>
      <c r="Q977" s="365">
        <v>0</v>
      </c>
      <c r="R977" s="365">
        <v>0</v>
      </c>
      <c r="S977" s="365">
        <v>0</v>
      </c>
      <c r="T977" s="109">
        <v>-3853.9396546917242</v>
      </c>
      <c r="V977" s="368">
        <f t="shared" si="90"/>
        <v>75672899.058877796</v>
      </c>
      <c r="W977" s="30">
        <f t="shared" si="91"/>
        <v>82931265.480830431</v>
      </c>
      <c r="X977" s="30"/>
      <c r="Y977">
        <f t="shared" si="92"/>
        <v>0</v>
      </c>
      <c r="Z977">
        <f t="shared" si="93"/>
        <v>1</v>
      </c>
      <c r="AA977">
        <f t="shared" si="94"/>
        <v>0</v>
      </c>
      <c r="AB977">
        <f t="shared" si="95"/>
        <v>1</v>
      </c>
    </row>
    <row r="978" spans="6:28" x14ac:dyDescent="0.3">
      <c r="F978" s="28"/>
      <c r="G978">
        <v>970</v>
      </c>
      <c r="H978" s="109">
        <v>1084.9568982935962</v>
      </c>
      <c r="I978" s="370">
        <v>1332791.8252210522</v>
      </c>
      <c r="J978">
        <v>0</v>
      </c>
      <c r="K978">
        <v>0</v>
      </c>
      <c r="L978">
        <v>0</v>
      </c>
      <c r="M978">
        <v>1</v>
      </c>
      <c r="N978" s="109">
        <v>1228.4283618245545</v>
      </c>
      <c r="O978" s="109">
        <v>-2769738.5343787684</v>
      </c>
      <c r="P978" s="365">
        <v>1</v>
      </c>
      <c r="Q978" s="365">
        <v>0</v>
      </c>
      <c r="R978" s="365">
        <v>0</v>
      </c>
      <c r="S978" s="365">
        <v>0</v>
      </c>
      <c r="T978" s="109">
        <v>-2552.8558219547444</v>
      </c>
      <c r="V978" s="368">
        <f t="shared" si="90"/>
        <v>52915053.089458756</v>
      </c>
      <c r="W978" s="30">
        <f t="shared" si="91"/>
        <v>57017583.449058577</v>
      </c>
      <c r="X978" s="30"/>
      <c r="Y978">
        <f t="shared" si="92"/>
        <v>0</v>
      </c>
      <c r="Z978">
        <f t="shared" si="93"/>
        <v>1</v>
      </c>
      <c r="AA978">
        <f t="shared" si="94"/>
        <v>0</v>
      </c>
      <c r="AB978">
        <f t="shared" si="95"/>
        <v>1</v>
      </c>
    </row>
    <row r="979" spans="6:28" x14ac:dyDescent="0.3">
      <c r="F979" s="28"/>
      <c r="G979">
        <v>971</v>
      </c>
      <c r="H979" s="109">
        <v>1325.0047331603637</v>
      </c>
      <c r="I979" s="370">
        <v>847475.47982106579</v>
      </c>
      <c r="J979">
        <v>0</v>
      </c>
      <c r="K979">
        <v>0</v>
      </c>
      <c r="L979">
        <v>0</v>
      </c>
      <c r="M979">
        <v>1</v>
      </c>
      <c r="N979" s="109">
        <v>639.60185093051803</v>
      </c>
      <c r="O979" s="109">
        <v>-4500756.1226550536</v>
      </c>
      <c r="P979" s="365">
        <v>1</v>
      </c>
      <c r="Q979" s="365">
        <v>0</v>
      </c>
      <c r="R979" s="365">
        <v>0</v>
      </c>
      <c r="S979" s="365">
        <v>0</v>
      </c>
      <c r="T979" s="109">
        <v>-3396.7849397186515</v>
      </c>
      <c r="V979" s="368">
        <f t="shared" si="90"/>
        <v>65402761.178197123</v>
      </c>
      <c r="W979" s="30">
        <f t="shared" si="91"/>
        <v>70750992.780673236</v>
      </c>
      <c r="X979" s="30"/>
      <c r="Y979">
        <f t="shared" si="92"/>
        <v>0</v>
      </c>
      <c r="Z979">
        <f t="shared" si="93"/>
        <v>1</v>
      </c>
      <c r="AA979">
        <f t="shared" si="94"/>
        <v>0</v>
      </c>
      <c r="AB979">
        <f t="shared" si="95"/>
        <v>1</v>
      </c>
    </row>
    <row r="980" spans="6:28" x14ac:dyDescent="0.3">
      <c r="F980" s="28"/>
      <c r="G980">
        <v>972</v>
      </c>
      <c r="H980" s="109">
        <v>1386.1812464884861</v>
      </c>
      <c r="I980" s="370">
        <v>887548.45107549848</v>
      </c>
      <c r="J980">
        <v>0</v>
      </c>
      <c r="K980">
        <v>0</v>
      </c>
      <c r="L980">
        <v>0</v>
      </c>
      <c r="M980">
        <v>1</v>
      </c>
      <c r="N980" s="109">
        <v>640.28311833236933</v>
      </c>
      <c r="O980" s="109">
        <v>-5006299.4555868916</v>
      </c>
      <c r="P980" s="365">
        <v>1</v>
      </c>
      <c r="Q980" s="365">
        <v>0</v>
      </c>
      <c r="R980" s="365">
        <v>0</v>
      </c>
      <c r="S980" s="365">
        <v>0</v>
      </c>
      <c r="T980" s="109">
        <v>-3611.5763853168496</v>
      </c>
      <c r="V980" s="368">
        <f t="shared" si="90"/>
        <v>68421513.873348802</v>
      </c>
      <c r="W980" s="30">
        <f t="shared" si="91"/>
        <v>74315361.780011192</v>
      </c>
      <c r="X980" s="30"/>
      <c r="Y980">
        <f t="shared" si="92"/>
        <v>0</v>
      </c>
      <c r="Z980">
        <f t="shared" si="93"/>
        <v>1</v>
      </c>
      <c r="AA980">
        <f t="shared" si="94"/>
        <v>0</v>
      </c>
      <c r="AB980">
        <f t="shared" si="95"/>
        <v>1</v>
      </c>
    </row>
    <row r="981" spans="6:28" x14ac:dyDescent="0.3">
      <c r="F981" s="28"/>
      <c r="G981">
        <v>973</v>
      </c>
      <c r="H981" s="109">
        <v>1316.4575823113701</v>
      </c>
      <c r="I981" s="370">
        <v>848772.71307312592</v>
      </c>
      <c r="J981">
        <v>0</v>
      </c>
      <c r="K981">
        <v>0</v>
      </c>
      <c r="L981">
        <v>0</v>
      </c>
      <c r="M981">
        <v>1</v>
      </c>
      <c r="N981" s="109">
        <v>644.7398871621017</v>
      </c>
      <c r="O981" s="109">
        <v>-4052570.2579245623</v>
      </c>
      <c r="P981" s="365">
        <v>1</v>
      </c>
      <c r="Q981" s="365">
        <v>0</v>
      </c>
      <c r="R981" s="365">
        <v>0</v>
      </c>
      <c r="S981" s="365">
        <v>0</v>
      </c>
      <c r="T981" s="109">
        <v>-3078.3903046912178</v>
      </c>
      <c r="V981" s="368">
        <f t="shared" si="90"/>
        <v>64974106.402495377</v>
      </c>
      <c r="W981" s="30">
        <f t="shared" si="91"/>
        <v>69875449.37349306</v>
      </c>
      <c r="X981" s="30"/>
      <c r="Y981">
        <f t="shared" si="92"/>
        <v>0</v>
      </c>
      <c r="Z981">
        <f t="shared" si="93"/>
        <v>1</v>
      </c>
      <c r="AA981">
        <f t="shared" si="94"/>
        <v>0</v>
      </c>
      <c r="AB981">
        <f t="shared" si="95"/>
        <v>1</v>
      </c>
    </row>
    <row r="982" spans="6:28" x14ac:dyDescent="0.3">
      <c r="F982" s="28"/>
      <c r="G982">
        <v>974</v>
      </c>
      <c r="H982" s="109">
        <v>1380.2195755469656</v>
      </c>
      <c r="I982" s="370">
        <v>1964241.4488073441</v>
      </c>
      <c r="J982">
        <v>0</v>
      </c>
      <c r="K982">
        <v>0</v>
      </c>
      <c r="L982">
        <v>0</v>
      </c>
      <c r="M982">
        <v>1</v>
      </c>
      <c r="N982" s="109">
        <v>1423.1369295200273</v>
      </c>
      <c r="O982" s="109">
        <v>-3465532.5690949275</v>
      </c>
      <c r="P982" s="365">
        <v>1</v>
      </c>
      <c r="Q982" s="365">
        <v>0</v>
      </c>
      <c r="R982" s="365">
        <v>0</v>
      </c>
      <c r="S982" s="365">
        <v>0</v>
      </c>
      <c r="T982" s="109">
        <v>-2510.8559757396397</v>
      </c>
      <c r="V982" s="368">
        <f t="shared" si="90"/>
        <v>67046737.328540936</v>
      </c>
      <c r="W982" s="30">
        <f t="shared" si="91"/>
        <v>72476511.346443206</v>
      </c>
      <c r="X982" s="30"/>
      <c r="Y982">
        <f t="shared" si="92"/>
        <v>0</v>
      </c>
      <c r="Z982">
        <f t="shared" si="93"/>
        <v>1</v>
      </c>
      <c r="AA982">
        <f t="shared" si="94"/>
        <v>0</v>
      </c>
      <c r="AB982">
        <f t="shared" si="95"/>
        <v>1</v>
      </c>
    </row>
    <row r="983" spans="6:28" x14ac:dyDescent="0.3">
      <c r="F983" s="28"/>
      <c r="G983">
        <v>975</v>
      </c>
      <c r="H983" s="109">
        <v>1405.6510508711362</v>
      </c>
      <c r="I983" s="370">
        <v>1203760.5627818143</v>
      </c>
      <c r="J983">
        <v>0</v>
      </c>
      <c r="K983">
        <v>0</v>
      </c>
      <c r="L983">
        <v>0</v>
      </c>
      <c r="M983">
        <v>1</v>
      </c>
      <c r="N983" s="109">
        <v>856.37225685265014</v>
      </c>
      <c r="O983" s="109">
        <v>-3909753.5646529044</v>
      </c>
      <c r="P983" s="365">
        <v>1</v>
      </c>
      <c r="Q983" s="365">
        <v>0</v>
      </c>
      <c r="R983" s="365">
        <v>0</v>
      </c>
      <c r="S983" s="365">
        <v>0</v>
      </c>
      <c r="T983" s="109">
        <v>-2781.4538766430537</v>
      </c>
      <c r="V983" s="368">
        <f t="shared" si="90"/>
        <v>69078791.980774999</v>
      </c>
      <c r="W983" s="30">
        <f t="shared" si="91"/>
        <v>74192306.108209714</v>
      </c>
      <c r="X983" s="30"/>
      <c r="Y983">
        <f t="shared" si="92"/>
        <v>0</v>
      </c>
      <c r="Z983">
        <f t="shared" si="93"/>
        <v>1</v>
      </c>
      <c r="AA983">
        <f t="shared" si="94"/>
        <v>0</v>
      </c>
      <c r="AB983">
        <f t="shared" si="95"/>
        <v>1</v>
      </c>
    </row>
    <row r="984" spans="6:28" x14ac:dyDescent="0.3">
      <c r="F984" s="28"/>
      <c r="G984">
        <v>976</v>
      </c>
      <c r="H984" s="109">
        <v>1175.3052583609169</v>
      </c>
      <c r="I984" s="370">
        <v>1457890.5211640892</v>
      </c>
      <c r="J984">
        <v>0</v>
      </c>
      <c r="K984">
        <v>0</v>
      </c>
      <c r="L984">
        <v>0</v>
      </c>
      <c r="M984">
        <v>1</v>
      </c>
      <c r="N984" s="109">
        <v>1240.435632183988</v>
      </c>
      <c r="O984" s="109">
        <v>-3496778.0871362565</v>
      </c>
      <c r="P984" s="365">
        <v>1</v>
      </c>
      <c r="Q984" s="365">
        <v>0</v>
      </c>
      <c r="R984" s="365">
        <v>0</v>
      </c>
      <c r="S984" s="365">
        <v>0</v>
      </c>
      <c r="T984" s="109">
        <v>-2975.2084084205239</v>
      </c>
      <c r="V984" s="368">
        <f t="shared" si="90"/>
        <v>57307372.396881759</v>
      </c>
      <c r="W984" s="30">
        <f t="shared" si="91"/>
        <v>62262041.005182102</v>
      </c>
      <c r="X984" s="30"/>
      <c r="Y984">
        <f t="shared" si="92"/>
        <v>0</v>
      </c>
      <c r="Z984">
        <f t="shared" si="93"/>
        <v>1</v>
      </c>
      <c r="AA984">
        <f t="shared" si="94"/>
        <v>0</v>
      </c>
      <c r="AB984">
        <f t="shared" si="95"/>
        <v>1</v>
      </c>
    </row>
    <row r="985" spans="6:28" x14ac:dyDescent="0.3">
      <c r="F985" s="28"/>
      <c r="G985">
        <v>977</v>
      </c>
      <c r="H985" s="109">
        <v>1085.6888730305363</v>
      </c>
      <c r="I985" s="370">
        <v>1617338.0710614503</v>
      </c>
      <c r="J985">
        <v>0</v>
      </c>
      <c r="K985">
        <v>0</v>
      </c>
      <c r="L985">
        <v>0</v>
      </c>
      <c r="M985">
        <v>1</v>
      </c>
      <c r="N985" s="109">
        <v>1489.6883547741404</v>
      </c>
      <c r="O985" s="109">
        <v>-2549082.5183965266</v>
      </c>
      <c r="P985" s="365">
        <v>1</v>
      </c>
      <c r="Q985" s="365">
        <v>0</v>
      </c>
      <c r="R985" s="365">
        <v>0</v>
      </c>
      <c r="S985" s="365">
        <v>0</v>
      </c>
      <c r="T985" s="109">
        <v>-2347.8941174750626</v>
      </c>
      <c r="V985" s="368">
        <f t="shared" si="90"/>
        <v>52667105.580465369</v>
      </c>
      <c r="W985" s="30">
        <f t="shared" si="91"/>
        <v>56833526.169923343</v>
      </c>
      <c r="X985" s="30"/>
      <c r="Y985">
        <f t="shared" si="92"/>
        <v>0</v>
      </c>
      <c r="Z985">
        <f t="shared" si="93"/>
        <v>1</v>
      </c>
      <c r="AA985">
        <f t="shared" si="94"/>
        <v>0</v>
      </c>
      <c r="AB985">
        <f t="shared" si="95"/>
        <v>1</v>
      </c>
    </row>
    <row r="986" spans="6:28" x14ac:dyDescent="0.3">
      <c r="F986" s="28"/>
      <c r="G986">
        <v>978</v>
      </c>
      <c r="H986" s="109">
        <v>1158.2975578018231</v>
      </c>
      <c r="I986" s="370">
        <v>357195.87880220159</v>
      </c>
      <c r="J986">
        <v>0</v>
      </c>
      <c r="K986">
        <v>0</v>
      </c>
      <c r="L986">
        <v>0</v>
      </c>
      <c r="M986">
        <v>1</v>
      </c>
      <c r="N986" s="109">
        <v>308.38006727742356</v>
      </c>
      <c r="O986" s="109">
        <v>-4601996.4539361084</v>
      </c>
      <c r="P986" s="365">
        <v>1</v>
      </c>
      <c r="Q986" s="365">
        <v>0</v>
      </c>
      <c r="R986" s="365">
        <v>0</v>
      </c>
      <c r="S986" s="365">
        <v>0</v>
      </c>
      <c r="T986" s="109">
        <v>-3973.0692885769504</v>
      </c>
      <c r="V986" s="368">
        <f t="shared" si="90"/>
        <v>57557682.011288956</v>
      </c>
      <c r="W986" s="30">
        <f t="shared" si="91"/>
        <v>62516874.344027266</v>
      </c>
      <c r="X986" s="30"/>
      <c r="Y986">
        <f t="shared" si="92"/>
        <v>0</v>
      </c>
      <c r="Z986">
        <f t="shared" si="93"/>
        <v>1</v>
      </c>
      <c r="AA986">
        <f t="shared" si="94"/>
        <v>0</v>
      </c>
      <c r="AB986">
        <f t="shared" si="95"/>
        <v>1</v>
      </c>
    </row>
    <row r="987" spans="6:28" x14ac:dyDescent="0.3">
      <c r="F987" s="28"/>
      <c r="G987">
        <v>979</v>
      </c>
      <c r="H987" s="109">
        <v>1146.9487110906994</v>
      </c>
      <c r="I987" s="370">
        <v>1147164.1123434559</v>
      </c>
      <c r="J987">
        <v>0</v>
      </c>
      <c r="K987">
        <v>0</v>
      </c>
      <c r="L987">
        <v>0</v>
      </c>
      <c r="M987">
        <v>1</v>
      </c>
      <c r="N987" s="109">
        <v>1000.1878037358373</v>
      </c>
      <c r="O987" s="109">
        <v>-2693213.6462191027</v>
      </c>
      <c r="P987" s="365">
        <v>1</v>
      </c>
      <c r="Q987" s="365">
        <v>0</v>
      </c>
      <c r="R987" s="365">
        <v>0</v>
      </c>
      <c r="S987" s="365">
        <v>0</v>
      </c>
      <c r="T987" s="109">
        <v>-2348.1552576644613</v>
      </c>
      <c r="V987" s="368">
        <f t="shared" si="90"/>
        <v>56200271.442191519</v>
      </c>
      <c r="W987" s="30">
        <f t="shared" si="91"/>
        <v>60040649.200754076</v>
      </c>
      <c r="X987" s="30"/>
      <c r="Y987">
        <f t="shared" si="92"/>
        <v>0</v>
      </c>
      <c r="Z987">
        <f t="shared" si="93"/>
        <v>1</v>
      </c>
      <c r="AA987">
        <f t="shared" si="94"/>
        <v>0</v>
      </c>
      <c r="AB987">
        <f t="shared" si="95"/>
        <v>1</v>
      </c>
    </row>
    <row r="988" spans="6:28" x14ac:dyDescent="0.3">
      <c r="F988" s="28"/>
      <c r="G988">
        <v>980</v>
      </c>
      <c r="H988" s="109">
        <v>1576.06346259977</v>
      </c>
      <c r="I988" s="370">
        <v>276013.28349360573</v>
      </c>
      <c r="J988">
        <v>0</v>
      </c>
      <c r="K988">
        <v>0</v>
      </c>
      <c r="L988">
        <v>0</v>
      </c>
      <c r="M988">
        <v>1</v>
      </c>
      <c r="N988" s="109">
        <v>175.12828007465669</v>
      </c>
      <c r="O988" s="109">
        <v>-5070159.1542519517</v>
      </c>
      <c r="P988" s="365">
        <v>1</v>
      </c>
      <c r="Q988" s="365">
        <v>0</v>
      </c>
      <c r="R988" s="365">
        <v>0</v>
      </c>
      <c r="S988" s="365">
        <v>0</v>
      </c>
      <c r="T988" s="109">
        <v>-3216.9765206589796</v>
      </c>
      <c r="V988" s="368">
        <f t="shared" si="90"/>
        <v>78527159.846494898</v>
      </c>
      <c r="W988" s="30">
        <f t="shared" si="91"/>
        <v>83873332.284240454</v>
      </c>
      <c r="X988" s="30"/>
      <c r="Y988">
        <f t="shared" si="92"/>
        <v>0</v>
      </c>
      <c r="Z988">
        <f t="shared" si="93"/>
        <v>1</v>
      </c>
      <c r="AA988">
        <f t="shared" si="94"/>
        <v>0</v>
      </c>
      <c r="AB988">
        <f t="shared" si="95"/>
        <v>1</v>
      </c>
    </row>
    <row r="989" spans="6:28" x14ac:dyDescent="0.3">
      <c r="F989" s="28"/>
      <c r="G989">
        <v>981</v>
      </c>
      <c r="H989" s="109">
        <v>1220.0190804144877</v>
      </c>
      <c r="I989" s="370">
        <v>988347.94955839205</v>
      </c>
      <c r="J989">
        <v>0</v>
      </c>
      <c r="K989">
        <v>0</v>
      </c>
      <c r="L989">
        <v>0</v>
      </c>
      <c r="M989">
        <v>1</v>
      </c>
      <c r="N989" s="109">
        <v>810.10860028731031</v>
      </c>
      <c r="O989" s="109">
        <v>-5248486.7334076427</v>
      </c>
      <c r="P989" s="365">
        <v>1</v>
      </c>
      <c r="Q989" s="365">
        <v>0</v>
      </c>
      <c r="R989" s="365">
        <v>0</v>
      </c>
      <c r="S989" s="365">
        <v>0</v>
      </c>
      <c r="T989" s="109">
        <v>-4301.9710246044087</v>
      </c>
      <c r="V989" s="368">
        <f t="shared" si="90"/>
        <v>60012606.071165994</v>
      </c>
      <c r="W989" s="30">
        <f t="shared" si="91"/>
        <v>66249440.754132032</v>
      </c>
      <c r="X989" s="30"/>
      <c r="Y989">
        <f t="shared" si="92"/>
        <v>0</v>
      </c>
      <c r="Z989">
        <f t="shared" si="93"/>
        <v>1</v>
      </c>
      <c r="AA989">
        <f t="shared" si="94"/>
        <v>0</v>
      </c>
      <c r="AB989">
        <f t="shared" si="95"/>
        <v>1</v>
      </c>
    </row>
    <row r="990" spans="6:28" x14ac:dyDescent="0.3">
      <c r="F990" s="28"/>
      <c r="G990">
        <v>982</v>
      </c>
      <c r="H990" s="109">
        <v>1141.1117048253655</v>
      </c>
      <c r="I990" s="370">
        <v>1360905.6708891687</v>
      </c>
      <c r="J990">
        <v>0</v>
      </c>
      <c r="K990">
        <v>0</v>
      </c>
      <c r="L990">
        <v>0</v>
      </c>
      <c r="M990">
        <v>1</v>
      </c>
      <c r="N990" s="109">
        <v>1192.6138914659896</v>
      </c>
      <c r="O990" s="109">
        <v>-3389287.4397093174</v>
      </c>
      <c r="P990" s="365">
        <v>1</v>
      </c>
      <c r="Q990" s="365">
        <v>0</v>
      </c>
      <c r="R990" s="365">
        <v>0</v>
      </c>
      <c r="S990" s="365">
        <v>0</v>
      </c>
      <c r="T990" s="109">
        <v>-2970.1627153390828</v>
      </c>
      <c r="V990" s="368">
        <f t="shared" si="90"/>
        <v>55694679.570379101</v>
      </c>
      <c r="W990" s="30">
        <f t="shared" si="91"/>
        <v>60444872.68097759</v>
      </c>
      <c r="X990" s="30"/>
      <c r="Y990">
        <f t="shared" si="92"/>
        <v>0</v>
      </c>
      <c r="Z990">
        <f t="shared" si="93"/>
        <v>1</v>
      </c>
      <c r="AA990">
        <f t="shared" si="94"/>
        <v>0</v>
      </c>
      <c r="AB990">
        <f t="shared" si="95"/>
        <v>1</v>
      </c>
    </row>
    <row r="991" spans="6:28" x14ac:dyDescent="0.3">
      <c r="F991" s="28"/>
      <c r="G991">
        <v>983</v>
      </c>
      <c r="H991" s="109">
        <v>1184.3580866460907</v>
      </c>
      <c r="I991" s="370">
        <v>1225790.8522712265</v>
      </c>
      <c r="J991">
        <v>0</v>
      </c>
      <c r="K991">
        <v>0</v>
      </c>
      <c r="L991">
        <v>0</v>
      </c>
      <c r="M991">
        <v>1</v>
      </c>
      <c r="N991" s="109">
        <v>1034.9833096023067</v>
      </c>
      <c r="O991" s="109">
        <v>-3626944.1708916724</v>
      </c>
      <c r="P991" s="365">
        <v>1</v>
      </c>
      <c r="Q991" s="365">
        <v>0</v>
      </c>
      <c r="R991" s="365">
        <v>0</v>
      </c>
      <c r="S991" s="365">
        <v>0</v>
      </c>
      <c r="T991" s="109">
        <v>-3062.3712640512194</v>
      </c>
      <c r="V991" s="368">
        <f t="shared" si="90"/>
        <v>57992113.480033301</v>
      </c>
      <c r="W991" s="30">
        <f t="shared" si="91"/>
        <v>62844848.503196202</v>
      </c>
      <c r="X991" s="30"/>
      <c r="Y991">
        <f t="shared" si="92"/>
        <v>0</v>
      </c>
      <c r="Z991">
        <f t="shared" si="93"/>
        <v>1</v>
      </c>
      <c r="AA991">
        <f t="shared" si="94"/>
        <v>0</v>
      </c>
      <c r="AB991">
        <f t="shared" si="95"/>
        <v>1</v>
      </c>
    </row>
    <row r="992" spans="6:28" x14ac:dyDescent="0.3">
      <c r="F992" s="28"/>
      <c r="G992">
        <v>984</v>
      </c>
      <c r="H992" s="109">
        <v>903.21473633182177</v>
      </c>
      <c r="I992" s="370">
        <v>1331400.4050013791</v>
      </c>
      <c r="J992">
        <v>0</v>
      </c>
      <c r="K992">
        <v>0</v>
      </c>
      <c r="L992">
        <v>0</v>
      </c>
      <c r="M992">
        <v>1</v>
      </c>
      <c r="N992" s="109">
        <v>1474.0685148788925</v>
      </c>
      <c r="O992" s="109">
        <v>-1968141.1382719409</v>
      </c>
      <c r="P992" s="365">
        <v>1</v>
      </c>
      <c r="Q992" s="365">
        <v>0</v>
      </c>
      <c r="R992" s="365">
        <v>0</v>
      </c>
      <c r="S992" s="365">
        <v>0</v>
      </c>
      <c r="T992" s="109">
        <v>-2179.0401098470206</v>
      </c>
      <c r="V992" s="368">
        <f t="shared" si="90"/>
        <v>43829336.411589712</v>
      </c>
      <c r="W992" s="30">
        <f t="shared" si="91"/>
        <v>47128877.954863034</v>
      </c>
      <c r="X992" s="30"/>
      <c r="Y992">
        <f t="shared" si="92"/>
        <v>0</v>
      </c>
      <c r="Z992">
        <f t="shared" si="93"/>
        <v>1</v>
      </c>
      <c r="AA992">
        <f t="shared" si="94"/>
        <v>0</v>
      </c>
      <c r="AB992">
        <f t="shared" si="95"/>
        <v>1</v>
      </c>
    </row>
    <row r="993" spans="6:28" x14ac:dyDescent="0.3">
      <c r="F993" s="28"/>
      <c r="G993">
        <v>985</v>
      </c>
      <c r="H993" s="109">
        <v>1202.3016834720911</v>
      </c>
      <c r="I993" s="370">
        <v>782782.49908526044</v>
      </c>
      <c r="J993">
        <v>0</v>
      </c>
      <c r="K993">
        <v>0</v>
      </c>
      <c r="L993">
        <v>0</v>
      </c>
      <c r="M993">
        <v>1</v>
      </c>
      <c r="N993" s="109">
        <v>651.0699517817244</v>
      </c>
      <c r="O993" s="109">
        <v>-4410839.0739409029</v>
      </c>
      <c r="P993" s="365">
        <v>1</v>
      </c>
      <c r="Q993" s="365">
        <v>0</v>
      </c>
      <c r="R993" s="365">
        <v>0</v>
      </c>
      <c r="S993" s="365">
        <v>0</v>
      </c>
      <c r="T993" s="109">
        <v>-3668.6624784579631</v>
      </c>
      <c r="V993" s="368">
        <f t="shared" si="90"/>
        <v>59332301.674519293</v>
      </c>
      <c r="W993" s="30">
        <f t="shared" si="91"/>
        <v>64525923.247545458</v>
      </c>
      <c r="X993" s="30"/>
      <c r="Y993">
        <f t="shared" si="92"/>
        <v>0</v>
      </c>
      <c r="Z993">
        <f t="shared" si="93"/>
        <v>1</v>
      </c>
      <c r="AA993">
        <f t="shared" si="94"/>
        <v>0</v>
      </c>
      <c r="AB993">
        <f t="shared" si="95"/>
        <v>1</v>
      </c>
    </row>
    <row r="994" spans="6:28" x14ac:dyDescent="0.3">
      <c r="F994" s="28"/>
      <c r="G994">
        <v>986</v>
      </c>
      <c r="H994" s="109">
        <v>1732.0382347991981</v>
      </c>
      <c r="I994" s="370">
        <v>393194.20130408683</v>
      </c>
      <c r="J994">
        <v>0</v>
      </c>
      <c r="K994">
        <v>0</v>
      </c>
      <c r="L994">
        <v>0</v>
      </c>
      <c r="M994">
        <v>1</v>
      </c>
      <c r="N994" s="109">
        <v>227.0124258253868</v>
      </c>
      <c r="O994" s="109">
        <v>-5903417.2460029796</v>
      </c>
      <c r="P994" s="365">
        <v>1</v>
      </c>
      <c r="Q994" s="365">
        <v>0</v>
      </c>
      <c r="R994" s="365">
        <v>0</v>
      </c>
      <c r="S994" s="365">
        <v>0</v>
      </c>
      <c r="T994" s="109">
        <v>-3408.3642770665429</v>
      </c>
      <c r="V994" s="368">
        <f t="shared" si="90"/>
        <v>86208717.538655818</v>
      </c>
      <c r="W994" s="30">
        <f t="shared" si="91"/>
        <v>92505328.985962898</v>
      </c>
      <c r="X994" s="30"/>
      <c r="Y994">
        <f t="shared" si="92"/>
        <v>0</v>
      </c>
      <c r="Z994">
        <f t="shared" si="93"/>
        <v>1</v>
      </c>
      <c r="AA994">
        <f t="shared" si="94"/>
        <v>0</v>
      </c>
      <c r="AB994">
        <f t="shared" si="95"/>
        <v>1</v>
      </c>
    </row>
    <row r="995" spans="6:28" x14ac:dyDescent="0.3">
      <c r="F995" s="28"/>
      <c r="G995">
        <v>987</v>
      </c>
      <c r="H995" s="109">
        <v>1327.738562850951</v>
      </c>
      <c r="I995" s="370">
        <v>1624171.637351539</v>
      </c>
      <c r="J995">
        <v>0</v>
      </c>
      <c r="K995">
        <v>0</v>
      </c>
      <c r="L995">
        <v>0</v>
      </c>
      <c r="M995">
        <v>1</v>
      </c>
      <c r="N995" s="109">
        <v>1223.2616290545031</v>
      </c>
      <c r="O995" s="109">
        <v>-3473983.9936266062</v>
      </c>
      <c r="P995" s="365">
        <v>1</v>
      </c>
      <c r="Q995" s="365">
        <v>0</v>
      </c>
      <c r="R995" s="365">
        <v>0</v>
      </c>
      <c r="S995" s="365">
        <v>0</v>
      </c>
      <c r="T995" s="109">
        <v>-2616.4668940300921</v>
      </c>
      <c r="V995" s="368">
        <f t="shared" si="90"/>
        <v>64762756.505196005</v>
      </c>
      <c r="W995" s="30">
        <f t="shared" si="91"/>
        <v>69860912.136174157</v>
      </c>
      <c r="X995" s="30"/>
      <c r="Y995">
        <f t="shared" si="92"/>
        <v>0</v>
      </c>
      <c r="Z995">
        <f t="shared" si="93"/>
        <v>1</v>
      </c>
      <c r="AA995">
        <f t="shared" si="94"/>
        <v>0</v>
      </c>
      <c r="AB995">
        <f t="shared" si="95"/>
        <v>1</v>
      </c>
    </row>
    <row r="996" spans="6:28" x14ac:dyDescent="0.3">
      <c r="F996" s="28"/>
      <c r="G996">
        <v>988</v>
      </c>
      <c r="H996" s="109">
        <v>1199.8818738667469</v>
      </c>
      <c r="I996" s="370">
        <v>773881.73517879192</v>
      </c>
      <c r="J996">
        <v>0</v>
      </c>
      <c r="K996">
        <v>0</v>
      </c>
      <c r="L996">
        <v>0</v>
      </c>
      <c r="M996">
        <v>1</v>
      </c>
      <c r="N996" s="109">
        <v>644.96493532723832</v>
      </c>
      <c r="O996" s="109">
        <v>-3892191.1552146017</v>
      </c>
      <c r="P996" s="365">
        <v>1</v>
      </c>
      <c r="Q996" s="365">
        <v>0</v>
      </c>
      <c r="R996" s="365">
        <v>0</v>
      </c>
      <c r="S996" s="365">
        <v>0</v>
      </c>
      <c r="T996" s="109">
        <v>-3243.8119451472353</v>
      </c>
      <c r="V996" s="368">
        <f t="shared" si="90"/>
        <v>59220211.958158553</v>
      </c>
      <c r="W996" s="30">
        <f t="shared" si="91"/>
        <v>63886284.848551944</v>
      </c>
      <c r="X996" s="30"/>
      <c r="Y996">
        <f t="shared" si="92"/>
        <v>0</v>
      </c>
      <c r="Z996">
        <f t="shared" si="93"/>
        <v>1</v>
      </c>
      <c r="AA996">
        <f t="shared" si="94"/>
        <v>0</v>
      </c>
      <c r="AB996">
        <f t="shared" si="95"/>
        <v>1</v>
      </c>
    </row>
    <row r="997" spans="6:28" x14ac:dyDescent="0.3">
      <c r="F997" s="28"/>
      <c r="G997">
        <v>989</v>
      </c>
      <c r="H997" s="109">
        <v>1283.1817763199215</v>
      </c>
      <c r="I997" s="370">
        <v>1183971.3246639967</v>
      </c>
      <c r="J997">
        <v>0</v>
      </c>
      <c r="K997">
        <v>0</v>
      </c>
      <c r="L997">
        <v>0</v>
      </c>
      <c r="M997">
        <v>1</v>
      </c>
      <c r="N997" s="109">
        <v>922.68402381737872</v>
      </c>
      <c r="O997" s="109">
        <v>-3332783.9467056263</v>
      </c>
      <c r="P997" s="365">
        <v>1</v>
      </c>
      <c r="Q997" s="365">
        <v>0</v>
      </c>
      <c r="R997" s="365">
        <v>0</v>
      </c>
      <c r="S997" s="365">
        <v>0</v>
      </c>
      <c r="T997" s="109">
        <v>-2597.2812334226137</v>
      </c>
      <c r="V997" s="368">
        <f t="shared" si="90"/>
        <v>62975117.491332076</v>
      </c>
      <c r="W997" s="30">
        <f t="shared" si="91"/>
        <v>67491872.762701705</v>
      </c>
      <c r="X997" s="30"/>
      <c r="Y997">
        <f t="shared" si="92"/>
        <v>0</v>
      </c>
      <c r="Z997">
        <f t="shared" si="93"/>
        <v>1</v>
      </c>
      <c r="AA997">
        <f t="shared" si="94"/>
        <v>0</v>
      </c>
      <c r="AB997">
        <f t="shared" si="95"/>
        <v>1</v>
      </c>
    </row>
    <row r="998" spans="6:28" x14ac:dyDescent="0.3">
      <c r="F998" s="28"/>
      <c r="G998">
        <v>990</v>
      </c>
      <c r="H998" s="109">
        <v>1176.4140717774353</v>
      </c>
      <c r="I998" s="370">
        <v>667289.92651093239</v>
      </c>
      <c r="J998">
        <v>0</v>
      </c>
      <c r="K998">
        <v>0</v>
      </c>
      <c r="L998">
        <v>0</v>
      </c>
      <c r="M998">
        <v>1</v>
      </c>
      <c r="N998" s="109">
        <v>567.22368638682553</v>
      </c>
      <c r="O998" s="109">
        <v>-4277634.0577668259</v>
      </c>
      <c r="P998" s="365">
        <v>1</v>
      </c>
      <c r="Q998" s="365">
        <v>0</v>
      </c>
      <c r="R998" s="365">
        <v>0</v>
      </c>
      <c r="S998" s="365">
        <v>0</v>
      </c>
      <c r="T998" s="109">
        <v>-3636.1636267269232</v>
      </c>
      <c r="V998" s="368">
        <f t="shared" si="90"/>
        <v>58153413.662360832</v>
      </c>
      <c r="W998" s="30">
        <f t="shared" si="91"/>
        <v>63098337.646638587</v>
      </c>
      <c r="X998" s="30"/>
      <c r="Y998">
        <f t="shared" si="92"/>
        <v>0</v>
      </c>
      <c r="Z998">
        <f t="shared" si="93"/>
        <v>1</v>
      </c>
      <c r="AA998">
        <f t="shared" si="94"/>
        <v>0</v>
      </c>
      <c r="AB998">
        <f t="shared" si="95"/>
        <v>1</v>
      </c>
    </row>
    <row r="999" spans="6:28" x14ac:dyDescent="0.3">
      <c r="F999" s="28"/>
      <c r="G999">
        <v>991</v>
      </c>
      <c r="H999" s="109">
        <v>1340.7631739876524</v>
      </c>
      <c r="I999" s="370">
        <v>1267800.2737767445</v>
      </c>
      <c r="J999">
        <v>0</v>
      </c>
      <c r="K999">
        <v>0</v>
      </c>
      <c r="L999">
        <v>0</v>
      </c>
      <c r="M999">
        <v>1</v>
      </c>
      <c r="N999" s="109">
        <v>945.58106783772701</v>
      </c>
      <c r="O999" s="109">
        <v>-4048991.3018534784</v>
      </c>
      <c r="P999" s="365">
        <v>1</v>
      </c>
      <c r="Q999" s="365">
        <v>0</v>
      </c>
      <c r="R999" s="365">
        <v>0</v>
      </c>
      <c r="S999" s="365">
        <v>0</v>
      </c>
      <c r="T999" s="109">
        <v>-3019.9153589601551</v>
      </c>
      <c r="V999" s="368">
        <f t="shared" si="90"/>
        <v>65770358.425605871</v>
      </c>
      <c r="W999" s="30">
        <f t="shared" si="91"/>
        <v>71087150.001236096</v>
      </c>
      <c r="X999" s="30"/>
      <c r="Y999">
        <f t="shared" si="92"/>
        <v>0</v>
      </c>
      <c r="Z999">
        <f t="shared" si="93"/>
        <v>1</v>
      </c>
      <c r="AA999">
        <f t="shared" si="94"/>
        <v>0</v>
      </c>
      <c r="AB999">
        <f t="shared" si="95"/>
        <v>1</v>
      </c>
    </row>
    <row r="1000" spans="6:28" x14ac:dyDescent="0.3">
      <c r="F1000" s="28"/>
      <c r="G1000">
        <v>992</v>
      </c>
      <c r="H1000" s="109">
        <v>1308.8787953451101</v>
      </c>
      <c r="I1000" s="370">
        <v>1575596.7421276025</v>
      </c>
      <c r="J1000">
        <v>0</v>
      </c>
      <c r="K1000">
        <v>0</v>
      </c>
      <c r="L1000">
        <v>0</v>
      </c>
      <c r="M1000">
        <v>1</v>
      </c>
      <c r="N1000" s="109">
        <v>1203.7758940942788</v>
      </c>
      <c r="O1000" s="109">
        <v>-3233213.1301504755</v>
      </c>
      <c r="P1000" s="365">
        <v>1</v>
      </c>
      <c r="Q1000" s="365">
        <v>0</v>
      </c>
      <c r="R1000" s="365">
        <v>0</v>
      </c>
      <c r="S1000" s="365">
        <v>0</v>
      </c>
      <c r="T1000" s="109">
        <v>-2470.2158378980989</v>
      </c>
      <c r="V1000" s="368">
        <f t="shared" si="90"/>
        <v>63868343.025127903</v>
      </c>
      <c r="W1000" s="30">
        <f t="shared" si="91"/>
        <v>68677152.897405982</v>
      </c>
      <c r="X1000" s="30"/>
      <c r="Y1000">
        <f t="shared" si="92"/>
        <v>0</v>
      </c>
      <c r="Z1000">
        <f t="shared" si="93"/>
        <v>1</v>
      </c>
      <c r="AA1000">
        <f t="shared" si="94"/>
        <v>0</v>
      </c>
      <c r="AB1000">
        <f t="shared" si="95"/>
        <v>1</v>
      </c>
    </row>
    <row r="1001" spans="6:28" x14ac:dyDescent="0.3">
      <c r="F1001" s="28"/>
      <c r="G1001">
        <v>993</v>
      </c>
      <c r="H1001" s="109">
        <v>990.67862449527456</v>
      </c>
      <c r="I1001" s="370">
        <v>751265.88505679183</v>
      </c>
      <c r="J1001">
        <v>0</v>
      </c>
      <c r="K1001">
        <v>0</v>
      </c>
      <c r="L1001">
        <v>0</v>
      </c>
      <c r="M1001">
        <v>1</v>
      </c>
      <c r="N1001" s="109">
        <v>758.33460668392092</v>
      </c>
      <c r="O1001" s="109">
        <v>-3161939.2170570237</v>
      </c>
      <c r="P1001" s="365">
        <v>1</v>
      </c>
      <c r="Q1001" s="365">
        <v>0</v>
      </c>
      <c r="R1001" s="365">
        <v>0</v>
      </c>
      <c r="S1001" s="365">
        <v>0</v>
      </c>
      <c r="T1001" s="109">
        <v>-3191.6901595287281</v>
      </c>
      <c r="V1001" s="368">
        <f t="shared" si="90"/>
        <v>48782665.339706935</v>
      </c>
      <c r="W1001" s="30">
        <f t="shared" si="91"/>
        <v>52695870.441820756</v>
      </c>
      <c r="X1001" s="30"/>
      <c r="Y1001">
        <f t="shared" si="92"/>
        <v>0</v>
      </c>
      <c r="Z1001">
        <f t="shared" si="93"/>
        <v>1</v>
      </c>
      <c r="AA1001">
        <f t="shared" si="94"/>
        <v>0</v>
      </c>
      <c r="AB1001">
        <f t="shared" si="95"/>
        <v>1</v>
      </c>
    </row>
    <row r="1002" spans="6:28" x14ac:dyDescent="0.3">
      <c r="F1002" s="28"/>
      <c r="G1002">
        <v>994</v>
      </c>
      <c r="H1002" s="109">
        <v>1297.6331054990733</v>
      </c>
      <c r="I1002" s="370">
        <v>705457.75872341543</v>
      </c>
      <c r="J1002">
        <v>0</v>
      </c>
      <c r="K1002">
        <v>0</v>
      </c>
      <c r="L1002">
        <v>0</v>
      </c>
      <c r="M1002">
        <v>1</v>
      </c>
      <c r="N1002" s="109">
        <v>543.64963080384302</v>
      </c>
      <c r="O1002" s="109">
        <v>-4638132.7957637496</v>
      </c>
      <c r="P1002" s="365">
        <v>1</v>
      </c>
      <c r="Q1002" s="365">
        <v>0</v>
      </c>
      <c r="R1002" s="365">
        <v>0</v>
      </c>
      <c r="S1002" s="365">
        <v>0</v>
      </c>
      <c r="T1002" s="109">
        <v>-3574.3021475857854</v>
      </c>
      <c r="V1002" s="368">
        <f t="shared" si="90"/>
        <v>64176197.516230248</v>
      </c>
      <c r="W1002" s="30">
        <f t="shared" si="91"/>
        <v>69519788.070717409</v>
      </c>
      <c r="X1002" s="30"/>
      <c r="Y1002">
        <f t="shared" si="92"/>
        <v>0</v>
      </c>
      <c r="Z1002">
        <f t="shared" si="93"/>
        <v>1</v>
      </c>
      <c r="AA1002">
        <f t="shared" si="94"/>
        <v>0</v>
      </c>
      <c r="AB1002">
        <f t="shared" si="95"/>
        <v>1</v>
      </c>
    </row>
    <row r="1003" spans="6:28" x14ac:dyDescent="0.3">
      <c r="F1003" s="28"/>
      <c r="G1003">
        <v>995</v>
      </c>
      <c r="H1003" s="109">
        <v>1054.2395707072574</v>
      </c>
      <c r="I1003" s="370">
        <v>1156782.6106830183</v>
      </c>
      <c r="J1003">
        <v>0</v>
      </c>
      <c r="K1003">
        <v>0</v>
      </c>
      <c r="L1003">
        <v>0</v>
      </c>
      <c r="M1003">
        <v>1</v>
      </c>
      <c r="N1003" s="109">
        <v>1097.267303206014</v>
      </c>
      <c r="O1003" s="109">
        <v>-3129536.7417869559</v>
      </c>
      <c r="P1003" s="365">
        <v>1</v>
      </c>
      <c r="Q1003" s="365">
        <v>0</v>
      </c>
      <c r="R1003" s="365">
        <v>0</v>
      </c>
      <c r="S1003" s="365">
        <v>0</v>
      </c>
      <c r="T1003" s="109">
        <v>-2968.5252088265333</v>
      </c>
      <c r="V1003" s="368">
        <f t="shared" si="90"/>
        <v>51555195.924679853</v>
      </c>
      <c r="W1003" s="30">
        <f t="shared" si="91"/>
        <v>55841515.277149826</v>
      </c>
      <c r="X1003" s="30"/>
      <c r="Y1003">
        <f t="shared" si="92"/>
        <v>0</v>
      </c>
      <c r="Z1003">
        <f t="shared" si="93"/>
        <v>1</v>
      </c>
      <c r="AA1003">
        <f t="shared" si="94"/>
        <v>0</v>
      </c>
      <c r="AB1003">
        <f t="shared" si="95"/>
        <v>1</v>
      </c>
    </row>
    <row r="1004" spans="6:28" x14ac:dyDescent="0.3">
      <c r="F1004" s="28"/>
      <c r="G1004">
        <v>996</v>
      </c>
      <c r="H1004" s="109">
        <v>912.52851967342576</v>
      </c>
      <c r="I1004" s="370">
        <v>1394409.1476726679</v>
      </c>
      <c r="J1004">
        <v>0</v>
      </c>
      <c r="K1004">
        <v>0</v>
      </c>
      <c r="L1004">
        <v>0</v>
      </c>
      <c r="M1004">
        <v>1</v>
      </c>
      <c r="N1004" s="109">
        <v>1528.0718548628997</v>
      </c>
      <c r="O1004" s="109">
        <v>-1769532.4515685991</v>
      </c>
      <c r="P1004" s="365">
        <v>1</v>
      </c>
      <c r="Q1004" s="365">
        <v>0</v>
      </c>
      <c r="R1004" s="365">
        <v>0</v>
      </c>
      <c r="S1004" s="365">
        <v>0</v>
      </c>
      <c r="T1004" s="109">
        <v>-1939.153038418872</v>
      </c>
      <c r="V1004" s="368">
        <f t="shared" si="90"/>
        <v>44232016.835998617</v>
      </c>
      <c r="W1004" s="30">
        <f t="shared" si="91"/>
        <v>47395958.435239881</v>
      </c>
      <c r="X1004" s="30"/>
      <c r="Y1004">
        <f t="shared" si="92"/>
        <v>0</v>
      </c>
      <c r="Z1004">
        <f t="shared" si="93"/>
        <v>1</v>
      </c>
      <c r="AA1004">
        <f t="shared" si="94"/>
        <v>0</v>
      </c>
      <c r="AB1004">
        <f t="shared" si="95"/>
        <v>1</v>
      </c>
    </row>
    <row r="1005" spans="6:28" x14ac:dyDescent="0.3">
      <c r="F1005" s="28"/>
      <c r="G1005">
        <v>997</v>
      </c>
      <c r="H1005" s="109">
        <v>1247.2488461401299</v>
      </c>
      <c r="I1005" s="370">
        <v>1030993.3072020902</v>
      </c>
      <c r="J1005">
        <v>0</v>
      </c>
      <c r="K1005">
        <v>0</v>
      </c>
      <c r="L1005">
        <v>0</v>
      </c>
      <c r="M1005">
        <v>1</v>
      </c>
      <c r="N1005" s="109">
        <v>826.61395950993472</v>
      </c>
      <c r="O1005" s="109">
        <v>-4762876.1735119307</v>
      </c>
      <c r="P1005" s="365">
        <v>1</v>
      </c>
      <c r="Q1005" s="365">
        <v>0</v>
      </c>
      <c r="R1005" s="365">
        <v>0</v>
      </c>
      <c r="S1005" s="365">
        <v>0</v>
      </c>
      <c r="T1005" s="109">
        <v>-3818.705616166043</v>
      </c>
      <c r="V1005" s="368">
        <f t="shared" si="90"/>
        <v>61331448.9998044</v>
      </c>
      <c r="W1005" s="30">
        <f t="shared" si="91"/>
        <v>67125318.48051843</v>
      </c>
      <c r="X1005" s="30"/>
      <c r="Y1005">
        <f t="shared" si="92"/>
        <v>0</v>
      </c>
      <c r="Z1005">
        <f t="shared" si="93"/>
        <v>1</v>
      </c>
      <c r="AA1005">
        <f t="shared" si="94"/>
        <v>0</v>
      </c>
      <c r="AB1005">
        <f t="shared" si="95"/>
        <v>1</v>
      </c>
    </row>
    <row r="1006" spans="6:28" x14ac:dyDescent="0.3">
      <c r="F1006" s="28"/>
      <c r="G1006">
        <v>998</v>
      </c>
      <c r="H1006" s="109">
        <v>1046.0017592550867</v>
      </c>
      <c r="I1006" s="370">
        <v>951498.73700725881</v>
      </c>
      <c r="J1006">
        <v>0</v>
      </c>
      <c r="K1006">
        <v>0</v>
      </c>
      <c r="L1006">
        <v>0</v>
      </c>
      <c r="M1006">
        <v>1</v>
      </c>
      <c r="N1006" s="109">
        <v>909.6530943550913</v>
      </c>
      <c r="O1006" s="109">
        <v>-3392855.6399122421</v>
      </c>
      <c r="P1006" s="365">
        <v>1</v>
      </c>
      <c r="Q1006" s="365">
        <v>0</v>
      </c>
      <c r="R1006" s="365">
        <v>0</v>
      </c>
      <c r="S1006" s="365">
        <v>0</v>
      </c>
      <c r="T1006" s="109">
        <v>-3243.642383860305</v>
      </c>
      <c r="V1006" s="368">
        <f t="shared" si="90"/>
        <v>51348589.225747071</v>
      </c>
      <c r="W1006" s="30">
        <f t="shared" si="91"/>
        <v>55692943.602666572</v>
      </c>
      <c r="X1006" s="30"/>
      <c r="Y1006">
        <f t="shared" si="92"/>
        <v>0</v>
      </c>
      <c r="Z1006">
        <f t="shared" si="93"/>
        <v>1</v>
      </c>
      <c r="AA1006">
        <f t="shared" si="94"/>
        <v>0</v>
      </c>
      <c r="AB1006">
        <f t="shared" si="95"/>
        <v>1</v>
      </c>
    </row>
    <row r="1007" spans="6:28" x14ac:dyDescent="0.3">
      <c r="F1007" s="28"/>
      <c r="G1007">
        <v>999</v>
      </c>
      <c r="H1007" s="109">
        <v>1281.1767866137961</v>
      </c>
      <c r="I1007" s="370">
        <v>1138617.3167247663</v>
      </c>
      <c r="J1007">
        <v>0</v>
      </c>
      <c r="K1007">
        <v>0</v>
      </c>
      <c r="L1007">
        <v>0</v>
      </c>
      <c r="M1007">
        <v>1</v>
      </c>
      <c r="N1007" s="109">
        <v>888.72771394350616</v>
      </c>
      <c r="O1007" s="109">
        <v>-4108901.1646372699</v>
      </c>
      <c r="P1007" s="365">
        <v>1</v>
      </c>
      <c r="Q1007" s="365">
        <v>0</v>
      </c>
      <c r="R1007" s="365">
        <v>0</v>
      </c>
      <c r="S1007" s="365">
        <v>0</v>
      </c>
      <c r="T1007" s="109">
        <v>-3207.1305127977439</v>
      </c>
      <c r="V1007" s="368">
        <f t="shared" si="90"/>
        <v>62920222.01396504</v>
      </c>
      <c r="W1007" s="30">
        <f t="shared" si="91"/>
        <v>68167740.495327085</v>
      </c>
      <c r="X1007" s="30"/>
      <c r="Y1007">
        <f t="shared" si="92"/>
        <v>0</v>
      </c>
      <c r="Z1007">
        <f t="shared" si="93"/>
        <v>1</v>
      </c>
      <c r="AA1007">
        <f t="shared" si="94"/>
        <v>0</v>
      </c>
      <c r="AB1007">
        <f t="shared" si="95"/>
        <v>1</v>
      </c>
    </row>
    <row r="1008" spans="6:28" x14ac:dyDescent="0.3">
      <c r="F1008" s="28"/>
      <c r="G1008">
        <v>1000</v>
      </c>
      <c r="H1008" s="109">
        <v>1294.3568441154348</v>
      </c>
      <c r="I1008" s="370">
        <v>2144806.0045233746</v>
      </c>
      <c r="J1008">
        <v>0</v>
      </c>
      <c r="K1008">
        <v>0</v>
      </c>
      <c r="L1008">
        <v>0</v>
      </c>
      <c r="M1008">
        <v>1</v>
      </c>
      <c r="N1008" s="109">
        <v>1657.0438162198909</v>
      </c>
      <c r="O1008" s="109">
        <v>-2717740.7779627601</v>
      </c>
      <c r="P1008" s="365">
        <v>1</v>
      </c>
      <c r="Q1008" s="365">
        <v>0</v>
      </c>
      <c r="R1008" s="365">
        <v>0</v>
      </c>
      <c r="S1008" s="365">
        <v>0</v>
      </c>
      <c r="T1008" s="109">
        <v>-2099.6843260948394</v>
      </c>
      <c r="V1008" s="368">
        <f t="shared" si="90"/>
        <v>62573036.201248363</v>
      </c>
      <c r="W1008" s="30">
        <f t="shared" si="91"/>
        <v>67435582.983734503</v>
      </c>
      <c r="X1008" s="30"/>
      <c r="Y1008">
        <f t="shared" si="92"/>
        <v>0</v>
      </c>
      <c r="Z1008">
        <f t="shared" si="93"/>
        <v>1</v>
      </c>
      <c r="AA1008">
        <f t="shared" si="94"/>
        <v>0</v>
      </c>
      <c r="AB1008">
        <f t="shared" si="95"/>
        <v>1</v>
      </c>
    </row>
    <row r="1009" spans="9:9" x14ac:dyDescent="0.3">
      <c r="I1009" s="365"/>
    </row>
    <row r="1010" spans="9:9" x14ac:dyDescent="0.3">
      <c r="I1010" s="365"/>
    </row>
    <row r="1011" spans="9:9" x14ac:dyDescent="0.3">
      <c r="I1011" s="365"/>
    </row>
    <row r="1012" spans="9:9" x14ac:dyDescent="0.3">
      <c r="I1012" s="365"/>
    </row>
    <row r="1013" spans="9:9" x14ac:dyDescent="0.3">
      <c r="I1013" s="365"/>
    </row>
    <row r="1014" spans="9:9" x14ac:dyDescent="0.3">
      <c r="I1014" s="365"/>
    </row>
    <row r="1015" spans="9:9" x14ac:dyDescent="0.3">
      <c r="I1015" s="365"/>
    </row>
    <row r="1016" spans="9:9" x14ac:dyDescent="0.3">
      <c r="I1016" s="365"/>
    </row>
    <row r="1017" spans="9:9" x14ac:dyDescent="0.3">
      <c r="I1017" s="365"/>
    </row>
    <row r="1018" spans="9:9" x14ac:dyDescent="0.3">
      <c r="I1018" s="365"/>
    </row>
    <row r="1019" spans="9:9" x14ac:dyDescent="0.3">
      <c r="I1019" s="365"/>
    </row>
    <row r="1020" spans="9:9" x14ac:dyDescent="0.3">
      <c r="I1020" s="365"/>
    </row>
    <row r="1021" spans="9:9" x14ac:dyDescent="0.3">
      <c r="I1021" s="365"/>
    </row>
    <row r="1022" spans="9:9" x14ac:dyDescent="0.3">
      <c r="I1022" s="365"/>
    </row>
    <row r="1023" spans="9:9" x14ac:dyDescent="0.3">
      <c r="I1023" s="365"/>
    </row>
    <row r="1024" spans="9:9" x14ac:dyDescent="0.3">
      <c r="I1024" s="365"/>
    </row>
    <row r="1025" spans="9:9" x14ac:dyDescent="0.3">
      <c r="I1025" s="36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MCsimulation">
                <anchor moveWithCells="1" sizeWithCells="1">
                  <from>
                    <xdr:col>5</xdr:col>
                    <xdr:colOff>464820</xdr:colOff>
                    <xdr:row>1</xdr:row>
                    <xdr:rowOff>22860</xdr:rowOff>
                  </from>
                  <to>
                    <xdr:col>5</xdr:col>
                    <xdr:colOff>2278380</xdr:colOff>
                    <xdr:row>16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dimension ref="A1:EV198"/>
  <sheetViews>
    <sheetView topLeftCell="AN1" zoomScaleNormal="100" workbookViewId="0">
      <pane ySplit="1" topLeftCell="A149" activePane="bottomLeft" state="frozen"/>
      <selection activeCell="C55" sqref="C55"/>
      <selection pane="bottomLeft" activeCell="C55" sqref="C55"/>
    </sheetView>
  </sheetViews>
  <sheetFormatPr defaultColWidth="9.109375" defaultRowHeight="14.4" x14ac:dyDescent="0.3"/>
  <cols>
    <col min="1" max="1" width="26.44140625" customWidth="1"/>
    <col min="2" max="2" width="16.44140625" customWidth="1"/>
    <col min="3" max="3" width="9.5546875" customWidth="1"/>
    <col min="26" max="28" width="10.5546875" bestFit="1" customWidth="1"/>
    <col min="29" max="30" width="11.5546875" bestFit="1" customWidth="1"/>
    <col min="31" max="31" width="12.5546875" bestFit="1" customWidth="1"/>
    <col min="32" max="33" width="11.88671875" bestFit="1" customWidth="1"/>
    <col min="34" max="34" width="11.5546875" customWidth="1"/>
    <col min="35" max="39" width="13.6640625" customWidth="1"/>
    <col min="40" max="40" width="21.33203125" customWidth="1"/>
    <col min="42" max="42" width="17" customWidth="1"/>
    <col min="43" max="43" width="22.6640625" customWidth="1"/>
    <col min="44" max="44" width="23" customWidth="1"/>
    <col min="45" max="45" width="17" customWidth="1"/>
    <col min="46" max="52" width="20.33203125" customWidth="1"/>
    <col min="53" max="53" width="19.109375" customWidth="1"/>
    <col min="54" max="54" width="20.6640625" customWidth="1"/>
    <col min="55" max="56" width="23" customWidth="1"/>
    <col min="62" max="62" width="24.109375" customWidth="1"/>
    <col min="63" max="64" width="13.44140625" customWidth="1"/>
    <col min="65" max="65" width="15" customWidth="1"/>
    <col min="66" max="66" width="13.44140625" customWidth="1"/>
    <col min="67" max="73" width="12.88671875" customWidth="1"/>
    <col min="75" max="81" width="23" customWidth="1"/>
    <col min="82" max="82" width="21.88671875" bestFit="1" customWidth="1"/>
    <col min="83" max="83" width="24.33203125" bestFit="1" customWidth="1"/>
    <col min="84" max="84" width="18" bestFit="1" customWidth="1"/>
    <col min="85" max="85" width="18" customWidth="1"/>
    <col min="95" max="95" width="13.33203125" customWidth="1"/>
    <col min="96" max="96" width="15.88671875" customWidth="1"/>
    <col min="97" max="97" width="21.6640625" customWidth="1"/>
    <col min="98" max="98" width="24.33203125" bestFit="1" customWidth="1"/>
    <col min="99" max="99" width="24.33203125" customWidth="1"/>
    <col min="101" max="101" width="30.6640625" customWidth="1"/>
    <col min="103" max="103" width="23.6640625" bestFit="1" customWidth="1"/>
    <col min="104" max="104" width="18.109375" customWidth="1"/>
    <col min="105" max="105" width="16.88671875" customWidth="1"/>
    <col min="106" max="106" width="19.33203125" customWidth="1"/>
    <col min="107" max="107" width="19" customWidth="1"/>
    <col min="109" max="111" width="15.88671875" customWidth="1"/>
    <col min="112" max="114" width="15.5546875" customWidth="1"/>
    <col min="128" max="128" width="13" bestFit="1" customWidth="1"/>
    <col min="148" max="148" width="12.88671875" customWidth="1"/>
    <col min="149" max="149" width="14.88671875" customWidth="1"/>
    <col min="151" max="151" width="28.6640625" bestFit="1" customWidth="1"/>
    <col min="152" max="152" width="14.33203125" customWidth="1"/>
    <col min="158" max="158" width="16.109375" customWidth="1"/>
    <col min="159" max="159" width="12.109375" customWidth="1"/>
  </cols>
  <sheetData>
    <row r="1" spans="1:152" ht="56.25" customHeight="1" x14ac:dyDescent="0.3">
      <c r="A1" s="80" t="s">
        <v>223</v>
      </c>
      <c r="B1" s="80" t="s">
        <v>636</v>
      </c>
      <c r="C1" t="s">
        <v>1100</v>
      </c>
      <c r="D1" s="83" t="s">
        <v>13</v>
      </c>
      <c r="E1" s="83" t="s">
        <v>14</v>
      </c>
      <c r="F1" s="83" t="s">
        <v>15</v>
      </c>
      <c r="G1" s="83" t="s">
        <v>16</v>
      </c>
      <c r="H1" s="83" t="s">
        <v>17</v>
      </c>
      <c r="I1" s="83" t="s">
        <v>18</v>
      </c>
      <c r="J1" s="83" t="s">
        <v>19</v>
      </c>
      <c r="K1" s="83" t="s">
        <v>20</v>
      </c>
      <c r="L1" s="83" t="s">
        <v>21</v>
      </c>
      <c r="M1" s="83" t="s">
        <v>22</v>
      </c>
      <c r="N1" s="83" t="s">
        <v>23</v>
      </c>
      <c r="O1" s="83" t="s">
        <v>24</v>
      </c>
      <c r="P1" s="83" t="s">
        <v>25</v>
      </c>
      <c r="Q1" s="83" t="s">
        <v>26</v>
      </c>
      <c r="R1" s="83" t="s">
        <v>27</v>
      </c>
      <c r="S1" s="83" t="s">
        <v>28</v>
      </c>
      <c r="T1" s="83" t="s">
        <v>29</v>
      </c>
      <c r="U1" s="83" t="s">
        <v>30</v>
      </c>
      <c r="V1" s="83" t="s">
        <v>31</v>
      </c>
      <c r="W1" s="83" t="s">
        <v>32</v>
      </c>
      <c r="X1" s="83" t="s">
        <v>33</v>
      </c>
      <c r="Y1" s="83" t="s">
        <v>1102</v>
      </c>
      <c r="Z1" s="31" t="s">
        <v>8</v>
      </c>
      <c r="AA1" s="31" t="s">
        <v>2</v>
      </c>
      <c r="AB1" s="31" t="s">
        <v>3</v>
      </c>
      <c r="AC1" s="31" t="s">
        <v>4</v>
      </c>
      <c r="AD1" s="31" t="s">
        <v>5</v>
      </c>
      <c r="AE1" s="31" t="s">
        <v>6</v>
      </c>
      <c r="AF1" s="31" t="s">
        <v>7</v>
      </c>
      <c r="AG1" s="31" t="s">
        <v>11</v>
      </c>
      <c r="AH1" s="31" t="s">
        <v>233</v>
      </c>
      <c r="AI1" t="s">
        <v>229</v>
      </c>
      <c r="AJ1" t="s">
        <v>678</v>
      </c>
      <c r="AK1" t="s">
        <v>677</v>
      </c>
      <c r="AM1" t="s">
        <v>586</v>
      </c>
      <c r="AN1" t="s">
        <v>0</v>
      </c>
      <c r="AO1" t="s">
        <v>647</v>
      </c>
      <c r="AP1" s="3" t="s">
        <v>1103</v>
      </c>
      <c r="AQ1" s="3" t="s">
        <v>1106</v>
      </c>
      <c r="AR1" s="3" t="s">
        <v>1107</v>
      </c>
      <c r="AS1" t="s">
        <v>1146</v>
      </c>
      <c r="AT1" t="s">
        <v>1147</v>
      </c>
      <c r="AU1" t="s">
        <v>1148</v>
      </c>
      <c r="AV1" t="s">
        <v>1149</v>
      </c>
      <c r="AW1" t="s">
        <v>1150</v>
      </c>
      <c r="AX1" t="s">
        <v>1151</v>
      </c>
      <c r="AY1" t="s">
        <v>742</v>
      </c>
      <c r="AZ1" t="s">
        <v>743</v>
      </c>
      <c r="BA1" t="s">
        <v>744</v>
      </c>
      <c r="BB1" t="s">
        <v>745</v>
      </c>
      <c r="BC1" t="s">
        <v>746</v>
      </c>
      <c r="BD1" t="s">
        <v>747</v>
      </c>
      <c r="BE1" t="s">
        <v>748</v>
      </c>
      <c r="BF1" t="s">
        <v>749</v>
      </c>
      <c r="BG1" t="s">
        <v>750</v>
      </c>
      <c r="BH1" t="s">
        <v>751</v>
      </c>
      <c r="BJ1" t="s">
        <v>586</v>
      </c>
      <c r="BK1" s="3" t="s">
        <v>1103</v>
      </c>
      <c r="BL1" s="3" t="s">
        <v>1340</v>
      </c>
      <c r="BM1" t="s">
        <v>1141</v>
      </c>
      <c r="BN1" t="s">
        <v>1142</v>
      </c>
      <c r="BO1" t="s">
        <v>1143</v>
      </c>
      <c r="BW1" t="s">
        <v>586</v>
      </c>
      <c r="BX1" t="s">
        <v>1342</v>
      </c>
      <c r="BY1" t="s">
        <v>732</v>
      </c>
      <c r="BZ1" t="s">
        <v>733</v>
      </c>
      <c r="CA1" t="s">
        <v>729</v>
      </c>
      <c r="CB1" t="s">
        <v>730</v>
      </c>
      <c r="CC1" t="s">
        <v>910</v>
      </c>
      <c r="CD1" t="s">
        <v>729</v>
      </c>
      <c r="CE1" t="s">
        <v>730</v>
      </c>
      <c r="CF1" t="s">
        <v>731</v>
      </c>
      <c r="CG1" t="s">
        <v>910</v>
      </c>
      <c r="CI1" t="s">
        <v>586</v>
      </c>
      <c r="CJ1" t="s">
        <v>1342</v>
      </c>
      <c r="CK1" t="s">
        <v>732</v>
      </c>
      <c r="CL1" t="s">
        <v>733</v>
      </c>
      <c r="CM1" t="s">
        <v>729</v>
      </c>
      <c r="CN1" t="s">
        <v>730</v>
      </c>
      <c r="CO1" t="s">
        <v>910</v>
      </c>
      <c r="CP1" t="s">
        <v>729</v>
      </c>
      <c r="CQ1" t="s">
        <v>730</v>
      </c>
      <c r="CR1" t="s">
        <v>731</v>
      </c>
      <c r="CS1" t="s">
        <v>910</v>
      </c>
      <c r="CW1" t="s">
        <v>734</v>
      </c>
      <c r="CX1" t="s">
        <v>857</v>
      </c>
      <c r="CY1" s="3" t="s">
        <v>735</v>
      </c>
      <c r="CZ1" s="3" t="s">
        <v>736</v>
      </c>
      <c r="DA1" s="3" t="s">
        <v>737</v>
      </c>
      <c r="DB1" s="3" t="s">
        <v>738</v>
      </c>
      <c r="DC1" s="3" t="s">
        <v>739</v>
      </c>
      <c r="DD1" s="3"/>
      <c r="DE1" s="3" t="s">
        <v>858</v>
      </c>
      <c r="DF1" s="3"/>
      <c r="DG1" s="3"/>
      <c r="DH1" s="3" t="s">
        <v>863</v>
      </c>
      <c r="DI1" s="3" t="s">
        <v>864</v>
      </c>
      <c r="DJ1" s="3" t="s">
        <v>1356</v>
      </c>
      <c r="DL1" s="373" t="s">
        <v>586</v>
      </c>
      <c r="DM1" s="373" t="s">
        <v>592</v>
      </c>
      <c r="DN1" s="373" t="s">
        <v>741</v>
      </c>
      <c r="DO1" s="373" t="s">
        <v>743</v>
      </c>
      <c r="DP1" s="373" t="s">
        <v>744</v>
      </c>
      <c r="DQ1" s="373" t="s">
        <v>745</v>
      </c>
      <c r="DR1" s="373" t="s">
        <v>746</v>
      </c>
      <c r="DS1" s="373" t="s">
        <v>747</v>
      </c>
      <c r="DT1" s="373" t="s">
        <v>748</v>
      </c>
      <c r="DU1" s="373" t="s">
        <v>749</v>
      </c>
      <c r="DV1" s="373" t="s">
        <v>750</v>
      </c>
      <c r="DW1" s="373" t="s">
        <v>751</v>
      </c>
      <c r="DX1" s="373" t="s">
        <v>859</v>
      </c>
      <c r="DY1" s="373" t="s">
        <v>860</v>
      </c>
      <c r="DZ1" s="373" t="s">
        <v>862</v>
      </c>
      <c r="EB1" s="373" t="s">
        <v>586</v>
      </c>
      <c r="EC1" s="373" t="s">
        <v>592</v>
      </c>
      <c r="ED1" s="373" t="s">
        <v>741</v>
      </c>
      <c r="EE1" s="373" t="s">
        <v>742</v>
      </c>
      <c r="EF1" s="373" t="s">
        <v>743</v>
      </c>
      <c r="EG1" s="373" t="s">
        <v>744</v>
      </c>
      <c r="EH1" s="373" t="s">
        <v>745</v>
      </c>
      <c r="EI1" s="373" t="s">
        <v>746</v>
      </c>
      <c r="EJ1" s="373" t="s">
        <v>747</v>
      </c>
      <c r="EK1" s="373" t="s">
        <v>748</v>
      </c>
      <c r="EL1" s="373" t="s">
        <v>749</v>
      </c>
      <c r="EM1" s="373" t="s">
        <v>750</v>
      </c>
      <c r="EN1" s="373" t="s">
        <v>751</v>
      </c>
      <c r="EO1" t="s">
        <v>859</v>
      </c>
      <c r="ER1" s="374" t="s">
        <v>967</v>
      </c>
      <c r="ES1" s="374" t="s">
        <v>861</v>
      </c>
      <c r="EU1" t="s">
        <v>586</v>
      </c>
      <c r="EV1" s="3" t="s">
        <v>921</v>
      </c>
    </row>
    <row r="2" spans="1:152" x14ac:dyDescent="0.3">
      <c r="A2" t="s">
        <v>648</v>
      </c>
    </row>
    <row r="3" spans="1:152" x14ac:dyDescent="0.3">
      <c r="A3">
        <v>1</v>
      </c>
      <c r="B3">
        <v>2</v>
      </c>
      <c r="C3">
        <v>3</v>
      </c>
      <c r="D3">
        <v>4</v>
      </c>
      <c r="E3">
        <v>5</v>
      </c>
      <c r="F3">
        <v>6</v>
      </c>
      <c r="G3">
        <v>7</v>
      </c>
      <c r="H3">
        <v>8</v>
      </c>
      <c r="I3">
        <v>9</v>
      </c>
      <c r="J3">
        <v>10</v>
      </c>
      <c r="K3">
        <v>11</v>
      </c>
      <c r="L3">
        <v>12</v>
      </c>
      <c r="M3">
        <v>13</v>
      </c>
      <c r="N3">
        <v>14</v>
      </c>
      <c r="O3">
        <v>15</v>
      </c>
      <c r="P3">
        <v>16</v>
      </c>
      <c r="Q3">
        <v>17</v>
      </c>
      <c r="R3">
        <v>18</v>
      </c>
      <c r="S3">
        <v>19</v>
      </c>
      <c r="T3">
        <v>20</v>
      </c>
      <c r="U3">
        <v>21</v>
      </c>
      <c r="V3">
        <v>22</v>
      </c>
      <c r="W3">
        <v>23</v>
      </c>
      <c r="X3">
        <v>24</v>
      </c>
      <c r="Y3">
        <f>X3+1</f>
        <v>25</v>
      </c>
      <c r="Z3">
        <f t="shared" ref="Z3:AK3" si="0">Y3+1</f>
        <v>26</v>
      </c>
      <c r="AA3">
        <f t="shared" si="0"/>
        <v>27</v>
      </c>
      <c r="AB3">
        <f t="shared" si="0"/>
        <v>28</v>
      </c>
      <c r="AC3">
        <f t="shared" si="0"/>
        <v>29</v>
      </c>
      <c r="AD3">
        <f t="shared" si="0"/>
        <v>30</v>
      </c>
      <c r="AE3">
        <f t="shared" si="0"/>
        <v>31</v>
      </c>
      <c r="AF3">
        <f t="shared" si="0"/>
        <v>32</v>
      </c>
      <c r="AG3">
        <f t="shared" si="0"/>
        <v>33</v>
      </c>
      <c r="AH3">
        <f t="shared" si="0"/>
        <v>34</v>
      </c>
      <c r="AI3">
        <f t="shared" si="0"/>
        <v>35</v>
      </c>
      <c r="AJ3">
        <f t="shared" si="0"/>
        <v>36</v>
      </c>
      <c r="AK3">
        <f t="shared" si="0"/>
        <v>37</v>
      </c>
      <c r="AM3">
        <v>1</v>
      </c>
      <c r="AN3">
        <v>2</v>
      </c>
      <c r="AO3">
        <v>3</v>
      </c>
      <c r="AP3">
        <v>4</v>
      </c>
      <c r="AQ3">
        <v>5</v>
      </c>
      <c r="AR3">
        <v>6</v>
      </c>
    </row>
    <row r="4" spans="1:152" x14ac:dyDescent="0.3">
      <c r="A4" s="22" t="s">
        <v>725</v>
      </c>
      <c r="C4" s="23" t="s">
        <v>676</v>
      </c>
      <c r="AM4" s="23" t="s">
        <v>1104</v>
      </c>
      <c r="BJ4" s="23" t="s">
        <v>563</v>
      </c>
    </row>
    <row r="5" spans="1:152" x14ac:dyDescent="0.3">
      <c r="A5" t="s">
        <v>657</v>
      </c>
      <c r="C5" s="372" t="s">
        <v>1118</v>
      </c>
      <c r="AS5" t="s">
        <v>1145</v>
      </c>
      <c r="BK5" t="s">
        <v>692</v>
      </c>
      <c r="BM5" t="s">
        <v>1343</v>
      </c>
      <c r="BW5" t="s">
        <v>1344</v>
      </c>
      <c r="CD5" t="s">
        <v>1344</v>
      </c>
    </row>
    <row r="6" spans="1:152" x14ac:dyDescent="0.3">
      <c r="D6" t="s">
        <v>1099</v>
      </c>
      <c r="Z6" t="s">
        <v>1101</v>
      </c>
      <c r="AO6" s="372"/>
      <c r="AP6" s="372"/>
      <c r="AS6" t="s">
        <v>726</v>
      </c>
      <c r="BM6" t="s">
        <v>1341</v>
      </c>
      <c r="BP6" t="s">
        <v>982</v>
      </c>
      <c r="BW6" t="s">
        <v>728</v>
      </c>
      <c r="BY6" t="s">
        <v>1345</v>
      </c>
      <c r="CD6" t="s">
        <v>727</v>
      </c>
      <c r="CJ6" t="s">
        <v>1346</v>
      </c>
      <c r="EU6" t="s">
        <v>592</v>
      </c>
      <c r="EV6" t="s">
        <v>922</v>
      </c>
    </row>
    <row r="7" spans="1:152" ht="56.25" customHeight="1" x14ac:dyDescent="0.3">
      <c r="A7" s="80" t="s">
        <v>223</v>
      </c>
      <c r="B7" s="80" t="s">
        <v>636</v>
      </c>
      <c r="C7" t="s">
        <v>1100</v>
      </c>
      <c r="D7" s="83" t="s">
        <v>13</v>
      </c>
      <c r="E7" s="83" t="s">
        <v>14</v>
      </c>
      <c r="F7" s="83" t="s">
        <v>15</v>
      </c>
      <c r="G7" s="83" t="s">
        <v>16</v>
      </c>
      <c r="H7" s="83" t="s">
        <v>17</v>
      </c>
      <c r="I7" s="83" t="s">
        <v>18</v>
      </c>
      <c r="J7" s="83" t="s">
        <v>19</v>
      </c>
      <c r="K7" s="83" t="s">
        <v>20</v>
      </c>
      <c r="L7" s="83" t="s">
        <v>21</v>
      </c>
      <c r="M7" s="83" t="s">
        <v>22</v>
      </c>
      <c r="N7" s="83" t="s">
        <v>23</v>
      </c>
      <c r="O7" s="83" t="s">
        <v>24</v>
      </c>
      <c r="P7" s="83" t="s">
        <v>25</v>
      </c>
      <c r="Q7" s="83" t="s">
        <v>26</v>
      </c>
      <c r="R7" s="83" t="s">
        <v>27</v>
      </c>
      <c r="S7" s="83" t="s">
        <v>28</v>
      </c>
      <c r="T7" s="83" t="s">
        <v>29</v>
      </c>
      <c r="U7" s="83" t="s">
        <v>30</v>
      </c>
      <c r="V7" s="83" t="s">
        <v>31</v>
      </c>
      <c r="W7" s="83" t="s">
        <v>32</v>
      </c>
      <c r="X7" s="83" t="s">
        <v>33</v>
      </c>
      <c r="Y7" s="83" t="s">
        <v>1102</v>
      </c>
      <c r="Z7" s="31" t="s">
        <v>8</v>
      </c>
      <c r="AA7" s="31" t="s">
        <v>2</v>
      </c>
      <c r="AB7" s="31" t="s">
        <v>3</v>
      </c>
      <c r="AC7" s="31" t="s">
        <v>4</v>
      </c>
      <c r="AD7" s="31" t="s">
        <v>5</v>
      </c>
      <c r="AE7" s="31" t="s">
        <v>6</v>
      </c>
      <c r="AF7" s="31" t="s">
        <v>7</v>
      </c>
      <c r="AG7" s="31" t="s">
        <v>11</v>
      </c>
      <c r="AH7" s="31" t="s">
        <v>233</v>
      </c>
      <c r="AI7" t="s">
        <v>229</v>
      </c>
      <c r="AJ7" t="s">
        <v>678</v>
      </c>
      <c r="AK7" t="s">
        <v>677</v>
      </c>
      <c r="AM7" t="s">
        <v>586</v>
      </c>
      <c r="AN7" t="s">
        <v>0</v>
      </c>
      <c r="AO7" t="s">
        <v>647</v>
      </c>
      <c r="AP7" s="3" t="s">
        <v>1103</v>
      </c>
      <c r="AQ7" s="3" t="s">
        <v>1106</v>
      </c>
      <c r="AR7" s="3" t="s">
        <v>1107</v>
      </c>
      <c r="AS7" t="s">
        <v>1146</v>
      </c>
      <c r="AT7" t="s">
        <v>1147</v>
      </c>
      <c r="AU7" t="s">
        <v>1148</v>
      </c>
      <c r="AV7" t="s">
        <v>1149</v>
      </c>
      <c r="AW7" t="s">
        <v>1150</v>
      </c>
      <c r="AX7" t="s">
        <v>1151</v>
      </c>
      <c r="AY7" t="s">
        <v>742</v>
      </c>
      <c r="AZ7" t="s">
        <v>743</v>
      </c>
      <c r="BA7" t="s">
        <v>744</v>
      </c>
      <c r="BB7" t="s">
        <v>745</v>
      </c>
      <c r="BC7" t="s">
        <v>746</v>
      </c>
      <c r="BD7" t="s">
        <v>747</v>
      </c>
      <c r="BE7" t="s">
        <v>748</v>
      </c>
      <c r="BF7" t="s">
        <v>749</v>
      </c>
      <c r="BG7" t="s">
        <v>750</v>
      </c>
      <c r="BH7" t="s">
        <v>751</v>
      </c>
      <c r="BJ7" t="s">
        <v>586</v>
      </c>
      <c r="BK7" s="3" t="s">
        <v>1103</v>
      </c>
      <c r="BL7" s="3" t="s">
        <v>1340</v>
      </c>
      <c r="BM7" t="s">
        <v>1141</v>
      </c>
      <c r="BN7" t="s">
        <v>1142</v>
      </c>
      <c r="BO7" t="s">
        <v>1143</v>
      </c>
      <c r="BW7" t="s">
        <v>586</v>
      </c>
      <c r="BX7" t="s">
        <v>1342</v>
      </c>
      <c r="BY7" t="s">
        <v>732</v>
      </c>
      <c r="BZ7" t="s">
        <v>733</v>
      </c>
      <c r="CA7" t="s">
        <v>729</v>
      </c>
      <c r="CB7" t="s">
        <v>730</v>
      </c>
      <c r="CC7" t="s">
        <v>910</v>
      </c>
      <c r="CD7" t="s">
        <v>729</v>
      </c>
      <c r="CE7" t="s">
        <v>730</v>
      </c>
      <c r="CF7" t="s">
        <v>731</v>
      </c>
      <c r="CG7" t="s">
        <v>910</v>
      </c>
      <c r="CI7" t="s">
        <v>586</v>
      </c>
      <c r="CJ7" t="s">
        <v>1342</v>
      </c>
      <c r="CK7" t="s">
        <v>732</v>
      </c>
      <c r="CL7" t="s">
        <v>733</v>
      </c>
      <c r="CM7" t="s">
        <v>729</v>
      </c>
      <c r="CN7" t="s">
        <v>730</v>
      </c>
      <c r="CO7" t="s">
        <v>910</v>
      </c>
      <c r="CP7" t="s">
        <v>729</v>
      </c>
      <c r="CQ7" t="s">
        <v>730</v>
      </c>
      <c r="CR7" t="s">
        <v>731</v>
      </c>
      <c r="CS7" t="s">
        <v>910</v>
      </c>
      <c r="CW7" t="s">
        <v>734</v>
      </c>
      <c r="CX7" t="s">
        <v>857</v>
      </c>
      <c r="CY7" s="3" t="s">
        <v>735</v>
      </c>
      <c r="CZ7" s="3" t="s">
        <v>736</v>
      </c>
      <c r="DA7" s="3" t="s">
        <v>737</v>
      </c>
      <c r="DB7" s="3" t="s">
        <v>738</v>
      </c>
      <c r="DC7" s="3" t="s">
        <v>739</v>
      </c>
      <c r="DD7" s="3"/>
      <c r="DE7" s="3" t="s">
        <v>858</v>
      </c>
      <c r="DF7" s="3"/>
      <c r="DG7" s="3"/>
      <c r="DH7" s="3" t="s">
        <v>863</v>
      </c>
      <c r="DI7" s="3" t="s">
        <v>864</v>
      </c>
      <c r="DJ7" s="3" t="s">
        <v>1356</v>
      </c>
      <c r="DL7" s="373" t="s">
        <v>586</v>
      </c>
      <c r="DM7" s="373" t="s">
        <v>592</v>
      </c>
      <c r="DN7" s="373" t="s">
        <v>741</v>
      </c>
      <c r="DO7" s="373" t="s">
        <v>743</v>
      </c>
      <c r="DP7" s="373" t="s">
        <v>744</v>
      </c>
      <c r="DQ7" s="373" t="s">
        <v>745</v>
      </c>
      <c r="DR7" s="373" t="s">
        <v>746</v>
      </c>
      <c r="DS7" s="373" t="s">
        <v>747</v>
      </c>
      <c r="DT7" s="373" t="s">
        <v>748</v>
      </c>
      <c r="DU7" s="373" t="s">
        <v>749</v>
      </c>
      <c r="DV7" s="373" t="s">
        <v>750</v>
      </c>
      <c r="DW7" s="373" t="s">
        <v>751</v>
      </c>
      <c r="DX7" s="373" t="s">
        <v>859</v>
      </c>
      <c r="DY7" s="373" t="s">
        <v>860</v>
      </c>
      <c r="DZ7" s="373" t="s">
        <v>862</v>
      </c>
      <c r="EB7" s="373" t="s">
        <v>586</v>
      </c>
      <c r="EC7" s="373" t="s">
        <v>592</v>
      </c>
      <c r="ED7" s="373" t="s">
        <v>741</v>
      </c>
      <c r="EE7" s="373" t="s">
        <v>742</v>
      </c>
      <c r="EF7" s="373" t="s">
        <v>743</v>
      </c>
      <c r="EG7" s="373" t="s">
        <v>744</v>
      </c>
      <c r="EH7" s="373" t="s">
        <v>745</v>
      </c>
      <c r="EI7" s="373" t="s">
        <v>746</v>
      </c>
      <c r="EJ7" s="373" t="s">
        <v>747</v>
      </c>
      <c r="EK7" s="373" t="s">
        <v>748</v>
      </c>
      <c r="EL7" s="373" t="s">
        <v>749</v>
      </c>
      <c r="EM7" s="373" t="s">
        <v>750</v>
      </c>
      <c r="EN7" s="373" t="s">
        <v>751</v>
      </c>
      <c r="EO7" t="s">
        <v>859</v>
      </c>
      <c r="ER7" s="374" t="s">
        <v>967</v>
      </c>
      <c r="ES7" s="374" t="s">
        <v>861</v>
      </c>
      <c r="EU7" t="s">
        <v>586</v>
      </c>
      <c r="EV7" s="3" t="s">
        <v>921</v>
      </c>
    </row>
    <row r="8" spans="1:152" x14ac:dyDescent="0.3">
      <c r="A8" s="20" t="s">
        <v>98</v>
      </c>
      <c r="B8" s="20" t="s">
        <v>631</v>
      </c>
      <c r="C8" s="81">
        <v>2015</v>
      </c>
      <c r="D8" s="82">
        <v>4950.25</v>
      </c>
      <c r="E8" s="82">
        <v>4903.2730000000001</v>
      </c>
      <c r="F8" s="82">
        <v>4471.8090000000002</v>
      </c>
      <c r="G8" s="82">
        <v>3833.0839999999998</v>
      </c>
      <c r="H8" s="82">
        <v>3051.6619999999998</v>
      </c>
      <c r="I8" s="82">
        <v>2460.2060000000001</v>
      </c>
      <c r="J8" s="82">
        <v>2061.9769999999999</v>
      </c>
      <c r="K8" s="82">
        <v>1672.963</v>
      </c>
      <c r="L8" s="82">
        <v>1312.2329999999999</v>
      </c>
      <c r="M8" s="82">
        <v>1040.1300000000001</v>
      </c>
      <c r="N8" s="82">
        <v>823.14599999999996</v>
      </c>
      <c r="O8" s="82">
        <v>646.17200000000003</v>
      </c>
      <c r="P8" s="82">
        <v>496.54700000000003</v>
      </c>
      <c r="Q8" s="82">
        <v>376.38099999999997</v>
      </c>
      <c r="R8" s="82">
        <v>225.86500000000001</v>
      </c>
      <c r="S8" s="82">
        <v>124.117</v>
      </c>
      <c r="T8" s="82">
        <v>54.512</v>
      </c>
      <c r="U8" s="82">
        <v>17.989000000000001</v>
      </c>
      <c r="V8" s="82">
        <v>3.7930000000000001</v>
      </c>
      <c r="W8" s="82">
        <v>0.42499999999999999</v>
      </c>
      <c r="X8" s="82">
        <v>2.8000000000000001E-2</v>
      </c>
      <c r="Y8" s="82">
        <f t="shared" ref="Y8:Y39" si="1">SUM(D8:X8)</f>
        <v>32526.561999999998</v>
      </c>
      <c r="Z8" s="52">
        <f t="shared" ref="Z8:Z39" si="2">ROUND(D8/10,3)</f>
        <v>495.02499999999998</v>
      </c>
      <c r="AA8" s="52">
        <f t="shared" ref="AA8:AA39" si="3">ROUND(D8/10,3)</f>
        <v>495.02499999999998</v>
      </c>
      <c r="AB8" s="52">
        <f t="shared" ref="AB8:AB39" si="4">ROUND(D8/5,3)</f>
        <v>990.05</v>
      </c>
      <c r="AC8" s="52">
        <f t="shared" ref="AC8:AC39" si="5">ROUND(D8/5*3,3)</f>
        <v>2970.15</v>
      </c>
      <c r="AD8" s="52">
        <f t="shared" ref="AD8:AD39" si="6">ROUND(E8+F8,3)</f>
        <v>9375.0820000000003</v>
      </c>
      <c r="AE8" s="52">
        <f t="shared" ref="AE8:AE39" si="7">ROUND(SUM(G8:M8),3)</f>
        <v>15432.254999999999</v>
      </c>
      <c r="AF8" s="52">
        <f t="shared" ref="AF8:AF39" si="8">ROUND(SUM(N8:P8),3)</f>
        <v>1965.865</v>
      </c>
      <c r="AG8" s="52">
        <f t="shared" ref="AG8:AG39" si="9">ROUND(SUM(Q8:X8),3)</f>
        <v>803.11</v>
      </c>
      <c r="AH8" s="52">
        <f t="shared" ref="AH8:AH39" si="10">SUM(Z8:AG8)</f>
        <v>32526.562000000002</v>
      </c>
      <c r="AI8">
        <v>34.225000000000001</v>
      </c>
      <c r="AJ8" s="30">
        <f t="shared" ref="AJ8:AJ39" si="11">AH8*AI8</f>
        <v>1113221.5844500002</v>
      </c>
      <c r="AK8">
        <f t="shared" ref="AK8:AK39" si="12">D8/5</f>
        <v>990.05</v>
      </c>
      <c r="AM8" s="20" t="s">
        <v>98</v>
      </c>
      <c r="AN8" t="s">
        <v>254</v>
      </c>
      <c r="AO8" t="s">
        <v>255</v>
      </c>
      <c r="AP8" t="s">
        <v>691</v>
      </c>
      <c r="AQ8" s="55">
        <v>37040.175687796334</v>
      </c>
      <c r="AR8" s="55">
        <v>61.143461541666703</v>
      </c>
      <c r="AS8" t="s">
        <v>98</v>
      </c>
      <c r="AT8" t="s">
        <v>1152</v>
      </c>
      <c r="AU8" t="s">
        <v>1153</v>
      </c>
      <c r="AW8">
        <v>63.131892730900297</v>
      </c>
      <c r="AX8">
        <v>71.140974291819703</v>
      </c>
      <c r="AY8">
        <v>76.302177677699902</v>
      </c>
      <c r="AZ8">
        <v>82.774806918824495</v>
      </c>
      <c r="BA8">
        <v>108.066600010077</v>
      </c>
      <c r="BB8">
        <v>99.115358812868607</v>
      </c>
      <c r="BC8">
        <v>100</v>
      </c>
      <c r="BD8">
        <v>110.201660141582</v>
      </c>
      <c r="BE8">
        <v>118.156300027035</v>
      </c>
      <c r="BF8">
        <v>127.20035727534</v>
      </c>
      <c r="BG8">
        <v>133.05708658494501</v>
      </c>
      <c r="BH8">
        <v>131.01619500854801</v>
      </c>
      <c r="BJ8" s="20" t="s">
        <v>98</v>
      </c>
      <c r="BK8" t="s">
        <v>691</v>
      </c>
      <c r="BL8">
        <v>2015</v>
      </c>
      <c r="BM8">
        <f>INDEX('Costs lists'!$C$5:$C$8,MATCH(Lists!BK8,'Costs lists'!$B$5:$B$8,0))</f>
        <v>4.2</v>
      </c>
      <c r="BN8">
        <f>INDEX('Costs lists'!$D$5:$D$8,MATCH(Lists!BK8,'Costs lists'!$B$5:$B$8,0))</f>
        <v>4.2</v>
      </c>
      <c r="BO8">
        <f>INDEX('Costs lists'!$E$5:$E$8,MATCH(Lists!BK8,'Costs lists'!$B$5:$B$8,0))</f>
        <v>4.2</v>
      </c>
      <c r="BW8" s="20" t="s">
        <v>98</v>
      </c>
      <c r="BX8" s="20">
        <v>2008</v>
      </c>
      <c r="BY8" s="52">
        <v>63.923400000000001</v>
      </c>
      <c r="BZ8" s="52">
        <v>78.964199999999991</v>
      </c>
      <c r="CA8" s="52">
        <v>89.826999999999998</v>
      </c>
      <c r="CB8" s="52">
        <v>93.58720000000001</v>
      </c>
      <c r="CC8" s="375">
        <f t="shared" ref="CC8:CC14" si="13">BY8*(9/10)+BZ8*(0.5/10)+CA8*(0.25/10)+CB8*(0.25/10)</f>
        <v>66.064624999999992</v>
      </c>
      <c r="CD8" s="375">
        <v>4.7</v>
      </c>
      <c r="CE8" s="375">
        <v>4.9000000000000004</v>
      </c>
      <c r="CF8" s="375">
        <v>6.34</v>
      </c>
      <c r="CG8" s="375">
        <f t="shared" ref="CG8:CG14" si="14">CD8*(2/3)+CE8*(1/6)+CF8*(1/6)</f>
        <v>5.0066666666666668</v>
      </c>
      <c r="CI8" s="20" t="s">
        <v>98</v>
      </c>
      <c r="CJ8" s="20">
        <v>2015</v>
      </c>
      <c r="CK8" s="59">
        <f t="shared" ref="CK8:CK39" si="15">BY8*($BH8/$BA8)</f>
        <v>77.498511466340801</v>
      </c>
      <c r="CL8" s="59">
        <f t="shared" ref="CL8:CL39" si="16">BZ8*($BH8/$BA8)</f>
        <v>95.733455340773929</v>
      </c>
      <c r="CM8" s="59">
        <f t="shared" ref="CM8:CM39" si="17">CA8*($BH8/$BA8)</f>
        <v>108.90313702786453</v>
      </c>
      <c r="CN8" s="59">
        <f t="shared" ref="CN8:CN39" si="18">CB8*($BH8/$BA8)</f>
        <v>113.46187299647282</v>
      </c>
      <c r="CO8" s="59">
        <f t="shared" ref="CO8:CO39" si="19">CC8*($BH8/$BA8)</f>
        <v>80.094458337353842</v>
      </c>
      <c r="CP8" s="59">
        <f t="shared" ref="CP8:CP39" si="20">CD8*($BH8/$BA8)</f>
        <v>5.6981168694375111</v>
      </c>
      <c r="CQ8" s="59">
        <f t="shared" ref="CQ8:CQ39" si="21">CE8*($BH8/$BA8)</f>
        <v>5.9405899277114482</v>
      </c>
      <c r="CR8" s="59">
        <f t="shared" ref="CR8:CR39" si="22">CF8*($BH8/$BA8)</f>
        <v>7.6863959472837911</v>
      </c>
      <c r="CS8" s="59">
        <f t="shared" ref="CS8:CS39" si="23">CG8*($BH8/$BA8)</f>
        <v>6.0699088921242144</v>
      </c>
      <c r="CW8" s="20" t="s">
        <v>98</v>
      </c>
      <c r="DE8" t="e">
        <f t="shared" ref="DE8:DE39" si="24">DB8*DC8/CZ8</f>
        <v>#DIV/0!</v>
      </c>
      <c r="DH8" t="e">
        <f t="shared" ref="DH8:DH39" si="25">DE8/DA8</f>
        <v>#DIV/0!</v>
      </c>
      <c r="DI8" t="e">
        <f>DH8*($BH8/$BG8)</f>
        <v>#DIV/0!</v>
      </c>
      <c r="DJ8" t="e">
        <f>DI8/(CZ8/CY8)</f>
        <v>#DIV/0!</v>
      </c>
      <c r="DL8" s="20" t="s">
        <v>98</v>
      </c>
      <c r="DM8" s="373"/>
      <c r="DN8" s="373"/>
      <c r="DO8" s="373"/>
      <c r="DP8" s="373"/>
      <c r="DQ8" s="373"/>
      <c r="DR8" s="373"/>
      <c r="DS8" s="373"/>
      <c r="DT8" s="373"/>
      <c r="DU8" s="373"/>
      <c r="DV8" s="373"/>
      <c r="DW8" s="373"/>
      <c r="DX8" t="e">
        <f t="shared" ref="DX8:DX39" ca="1" si="26">OFFSET(DO8,0,MATCH(MAX(DO8:DW8)+1,DO8:DW8,1)-1)</f>
        <v>#N/A</v>
      </c>
      <c r="DY8" t="e">
        <f t="shared" ref="DY8:DY39" ca="1" si="27">DX8/5</f>
        <v>#N/A</v>
      </c>
      <c r="DZ8" t="e">
        <f t="shared" ref="DZ8:DZ39" ca="1" si="28">DY8*DI8</f>
        <v>#N/A</v>
      </c>
      <c r="EB8" s="20" t="s">
        <v>98</v>
      </c>
      <c r="EC8" s="99" t="s">
        <v>792</v>
      </c>
      <c r="ED8" s="100" t="s">
        <v>754</v>
      </c>
      <c r="EE8" s="101"/>
      <c r="EF8" s="101"/>
      <c r="EG8" s="101"/>
      <c r="EH8" s="101"/>
      <c r="EI8" s="101"/>
      <c r="EJ8" s="101">
        <v>45.7</v>
      </c>
      <c r="EK8" s="101"/>
      <c r="EL8" s="101"/>
      <c r="EM8" s="101"/>
      <c r="EN8" s="101"/>
      <c r="EO8">
        <f ca="1">OFFSET(EE8,0,MATCH(MAX(EE8:EN8)+1,EE8:EN8,1)-1)</f>
        <v>45.7</v>
      </c>
      <c r="EQ8" s="20" t="s">
        <v>98</v>
      </c>
      <c r="ER8" s="20" t="e">
        <f t="shared" ref="ER8:ER39" ca="1" si="29">DZ8</f>
        <v>#N/A</v>
      </c>
      <c r="ES8" t="e">
        <f t="shared" ref="ES8:ES39" ca="1" si="30">DZ8*EO8/100</f>
        <v>#N/A</v>
      </c>
      <c r="EU8" s="20" t="s">
        <v>98</v>
      </c>
      <c r="EV8" s="109">
        <v>1925.1652275777644</v>
      </c>
    </row>
    <row r="9" spans="1:152" x14ac:dyDescent="0.3">
      <c r="A9" s="20" t="s">
        <v>156</v>
      </c>
      <c r="B9" s="20" t="s">
        <v>257</v>
      </c>
      <c r="C9" s="81">
        <v>2015</v>
      </c>
      <c r="D9" s="82">
        <v>185.49799999999999</v>
      </c>
      <c r="E9" s="82">
        <v>155.37899999999999</v>
      </c>
      <c r="F9" s="82">
        <v>196.34700000000001</v>
      </c>
      <c r="G9" s="82">
        <v>257.928</v>
      </c>
      <c r="H9" s="82">
        <v>272.053</v>
      </c>
      <c r="I9" s="82">
        <v>230.83099999999999</v>
      </c>
      <c r="J9" s="82">
        <v>174.44300000000001</v>
      </c>
      <c r="K9" s="82">
        <v>154.06700000000001</v>
      </c>
      <c r="L9" s="82">
        <v>172.72300000000001</v>
      </c>
      <c r="M9" s="82">
        <v>186.40199999999999</v>
      </c>
      <c r="N9" s="82">
        <v>204.86199999999999</v>
      </c>
      <c r="O9" s="82">
        <v>191.45699999999999</v>
      </c>
      <c r="P9" s="82">
        <v>155.607</v>
      </c>
      <c r="Q9" s="82">
        <v>118.09399999999999</v>
      </c>
      <c r="R9" s="82">
        <v>96.444000000000003</v>
      </c>
      <c r="S9" s="82">
        <v>75.501999999999995</v>
      </c>
      <c r="T9" s="82">
        <v>43.289000000000001</v>
      </c>
      <c r="U9" s="82">
        <v>19.48</v>
      </c>
      <c r="V9" s="82">
        <v>5.2080000000000002</v>
      </c>
      <c r="W9" s="82">
        <v>0.98199999999999998</v>
      </c>
      <c r="X9" s="82">
        <v>8.3000000000000004E-2</v>
      </c>
      <c r="Y9" s="82">
        <f t="shared" si="1"/>
        <v>2896.6790000000001</v>
      </c>
      <c r="Z9" s="52">
        <f t="shared" si="2"/>
        <v>18.55</v>
      </c>
      <c r="AA9" s="52">
        <f t="shared" si="3"/>
        <v>18.55</v>
      </c>
      <c r="AB9" s="52">
        <f t="shared" si="4"/>
        <v>37.1</v>
      </c>
      <c r="AC9" s="52">
        <f t="shared" si="5"/>
        <v>111.29900000000001</v>
      </c>
      <c r="AD9" s="52">
        <f t="shared" si="6"/>
        <v>351.726</v>
      </c>
      <c r="AE9" s="52">
        <f t="shared" si="7"/>
        <v>1448.4469999999999</v>
      </c>
      <c r="AF9" s="52">
        <f t="shared" si="8"/>
        <v>551.92600000000004</v>
      </c>
      <c r="AG9" s="52">
        <f t="shared" si="9"/>
        <v>359.08199999999999</v>
      </c>
      <c r="AH9" s="55">
        <f t="shared" si="10"/>
        <v>2896.68</v>
      </c>
      <c r="AI9">
        <v>13.414</v>
      </c>
      <c r="AJ9" s="30">
        <f t="shared" si="11"/>
        <v>38856.065519999996</v>
      </c>
      <c r="AK9">
        <f t="shared" si="12"/>
        <v>37.099599999999995</v>
      </c>
      <c r="AM9" s="20" t="s">
        <v>156</v>
      </c>
      <c r="AN9" t="s">
        <v>258</v>
      </c>
      <c r="AO9" t="s">
        <v>259</v>
      </c>
      <c r="AP9" t="s">
        <v>689</v>
      </c>
      <c r="AQ9" s="55">
        <v>496942.76274095621</v>
      </c>
      <c r="AR9" s="55">
        <v>125.96083044733</v>
      </c>
      <c r="AS9" t="s">
        <v>156</v>
      </c>
      <c r="AT9" t="s">
        <v>1154</v>
      </c>
      <c r="AU9" t="s">
        <v>1153</v>
      </c>
      <c r="AV9">
        <v>82.798054240803793</v>
      </c>
      <c r="AW9">
        <v>84.685865749368602</v>
      </c>
      <c r="AX9">
        <v>86.690026168151306</v>
      </c>
      <c r="AY9">
        <v>88.745211168305303</v>
      </c>
      <c r="AZ9">
        <v>91.347826429517696</v>
      </c>
      <c r="BA9">
        <v>94.416421362645195</v>
      </c>
      <c r="BB9">
        <v>96.569589949583403</v>
      </c>
      <c r="BC9">
        <v>100</v>
      </c>
      <c r="BD9">
        <v>103.45034715268</v>
      </c>
      <c r="BE9">
        <v>105.552040205314</v>
      </c>
      <c r="BF9">
        <v>107.59723505970101</v>
      </c>
      <c r="BG9">
        <v>109.352983057361</v>
      </c>
      <c r="BH9">
        <v>111.44164359962799</v>
      </c>
      <c r="BJ9" s="20" t="s">
        <v>156</v>
      </c>
      <c r="BK9" t="s">
        <v>689</v>
      </c>
      <c r="BL9">
        <v>2015</v>
      </c>
      <c r="BM9">
        <f>INDEX('Costs lists'!$C$5:$C$8,MATCH(Lists!BK9,'Costs lists'!$B$5:$B$8,0))</f>
        <v>3.2</v>
      </c>
      <c r="BN9">
        <f>INDEX('Costs lists'!$D$5:$D$8,MATCH(Lists!BK9,'Costs lists'!$B$5:$B$8,0))</f>
        <v>1.1200000000000001</v>
      </c>
      <c r="BO9">
        <f>INDEX('Costs lists'!$E$5:$E$8,MATCH(Lists!BK9,'Costs lists'!$B$5:$B$8,0))</f>
        <v>4.4400000000000004</v>
      </c>
      <c r="BW9" s="20" t="s">
        <v>156</v>
      </c>
      <c r="BX9" s="20">
        <v>2008</v>
      </c>
      <c r="BY9" s="52">
        <v>493.89349999999996</v>
      </c>
      <c r="BZ9" s="52">
        <v>609.61749999999995</v>
      </c>
      <c r="CA9" s="52">
        <v>694.75729999999987</v>
      </c>
      <c r="CB9" s="52">
        <v>724.10159999999996</v>
      </c>
      <c r="CC9" s="375">
        <f t="shared" si="13"/>
        <v>510.4564974999999</v>
      </c>
      <c r="CD9" s="375">
        <v>80.010000000000005</v>
      </c>
      <c r="CE9" s="375">
        <v>83.47</v>
      </c>
      <c r="CF9" s="375">
        <v>107.93</v>
      </c>
      <c r="CG9" s="375">
        <f t="shared" si="14"/>
        <v>85.24</v>
      </c>
      <c r="CI9" s="20" t="s">
        <v>156</v>
      </c>
      <c r="CJ9" s="20">
        <v>2015</v>
      </c>
      <c r="CK9" s="59">
        <f t="shared" si="15"/>
        <v>582.95265387964537</v>
      </c>
      <c r="CL9" s="59">
        <f t="shared" si="16"/>
        <v>719.54407068826526</v>
      </c>
      <c r="CM9" s="59">
        <f t="shared" si="17"/>
        <v>820.03632734032112</v>
      </c>
      <c r="CN9" s="59">
        <f t="shared" si="18"/>
        <v>854.67200803107846</v>
      </c>
      <c r="CO9" s="59">
        <f t="shared" si="19"/>
        <v>602.50230041037901</v>
      </c>
      <c r="CP9" s="59">
        <f t="shared" si="20"/>
        <v>94.437448229042161</v>
      </c>
      <c r="CQ9" s="59">
        <f t="shared" si="21"/>
        <v>98.52135737630482</v>
      </c>
      <c r="CR9" s="59">
        <f t="shared" si="22"/>
        <v>127.39199834221372</v>
      </c>
      <c r="CS9" s="59">
        <f t="shared" si="23"/>
        <v>100.61052477244785</v>
      </c>
      <c r="CW9" s="20" t="s">
        <v>156</v>
      </c>
      <c r="CX9">
        <v>2011</v>
      </c>
      <c r="CY9">
        <v>2.8896759999999997</v>
      </c>
      <c r="CZ9">
        <v>0.88367933034896851</v>
      </c>
      <c r="DB9">
        <v>31419.962890625</v>
      </c>
      <c r="DE9">
        <f t="shared" si="24"/>
        <v>0</v>
      </c>
      <c r="DH9" t="e">
        <f t="shared" si="25"/>
        <v>#DIV/0!</v>
      </c>
      <c r="DI9" t="e">
        <f t="shared" ref="DI9:DI72" si="31">DH9*($BH9/$BG9)</f>
        <v>#DIV/0!</v>
      </c>
      <c r="DJ9" t="e">
        <f t="shared" ref="DJ9:DJ72" si="32">DI9/(CZ9/CY9)</f>
        <v>#DIV/0!</v>
      </c>
      <c r="DL9" s="20" t="s">
        <v>156</v>
      </c>
      <c r="DM9" s="99" t="s">
        <v>760</v>
      </c>
      <c r="DN9" s="100" t="s">
        <v>754</v>
      </c>
      <c r="DO9" s="101"/>
      <c r="DP9" s="101"/>
      <c r="DQ9" s="101">
        <v>42</v>
      </c>
      <c r="DR9" s="101"/>
      <c r="DS9" s="101">
        <v>41.6</v>
      </c>
      <c r="DT9" s="101">
        <v>41.7</v>
      </c>
      <c r="DU9" s="101">
        <v>40.799999999999997</v>
      </c>
      <c r="DV9" s="101">
        <v>38</v>
      </c>
      <c r="DW9" s="101">
        <v>38.799999999999997</v>
      </c>
      <c r="DX9">
        <f t="shared" ca="1" si="26"/>
        <v>38.799999999999997</v>
      </c>
      <c r="DY9">
        <f t="shared" ca="1" si="27"/>
        <v>7.76</v>
      </c>
      <c r="DZ9" t="e">
        <f t="shared" ca="1" si="28"/>
        <v>#DIV/0!</v>
      </c>
      <c r="EB9" s="20" t="s">
        <v>156</v>
      </c>
      <c r="EC9" s="99" t="s">
        <v>760</v>
      </c>
      <c r="ED9" s="100" t="s">
        <v>754</v>
      </c>
      <c r="EE9" s="101"/>
      <c r="EF9" s="101"/>
      <c r="EG9" s="101">
        <v>53.8</v>
      </c>
      <c r="EH9" s="101">
        <v>47.4</v>
      </c>
      <c r="EI9" s="101"/>
      <c r="EJ9" s="101">
        <v>51.9</v>
      </c>
      <c r="EK9" s="101">
        <v>50.1</v>
      </c>
      <c r="EL9" s="101">
        <v>44.5</v>
      </c>
      <c r="EM9" s="101">
        <v>44.3</v>
      </c>
      <c r="EN9" s="101">
        <v>46.2</v>
      </c>
      <c r="EO9">
        <f ca="1">OFFSET(EE9,0,MATCH(MAX(EE9:EN9)+1,EE9:EN9,1)-1)</f>
        <v>46.2</v>
      </c>
      <c r="EQ9" s="20" t="s">
        <v>156</v>
      </c>
      <c r="ER9" s="20" t="e">
        <f t="shared" ca="1" si="29"/>
        <v>#DIV/0!</v>
      </c>
      <c r="ES9" t="e">
        <f t="shared" ca="1" si="30"/>
        <v>#DIV/0!</v>
      </c>
      <c r="EU9" s="20" t="s">
        <v>156</v>
      </c>
      <c r="EV9" s="109">
        <v>11248.964069000729</v>
      </c>
    </row>
    <row r="10" spans="1:152" x14ac:dyDescent="0.3">
      <c r="A10" s="20" t="s">
        <v>61</v>
      </c>
      <c r="B10" s="20" t="s">
        <v>632</v>
      </c>
      <c r="C10" s="81">
        <v>2015</v>
      </c>
      <c r="D10" s="82">
        <v>4589.8130000000001</v>
      </c>
      <c r="E10" s="82">
        <v>3817.0529999999999</v>
      </c>
      <c r="F10" s="82">
        <v>2913.4470000000001</v>
      </c>
      <c r="G10" s="82">
        <v>3010.1979999999999</v>
      </c>
      <c r="H10" s="82">
        <v>3584.9140000000002</v>
      </c>
      <c r="I10" s="82">
        <v>3758.6109999999999</v>
      </c>
      <c r="J10" s="82">
        <v>3582.4969999999998</v>
      </c>
      <c r="K10" s="82">
        <v>3046.19</v>
      </c>
      <c r="L10" s="82">
        <v>2465.011</v>
      </c>
      <c r="M10" s="82">
        <v>2096.7170000000001</v>
      </c>
      <c r="N10" s="82">
        <v>1783.2180000000001</v>
      </c>
      <c r="O10" s="82">
        <v>1445.943</v>
      </c>
      <c r="P10" s="82">
        <v>1217.4939999999999</v>
      </c>
      <c r="Q10" s="82">
        <v>798.92899999999997</v>
      </c>
      <c r="R10" s="82">
        <v>608.99099999999999</v>
      </c>
      <c r="S10" s="82">
        <v>470.24200000000002</v>
      </c>
      <c r="T10" s="82">
        <v>299.45600000000002</v>
      </c>
      <c r="U10" s="82">
        <v>131.60400000000001</v>
      </c>
      <c r="V10" s="82">
        <v>37.670999999999999</v>
      </c>
      <c r="W10" s="82">
        <v>7.7779999999999996</v>
      </c>
      <c r="X10" s="82">
        <v>0.74199999999999999</v>
      </c>
      <c r="Y10" s="82">
        <f t="shared" si="1"/>
        <v>39666.518999999986</v>
      </c>
      <c r="Z10" s="52">
        <f t="shared" si="2"/>
        <v>458.98099999999999</v>
      </c>
      <c r="AA10" s="52">
        <f t="shared" si="3"/>
        <v>458.98099999999999</v>
      </c>
      <c r="AB10" s="52">
        <f t="shared" si="4"/>
        <v>917.96299999999997</v>
      </c>
      <c r="AC10" s="52">
        <f t="shared" si="5"/>
        <v>2753.8879999999999</v>
      </c>
      <c r="AD10" s="52">
        <f t="shared" si="6"/>
        <v>6730.5</v>
      </c>
      <c r="AE10" s="52">
        <f t="shared" si="7"/>
        <v>21544.137999999999</v>
      </c>
      <c r="AF10" s="52">
        <f t="shared" si="8"/>
        <v>4446.6549999999997</v>
      </c>
      <c r="AG10" s="52">
        <f t="shared" si="9"/>
        <v>2355.413</v>
      </c>
      <c r="AH10" s="52">
        <f t="shared" si="10"/>
        <v>39666.519</v>
      </c>
      <c r="AI10">
        <v>24.309000000000001</v>
      </c>
      <c r="AJ10" s="30">
        <f t="shared" si="11"/>
        <v>964253.41037100006</v>
      </c>
      <c r="AK10">
        <f t="shared" si="12"/>
        <v>917.96260000000007</v>
      </c>
      <c r="AM10" s="20" t="s">
        <v>61</v>
      </c>
      <c r="AN10" t="s">
        <v>260</v>
      </c>
      <c r="AO10" t="s">
        <v>261</v>
      </c>
      <c r="AP10" t="s">
        <v>689</v>
      </c>
      <c r="AQ10" s="55">
        <v>418284.12758539512</v>
      </c>
      <c r="AR10" s="55">
        <v>100.69143333333299</v>
      </c>
      <c r="AS10" t="s">
        <v>61</v>
      </c>
      <c r="AT10" t="s">
        <v>1155</v>
      </c>
      <c r="AU10" t="s">
        <v>1153</v>
      </c>
      <c r="AV10">
        <v>77.633414079130901</v>
      </c>
      <c r="AW10">
        <v>80.709094913014795</v>
      </c>
      <c r="AX10">
        <v>81.824855024590804</v>
      </c>
      <c r="AY10">
        <v>83.718711003450096</v>
      </c>
      <c r="AZ10">
        <v>86.794391837333905</v>
      </c>
      <c r="BA10">
        <v>91.0151948909932</v>
      </c>
      <c r="BB10">
        <v>96.234309623431002</v>
      </c>
      <c r="BC10">
        <v>100</v>
      </c>
      <c r="BD10">
        <v>104.52176466270301</v>
      </c>
      <c r="BE10">
        <v>113.818542171328</v>
      </c>
      <c r="BF10">
        <v>117.52183806797299</v>
      </c>
      <c r="BG10">
        <v>120.949252489662</v>
      </c>
      <c r="BH10">
        <v>126.736646357875</v>
      </c>
      <c r="BJ10" s="20" t="s">
        <v>61</v>
      </c>
      <c r="BK10" t="s">
        <v>689</v>
      </c>
      <c r="BL10">
        <v>2015</v>
      </c>
      <c r="BM10">
        <f>INDEX('Costs lists'!$C$5:$C$8,MATCH(Lists!BK10,'Costs lists'!$B$5:$B$8,0))</f>
        <v>3.2</v>
      </c>
      <c r="BN10">
        <f>INDEX('Costs lists'!$D$5:$D$8,MATCH(Lists!BK10,'Costs lists'!$B$5:$B$8,0))</f>
        <v>1.1200000000000001</v>
      </c>
      <c r="BO10">
        <f>INDEX('Costs lists'!$E$5:$E$8,MATCH(Lists!BK10,'Costs lists'!$B$5:$B$8,0))</f>
        <v>4.4400000000000004</v>
      </c>
      <c r="BW10" s="20" t="s">
        <v>61</v>
      </c>
      <c r="BX10" s="20">
        <v>2008</v>
      </c>
      <c r="BY10" s="52">
        <v>469.35349999999994</v>
      </c>
      <c r="BZ10" s="52">
        <v>579.36450000000002</v>
      </c>
      <c r="CA10" s="52">
        <v>660.46749999999997</v>
      </c>
      <c r="CB10" s="52">
        <v>688.17100000000005</v>
      </c>
      <c r="CC10" s="375">
        <f t="shared" si="13"/>
        <v>485.10233749999998</v>
      </c>
      <c r="CD10" s="375">
        <v>77.650000000000006</v>
      </c>
      <c r="CE10" s="375">
        <v>81.010000000000005</v>
      </c>
      <c r="CF10" s="375">
        <v>104.75</v>
      </c>
      <c r="CG10" s="375">
        <f t="shared" si="14"/>
        <v>82.726666666666659</v>
      </c>
      <c r="CI10" s="20" t="s">
        <v>61</v>
      </c>
      <c r="CJ10" s="20">
        <v>2015</v>
      </c>
      <c r="CK10" s="59">
        <f t="shared" si="15"/>
        <v>653.56437040621438</v>
      </c>
      <c r="CL10" s="59">
        <f t="shared" si="16"/>
        <v>806.75225534317156</v>
      </c>
      <c r="CM10" s="59">
        <f t="shared" si="17"/>
        <v>919.68638949377487</v>
      </c>
      <c r="CN10" s="59">
        <f t="shared" si="18"/>
        <v>958.26290066403055</v>
      </c>
      <c r="CO10" s="59">
        <f t="shared" si="19"/>
        <v>675.49427838669669</v>
      </c>
      <c r="CP10" s="59">
        <f t="shared" si="20"/>
        <v>108.12590800333344</v>
      </c>
      <c r="CQ10" s="59">
        <f t="shared" si="21"/>
        <v>112.80463370701921</v>
      </c>
      <c r="CR10" s="59">
        <f t="shared" si="22"/>
        <v>145.86205876817999</v>
      </c>
      <c r="CS10" s="59">
        <f t="shared" si="23"/>
        <v>115.19505408142214</v>
      </c>
      <c r="CW10" s="20" t="s">
        <v>61</v>
      </c>
      <c r="CX10">
        <v>2011</v>
      </c>
      <c r="CY10">
        <v>38.934334</v>
      </c>
      <c r="CZ10">
        <v>11.080185890197754</v>
      </c>
      <c r="DB10">
        <v>497452.875</v>
      </c>
      <c r="DE10">
        <f t="shared" si="24"/>
        <v>0</v>
      </c>
      <c r="DH10" t="e">
        <f t="shared" si="25"/>
        <v>#DIV/0!</v>
      </c>
      <c r="DI10" t="e">
        <f t="shared" si="31"/>
        <v>#DIV/0!</v>
      </c>
      <c r="DJ10" t="e">
        <f t="shared" si="32"/>
        <v>#DIV/0!</v>
      </c>
      <c r="DL10" s="20" t="s">
        <v>61</v>
      </c>
      <c r="DM10" s="99" t="s">
        <v>793</v>
      </c>
      <c r="DN10" s="100" t="s">
        <v>845</v>
      </c>
      <c r="DO10" s="101"/>
      <c r="DP10" s="101"/>
      <c r="DQ10" s="101"/>
      <c r="DR10" s="101"/>
      <c r="DS10" s="101"/>
      <c r="DT10" s="101"/>
      <c r="DU10" s="101"/>
      <c r="DV10" s="101">
        <v>44.1</v>
      </c>
      <c r="DW10" s="101"/>
      <c r="DX10">
        <f t="shared" ca="1" si="26"/>
        <v>44.1</v>
      </c>
      <c r="DY10">
        <f t="shared" ca="1" si="27"/>
        <v>8.82</v>
      </c>
      <c r="DZ10" t="e">
        <f t="shared" ca="1" si="28"/>
        <v>#DIV/0!</v>
      </c>
      <c r="EB10" s="20" t="s">
        <v>61</v>
      </c>
      <c r="EC10" s="99" t="s">
        <v>793</v>
      </c>
      <c r="ED10" s="100" t="s">
        <v>754</v>
      </c>
      <c r="EE10" s="101"/>
      <c r="EF10" s="101"/>
      <c r="EG10" s="101"/>
      <c r="EH10" s="101">
        <v>37.200000000000003</v>
      </c>
      <c r="EI10" s="101">
        <v>37.6</v>
      </c>
      <c r="EJ10" s="101">
        <v>36.200000000000003</v>
      </c>
      <c r="EK10" s="101"/>
      <c r="EL10" s="101"/>
      <c r="EM10" s="101">
        <v>36.4</v>
      </c>
      <c r="EN10" s="101"/>
      <c r="EO10">
        <f ca="1">OFFSET(EE10,0,MATCH(MAX(EE10:EN10)+1,EE10:EN10,1)-1)</f>
        <v>36.4</v>
      </c>
      <c r="EQ10" s="20" t="s">
        <v>61</v>
      </c>
      <c r="ER10" s="20" t="e">
        <f t="shared" ca="1" si="29"/>
        <v>#DIV/0!</v>
      </c>
      <c r="ES10" t="e">
        <f t="shared" ca="1" si="30"/>
        <v>#DIV/0!</v>
      </c>
      <c r="EU10" s="20" t="s">
        <v>61</v>
      </c>
      <c r="EV10" s="109">
        <v>14717.294835721983</v>
      </c>
    </row>
    <row r="11" spans="1:152" x14ac:dyDescent="0.3">
      <c r="A11" s="20" t="s">
        <v>52</v>
      </c>
      <c r="B11" s="20" t="s">
        <v>632</v>
      </c>
      <c r="C11" s="81">
        <v>2015</v>
      </c>
      <c r="D11" s="82">
        <v>4717.8919999999998</v>
      </c>
      <c r="E11" s="82">
        <v>3934.6570000000002</v>
      </c>
      <c r="F11" s="82">
        <v>3270.5320000000002</v>
      </c>
      <c r="G11" s="82">
        <v>2683.6840000000002</v>
      </c>
      <c r="H11" s="82">
        <v>2189.9180000000001</v>
      </c>
      <c r="I11" s="82">
        <v>1801.0319999999999</v>
      </c>
      <c r="J11" s="82">
        <v>1475.058</v>
      </c>
      <c r="K11" s="82">
        <v>1197.223</v>
      </c>
      <c r="L11" s="82">
        <v>943.18</v>
      </c>
      <c r="M11" s="82">
        <v>750.80700000000002</v>
      </c>
      <c r="N11" s="82">
        <v>608.89700000000005</v>
      </c>
      <c r="O11" s="82">
        <v>489.94200000000001</v>
      </c>
      <c r="P11" s="82">
        <v>380.27600000000001</v>
      </c>
      <c r="Q11" s="82">
        <v>245.80099999999999</v>
      </c>
      <c r="R11" s="82">
        <v>168.78700000000001</v>
      </c>
      <c r="S11" s="82">
        <v>99.396000000000001</v>
      </c>
      <c r="T11" s="82">
        <v>45.896000000000001</v>
      </c>
      <c r="U11" s="82">
        <v>15.284000000000001</v>
      </c>
      <c r="V11" s="82">
        <v>3.2759999999999998</v>
      </c>
      <c r="W11" s="82">
        <v>0.40799999999999997</v>
      </c>
      <c r="X11" s="82">
        <v>2.8000000000000001E-2</v>
      </c>
      <c r="Y11" s="82">
        <f t="shared" si="1"/>
        <v>25021.974000000002</v>
      </c>
      <c r="Z11" s="52">
        <f t="shared" si="2"/>
        <v>471.78899999999999</v>
      </c>
      <c r="AA11" s="52">
        <f t="shared" si="3"/>
        <v>471.78899999999999</v>
      </c>
      <c r="AB11" s="52">
        <f t="shared" si="4"/>
        <v>943.57799999999997</v>
      </c>
      <c r="AC11" s="52">
        <f t="shared" si="5"/>
        <v>2830.7350000000001</v>
      </c>
      <c r="AD11" s="52">
        <f t="shared" si="6"/>
        <v>7205.1890000000003</v>
      </c>
      <c r="AE11" s="52">
        <f t="shared" si="7"/>
        <v>11040.902</v>
      </c>
      <c r="AF11" s="52">
        <f t="shared" si="8"/>
        <v>1479.115</v>
      </c>
      <c r="AG11" s="52">
        <f t="shared" si="9"/>
        <v>578.87599999999998</v>
      </c>
      <c r="AH11" s="52">
        <f t="shared" si="10"/>
        <v>25021.973000000002</v>
      </c>
      <c r="AI11">
        <v>45.482999999999997</v>
      </c>
      <c r="AJ11" s="30">
        <f t="shared" si="11"/>
        <v>1138074.397959</v>
      </c>
      <c r="AK11">
        <f t="shared" si="12"/>
        <v>943.57839999999999</v>
      </c>
      <c r="AM11" s="20" t="s">
        <v>52</v>
      </c>
      <c r="AN11" t="s">
        <v>264</v>
      </c>
      <c r="AO11" t="s">
        <v>265</v>
      </c>
      <c r="AP11" t="s">
        <v>689</v>
      </c>
      <c r="AQ11" s="55">
        <v>492425.6175791726</v>
      </c>
      <c r="AR11" s="55">
        <v>120.060701665019</v>
      </c>
      <c r="AS11" t="s">
        <v>52</v>
      </c>
      <c r="AT11" t="s">
        <v>1156</v>
      </c>
      <c r="AU11" t="s">
        <v>1153</v>
      </c>
      <c r="AV11">
        <v>30.422516186631299</v>
      </c>
      <c r="AW11">
        <v>43.669072137361802</v>
      </c>
      <c r="AX11">
        <v>53.697126262066803</v>
      </c>
      <c r="AY11">
        <v>60.840591016503197</v>
      </c>
      <c r="AZ11">
        <v>68.292757596365107</v>
      </c>
      <c r="BA11">
        <v>76.811400457242101</v>
      </c>
      <c r="BB11">
        <v>87.358720378298003</v>
      </c>
      <c r="BC11">
        <v>100</v>
      </c>
      <c r="BD11">
        <v>113.467015350446</v>
      </c>
      <c r="BE11">
        <v>125.146736137673</v>
      </c>
      <c r="BF11">
        <v>136.129727500683</v>
      </c>
      <c r="BG11">
        <v>146.039374789764</v>
      </c>
      <c r="BH11">
        <v>161.05123926431401</v>
      </c>
      <c r="BJ11" s="20" t="s">
        <v>52</v>
      </c>
      <c r="BK11" t="s">
        <v>689</v>
      </c>
      <c r="BL11">
        <v>2015</v>
      </c>
      <c r="BM11">
        <f>INDEX('Costs lists'!$C$5:$C$8,MATCH(Lists!BK11,'Costs lists'!$B$5:$B$8,0))</f>
        <v>3.2</v>
      </c>
      <c r="BN11">
        <f>INDEX('Costs lists'!$D$5:$D$8,MATCH(Lists!BK11,'Costs lists'!$B$5:$B$8,0))</f>
        <v>1.1200000000000001</v>
      </c>
      <c r="BO11">
        <f>INDEX('Costs lists'!$E$5:$E$8,MATCH(Lists!BK11,'Costs lists'!$B$5:$B$8,0))</f>
        <v>4.4400000000000004</v>
      </c>
      <c r="BW11" s="20" t="s">
        <v>52</v>
      </c>
      <c r="BX11" s="20">
        <v>2008</v>
      </c>
      <c r="BY11" s="52">
        <v>501.21679999999998</v>
      </c>
      <c r="BZ11" s="52">
        <v>618.93599999999992</v>
      </c>
      <c r="CA11" s="52">
        <v>705.7084000000001</v>
      </c>
      <c r="CB11" s="52">
        <v>735.44159999999999</v>
      </c>
      <c r="CC11" s="375">
        <f t="shared" si="13"/>
        <v>518.07067000000006</v>
      </c>
      <c r="CD11" s="375">
        <v>48.15</v>
      </c>
      <c r="CE11" s="375">
        <v>50.23</v>
      </c>
      <c r="CF11" s="375">
        <v>64.95</v>
      </c>
      <c r="CG11" s="375">
        <f t="shared" si="14"/>
        <v>51.296666666666667</v>
      </c>
      <c r="CI11" s="20" t="s">
        <v>52</v>
      </c>
      <c r="CJ11" s="20">
        <v>2015</v>
      </c>
      <c r="CK11" s="59">
        <f t="shared" si="15"/>
        <v>1050.9063277010339</v>
      </c>
      <c r="CL11" s="59">
        <f t="shared" si="16"/>
        <v>1297.7293635049086</v>
      </c>
      <c r="CM11" s="59">
        <f t="shared" si="17"/>
        <v>1479.6659311335384</v>
      </c>
      <c r="CN11" s="59">
        <f t="shared" si="18"/>
        <v>1542.0078319293623</v>
      </c>
      <c r="CO11" s="59">
        <f t="shared" si="19"/>
        <v>1086.2440071827486</v>
      </c>
      <c r="CP11" s="59">
        <f t="shared" si="20"/>
        <v>100.95659139678635</v>
      </c>
      <c r="CQ11" s="59">
        <f t="shared" si="21"/>
        <v>105.31774840831937</v>
      </c>
      <c r="CR11" s="59">
        <f t="shared" si="22"/>
        <v>136.18132110532241</v>
      </c>
      <c r="CS11" s="59">
        <f t="shared" si="23"/>
        <v>107.55423918346453</v>
      </c>
      <c r="CW11" s="20" t="s">
        <v>52</v>
      </c>
      <c r="CX11">
        <v>2011</v>
      </c>
      <c r="CY11">
        <v>24.227523999999999</v>
      </c>
      <c r="CZ11">
        <v>8.3438854217529297</v>
      </c>
      <c r="DB11">
        <v>205371.265625</v>
      </c>
      <c r="DE11">
        <f t="shared" si="24"/>
        <v>0</v>
      </c>
      <c r="DH11" t="e">
        <f t="shared" si="25"/>
        <v>#DIV/0!</v>
      </c>
      <c r="DI11" t="e">
        <f t="shared" si="31"/>
        <v>#DIV/0!</v>
      </c>
      <c r="DJ11" t="e">
        <f t="shared" si="32"/>
        <v>#DIV/0!</v>
      </c>
      <c r="DL11" s="20" t="s">
        <v>52</v>
      </c>
      <c r="DM11" s="99"/>
      <c r="DN11" s="100"/>
      <c r="DO11" s="101"/>
      <c r="DP11" s="101"/>
      <c r="DQ11" s="101"/>
      <c r="DR11" s="101"/>
      <c r="DS11" s="101"/>
      <c r="DT11" s="101"/>
      <c r="DU11" s="101"/>
      <c r="DV11" s="101"/>
      <c r="DW11" s="101"/>
      <c r="DX11" t="e">
        <f t="shared" ca="1" si="26"/>
        <v>#N/A</v>
      </c>
      <c r="DY11" t="e">
        <f t="shared" ca="1" si="27"/>
        <v>#N/A</v>
      </c>
      <c r="DZ11" t="e">
        <f t="shared" ca="1" si="28"/>
        <v>#N/A</v>
      </c>
      <c r="EB11" s="20" t="s">
        <v>52</v>
      </c>
      <c r="EC11" s="99"/>
      <c r="ED11" s="100"/>
      <c r="EE11" s="101"/>
      <c r="EF11" s="101"/>
      <c r="EG11" s="101"/>
      <c r="EH11" s="101"/>
      <c r="EI11" s="101"/>
      <c r="EJ11" s="101"/>
      <c r="EK11" s="101"/>
      <c r="EL11" s="101"/>
      <c r="EM11" s="101"/>
      <c r="EN11" s="101"/>
      <c r="EQ11" s="20" t="s">
        <v>52</v>
      </c>
      <c r="ER11" s="20" t="e">
        <f t="shared" ca="1" si="29"/>
        <v>#N/A</v>
      </c>
      <c r="ES11" t="e">
        <f t="shared" ca="1" si="30"/>
        <v>#N/A</v>
      </c>
      <c r="EU11" s="20" t="s">
        <v>52</v>
      </c>
      <c r="EV11" s="109">
        <v>7386.7008434239106</v>
      </c>
    </row>
    <row r="12" spans="1:152" x14ac:dyDescent="0.3">
      <c r="A12" s="20" t="s">
        <v>175</v>
      </c>
      <c r="B12" s="20" t="s">
        <v>633</v>
      </c>
      <c r="C12" s="81">
        <v>2015</v>
      </c>
      <c r="D12" s="82">
        <v>7.28</v>
      </c>
      <c r="E12" s="82">
        <v>7.3</v>
      </c>
      <c r="F12" s="82">
        <v>7.62</v>
      </c>
      <c r="G12" s="82">
        <v>7.9260000000000002</v>
      </c>
      <c r="H12" s="82">
        <v>7.7649999999999997</v>
      </c>
      <c r="I12" s="82">
        <v>6.8150000000000004</v>
      </c>
      <c r="J12" s="82">
        <v>6.34</v>
      </c>
      <c r="K12" s="82">
        <v>5.3029999999999999</v>
      </c>
      <c r="L12" s="82">
        <v>6.923</v>
      </c>
      <c r="M12" s="82">
        <v>8.1829999999999998</v>
      </c>
      <c r="N12" s="82">
        <v>5.92</v>
      </c>
      <c r="O12" s="82">
        <v>4.5709999999999997</v>
      </c>
      <c r="P12" s="82">
        <v>3.294</v>
      </c>
      <c r="Q12" s="82">
        <v>1.9510000000000001</v>
      </c>
      <c r="R12" s="82">
        <v>1.8180000000000001</v>
      </c>
      <c r="S12" s="82">
        <v>1.335</v>
      </c>
      <c r="T12" s="82">
        <v>0.78</v>
      </c>
      <c r="U12" s="82">
        <v>0.438</v>
      </c>
      <c r="V12" s="82">
        <v>0.21</v>
      </c>
      <c r="W12" s="82">
        <v>0.04</v>
      </c>
      <c r="X12" s="82">
        <v>6.0000000000000001E-3</v>
      </c>
      <c r="Y12" s="82">
        <f t="shared" si="1"/>
        <v>91.817999999999969</v>
      </c>
      <c r="Z12" s="52">
        <f t="shared" si="2"/>
        <v>0.72799999999999998</v>
      </c>
      <c r="AA12" s="52">
        <f t="shared" si="3"/>
        <v>0.72799999999999998</v>
      </c>
      <c r="AB12" s="52">
        <f t="shared" si="4"/>
        <v>1.456</v>
      </c>
      <c r="AC12" s="52">
        <f t="shared" si="5"/>
        <v>4.3680000000000003</v>
      </c>
      <c r="AD12" s="52">
        <f t="shared" si="6"/>
        <v>14.92</v>
      </c>
      <c r="AE12" s="52">
        <f t="shared" si="7"/>
        <v>49.255000000000003</v>
      </c>
      <c r="AF12" s="52">
        <f t="shared" si="8"/>
        <v>13.785</v>
      </c>
      <c r="AG12" s="52">
        <f t="shared" si="9"/>
        <v>6.5780000000000003</v>
      </c>
      <c r="AH12" s="52">
        <f t="shared" si="10"/>
        <v>91.817999999999998</v>
      </c>
      <c r="AI12">
        <v>16.318999999999999</v>
      </c>
      <c r="AJ12" s="30">
        <f t="shared" si="11"/>
        <v>1498.3779419999998</v>
      </c>
      <c r="AK12">
        <f t="shared" si="12"/>
        <v>1.456</v>
      </c>
      <c r="AM12" s="20" t="s">
        <v>175</v>
      </c>
      <c r="AN12" t="s">
        <v>266</v>
      </c>
      <c r="AO12" t="s">
        <v>267</v>
      </c>
      <c r="AP12" t="s">
        <v>690</v>
      </c>
      <c r="AQ12" s="55">
        <v>37029.776296586722</v>
      </c>
      <c r="AR12" s="55">
        <v>2.7</v>
      </c>
      <c r="AS12" t="s">
        <v>175</v>
      </c>
      <c r="AT12" t="s">
        <v>1157</v>
      </c>
      <c r="AU12" t="s">
        <v>1153</v>
      </c>
      <c r="AV12">
        <v>85.878112712975096</v>
      </c>
      <c r="AW12">
        <v>87.621505024027698</v>
      </c>
      <c r="AX12">
        <v>89.460463084316004</v>
      </c>
      <c r="AY12">
        <v>91.059824159021105</v>
      </c>
      <c r="AZ12">
        <v>92.3492791612058</v>
      </c>
      <c r="BA12">
        <v>97.275010921799606</v>
      </c>
      <c r="BB12">
        <v>96.739842726081307</v>
      </c>
      <c r="BC12">
        <v>100</v>
      </c>
      <c r="BD12">
        <v>103.45674967234601</v>
      </c>
      <c r="BE12">
        <v>106.950360419397</v>
      </c>
      <c r="BF12">
        <v>108.083497160332</v>
      </c>
      <c r="BG12">
        <v>109.26100371341199</v>
      </c>
      <c r="BH12">
        <v>110.31973569244199</v>
      </c>
      <c r="BJ12" s="20" t="s">
        <v>175</v>
      </c>
      <c r="BK12" t="s">
        <v>690</v>
      </c>
      <c r="BL12">
        <v>2015</v>
      </c>
      <c r="BM12">
        <f>INDEX('Costs lists'!$C$5:$C$8,MATCH(Lists!BK12,'Costs lists'!$B$5:$B$8,0))</f>
        <v>3.55</v>
      </c>
      <c r="BN12">
        <f>INDEX('Costs lists'!$D$5:$D$8,MATCH(Lists!BK12,'Costs lists'!$B$5:$B$8,0))</f>
        <v>2.91</v>
      </c>
      <c r="BO12">
        <f>INDEX('Costs lists'!$E$5:$E$8,MATCH(Lists!BK12,'Costs lists'!$B$5:$B$8,0))</f>
        <v>7.59</v>
      </c>
      <c r="BW12" s="20" t="s">
        <v>175</v>
      </c>
      <c r="BX12" s="20">
        <v>2008</v>
      </c>
      <c r="BY12" s="52">
        <v>47.598300000000002</v>
      </c>
      <c r="BZ12" s="52">
        <v>58.761299999999999</v>
      </c>
      <c r="CA12" s="52">
        <v>66.959700000000012</v>
      </c>
      <c r="CB12" s="52">
        <v>69.777900000000002</v>
      </c>
      <c r="CC12" s="375">
        <f t="shared" si="13"/>
        <v>49.194974999999999</v>
      </c>
      <c r="CD12" s="375">
        <v>233.74</v>
      </c>
      <c r="CE12" s="375">
        <v>243.84</v>
      </c>
      <c r="CF12" s="375">
        <v>315.3</v>
      </c>
      <c r="CG12" s="375">
        <f t="shared" si="14"/>
        <v>249.01666666666665</v>
      </c>
      <c r="CI12" s="20" t="s">
        <v>175</v>
      </c>
      <c r="CJ12" s="20">
        <v>2015</v>
      </c>
      <c r="CK12" s="59">
        <f t="shared" si="15"/>
        <v>53.981303375343963</v>
      </c>
      <c r="CL12" s="59">
        <f t="shared" si="16"/>
        <v>66.641278407623787</v>
      </c>
      <c r="CM12" s="59">
        <f t="shared" si="17"/>
        <v>75.939096136248978</v>
      </c>
      <c r="CN12" s="59">
        <f t="shared" si="18"/>
        <v>79.13522098046387</v>
      </c>
      <c r="CO12" s="59">
        <f t="shared" si="19"/>
        <v>55.792094886108572</v>
      </c>
      <c r="CP12" s="59">
        <f t="shared" si="20"/>
        <v>265.08488435412397</v>
      </c>
      <c r="CQ12" s="59">
        <f t="shared" si="21"/>
        <v>276.53930949306744</v>
      </c>
      <c r="CR12" s="59">
        <f t="shared" si="22"/>
        <v>357.58220260483989</v>
      </c>
      <c r="CS12" s="59">
        <f t="shared" si="23"/>
        <v>282.41017491906717</v>
      </c>
      <c r="CW12" s="20" t="s">
        <v>175</v>
      </c>
      <c r="CX12">
        <v>2011</v>
      </c>
      <c r="CY12">
        <v>9.0899999999999995E-2</v>
      </c>
      <c r="DB12">
        <v>1363.846923828125</v>
      </c>
      <c r="DE12" t="e">
        <f t="shared" si="24"/>
        <v>#DIV/0!</v>
      </c>
      <c r="DH12" t="e">
        <f t="shared" si="25"/>
        <v>#DIV/0!</v>
      </c>
      <c r="DI12" t="e">
        <f t="shared" si="31"/>
        <v>#DIV/0!</v>
      </c>
      <c r="DJ12" t="e">
        <f t="shared" si="32"/>
        <v>#DIV/0!</v>
      </c>
      <c r="DL12" s="20" t="s">
        <v>175</v>
      </c>
      <c r="DM12" s="99"/>
      <c r="DN12" s="100"/>
      <c r="DO12" s="101"/>
      <c r="DP12" s="101"/>
      <c r="DQ12" s="101"/>
      <c r="DR12" s="101"/>
      <c r="DS12" s="101"/>
      <c r="DT12" s="101"/>
      <c r="DU12" s="101"/>
      <c r="DV12" s="101"/>
      <c r="DW12" s="101"/>
      <c r="DX12" t="e">
        <f t="shared" ca="1" si="26"/>
        <v>#N/A</v>
      </c>
      <c r="DY12" t="e">
        <f t="shared" ca="1" si="27"/>
        <v>#N/A</v>
      </c>
      <c r="DZ12" t="e">
        <f t="shared" ca="1" si="28"/>
        <v>#N/A</v>
      </c>
      <c r="EB12" s="20" t="s">
        <v>175</v>
      </c>
      <c r="EC12" s="99"/>
      <c r="ED12" s="100"/>
      <c r="EE12" s="101"/>
      <c r="EF12" s="101"/>
      <c r="EG12" s="101"/>
      <c r="EH12" s="101"/>
      <c r="EI12" s="101"/>
      <c r="EJ12" s="101"/>
      <c r="EK12" s="101"/>
      <c r="EL12" s="101"/>
      <c r="EM12" s="101"/>
      <c r="EN12" s="101"/>
      <c r="EQ12" s="20" t="s">
        <v>175</v>
      </c>
      <c r="ER12" s="20" t="e">
        <f t="shared" ca="1" si="29"/>
        <v>#N/A</v>
      </c>
      <c r="ES12" t="e">
        <f t="shared" ca="1" si="30"/>
        <v>#N/A</v>
      </c>
      <c r="EU12" s="20" t="s">
        <v>175</v>
      </c>
      <c r="EV12" s="109">
        <v>23062.278265126297</v>
      </c>
    </row>
    <row r="13" spans="1:152" x14ac:dyDescent="0.3">
      <c r="A13" s="20" t="s">
        <v>198</v>
      </c>
      <c r="B13" s="20" t="s">
        <v>633</v>
      </c>
      <c r="C13" s="81">
        <v>2015</v>
      </c>
      <c r="D13" s="82">
        <v>3718.14</v>
      </c>
      <c r="E13" s="82">
        <v>3638.3440000000001</v>
      </c>
      <c r="F13" s="82">
        <v>3582.0189999999998</v>
      </c>
      <c r="G13" s="82">
        <v>3437.9140000000002</v>
      </c>
      <c r="H13" s="82">
        <v>3456.866</v>
      </c>
      <c r="I13" s="82">
        <v>3336.42</v>
      </c>
      <c r="J13" s="82">
        <v>3189.0889999999999</v>
      </c>
      <c r="K13" s="82">
        <v>3222.0680000000002</v>
      </c>
      <c r="L13" s="82">
        <v>2693.223</v>
      </c>
      <c r="M13" s="82">
        <v>2359.7420000000002</v>
      </c>
      <c r="N13" s="82">
        <v>2192.5129999999999</v>
      </c>
      <c r="O13" s="82">
        <v>2031.0429999999999</v>
      </c>
      <c r="P13" s="82">
        <v>1815.4190000000001</v>
      </c>
      <c r="Q13" s="82">
        <v>1513.163</v>
      </c>
      <c r="R13" s="82">
        <v>1173.1189999999999</v>
      </c>
      <c r="S13" s="82">
        <v>873.678</v>
      </c>
      <c r="T13" s="82">
        <v>616.82899999999995</v>
      </c>
      <c r="U13" s="82">
        <v>368.149</v>
      </c>
      <c r="V13" s="82">
        <v>153.321</v>
      </c>
      <c r="W13" s="82">
        <v>39.74</v>
      </c>
      <c r="X13" s="82">
        <v>5.9560000000000004</v>
      </c>
      <c r="Y13" s="82">
        <f t="shared" si="1"/>
        <v>43416.75499999999</v>
      </c>
      <c r="Z13" s="52">
        <f t="shared" si="2"/>
        <v>371.81400000000002</v>
      </c>
      <c r="AA13" s="52">
        <f t="shared" si="3"/>
        <v>371.81400000000002</v>
      </c>
      <c r="AB13" s="52">
        <f t="shared" si="4"/>
        <v>743.62800000000004</v>
      </c>
      <c r="AC13" s="52">
        <f t="shared" si="5"/>
        <v>2230.884</v>
      </c>
      <c r="AD13" s="52">
        <f t="shared" si="6"/>
        <v>7220.3630000000003</v>
      </c>
      <c r="AE13" s="52">
        <f t="shared" si="7"/>
        <v>21695.322</v>
      </c>
      <c r="AF13" s="52">
        <f t="shared" si="8"/>
        <v>6038.9750000000004</v>
      </c>
      <c r="AG13" s="52">
        <f t="shared" si="9"/>
        <v>4743.9549999999999</v>
      </c>
      <c r="AH13" s="52">
        <f t="shared" si="10"/>
        <v>43416.755000000005</v>
      </c>
      <c r="AI13">
        <v>17.544</v>
      </c>
      <c r="AJ13" s="30">
        <f t="shared" si="11"/>
        <v>761703.54972000013</v>
      </c>
      <c r="AK13">
        <f t="shared" si="12"/>
        <v>743.62799999999993</v>
      </c>
      <c r="AM13" s="20" t="s">
        <v>198</v>
      </c>
      <c r="AN13" t="s">
        <v>268</v>
      </c>
      <c r="AO13" t="s">
        <v>269</v>
      </c>
      <c r="AP13" t="s">
        <v>689</v>
      </c>
      <c r="AQ13" s="55">
        <v>134833.07191379066</v>
      </c>
      <c r="AR13" s="55">
        <v>9.2331855247242896</v>
      </c>
      <c r="AS13" t="s">
        <v>198</v>
      </c>
      <c r="AT13" t="s">
        <v>1158</v>
      </c>
      <c r="AU13" t="s">
        <v>1153</v>
      </c>
      <c r="BG13">
        <v>105.5</v>
      </c>
      <c r="BJ13" s="20" t="s">
        <v>198</v>
      </c>
      <c r="BK13" t="s">
        <v>689</v>
      </c>
      <c r="BL13">
        <v>2015</v>
      </c>
      <c r="BM13">
        <f>INDEX('Costs lists'!$C$5:$C$8,MATCH(Lists!BK13,'Costs lists'!$B$5:$B$8,0))</f>
        <v>3.2</v>
      </c>
      <c r="BN13">
        <f>INDEX('Costs lists'!$D$5:$D$8,MATCH(Lists!BK13,'Costs lists'!$B$5:$B$8,0))</f>
        <v>1.1200000000000001</v>
      </c>
      <c r="BO13">
        <f>INDEX('Costs lists'!$E$5:$E$8,MATCH(Lists!BK13,'Costs lists'!$B$5:$B$8,0))</f>
        <v>4.4400000000000004</v>
      </c>
      <c r="BW13" s="20" t="s">
        <v>198</v>
      </c>
      <c r="BX13" s="20">
        <v>2008</v>
      </c>
      <c r="BY13" s="52">
        <v>34.426200000000001</v>
      </c>
      <c r="BZ13" s="52">
        <v>42.498800000000003</v>
      </c>
      <c r="CA13" s="52">
        <v>48.435600000000001</v>
      </c>
      <c r="CB13" s="52">
        <v>50.480900000000005</v>
      </c>
      <c r="CC13" s="375">
        <f t="shared" si="13"/>
        <v>35.581432500000005</v>
      </c>
      <c r="CD13" s="375">
        <v>151.86000000000001</v>
      </c>
      <c r="CE13" s="375">
        <v>158.43</v>
      </c>
      <c r="CF13" s="375">
        <v>204.86</v>
      </c>
      <c r="CG13" s="375">
        <f t="shared" si="14"/>
        <v>161.78833333333336</v>
      </c>
      <c r="CI13" s="20" t="s">
        <v>198</v>
      </c>
      <c r="CJ13" s="20">
        <v>2015</v>
      </c>
      <c r="CK13" s="59" t="e">
        <f t="shared" si="15"/>
        <v>#DIV/0!</v>
      </c>
      <c r="CL13" s="59" t="e">
        <f t="shared" si="16"/>
        <v>#DIV/0!</v>
      </c>
      <c r="CM13" s="59" t="e">
        <f t="shared" si="17"/>
        <v>#DIV/0!</v>
      </c>
      <c r="CN13" s="59" t="e">
        <f t="shared" si="18"/>
        <v>#DIV/0!</v>
      </c>
      <c r="CO13" s="59" t="e">
        <f t="shared" si="19"/>
        <v>#DIV/0!</v>
      </c>
      <c r="CP13" s="59" t="e">
        <f t="shared" si="20"/>
        <v>#DIV/0!</v>
      </c>
      <c r="CQ13" s="59" t="e">
        <f t="shared" si="21"/>
        <v>#DIV/0!</v>
      </c>
      <c r="CR13" s="59" t="e">
        <f t="shared" si="22"/>
        <v>#DIV/0!</v>
      </c>
      <c r="CS13" s="59" t="e">
        <f t="shared" si="23"/>
        <v>#DIV/0!</v>
      </c>
      <c r="CW13" s="20" t="s">
        <v>198</v>
      </c>
      <c r="CX13">
        <v>2011</v>
      </c>
      <c r="CY13">
        <v>42.980025999999995</v>
      </c>
      <c r="CZ13">
        <v>18.09844970703125</v>
      </c>
      <c r="DA13">
        <v>1776.6592834575424</v>
      </c>
      <c r="DB13">
        <v>859908.5</v>
      </c>
      <c r="DC13">
        <v>0.43294331431388855</v>
      </c>
      <c r="DE13">
        <f t="shared" si="24"/>
        <v>20570.360557017713</v>
      </c>
      <c r="DH13">
        <f t="shared" si="25"/>
        <v>11.578112217997083</v>
      </c>
      <c r="DI13">
        <f t="shared" si="31"/>
        <v>0</v>
      </c>
      <c r="DJ13">
        <f t="shared" si="32"/>
        <v>0</v>
      </c>
      <c r="DL13" s="20" t="s">
        <v>198</v>
      </c>
      <c r="DM13" s="99" t="s">
        <v>753</v>
      </c>
      <c r="DN13" s="100" t="s">
        <v>846</v>
      </c>
      <c r="DO13" s="101"/>
      <c r="DP13" s="101"/>
      <c r="DQ13" s="101"/>
      <c r="DR13" s="101">
        <v>40</v>
      </c>
      <c r="DS13" s="101">
        <v>40</v>
      </c>
      <c r="DT13" s="101">
        <v>39</v>
      </c>
      <c r="DU13" s="101"/>
      <c r="DV13" s="101">
        <v>38</v>
      </c>
      <c r="DW13" s="101"/>
      <c r="DX13">
        <f t="shared" ca="1" si="26"/>
        <v>38</v>
      </c>
      <c r="DY13">
        <f t="shared" ca="1" si="27"/>
        <v>7.6</v>
      </c>
      <c r="DZ13">
        <f t="shared" ca="1" si="28"/>
        <v>0</v>
      </c>
      <c r="EB13" s="20" t="s">
        <v>198</v>
      </c>
      <c r="EC13" s="99" t="s">
        <v>752</v>
      </c>
      <c r="ED13" s="100" t="s">
        <v>794</v>
      </c>
      <c r="EE13" s="101">
        <v>50.2</v>
      </c>
      <c r="EF13" s="101"/>
      <c r="EG13" s="101">
        <v>55.8</v>
      </c>
      <c r="EH13" s="101">
        <v>49.5</v>
      </c>
      <c r="EI13" s="101">
        <v>55.6</v>
      </c>
      <c r="EJ13" s="101">
        <v>56.4</v>
      </c>
      <c r="EK13" s="101">
        <v>56.1</v>
      </c>
      <c r="EL13" s="101">
        <v>55.8</v>
      </c>
      <c r="EM13" s="101">
        <v>55.2</v>
      </c>
      <c r="EN13" s="101"/>
      <c r="EO13">
        <f t="shared" ref="EO13:EO34" ca="1" si="33">OFFSET(EE13,0,MATCH(MAX(EE13:EN13)+1,EE13:EN13,1)-1)</f>
        <v>55.2</v>
      </c>
      <c r="EQ13" s="20" t="s">
        <v>198</v>
      </c>
      <c r="ER13" s="20">
        <f t="shared" ca="1" si="29"/>
        <v>0</v>
      </c>
      <c r="ES13">
        <f t="shared" ca="1" si="30"/>
        <v>0</v>
      </c>
      <c r="EU13" s="20" t="s">
        <v>198</v>
      </c>
      <c r="EV13" s="109">
        <v>20364.3822053199</v>
      </c>
    </row>
    <row r="14" spans="1:152" x14ac:dyDescent="0.3">
      <c r="A14" s="20" t="s">
        <v>118</v>
      </c>
      <c r="B14" s="20" t="s">
        <v>257</v>
      </c>
      <c r="C14" s="81">
        <v>2015</v>
      </c>
      <c r="D14" s="82">
        <v>207.244</v>
      </c>
      <c r="E14" s="82">
        <v>188.82900000000001</v>
      </c>
      <c r="F14" s="82">
        <v>158.69999999999999</v>
      </c>
      <c r="G14" s="82">
        <v>178.8</v>
      </c>
      <c r="H14" s="82">
        <v>257.221</v>
      </c>
      <c r="I14" s="82">
        <v>282.90699999999998</v>
      </c>
      <c r="J14" s="82">
        <v>253.09200000000001</v>
      </c>
      <c r="K14" s="82">
        <v>202.06800000000001</v>
      </c>
      <c r="L14" s="82">
        <v>170.45</v>
      </c>
      <c r="M14" s="82">
        <v>170.67500000000001</v>
      </c>
      <c r="N14" s="82">
        <v>234.85</v>
      </c>
      <c r="O14" s="82">
        <v>219.792</v>
      </c>
      <c r="P14" s="82">
        <v>166.387</v>
      </c>
      <c r="Q14" s="82">
        <v>95.826999999999998</v>
      </c>
      <c r="R14" s="82">
        <v>51.173000000000002</v>
      </c>
      <c r="S14" s="82">
        <v>92.662999999999997</v>
      </c>
      <c r="T14" s="82">
        <v>55.195999999999998</v>
      </c>
      <c r="U14" s="82">
        <v>22.547999999999998</v>
      </c>
      <c r="V14" s="82">
        <v>7.6059999999999999</v>
      </c>
      <c r="W14" s="82">
        <v>1.327</v>
      </c>
      <c r="X14" s="82">
        <v>0.35699999999999998</v>
      </c>
      <c r="Y14" s="82">
        <f t="shared" si="1"/>
        <v>3017.7119999999995</v>
      </c>
      <c r="Z14" s="52">
        <f t="shared" si="2"/>
        <v>20.724</v>
      </c>
      <c r="AA14" s="52">
        <f t="shared" si="3"/>
        <v>20.724</v>
      </c>
      <c r="AB14" s="52">
        <f t="shared" si="4"/>
        <v>41.448999999999998</v>
      </c>
      <c r="AC14" s="52">
        <f t="shared" si="5"/>
        <v>124.346</v>
      </c>
      <c r="AD14" s="52">
        <f t="shared" si="6"/>
        <v>347.529</v>
      </c>
      <c r="AE14" s="52">
        <f t="shared" si="7"/>
        <v>1515.213</v>
      </c>
      <c r="AF14" s="52">
        <f t="shared" si="8"/>
        <v>621.029</v>
      </c>
      <c r="AG14" s="52">
        <f t="shared" si="9"/>
        <v>326.697</v>
      </c>
      <c r="AH14" s="52">
        <f t="shared" si="10"/>
        <v>3017.7109999999998</v>
      </c>
      <c r="AI14">
        <v>13.157</v>
      </c>
      <c r="AJ14" s="30">
        <f t="shared" si="11"/>
        <v>39704.023626999995</v>
      </c>
      <c r="AK14">
        <f t="shared" si="12"/>
        <v>41.448799999999999</v>
      </c>
      <c r="AM14" s="20" t="s">
        <v>118</v>
      </c>
      <c r="AN14" t="s">
        <v>270</v>
      </c>
      <c r="AO14" t="s">
        <v>271</v>
      </c>
      <c r="AP14" t="s">
        <v>688</v>
      </c>
      <c r="AQ14" s="55">
        <v>1667517.9738821995</v>
      </c>
      <c r="AR14" s="55">
        <v>477.91830657609898</v>
      </c>
      <c r="AS14" t="s">
        <v>118</v>
      </c>
      <c r="AT14" t="s">
        <v>1159</v>
      </c>
      <c r="AU14" t="s">
        <v>1153</v>
      </c>
      <c r="AV14">
        <v>70.949477493496403</v>
      </c>
      <c r="AW14">
        <v>75.888456054491797</v>
      </c>
      <c r="AX14">
        <v>76.375920443331097</v>
      </c>
      <c r="AY14">
        <v>78.584984437865302</v>
      </c>
      <c r="AZ14">
        <v>82.048508312457301</v>
      </c>
      <c r="BA14">
        <v>89.391811533692703</v>
      </c>
      <c r="BB14">
        <v>92.437182114932099</v>
      </c>
      <c r="BC14">
        <v>100</v>
      </c>
      <c r="BD14">
        <v>107.65123363797601</v>
      </c>
      <c r="BE14">
        <v>110.40222958722499</v>
      </c>
      <c r="BF14">
        <v>116.79870062553699</v>
      </c>
      <c r="BG14">
        <v>120.280455960631</v>
      </c>
      <c r="BH14">
        <v>124.762810626746</v>
      </c>
      <c r="BJ14" s="20" t="s">
        <v>118</v>
      </c>
      <c r="BK14" t="s">
        <v>688</v>
      </c>
      <c r="BL14">
        <v>2015</v>
      </c>
      <c r="BM14">
        <f>INDEX('Costs lists'!$C$5:$C$8,MATCH(Lists!BK14,'Costs lists'!$B$5:$B$8,0))</f>
        <v>5.21</v>
      </c>
      <c r="BN14">
        <f>INDEX('Costs lists'!$D$5:$D$8,MATCH(Lists!BK14,'Costs lists'!$B$5:$B$8,0))</f>
        <v>5.16</v>
      </c>
      <c r="BO14">
        <f>INDEX('Costs lists'!$E$5:$E$8,MATCH(Lists!BK14,'Costs lists'!$B$5:$B$8,0))</f>
        <v>5.26</v>
      </c>
      <c r="BW14" s="20" t="s">
        <v>118</v>
      </c>
      <c r="BX14" s="20">
        <v>2008</v>
      </c>
      <c r="BY14" s="52">
        <v>1731.3275000000001</v>
      </c>
      <c r="BZ14" s="52">
        <v>2138.355</v>
      </c>
      <c r="CA14" s="52">
        <v>2438.27</v>
      </c>
      <c r="CB14" s="52">
        <v>2539.54</v>
      </c>
      <c r="CC14" s="375">
        <f t="shared" si="13"/>
        <v>1789.5577500000002</v>
      </c>
      <c r="CD14" s="375">
        <v>53.29</v>
      </c>
      <c r="CE14" s="375">
        <v>55.59</v>
      </c>
      <c r="CF14" s="375">
        <v>71.88</v>
      </c>
      <c r="CG14" s="375">
        <f t="shared" si="14"/>
        <v>56.771666666666661</v>
      </c>
      <c r="CI14" s="20" t="s">
        <v>118</v>
      </c>
      <c r="CJ14" s="20">
        <v>2015</v>
      </c>
      <c r="CK14" s="59">
        <f t="shared" si="15"/>
        <v>2416.3878246718709</v>
      </c>
      <c r="CL14" s="59">
        <f t="shared" si="16"/>
        <v>2984.4700016757192</v>
      </c>
      <c r="CM14" s="59">
        <f t="shared" si="17"/>
        <v>3403.0568689417128</v>
      </c>
      <c r="CN14" s="59">
        <f t="shared" si="18"/>
        <v>3544.3978890575027</v>
      </c>
      <c r="CO14" s="59">
        <f t="shared" si="19"/>
        <v>2497.6589112384504</v>
      </c>
      <c r="CP14" s="59">
        <f t="shared" si="20"/>
        <v>74.376053737241506</v>
      </c>
      <c r="CQ14" s="59">
        <f t="shared" si="21"/>
        <v>77.586129241006873</v>
      </c>
      <c r="CR14" s="59">
        <f t="shared" si="22"/>
        <v>100.32183791767535</v>
      </c>
      <c r="CS14" s="59">
        <f t="shared" si="23"/>
        <v>79.235363684608032</v>
      </c>
      <c r="CW14" s="20" t="s">
        <v>118</v>
      </c>
      <c r="CX14">
        <v>2011</v>
      </c>
      <c r="CY14">
        <v>3.006154</v>
      </c>
      <c r="CZ14">
        <v>1.2019355297088623</v>
      </c>
      <c r="DA14">
        <v>1842</v>
      </c>
      <c r="DB14">
        <v>27410.783203125</v>
      </c>
      <c r="DC14">
        <v>0.63300269842147827</v>
      </c>
      <c r="DE14">
        <f t="shared" si="24"/>
        <v>14435.965411245568</v>
      </c>
      <c r="DH14">
        <f t="shared" si="25"/>
        <v>7.8371147726631749</v>
      </c>
      <c r="DI14">
        <f t="shared" si="31"/>
        <v>8.1291715967711884</v>
      </c>
      <c r="DJ14">
        <f t="shared" si="32"/>
        <v>20.331824052359494</v>
      </c>
      <c r="DL14" s="20" t="s">
        <v>118</v>
      </c>
      <c r="DM14" s="99" t="s">
        <v>795</v>
      </c>
      <c r="DN14" s="100" t="s">
        <v>754</v>
      </c>
      <c r="DO14" s="101"/>
      <c r="DP14" s="101"/>
      <c r="DQ14" s="101"/>
      <c r="DR14" s="101"/>
      <c r="DS14" s="101"/>
      <c r="DT14" s="101"/>
      <c r="DU14" s="101"/>
      <c r="DV14" s="101">
        <v>39.299999999999997</v>
      </c>
      <c r="DW14" s="101">
        <v>36</v>
      </c>
      <c r="DX14">
        <f t="shared" ca="1" si="26"/>
        <v>36</v>
      </c>
      <c r="DY14">
        <f t="shared" ca="1" si="27"/>
        <v>7.2</v>
      </c>
      <c r="DZ14">
        <f t="shared" ca="1" si="28"/>
        <v>58.530035496752561</v>
      </c>
      <c r="EB14" s="20" t="s">
        <v>118</v>
      </c>
      <c r="EC14" s="99" t="s">
        <v>795</v>
      </c>
      <c r="ED14" s="100" t="s">
        <v>754</v>
      </c>
      <c r="EE14" s="101"/>
      <c r="EF14" s="101"/>
      <c r="EG14" s="101"/>
      <c r="EH14" s="101"/>
      <c r="EI14" s="101"/>
      <c r="EJ14" s="101"/>
      <c r="EK14" s="101"/>
      <c r="EL14" s="101"/>
      <c r="EM14" s="101">
        <v>52</v>
      </c>
      <c r="EN14" s="101">
        <v>50.9</v>
      </c>
      <c r="EO14">
        <f t="shared" ca="1" si="33"/>
        <v>50.9</v>
      </c>
      <c r="EQ14" s="20" t="s">
        <v>118</v>
      </c>
      <c r="ER14" s="20">
        <f t="shared" ca="1" si="29"/>
        <v>58.530035496752561</v>
      </c>
      <c r="ES14">
        <f t="shared" ca="1" si="30"/>
        <v>29.791788067847051</v>
      </c>
      <c r="EU14" s="20" t="s">
        <v>118</v>
      </c>
      <c r="EV14" s="109">
        <v>8418.7277903439735</v>
      </c>
    </row>
    <row r="15" spans="1:152" x14ac:dyDescent="0.3">
      <c r="A15" s="20" t="s">
        <v>176</v>
      </c>
      <c r="B15" s="20" t="s">
        <v>633</v>
      </c>
      <c r="C15" s="81">
        <v>2015</v>
      </c>
      <c r="D15" s="82">
        <v>5.242</v>
      </c>
      <c r="E15" s="82">
        <v>6.641</v>
      </c>
      <c r="F15" s="82">
        <v>7.1669999999999998</v>
      </c>
      <c r="G15" s="82">
        <v>7.5490000000000004</v>
      </c>
      <c r="H15" s="82">
        <v>7.327</v>
      </c>
      <c r="I15" s="82">
        <v>5.2839999999999998</v>
      </c>
      <c r="J15" s="82">
        <v>5.7089999999999996</v>
      </c>
      <c r="K15" s="82">
        <v>6.6589999999999998</v>
      </c>
      <c r="L15" s="82">
        <v>7.5229999999999997</v>
      </c>
      <c r="M15" s="82">
        <v>8.2469999999999999</v>
      </c>
      <c r="N15" s="82">
        <v>9.3089999999999993</v>
      </c>
      <c r="O15" s="82">
        <v>8.0540000000000003</v>
      </c>
      <c r="P15" s="82">
        <v>6.508</v>
      </c>
      <c r="Q15" s="82">
        <v>4.891</v>
      </c>
      <c r="R15" s="82">
        <v>3.3130000000000002</v>
      </c>
      <c r="S15" s="82">
        <v>2.3620000000000001</v>
      </c>
      <c r="T15" s="82">
        <v>1.3480000000000001</v>
      </c>
      <c r="U15" s="82">
        <v>0.56399999999999995</v>
      </c>
      <c r="V15" s="82">
        <v>0.157</v>
      </c>
      <c r="W15" s="82">
        <v>3.2000000000000001E-2</v>
      </c>
      <c r="X15" s="82">
        <v>3.0000000000000001E-3</v>
      </c>
      <c r="Y15" s="82">
        <f t="shared" si="1"/>
        <v>103.88899999999998</v>
      </c>
      <c r="Z15" s="52">
        <f t="shared" si="2"/>
        <v>0.52400000000000002</v>
      </c>
      <c r="AA15" s="52">
        <f t="shared" si="3"/>
        <v>0.52400000000000002</v>
      </c>
      <c r="AB15" s="52">
        <f t="shared" si="4"/>
        <v>1.048</v>
      </c>
      <c r="AC15" s="52">
        <f t="shared" si="5"/>
        <v>3.145</v>
      </c>
      <c r="AD15" s="52">
        <f t="shared" si="6"/>
        <v>13.808</v>
      </c>
      <c r="AE15" s="52">
        <f t="shared" si="7"/>
        <v>48.298000000000002</v>
      </c>
      <c r="AF15" s="52">
        <f t="shared" si="8"/>
        <v>23.870999999999999</v>
      </c>
      <c r="AG15" s="52">
        <f t="shared" si="9"/>
        <v>12.67</v>
      </c>
      <c r="AH15" s="52">
        <f t="shared" si="10"/>
        <v>103.88800000000001</v>
      </c>
      <c r="AI15">
        <v>10.124000000000001</v>
      </c>
      <c r="AJ15" s="30">
        <f t="shared" si="11"/>
        <v>1051.7621120000001</v>
      </c>
      <c r="AK15">
        <f t="shared" si="12"/>
        <v>1.0484</v>
      </c>
      <c r="AM15" s="20" t="s">
        <v>176</v>
      </c>
      <c r="AN15" t="s">
        <v>272</v>
      </c>
      <c r="AO15" t="s">
        <v>273</v>
      </c>
      <c r="AP15" t="s">
        <v>690</v>
      </c>
      <c r="AQ15" s="55"/>
      <c r="AR15" s="55">
        <v>1.79</v>
      </c>
      <c r="AS15" t="s">
        <v>176</v>
      </c>
      <c r="AT15" t="s">
        <v>1160</v>
      </c>
      <c r="AU15" t="s">
        <v>1153</v>
      </c>
      <c r="AV15">
        <v>79.366293195364506</v>
      </c>
      <c r="AW15">
        <v>81.374211253080702</v>
      </c>
      <c r="AX15">
        <v>84.137374514225101</v>
      </c>
      <c r="AY15">
        <v>87.173649589531095</v>
      </c>
      <c r="AZ15">
        <v>91.873357687623894</v>
      </c>
      <c r="BA15">
        <v>100.10312702102701</v>
      </c>
      <c r="BB15">
        <v>97.964552271416295</v>
      </c>
      <c r="BC15">
        <v>100</v>
      </c>
      <c r="BD15">
        <v>104.374595794515</v>
      </c>
      <c r="BE15">
        <v>104.971363315912</v>
      </c>
      <c r="BF15">
        <v>102.481166209295</v>
      </c>
      <c r="BG15">
        <v>102.912610045854</v>
      </c>
      <c r="BH15">
        <v>103.402973204454</v>
      </c>
      <c r="BJ15" s="20" t="s">
        <v>176</v>
      </c>
      <c r="BK15" t="s">
        <v>690</v>
      </c>
      <c r="BL15">
        <v>2015</v>
      </c>
      <c r="BM15">
        <f>INDEX('Costs lists'!$C$5:$C$8,MATCH(Lists!BK15,'Costs lists'!$B$5:$B$8,0))</f>
        <v>3.55</v>
      </c>
      <c r="BN15">
        <f>INDEX('Costs lists'!$D$5:$D$8,MATCH(Lists!BK15,'Costs lists'!$B$5:$B$8,0))</f>
        <v>2.91</v>
      </c>
      <c r="BO15">
        <f>INDEX('Costs lists'!$E$5:$E$8,MATCH(Lists!BK15,'Costs lists'!$B$5:$B$8,0))</f>
        <v>7.59</v>
      </c>
      <c r="BW15" s="20" t="s">
        <v>176</v>
      </c>
      <c r="BX15" s="20">
        <v>2008</v>
      </c>
      <c r="BY15" s="52"/>
      <c r="BZ15" s="52"/>
      <c r="CA15" s="52"/>
      <c r="CB15" s="52"/>
      <c r="CC15" s="375"/>
      <c r="CD15" s="375"/>
      <c r="CE15" s="375"/>
      <c r="CF15" s="375"/>
      <c r="CG15" s="375"/>
      <c r="CI15" s="20" t="s">
        <v>176</v>
      </c>
      <c r="CJ15" s="20">
        <v>2015</v>
      </c>
      <c r="CK15" s="59">
        <f t="shared" si="15"/>
        <v>0</v>
      </c>
      <c r="CL15" s="59">
        <f t="shared" si="16"/>
        <v>0</v>
      </c>
      <c r="CM15" s="59">
        <f t="shared" si="17"/>
        <v>0</v>
      </c>
      <c r="CN15" s="59">
        <f t="shared" si="18"/>
        <v>0</v>
      </c>
      <c r="CO15" s="59">
        <f t="shared" si="19"/>
        <v>0</v>
      </c>
      <c r="CP15" s="59">
        <f t="shared" si="20"/>
        <v>0</v>
      </c>
      <c r="CQ15" s="59">
        <f t="shared" si="21"/>
        <v>0</v>
      </c>
      <c r="CR15" s="59">
        <f t="shared" si="22"/>
        <v>0</v>
      </c>
      <c r="CS15" s="59">
        <f t="shared" si="23"/>
        <v>0</v>
      </c>
      <c r="CW15" s="20" t="s">
        <v>176</v>
      </c>
      <c r="CX15">
        <v>2011</v>
      </c>
      <c r="CY15">
        <v>0.10344099999999999</v>
      </c>
      <c r="CZ15">
        <v>4.950043186545372E-2</v>
      </c>
      <c r="DB15">
        <v>3716.979248046875</v>
      </c>
      <c r="DC15">
        <v>0.64510613679885864</v>
      </c>
      <c r="DE15">
        <f t="shared" si="24"/>
        <v>48440.913198224021</v>
      </c>
      <c r="DH15" t="e">
        <f t="shared" si="25"/>
        <v>#DIV/0!</v>
      </c>
      <c r="DI15" t="e">
        <f t="shared" si="31"/>
        <v>#DIV/0!</v>
      </c>
      <c r="DJ15" t="e">
        <f t="shared" si="32"/>
        <v>#DIV/0!</v>
      </c>
      <c r="DL15" s="20" t="s">
        <v>176</v>
      </c>
      <c r="DM15" s="99" t="s">
        <v>755</v>
      </c>
      <c r="DN15" s="100" t="s">
        <v>847</v>
      </c>
      <c r="DO15" s="101"/>
      <c r="DP15" s="101"/>
      <c r="DQ15" s="101"/>
      <c r="DR15" s="101">
        <v>39</v>
      </c>
      <c r="DS15" s="101"/>
      <c r="DT15" s="101"/>
      <c r="DU15" s="101"/>
      <c r="DV15" s="101"/>
      <c r="DW15" s="101"/>
      <c r="DX15">
        <f t="shared" ca="1" si="26"/>
        <v>39</v>
      </c>
      <c r="DY15">
        <f t="shared" ca="1" si="27"/>
        <v>7.8</v>
      </c>
      <c r="DZ15" t="e">
        <f t="shared" ca="1" si="28"/>
        <v>#DIV/0!</v>
      </c>
      <c r="EB15" s="20" t="s">
        <v>176</v>
      </c>
      <c r="EC15" s="99" t="s">
        <v>756</v>
      </c>
      <c r="ED15" s="100" t="s">
        <v>754</v>
      </c>
      <c r="EE15" s="101"/>
      <c r="EF15" s="101">
        <v>62.4</v>
      </c>
      <c r="EG15" s="101"/>
      <c r="EH15" s="101"/>
      <c r="EI15" s="101"/>
      <c r="EJ15" s="101">
        <v>58.1</v>
      </c>
      <c r="EK15" s="101"/>
      <c r="EL15" s="101"/>
      <c r="EM15" s="101"/>
      <c r="EN15" s="101"/>
      <c r="EO15">
        <f t="shared" ca="1" si="33"/>
        <v>58.1</v>
      </c>
      <c r="EQ15" s="20" t="s">
        <v>176</v>
      </c>
      <c r="ER15" s="20" t="e">
        <f t="shared" ca="1" si="29"/>
        <v>#DIV/0!</v>
      </c>
      <c r="ES15" t="e">
        <f t="shared" ca="1" si="30"/>
        <v>#DIV/0!</v>
      </c>
      <c r="EU15" s="20" t="s">
        <v>176</v>
      </c>
    </row>
    <row r="16" spans="1:152" x14ac:dyDescent="0.3">
      <c r="A16" s="20" t="s">
        <v>212</v>
      </c>
      <c r="B16" s="20" t="s">
        <v>634</v>
      </c>
      <c r="C16" s="81">
        <v>2015</v>
      </c>
      <c r="D16" s="82">
        <v>1545.971</v>
      </c>
      <c r="E16" s="82">
        <v>1522.9549999999999</v>
      </c>
      <c r="F16" s="82">
        <v>1412.8140000000001</v>
      </c>
      <c r="G16" s="82">
        <v>1487.386</v>
      </c>
      <c r="H16" s="82">
        <v>1679.567</v>
      </c>
      <c r="I16" s="82">
        <v>1793.586</v>
      </c>
      <c r="J16" s="82">
        <v>1777.48</v>
      </c>
      <c r="K16" s="82">
        <v>1539.931</v>
      </c>
      <c r="L16" s="82">
        <v>1709.5940000000001</v>
      </c>
      <c r="M16" s="82">
        <v>1541.2460000000001</v>
      </c>
      <c r="N16" s="82">
        <v>1608.2070000000001</v>
      </c>
      <c r="O16" s="82">
        <v>1463.3009999999999</v>
      </c>
      <c r="P16" s="82">
        <v>1280.8330000000001</v>
      </c>
      <c r="Q16" s="82">
        <v>1189.77</v>
      </c>
      <c r="R16" s="82">
        <v>852.61400000000003</v>
      </c>
      <c r="S16" s="82">
        <v>632.94899999999996</v>
      </c>
      <c r="T16" s="82">
        <v>465.49299999999999</v>
      </c>
      <c r="U16" s="82">
        <v>300.61700000000002</v>
      </c>
      <c r="V16" s="82">
        <v>132.72900000000001</v>
      </c>
      <c r="W16" s="82">
        <v>28.190999999999999</v>
      </c>
      <c r="X16" s="82">
        <v>3.7389999999999999</v>
      </c>
      <c r="Y16" s="82">
        <f t="shared" si="1"/>
        <v>23968.972999999994</v>
      </c>
      <c r="Z16" s="52">
        <f t="shared" si="2"/>
        <v>154.59700000000001</v>
      </c>
      <c r="AA16" s="52">
        <f t="shared" si="3"/>
        <v>154.59700000000001</v>
      </c>
      <c r="AB16" s="52">
        <f t="shared" si="4"/>
        <v>309.19400000000002</v>
      </c>
      <c r="AC16" s="52">
        <f t="shared" si="5"/>
        <v>927.58299999999997</v>
      </c>
      <c r="AD16" s="52">
        <f t="shared" si="6"/>
        <v>2935.7689999999998</v>
      </c>
      <c r="AE16" s="52">
        <f t="shared" si="7"/>
        <v>11528.79</v>
      </c>
      <c r="AF16" s="52">
        <f t="shared" si="8"/>
        <v>4352.3410000000003</v>
      </c>
      <c r="AG16" s="52">
        <f t="shared" si="9"/>
        <v>3606.1019999999999</v>
      </c>
      <c r="AH16" s="52">
        <f t="shared" si="10"/>
        <v>23968.972999999998</v>
      </c>
      <c r="AI16">
        <v>12.9</v>
      </c>
      <c r="AJ16" s="30">
        <f t="shared" si="11"/>
        <v>309199.75169999996</v>
      </c>
      <c r="AK16">
        <f t="shared" si="12"/>
        <v>309.19420000000002</v>
      </c>
      <c r="AM16" s="20" t="s">
        <v>212</v>
      </c>
      <c r="AN16" t="s">
        <v>274</v>
      </c>
      <c r="AO16" t="s">
        <v>275</v>
      </c>
      <c r="AP16" t="s">
        <v>690</v>
      </c>
      <c r="AQ16" s="55">
        <v>67655.728399354484</v>
      </c>
      <c r="AR16" s="55">
        <v>1.33109026245502</v>
      </c>
      <c r="AS16" t="s">
        <v>212</v>
      </c>
      <c r="AT16" t="s">
        <v>1161</v>
      </c>
      <c r="AU16" t="s">
        <v>1153</v>
      </c>
      <c r="AV16">
        <v>82.198725376593302</v>
      </c>
      <c r="AW16">
        <v>84.125144843568904</v>
      </c>
      <c r="AX16">
        <v>86.370220162224797</v>
      </c>
      <c r="AY16">
        <v>89.426419466975702</v>
      </c>
      <c r="AZ16">
        <v>91.512166859791407</v>
      </c>
      <c r="BA16">
        <v>95.495365005793701</v>
      </c>
      <c r="BB16">
        <v>97.233487833140202</v>
      </c>
      <c r="BC16">
        <v>100</v>
      </c>
      <c r="BD16">
        <v>103.30385015608699</v>
      </c>
      <c r="BE16">
        <v>105.124869927159</v>
      </c>
      <c r="BF16">
        <v>107.700312174818</v>
      </c>
      <c r="BG16">
        <v>110.379812695109</v>
      </c>
      <c r="BH16">
        <v>112.04474505723201</v>
      </c>
      <c r="BJ16" s="20" t="s">
        <v>212</v>
      </c>
      <c r="BK16" t="s">
        <v>690</v>
      </c>
      <c r="BL16">
        <v>2015</v>
      </c>
      <c r="BM16">
        <f>INDEX('Costs lists'!$C$5:$C$8,MATCH(Lists!BK16,'Costs lists'!$B$5:$B$8,0))</f>
        <v>3.55</v>
      </c>
      <c r="BN16">
        <f>INDEX('Costs lists'!$D$5:$D$8,MATCH(Lists!BK16,'Costs lists'!$B$5:$B$8,0))</f>
        <v>2.91</v>
      </c>
      <c r="BO16">
        <f>INDEX('Costs lists'!$E$5:$E$8,MATCH(Lists!BK16,'Costs lists'!$B$5:$B$8,0))</f>
        <v>7.59</v>
      </c>
      <c r="BW16" s="20" t="s">
        <v>212</v>
      </c>
      <c r="BX16" s="20">
        <v>2008</v>
      </c>
      <c r="BY16" s="52">
        <v>67.724800000000002</v>
      </c>
      <c r="BZ16" s="52">
        <v>83.62</v>
      </c>
      <c r="CA16" s="52">
        <v>95.282399999999996</v>
      </c>
      <c r="CB16" s="52">
        <v>99.293199999999999</v>
      </c>
      <c r="CC16" s="375">
        <f t="shared" ref="CC16:CC50" si="34">BY16*(9/10)+BZ16*(0.5/10)+CA16*(0.25/10)+CB16*(0.25/10)</f>
        <v>69.997709999999998</v>
      </c>
      <c r="CD16" s="375">
        <v>509.16</v>
      </c>
      <c r="CE16" s="375">
        <v>531.17999999999995</v>
      </c>
      <c r="CF16" s="375">
        <v>686.83</v>
      </c>
      <c r="CG16" s="375">
        <f t="shared" ref="CG16:CG47" si="35">CD16*(2/3)+CE16*(1/6)+CF16*(1/6)</f>
        <v>542.44166666666661</v>
      </c>
      <c r="CI16" s="20" t="s">
        <v>212</v>
      </c>
      <c r="CJ16" s="20">
        <v>2015</v>
      </c>
      <c r="CK16" s="59">
        <f t="shared" si="15"/>
        <v>79.461531453297752</v>
      </c>
      <c r="CL16" s="59">
        <f t="shared" si="16"/>
        <v>98.111375155404787</v>
      </c>
      <c r="CM16" s="59">
        <f t="shared" si="17"/>
        <v>111.79487314168071</v>
      </c>
      <c r="CN16" s="59">
        <f t="shared" si="18"/>
        <v>116.5007461801081</v>
      </c>
      <c r="CO16" s="59">
        <f t="shared" si="19"/>
        <v>82.128337548782937</v>
      </c>
      <c r="CP16" s="59">
        <f t="shared" si="20"/>
        <v>597.39760552649966</v>
      </c>
      <c r="CQ16" s="59">
        <f t="shared" si="21"/>
        <v>623.23367920411272</v>
      </c>
      <c r="CR16" s="59">
        <f t="shared" si="22"/>
        <v>805.85787847388985</v>
      </c>
      <c r="CS16" s="59">
        <f t="shared" si="23"/>
        <v>636.44699663066683</v>
      </c>
      <c r="CW16" s="20" t="s">
        <v>212</v>
      </c>
      <c r="CX16">
        <v>2011</v>
      </c>
      <c r="CY16">
        <v>23.622353</v>
      </c>
      <c r="CZ16">
        <v>11.966839790344238</v>
      </c>
      <c r="DA16">
        <v>1803.0612732870325</v>
      </c>
      <c r="DB16">
        <v>1029705.0625</v>
      </c>
      <c r="DC16">
        <v>0.56885647773742676</v>
      </c>
      <c r="DE16">
        <f t="shared" si="24"/>
        <v>48948.127093234616</v>
      </c>
      <c r="DH16">
        <f t="shared" si="25"/>
        <v>27.147234438683704</v>
      </c>
      <c r="DI16">
        <f t="shared" si="31"/>
        <v>27.556714288807672</v>
      </c>
      <c r="DJ16">
        <f t="shared" si="32"/>
        <v>54.396519369766992</v>
      </c>
      <c r="DL16" s="20" t="s">
        <v>212</v>
      </c>
      <c r="DM16" s="99" t="s">
        <v>760</v>
      </c>
      <c r="DN16" s="100" t="s">
        <v>754</v>
      </c>
      <c r="DO16" s="101">
        <v>34.6</v>
      </c>
      <c r="DP16" s="101">
        <v>34.5</v>
      </c>
      <c r="DQ16" s="101">
        <v>33.9</v>
      </c>
      <c r="DR16" s="101">
        <v>34.1</v>
      </c>
      <c r="DS16" s="101">
        <v>34</v>
      </c>
      <c r="DT16" s="101">
        <v>34</v>
      </c>
      <c r="DU16" s="101">
        <v>33.9</v>
      </c>
      <c r="DV16" s="101">
        <v>33.700000000000003</v>
      </c>
      <c r="DW16" s="101">
        <v>33.6</v>
      </c>
      <c r="DX16">
        <f t="shared" ca="1" si="26"/>
        <v>33.6</v>
      </c>
      <c r="DY16">
        <f t="shared" ca="1" si="27"/>
        <v>6.7200000000000006</v>
      </c>
      <c r="DZ16">
        <f t="shared" ca="1" si="28"/>
        <v>185.18112002078757</v>
      </c>
      <c r="EB16" s="20" t="s">
        <v>212</v>
      </c>
      <c r="EC16" s="99" t="s">
        <v>760</v>
      </c>
      <c r="ED16" s="100" t="s">
        <v>754</v>
      </c>
      <c r="EE16" s="101">
        <v>61.7</v>
      </c>
      <c r="EF16" s="101">
        <v>62.3</v>
      </c>
      <c r="EG16" s="101">
        <v>62.7</v>
      </c>
      <c r="EH16" s="101">
        <v>61.8</v>
      </c>
      <c r="EI16" s="101">
        <v>62</v>
      </c>
      <c r="EJ16" s="101">
        <v>62.1</v>
      </c>
      <c r="EK16" s="101">
        <v>61.7</v>
      </c>
      <c r="EL16" s="101">
        <v>61.2</v>
      </c>
      <c r="EM16" s="101">
        <v>60.7</v>
      </c>
      <c r="EN16" s="101">
        <v>61</v>
      </c>
      <c r="EO16">
        <f t="shared" ca="1" si="33"/>
        <v>61</v>
      </c>
      <c r="EQ16" s="20" t="s">
        <v>212</v>
      </c>
      <c r="ER16" s="20">
        <f t="shared" ca="1" si="29"/>
        <v>185.18112002078757</v>
      </c>
      <c r="ES16">
        <f t="shared" ca="1" si="30"/>
        <v>112.96048321268043</v>
      </c>
      <c r="EU16" s="20" t="s">
        <v>212</v>
      </c>
      <c r="EV16" s="109">
        <v>45500.634588430534</v>
      </c>
    </row>
    <row r="17" spans="1:152" x14ac:dyDescent="0.3">
      <c r="A17" s="20" t="s">
        <v>168</v>
      </c>
      <c r="B17" s="20" t="s">
        <v>257</v>
      </c>
      <c r="C17" s="81">
        <v>2015</v>
      </c>
      <c r="D17" s="82">
        <v>403.86200000000002</v>
      </c>
      <c r="E17" s="82">
        <v>396.64400000000001</v>
      </c>
      <c r="F17" s="82">
        <v>413.47800000000001</v>
      </c>
      <c r="G17" s="82">
        <v>460.47899999999998</v>
      </c>
      <c r="H17" s="82">
        <v>541.08299999999997</v>
      </c>
      <c r="I17" s="82">
        <v>555.08199999999999</v>
      </c>
      <c r="J17" s="82">
        <v>576.03300000000002</v>
      </c>
      <c r="K17" s="82">
        <v>540.00800000000004</v>
      </c>
      <c r="L17" s="82">
        <v>605.95799999999997</v>
      </c>
      <c r="M17" s="82">
        <v>711.31500000000005</v>
      </c>
      <c r="N17" s="82">
        <v>689.74800000000005</v>
      </c>
      <c r="O17" s="82">
        <v>587.17899999999997</v>
      </c>
      <c r="P17" s="82">
        <v>460.827</v>
      </c>
      <c r="Q17" s="82">
        <v>430.69799999999998</v>
      </c>
      <c r="R17" s="82">
        <v>427.47</v>
      </c>
      <c r="S17" s="82">
        <v>312.80399999999997</v>
      </c>
      <c r="T17" s="82">
        <v>211.30500000000001</v>
      </c>
      <c r="U17" s="82">
        <v>145.489</v>
      </c>
      <c r="V17" s="82">
        <v>64.234999999999999</v>
      </c>
      <c r="W17" s="82">
        <v>9.4429999999999996</v>
      </c>
      <c r="X17" s="82">
        <v>1.446</v>
      </c>
      <c r="Y17" s="82">
        <f t="shared" si="1"/>
        <v>8544.5859999999993</v>
      </c>
      <c r="Z17" s="52">
        <f t="shared" si="2"/>
        <v>40.386000000000003</v>
      </c>
      <c r="AA17" s="52">
        <f t="shared" si="3"/>
        <v>40.386000000000003</v>
      </c>
      <c r="AB17" s="52">
        <f t="shared" si="4"/>
        <v>80.772000000000006</v>
      </c>
      <c r="AC17" s="52">
        <f t="shared" si="5"/>
        <v>242.31700000000001</v>
      </c>
      <c r="AD17" s="52">
        <f t="shared" si="6"/>
        <v>810.12199999999996</v>
      </c>
      <c r="AE17" s="52">
        <f t="shared" si="7"/>
        <v>3989.9580000000001</v>
      </c>
      <c r="AF17" s="52">
        <f t="shared" si="8"/>
        <v>1737.7539999999999</v>
      </c>
      <c r="AG17" s="52">
        <f t="shared" si="9"/>
        <v>1602.89</v>
      </c>
      <c r="AH17" s="52">
        <f t="shared" si="10"/>
        <v>8544.5849999999991</v>
      </c>
      <c r="AI17">
        <v>9.6</v>
      </c>
      <c r="AJ17" s="30">
        <f t="shared" si="11"/>
        <v>82028.015999999989</v>
      </c>
      <c r="AK17">
        <f t="shared" si="12"/>
        <v>80.772400000000005</v>
      </c>
      <c r="AM17" s="20" t="s">
        <v>168</v>
      </c>
      <c r="AN17" t="s">
        <v>256</v>
      </c>
      <c r="AO17" t="s">
        <v>257</v>
      </c>
      <c r="AP17" t="s">
        <v>690</v>
      </c>
      <c r="AQ17" s="55">
        <v>39347.260812982458</v>
      </c>
      <c r="AR17" s="55">
        <v>0.90165896164127801</v>
      </c>
      <c r="AS17" t="s">
        <v>168</v>
      </c>
      <c r="AT17" t="s">
        <v>1162</v>
      </c>
      <c r="AU17" t="s">
        <v>1153</v>
      </c>
      <c r="AV17">
        <v>87.484263688640695</v>
      </c>
      <c r="AW17">
        <v>89.287513959496593</v>
      </c>
      <c r="AX17">
        <v>91.345382115176207</v>
      </c>
      <c r="AY17">
        <v>92.669541628469005</v>
      </c>
      <c r="AZ17">
        <v>94.679172431035894</v>
      </c>
      <c r="BA17">
        <v>97.723979498291399</v>
      </c>
      <c r="BB17">
        <v>98.218768230685797</v>
      </c>
      <c r="BC17">
        <v>100</v>
      </c>
      <c r="BD17">
        <v>103.266938911577</v>
      </c>
      <c r="BE17">
        <v>105.833819484957</v>
      </c>
      <c r="BF17">
        <v>107.95066255521201</v>
      </c>
      <c r="BG17">
        <v>109.68414034502899</v>
      </c>
      <c r="BH17">
        <v>110.66753215668</v>
      </c>
      <c r="BJ17" s="20" t="s">
        <v>168</v>
      </c>
      <c r="BK17" t="s">
        <v>690</v>
      </c>
      <c r="BL17">
        <v>2015</v>
      </c>
      <c r="BM17">
        <f>INDEX('Costs lists'!$C$5:$C$8,MATCH(Lists!BK17,'Costs lists'!$B$5:$B$8,0))</f>
        <v>3.55</v>
      </c>
      <c r="BN17">
        <f>INDEX('Costs lists'!$D$5:$D$8,MATCH(Lists!BK17,'Costs lists'!$B$5:$B$8,0))</f>
        <v>2.91</v>
      </c>
      <c r="BO17">
        <f>INDEX('Costs lists'!$E$5:$E$8,MATCH(Lists!BK17,'Costs lists'!$B$5:$B$8,0))</f>
        <v>7.59</v>
      </c>
      <c r="BW17" s="20" t="s">
        <v>168</v>
      </c>
      <c r="BX17" s="20">
        <v>2008</v>
      </c>
      <c r="BY17" s="52">
        <v>38.921500000000002</v>
      </c>
      <c r="BZ17" s="52">
        <v>48.058999999999997</v>
      </c>
      <c r="CA17" s="52">
        <v>54.765500000000003</v>
      </c>
      <c r="CB17" s="52">
        <v>57.068999999999996</v>
      </c>
      <c r="CC17" s="375">
        <f t="shared" si="34"/>
        <v>40.228162499999996</v>
      </c>
      <c r="CD17" s="375">
        <v>509.67</v>
      </c>
      <c r="CE17" s="375">
        <v>531.71</v>
      </c>
      <c r="CF17" s="375">
        <v>687.52</v>
      </c>
      <c r="CG17" s="375">
        <f t="shared" si="35"/>
        <v>542.98500000000001</v>
      </c>
      <c r="CI17" s="20" t="s">
        <v>168</v>
      </c>
      <c r="CJ17" s="20">
        <v>2015</v>
      </c>
      <c r="CK17" s="59">
        <f t="shared" si="15"/>
        <v>44.076657284628183</v>
      </c>
      <c r="CL17" s="59">
        <f t="shared" si="16"/>
        <v>54.42442024181868</v>
      </c>
      <c r="CM17" s="59">
        <f t="shared" si="17"/>
        <v>62.019196961096178</v>
      </c>
      <c r="CN17" s="59">
        <f t="shared" si="18"/>
        <v>64.627795808908843</v>
      </c>
      <c r="CO17" s="59">
        <f t="shared" si="19"/>
        <v>45.556387387506419</v>
      </c>
      <c r="CP17" s="59">
        <f t="shared" si="20"/>
        <v>577.17585186224699</v>
      </c>
      <c r="CQ17" s="59">
        <f t="shared" si="21"/>
        <v>602.13505247253192</v>
      </c>
      <c r="CR17" s="59">
        <f t="shared" si="22"/>
        <v>778.58210542573045</v>
      </c>
      <c r="CS17" s="59">
        <f t="shared" si="23"/>
        <v>614.90342755787503</v>
      </c>
      <c r="CW17" s="20" t="s">
        <v>168</v>
      </c>
      <c r="CX17">
        <v>2011</v>
      </c>
      <c r="CY17">
        <v>8.5169160000000002</v>
      </c>
      <c r="CZ17">
        <v>4.4209952354431152</v>
      </c>
      <c r="DA17">
        <v>1629.3684373286853</v>
      </c>
      <c r="DB17">
        <v>384609.15625</v>
      </c>
      <c r="DC17">
        <v>0.58856081962585449</v>
      </c>
      <c r="DE17">
        <f t="shared" si="24"/>
        <v>51202.470978329329</v>
      </c>
      <c r="DH17">
        <f t="shared" si="25"/>
        <v>31.424734765498886</v>
      </c>
      <c r="DI17">
        <f t="shared" si="31"/>
        <v>31.706478568700394</v>
      </c>
      <c r="DJ17">
        <f t="shared" si="32"/>
        <v>61.081589154518809</v>
      </c>
      <c r="DL17" s="20" t="s">
        <v>168</v>
      </c>
      <c r="DM17" s="99" t="s">
        <v>796</v>
      </c>
      <c r="DN17" s="100" t="s">
        <v>754</v>
      </c>
      <c r="DO17" s="101">
        <v>38.4</v>
      </c>
      <c r="DP17" s="101">
        <v>38.1</v>
      </c>
      <c r="DQ17" s="101">
        <v>37.1</v>
      </c>
      <c r="DR17" s="101">
        <v>36.9</v>
      </c>
      <c r="DS17" s="101">
        <v>37</v>
      </c>
      <c r="DT17" s="101">
        <v>36.700000000000003</v>
      </c>
      <c r="DU17" s="101">
        <v>36.4</v>
      </c>
      <c r="DV17" s="101">
        <v>35.9</v>
      </c>
      <c r="DW17" s="101">
        <v>35.6</v>
      </c>
      <c r="DX17">
        <f t="shared" ca="1" si="26"/>
        <v>35.6</v>
      </c>
      <c r="DY17">
        <f t="shared" ca="1" si="27"/>
        <v>7.12</v>
      </c>
      <c r="DZ17">
        <f t="shared" ca="1" si="28"/>
        <v>225.75012740914681</v>
      </c>
      <c r="EB17" s="20" t="s">
        <v>168</v>
      </c>
      <c r="EC17" s="99" t="s">
        <v>796</v>
      </c>
      <c r="ED17" s="100" t="s">
        <v>754</v>
      </c>
      <c r="EE17" s="101">
        <v>56</v>
      </c>
      <c r="EF17" s="101">
        <v>57</v>
      </c>
      <c r="EG17" s="101">
        <v>57.7</v>
      </c>
      <c r="EH17" s="101">
        <v>57.2</v>
      </c>
      <c r="EI17" s="101">
        <v>57.5</v>
      </c>
      <c r="EJ17" s="101">
        <v>57.7</v>
      </c>
      <c r="EK17" s="101">
        <v>57.8</v>
      </c>
      <c r="EL17" s="101">
        <v>57.7</v>
      </c>
      <c r="EM17" s="101">
        <v>57.3</v>
      </c>
      <c r="EN17" s="101">
        <v>57.2</v>
      </c>
      <c r="EO17">
        <f t="shared" ca="1" si="33"/>
        <v>57.2</v>
      </c>
      <c r="EQ17" s="20" t="s">
        <v>168</v>
      </c>
      <c r="ER17" s="20">
        <f t="shared" ca="1" si="29"/>
        <v>225.75012740914681</v>
      </c>
      <c r="ES17">
        <f t="shared" ca="1" si="30"/>
        <v>129.12907287803199</v>
      </c>
      <c r="EU17" s="20" t="s">
        <v>168</v>
      </c>
      <c r="EV17" s="109">
        <v>48194.242770352663</v>
      </c>
    </row>
    <row r="18" spans="1:152" x14ac:dyDescent="0.3">
      <c r="A18" s="20" t="s">
        <v>119</v>
      </c>
      <c r="B18" s="20" t="s">
        <v>257</v>
      </c>
      <c r="C18" s="81">
        <v>2015</v>
      </c>
      <c r="D18" s="82">
        <v>930.423</v>
      </c>
      <c r="E18" s="82">
        <v>618.62199999999996</v>
      </c>
      <c r="F18" s="82">
        <v>588.88300000000004</v>
      </c>
      <c r="G18" s="82">
        <v>706.04100000000005</v>
      </c>
      <c r="H18" s="82">
        <v>909.14700000000005</v>
      </c>
      <c r="I18" s="82">
        <v>961.99599999999998</v>
      </c>
      <c r="J18" s="82">
        <v>873.04300000000001</v>
      </c>
      <c r="K18" s="82">
        <v>638.38900000000001</v>
      </c>
      <c r="L18" s="82">
        <v>640.35400000000004</v>
      </c>
      <c r="M18" s="82">
        <v>619.89</v>
      </c>
      <c r="N18" s="82">
        <v>756.16200000000003</v>
      </c>
      <c r="O18" s="82">
        <v>531.18399999999997</v>
      </c>
      <c r="P18" s="82">
        <v>431.06700000000001</v>
      </c>
      <c r="Q18" s="82">
        <v>132.16</v>
      </c>
      <c r="R18" s="82">
        <v>137.75700000000001</v>
      </c>
      <c r="S18" s="82">
        <v>156.46299999999999</v>
      </c>
      <c r="T18" s="82">
        <v>84.340999999999994</v>
      </c>
      <c r="U18" s="82">
        <v>30.504999999999999</v>
      </c>
      <c r="V18" s="82">
        <v>6.6989999999999998</v>
      </c>
      <c r="W18" s="82">
        <v>0.73199999999999998</v>
      </c>
      <c r="X18" s="82">
        <v>0.11</v>
      </c>
      <c r="Y18" s="82">
        <f t="shared" si="1"/>
        <v>9753.9680000000008</v>
      </c>
      <c r="Z18" s="52">
        <f t="shared" si="2"/>
        <v>93.042000000000002</v>
      </c>
      <c r="AA18" s="52">
        <f t="shared" si="3"/>
        <v>93.042000000000002</v>
      </c>
      <c r="AB18" s="52">
        <f t="shared" si="4"/>
        <v>186.08500000000001</v>
      </c>
      <c r="AC18" s="52">
        <f t="shared" si="5"/>
        <v>558.25400000000002</v>
      </c>
      <c r="AD18" s="52">
        <f t="shared" si="6"/>
        <v>1207.5050000000001</v>
      </c>
      <c r="AE18" s="52">
        <f t="shared" si="7"/>
        <v>5348.86</v>
      </c>
      <c r="AF18" s="52">
        <f t="shared" si="8"/>
        <v>1718.413</v>
      </c>
      <c r="AG18" s="52">
        <f t="shared" si="9"/>
        <v>548.76700000000005</v>
      </c>
      <c r="AH18" s="52">
        <f t="shared" si="10"/>
        <v>9753.9679999999989</v>
      </c>
      <c r="AI18">
        <v>17.899999999999999</v>
      </c>
      <c r="AJ18" s="30">
        <f t="shared" si="11"/>
        <v>174596.02719999995</v>
      </c>
      <c r="AK18">
        <f t="shared" si="12"/>
        <v>186.08459999999999</v>
      </c>
      <c r="AM18" s="20" t="s">
        <v>119</v>
      </c>
      <c r="AN18" t="s">
        <v>276</v>
      </c>
      <c r="AO18" t="s">
        <v>277</v>
      </c>
      <c r="AP18" t="s">
        <v>689</v>
      </c>
      <c r="AQ18" s="55">
        <v>5632.7266286889435</v>
      </c>
      <c r="AR18" s="55">
        <v>1.0245638185505901</v>
      </c>
      <c r="AS18" t="s">
        <v>119</v>
      </c>
      <c r="AT18" t="s">
        <v>1163</v>
      </c>
      <c r="AU18" t="s">
        <v>1153</v>
      </c>
      <c r="BJ18" s="20" t="s">
        <v>119</v>
      </c>
      <c r="BK18" t="s">
        <v>689</v>
      </c>
      <c r="BL18">
        <v>2015</v>
      </c>
      <c r="BM18">
        <f>INDEX('Costs lists'!$C$5:$C$8,MATCH(Lists!BK18,'Costs lists'!$B$5:$B$8,0))</f>
        <v>3.2</v>
      </c>
      <c r="BN18">
        <f>INDEX('Costs lists'!$D$5:$D$8,MATCH(Lists!BK18,'Costs lists'!$B$5:$B$8,0))</f>
        <v>1.1200000000000001</v>
      </c>
      <c r="BO18">
        <f>INDEX('Costs lists'!$E$5:$E$8,MATCH(Lists!BK18,'Costs lists'!$B$5:$B$8,0))</f>
        <v>4.4400000000000004</v>
      </c>
      <c r="BW18" s="20" t="s">
        <v>119</v>
      </c>
      <c r="BX18" s="20">
        <v>2008</v>
      </c>
      <c r="BY18" s="52">
        <v>6.4950000000000001</v>
      </c>
      <c r="BZ18" s="52">
        <v>8.02</v>
      </c>
      <c r="CA18" s="52">
        <v>9.1349999999999998</v>
      </c>
      <c r="CB18" s="52">
        <v>9.52</v>
      </c>
      <c r="CC18" s="375">
        <f t="shared" si="34"/>
        <v>6.7128750000000004</v>
      </c>
      <c r="CD18" s="375">
        <v>89.78</v>
      </c>
      <c r="CE18" s="375">
        <v>93.66</v>
      </c>
      <c r="CF18" s="375">
        <v>121.1</v>
      </c>
      <c r="CG18" s="375">
        <f t="shared" si="35"/>
        <v>95.646666666666675</v>
      </c>
      <c r="CI18" s="20" t="s">
        <v>119</v>
      </c>
      <c r="CJ18" s="20">
        <v>2015</v>
      </c>
      <c r="CK18" s="59" t="e">
        <f t="shared" si="15"/>
        <v>#DIV/0!</v>
      </c>
      <c r="CL18" s="59" t="e">
        <f t="shared" si="16"/>
        <v>#DIV/0!</v>
      </c>
      <c r="CM18" s="59" t="e">
        <f t="shared" si="17"/>
        <v>#DIV/0!</v>
      </c>
      <c r="CN18" s="59" t="e">
        <f t="shared" si="18"/>
        <v>#DIV/0!</v>
      </c>
      <c r="CO18" s="59" t="e">
        <f t="shared" si="19"/>
        <v>#DIV/0!</v>
      </c>
      <c r="CP18" s="59" t="e">
        <f t="shared" si="20"/>
        <v>#DIV/0!</v>
      </c>
      <c r="CQ18" s="59" t="e">
        <f t="shared" si="21"/>
        <v>#DIV/0!</v>
      </c>
      <c r="CR18" s="59" t="e">
        <f t="shared" si="22"/>
        <v>#DIV/0!</v>
      </c>
      <c r="CS18" s="59" t="e">
        <f t="shared" si="23"/>
        <v>#DIV/0!</v>
      </c>
      <c r="CW18" s="20" t="s">
        <v>119</v>
      </c>
      <c r="CX18">
        <v>2011</v>
      </c>
      <c r="CY18">
        <v>9.6297789999999992</v>
      </c>
      <c r="CZ18">
        <v>4.7481145858764648</v>
      </c>
      <c r="DB18">
        <v>152139.953125</v>
      </c>
      <c r="DC18">
        <v>0.22908063232898712</v>
      </c>
      <c r="DE18">
        <f t="shared" si="24"/>
        <v>7340.243381667251</v>
      </c>
      <c r="DH18" t="e">
        <f t="shared" si="25"/>
        <v>#DIV/0!</v>
      </c>
      <c r="DI18" t="e">
        <f t="shared" si="31"/>
        <v>#DIV/0!</v>
      </c>
      <c r="DJ18" t="e">
        <f t="shared" si="32"/>
        <v>#DIV/0!</v>
      </c>
      <c r="DL18" s="20" t="s">
        <v>119</v>
      </c>
      <c r="DM18" s="99"/>
      <c r="DN18" s="100"/>
      <c r="DO18" s="101"/>
      <c r="DP18" s="101"/>
      <c r="DQ18" s="101"/>
      <c r="DR18" s="101"/>
      <c r="DS18" s="101"/>
      <c r="DT18" s="101"/>
      <c r="DU18" s="101"/>
      <c r="DV18" s="101"/>
      <c r="DW18" s="101"/>
      <c r="DX18" t="e">
        <f t="shared" ca="1" si="26"/>
        <v>#N/A</v>
      </c>
      <c r="DY18" t="e">
        <f t="shared" ca="1" si="27"/>
        <v>#N/A</v>
      </c>
      <c r="DZ18" t="e">
        <f t="shared" ca="1" si="28"/>
        <v>#N/A</v>
      </c>
      <c r="EB18" s="20" t="s">
        <v>119</v>
      </c>
      <c r="EC18" s="99" t="s">
        <v>760</v>
      </c>
      <c r="ED18" s="100" t="s">
        <v>754</v>
      </c>
      <c r="EE18" s="101"/>
      <c r="EF18" s="101">
        <v>60.5</v>
      </c>
      <c r="EG18" s="101">
        <v>60.1</v>
      </c>
      <c r="EH18" s="101">
        <v>61.3</v>
      </c>
      <c r="EI18" s="101">
        <v>61.2</v>
      </c>
      <c r="EJ18" s="101">
        <v>60.9</v>
      </c>
      <c r="EK18" s="101">
        <v>61.2</v>
      </c>
      <c r="EL18" s="101">
        <v>61.4</v>
      </c>
      <c r="EM18" s="101">
        <v>61.9</v>
      </c>
      <c r="EN18" s="101"/>
      <c r="EO18">
        <f t="shared" ca="1" si="33"/>
        <v>61.9</v>
      </c>
      <c r="EQ18" s="20" t="s">
        <v>119</v>
      </c>
      <c r="ER18" s="20" t="e">
        <f t="shared" ca="1" si="29"/>
        <v>#N/A</v>
      </c>
      <c r="ES18" t="e">
        <f t="shared" ca="1" si="30"/>
        <v>#N/A</v>
      </c>
      <c r="EU18" s="20" t="s">
        <v>119</v>
      </c>
      <c r="EV18" s="109">
        <v>17776.074614213296</v>
      </c>
    </row>
    <row r="19" spans="1:152" x14ac:dyDescent="0.3">
      <c r="A19" s="20" t="s">
        <v>177</v>
      </c>
      <c r="B19" s="20" t="s">
        <v>633</v>
      </c>
      <c r="C19" s="81">
        <v>2015</v>
      </c>
      <c r="D19" s="82">
        <v>29.111999999999998</v>
      </c>
      <c r="E19" s="82">
        <v>27.137</v>
      </c>
      <c r="F19" s="82">
        <v>24.928999999999998</v>
      </c>
      <c r="G19" s="82">
        <v>30.545000000000002</v>
      </c>
      <c r="H19" s="82">
        <v>34.308</v>
      </c>
      <c r="I19" s="82">
        <v>32.64</v>
      </c>
      <c r="J19" s="82">
        <v>31.643999999999998</v>
      </c>
      <c r="K19" s="82">
        <v>26.780999999999999</v>
      </c>
      <c r="L19" s="82">
        <v>28.555</v>
      </c>
      <c r="M19" s="82">
        <v>26.196000000000002</v>
      </c>
      <c r="N19" s="82">
        <v>26.251999999999999</v>
      </c>
      <c r="O19" s="82">
        <v>21.26</v>
      </c>
      <c r="P19" s="82">
        <v>16.53</v>
      </c>
      <c r="Q19" s="82">
        <v>12.016999999999999</v>
      </c>
      <c r="R19" s="82">
        <v>8.2170000000000005</v>
      </c>
      <c r="S19" s="82">
        <v>6.0380000000000003</v>
      </c>
      <c r="T19" s="82">
        <v>3.4359999999999999</v>
      </c>
      <c r="U19" s="82">
        <v>1.587</v>
      </c>
      <c r="V19" s="82">
        <v>0.65600000000000003</v>
      </c>
      <c r="W19" s="82">
        <v>0.161</v>
      </c>
      <c r="X19" s="82">
        <v>1.7999999999999999E-2</v>
      </c>
      <c r="Y19" s="82">
        <f t="shared" si="1"/>
        <v>388.01899999999995</v>
      </c>
      <c r="Z19" s="52">
        <f t="shared" si="2"/>
        <v>2.911</v>
      </c>
      <c r="AA19" s="52">
        <f t="shared" si="3"/>
        <v>2.911</v>
      </c>
      <c r="AB19" s="52">
        <f t="shared" si="4"/>
        <v>5.8220000000000001</v>
      </c>
      <c r="AC19" s="52">
        <f t="shared" si="5"/>
        <v>17.466999999999999</v>
      </c>
      <c r="AD19" s="52">
        <f t="shared" si="6"/>
        <v>52.066000000000003</v>
      </c>
      <c r="AE19" s="52">
        <f t="shared" si="7"/>
        <v>210.66900000000001</v>
      </c>
      <c r="AF19" s="52">
        <f t="shared" si="8"/>
        <v>64.042000000000002</v>
      </c>
      <c r="AG19" s="52">
        <f t="shared" si="9"/>
        <v>32.130000000000003</v>
      </c>
      <c r="AH19" s="52">
        <f t="shared" si="10"/>
        <v>388.01800000000003</v>
      </c>
      <c r="AI19">
        <v>15.199</v>
      </c>
      <c r="AJ19" s="30">
        <f t="shared" si="11"/>
        <v>5897.4855820000002</v>
      </c>
      <c r="AK19">
        <f t="shared" si="12"/>
        <v>5.8224</v>
      </c>
      <c r="AM19" s="20" t="s">
        <v>177</v>
      </c>
      <c r="AN19" t="s">
        <v>278</v>
      </c>
      <c r="AO19" t="s">
        <v>279</v>
      </c>
      <c r="AP19" t="s">
        <v>690</v>
      </c>
      <c r="AQ19" s="55">
        <v>22817.230857251834</v>
      </c>
      <c r="AR19" s="55">
        <v>1</v>
      </c>
      <c r="AS19" t="s">
        <v>1119</v>
      </c>
      <c r="AT19" t="s">
        <v>1164</v>
      </c>
      <c r="AU19" t="s">
        <v>1153</v>
      </c>
      <c r="AV19">
        <v>85.943115281726307</v>
      </c>
      <c r="AW19">
        <v>86.787002794304399</v>
      </c>
      <c r="AX19">
        <v>88.168310094907895</v>
      </c>
      <c r="AY19">
        <v>90.2753795352439</v>
      </c>
      <c r="AZ19">
        <v>92.525563739271107</v>
      </c>
      <c r="BA19">
        <v>96.679554395891401</v>
      </c>
      <c r="BB19">
        <v>98.673797145601199</v>
      </c>
      <c r="BC19">
        <v>100</v>
      </c>
      <c r="BD19">
        <v>103.198781416603</v>
      </c>
      <c r="BE19">
        <v>105.24686247888999</v>
      </c>
      <c r="BF19">
        <v>105.611940792742</v>
      </c>
      <c r="BG19">
        <v>107.200834842901</v>
      </c>
      <c r="BH19">
        <v>109.206356361574</v>
      </c>
      <c r="BJ19" s="20" t="s">
        <v>177</v>
      </c>
      <c r="BK19" t="s">
        <v>690</v>
      </c>
      <c r="BL19">
        <v>2015</v>
      </c>
      <c r="BM19">
        <f>INDEX('Costs lists'!$C$5:$C$8,MATCH(Lists!BK19,'Costs lists'!$B$5:$B$8,0))</f>
        <v>3.55</v>
      </c>
      <c r="BN19">
        <f>INDEX('Costs lists'!$D$5:$D$8,MATCH(Lists!BK19,'Costs lists'!$B$5:$B$8,0))</f>
        <v>2.91</v>
      </c>
      <c r="BO19">
        <f>INDEX('Costs lists'!$E$5:$E$8,MATCH(Lists!BK19,'Costs lists'!$B$5:$B$8,0))</f>
        <v>7.59</v>
      </c>
      <c r="BW19" s="20" t="s">
        <v>177</v>
      </c>
      <c r="BX19" s="20">
        <v>2008</v>
      </c>
      <c r="BY19" s="52">
        <v>25.3215</v>
      </c>
      <c r="BZ19" s="52">
        <v>31.263000000000002</v>
      </c>
      <c r="CA19" s="52">
        <v>35.631999999999998</v>
      </c>
      <c r="CB19" s="52">
        <v>37.128</v>
      </c>
      <c r="CC19" s="375">
        <f t="shared" si="34"/>
        <v>26.171500000000002</v>
      </c>
      <c r="CD19" s="375">
        <v>281.87</v>
      </c>
      <c r="CE19" s="375">
        <v>294.06</v>
      </c>
      <c r="CF19" s="375">
        <v>380.23</v>
      </c>
      <c r="CG19" s="375">
        <f t="shared" si="35"/>
        <v>300.29499999999996</v>
      </c>
      <c r="CI19" s="20" t="s">
        <v>177</v>
      </c>
      <c r="CJ19" s="20">
        <v>2015</v>
      </c>
      <c r="CK19" s="59">
        <f t="shared" si="15"/>
        <v>28.602415163046221</v>
      </c>
      <c r="CL19" s="59">
        <f t="shared" si="16"/>
        <v>35.313757290931186</v>
      </c>
      <c r="CM19" s="59">
        <f t="shared" si="17"/>
        <v>40.248850071664904</v>
      </c>
      <c r="CN19" s="59">
        <f t="shared" si="18"/>
        <v>41.938687288414194</v>
      </c>
      <c r="CO19" s="59">
        <f t="shared" si="19"/>
        <v>29.562549945290137</v>
      </c>
      <c r="CP19" s="59">
        <f t="shared" si="20"/>
        <v>318.39198949540264</v>
      </c>
      <c r="CQ19" s="59">
        <f t="shared" si="21"/>
        <v>332.16145184311245</v>
      </c>
      <c r="CR19" s="59">
        <f t="shared" si="22"/>
        <v>429.49652735600438</v>
      </c>
      <c r="CS19" s="59">
        <f t="shared" si="23"/>
        <v>339.20432286345448</v>
      </c>
      <c r="CW19" s="20" t="s">
        <v>177</v>
      </c>
      <c r="CX19">
        <v>2011</v>
      </c>
      <c r="CY19">
        <v>0.38305400000000001</v>
      </c>
      <c r="CZ19">
        <v>0.19032900035381317</v>
      </c>
      <c r="DB19">
        <v>8009.97265625</v>
      </c>
      <c r="DC19">
        <v>0.40713539719581604</v>
      </c>
      <c r="DE19">
        <f t="shared" si="24"/>
        <v>17134.243299064507</v>
      </c>
      <c r="DH19" t="e">
        <f t="shared" si="25"/>
        <v>#DIV/0!</v>
      </c>
      <c r="DI19" t="e">
        <f t="shared" si="31"/>
        <v>#DIV/0!</v>
      </c>
      <c r="DJ19" t="e">
        <f t="shared" si="32"/>
        <v>#DIV/0!</v>
      </c>
      <c r="DL19" s="20" t="s">
        <v>177</v>
      </c>
      <c r="DM19" s="99"/>
      <c r="DN19" s="100"/>
      <c r="DO19" s="101"/>
      <c r="DP19" s="101"/>
      <c r="DQ19" s="101"/>
      <c r="DR19" s="101"/>
      <c r="DS19" s="101"/>
      <c r="DT19" s="101"/>
      <c r="DU19" s="101"/>
      <c r="DV19" s="101"/>
      <c r="DW19" s="101"/>
      <c r="DX19" t="e">
        <f t="shared" ca="1" si="26"/>
        <v>#N/A</v>
      </c>
      <c r="DY19" t="e">
        <f t="shared" ca="1" si="27"/>
        <v>#N/A</v>
      </c>
      <c r="DZ19" t="e">
        <f t="shared" ca="1" si="28"/>
        <v>#N/A</v>
      </c>
      <c r="EB19" s="20" t="s">
        <v>177</v>
      </c>
      <c r="EC19" s="99" t="s">
        <v>797</v>
      </c>
      <c r="ED19" s="100" t="s">
        <v>754</v>
      </c>
      <c r="EE19" s="101"/>
      <c r="EF19" s="101"/>
      <c r="EG19" s="101"/>
      <c r="EH19" s="101">
        <v>62.9</v>
      </c>
      <c r="EI19" s="101"/>
      <c r="EJ19" s="101"/>
      <c r="EK19" s="101"/>
      <c r="EL19" s="101"/>
      <c r="EM19" s="101"/>
      <c r="EN19" s="101"/>
      <c r="EO19">
        <f t="shared" ca="1" si="33"/>
        <v>62.9</v>
      </c>
      <c r="EQ19" s="20" t="s">
        <v>177</v>
      </c>
      <c r="ER19" s="20" t="e">
        <f t="shared" ca="1" si="29"/>
        <v>#N/A</v>
      </c>
      <c r="ES19" t="e">
        <f t="shared" ca="1" si="30"/>
        <v>#N/A</v>
      </c>
      <c r="EU19" s="20" t="s">
        <v>177</v>
      </c>
      <c r="EV19" s="109">
        <v>23001.007148743931</v>
      </c>
    </row>
    <row r="20" spans="1:152" x14ac:dyDescent="0.3">
      <c r="A20" s="20" t="s">
        <v>120</v>
      </c>
      <c r="B20" s="20" t="s">
        <v>631</v>
      </c>
      <c r="C20" s="81">
        <v>2015</v>
      </c>
      <c r="D20" s="82">
        <v>108.72799999999999</v>
      </c>
      <c r="E20" s="82">
        <v>99.858000000000004</v>
      </c>
      <c r="F20" s="82">
        <v>87.174999999999997</v>
      </c>
      <c r="G20" s="82">
        <v>89.370999999999995</v>
      </c>
      <c r="H20" s="82">
        <v>120.425</v>
      </c>
      <c r="I20" s="82">
        <v>172.59899999999999</v>
      </c>
      <c r="J20" s="82">
        <v>174.45400000000001</v>
      </c>
      <c r="K20" s="82">
        <v>133.49</v>
      </c>
      <c r="L20" s="82">
        <v>122.27500000000001</v>
      </c>
      <c r="M20" s="82">
        <v>94.34</v>
      </c>
      <c r="N20" s="82">
        <v>71.521000000000001</v>
      </c>
      <c r="O20" s="82">
        <v>49.682000000000002</v>
      </c>
      <c r="P20" s="82">
        <v>20.116</v>
      </c>
      <c r="Q20" s="82">
        <v>13.805999999999999</v>
      </c>
      <c r="R20" s="82">
        <v>8.93</v>
      </c>
      <c r="S20" s="82">
        <v>6.2430000000000003</v>
      </c>
      <c r="T20" s="82">
        <v>2.5129999999999999</v>
      </c>
      <c r="U20" s="82">
        <v>1.4</v>
      </c>
      <c r="V20" s="82">
        <v>0.254</v>
      </c>
      <c r="W20" s="82">
        <v>0.05</v>
      </c>
      <c r="X20" s="82">
        <v>7.0000000000000001E-3</v>
      </c>
      <c r="Y20" s="82">
        <f t="shared" si="1"/>
        <v>1377.2369999999999</v>
      </c>
      <c r="Z20" s="52">
        <f t="shared" si="2"/>
        <v>10.872999999999999</v>
      </c>
      <c r="AA20" s="52">
        <f t="shared" si="3"/>
        <v>10.872999999999999</v>
      </c>
      <c r="AB20" s="52">
        <f t="shared" si="4"/>
        <v>21.745999999999999</v>
      </c>
      <c r="AC20" s="52">
        <f t="shared" si="5"/>
        <v>65.236999999999995</v>
      </c>
      <c r="AD20" s="52">
        <f t="shared" si="6"/>
        <v>187.03299999999999</v>
      </c>
      <c r="AE20" s="52">
        <f t="shared" si="7"/>
        <v>906.95399999999995</v>
      </c>
      <c r="AF20" s="52">
        <f t="shared" si="8"/>
        <v>141.31899999999999</v>
      </c>
      <c r="AG20" s="52">
        <f t="shared" si="9"/>
        <v>33.203000000000003</v>
      </c>
      <c r="AH20" s="52">
        <f t="shared" si="10"/>
        <v>1377.2379999999998</v>
      </c>
      <c r="AI20">
        <v>14.635999999999999</v>
      </c>
      <c r="AJ20" s="30">
        <f t="shared" si="11"/>
        <v>20157.255367999995</v>
      </c>
      <c r="AK20">
        <f t="shared" si="12"/>
        <v>21.7456</v>
      </c>
      <c r="AM20" s="20" t="s">
        <v>120</v>
      </c>
      <c r="AN20" t="s">
        <v>280</v>
      </c>
      <c r="AO20" t="s">
        <v>281</v>
      </c>
      <c r="AP20" t="s">
        <v>690</v>
      </c>
      <c r="AQ20" s="55">
        <v>8497.6805008869214</v>
      </c>
      <c r="AR20" s="55">
        <v>0.376</v>
      </c>
      <c r="AS20" t="s">
        <v>120</v>
      </c>
      <c r="AT20" t="s">
        <v>1165</v>
      </c>
      <c r="AU20" t="s">
        <v>1153</v>
      </c>
      <c r="AV20">
        <v>83.329574765571394</v>
      </c>
      <c r="AW20">
        <v>85.290270642408402</v>
      </c>
      <c r="AX20">
        <v>87.496053503850007</v>
      </c>
      <c r="AY20">
        <v>89.252510226849793</v>
      </c>
      <c r="AZ20">
        <v>92.1591669765712</v>
      </c>
      <c r="BA20">
        <v>95.408702119746806</v>
      </c>
      <c r="BB20">
        <v>98.075864633692206</v>
      </c>
      <c r="BC20">
        <v>100</v>
      </c>
      <c r="BD20">
        <v>99.635552249906397</v>
      </c>
      <c r="BE20">
        <v>102.380066939382</v>
      </c>
      <c r="BF20">
        <v>105.764224618817</v>
      </c>
      <c r="BG20">
        <v>108.568240981778</v>
      </c>
      <c r="BH20">
        <v>110.56154704351</v>
      </c>
      <c r="BJ20" s="20" t="s">
        <v>120</v>
      </c>
      <c r="BK20" t="s">
        <v>690</v>
      </c>
      <c r="BL20">
        <v>2015</v>
      </c>
      <c r="BM20">
        <f>INDEX('Costs lists'!$C$5:$C$8,MATCH(Lists!BK20,'Costs lists'!$B$5:$B$8,0))</f>
        <v>3.55</v>
      </c>
      <c r="BN20">
        <f>INDEX('Costs lists'!$D$5:$D$8,MATCH(Lists!BK20,'Costs lists'!$B$5:$B$8,0))</f>
        <v>2.91</v>
      </c>
      <c r="BO20">
        <f>INDEX('Costs lists'!$E$5:$E$8,MATCH(Lists!BK20,'Costs lists'!$B$5:$B$8,0))</f>
        <v>7.59</v>
      </c>
      <c r="BW20" s="20" t="s">
        <v>120</v>
      </c>
      <c r="BX20" s="20">
        <v>2008</v>
      </c>
      <c r="BY20" s="52">
        <v>12.7844</v>
      </c>
      <c r="BZ20" s="52">
        <v>15.7852</v>
      </c>
      <c r="CA20" s="52">
        <v>17.9893</v>
      </c>
      <c r="CB20" s="52">
        <v>18.745699999999999</v>
      </c>
      <c r="CC20" s="375">
        <f t="shared" si="34"/>
        <v>13.213595</v>
      </c>
      <c r="CD20" s="375">
        <v>441.2</v>
      </c>
      <c r="CE20" s="375">
        <v>460.28</v>
      </c>
      <c r="CF20" s="375">
        <v>595.16</v>
      </c>
      <c r="CG20" s="375">
        <f t="shared" si="35"/>
        <v>470.03999999999996</v>
      </c>
      <c r="CI20" s="20" t="s">
        <v>120</v>
      </c>
      <c r="CJ20" s="20">
        <v>2015</v>
      </c>
      <c r="CK20" s="59">
        <f t="shared" si="15"/>
        <v>14.814823078182339</v>
      </c>
      <c r="CL20" s="59">
        <f t="shared" si="16"/>
        <v>18.292211230384208</v>
      </c>
      <c r="CM20" s="59">
        <f t="shared" si="17"/>
        <v>20.846367197549011</v>
      </c>
      <c r="CN20" s="59">
        <f t="shared" si="18"/>
        <v>21.722898921864356</v>
      </c>
      <c r="CO20" s="59">
        <f t="shared" si="19"/>
        <v>15.312182984868649</v>
      </c>
      <c r="CP20" s="59">
        <f t="shared" si="20"/>
        <v>511.27154517177559</v>
      </c>
      <c r="CQ20" s="59">
        <f t="shared" si="21"/>
        <v>533.38183774176082</v>
      </c>
      <c r="CR20" s="59">
        <f t="shared" si="22"/>
        <v>689.68352861385756</v>
      </c>
      <c r="CS20" s="59">
        <f t="shared" si="23"/>
        <v>544.69192450712012</v>
      </c>
      <c r="CW20" s="20" t="s">
        <v>120</v>
      </c>
      <c r="CX20">
        <v>2011</v>
      </c>
      <c r="CY20">
        <v>1.3619299999999999</v>
      </c>
      <c r="CZ20">
        <v>0.69424068927764893</v>
      </c>
      <c r="DB20">
        <v>52476.3203125</v>
      </c>
      <c r="DC20">
        <v>0.28580078482627869</v>
      </c>
      <c r="DE20">
        <f t="shared" si="24"/>
        <v>21603.132403133466</v>
      </c>
      <c r="DH20" t="e">
        <f t="shared" si="25"/>
        <v>#DIV/0!</v>
      </c>
      <c r="DI20" t="e">
        <f t="shared" si="31"/>
        <v>#DIV/0!</v>
      </c>
      <c r="DJ20" t="e">
        <f t="shared" si="32"/>
        <v>#DIV/0!</v>
      </c>
      <c r="DL20" s="20" t="s">
        <v>120</v>
      </c>
      <c r="DM20" s="99"/>
      <c r="DN20" s="100"/>
      <c r="DO20" s="101"/>
      <c r="DP20" s="101"/>
      <c r="DQ20" s="101"/>
      <c r="DR20" s="101"/>
      <c r="DS20" s="101"/>
      <c r="DT20" s="101"/>
      <c r="DU20" s="101"/>
      <c r="DV20" s="101"/>
      <c r="DW20" s="101"/>
      <c r="DX20" t="e">
        <f t="shared" ca="1" si="26"/>
        <v>#N/A</v>
      </c>
      <c r="DY20" t="e">
        <f t="shared" ca="1" si="27"/>
        <v>#N/A</v>
      </c>
      <c r="DZ20" t="e">
        <f t="shared" ca="1" si="28"/>
        <v>#N/A</v>
      </c>
      <c r="EB20" s="20" t="s">
        <v>120</v>
      </c>
      <c r="EC20" s="99" t="s">
        <v>798</v>
      </c>
      <c r="ED20" s="100" t="s">
        <v>754</v>
      </c>
      <c r="EE20" s="101"/>
      <c r="EF20" s="101"/>
      <c r="EG20" s="101"/>
      <c r="EH20" s="101"/>
      <c r="EI20" s="101"/>
      <c r="EJ20" s="101">
        <v>70.2</v>
      </c>
      <c r="EK20" s="101"/>
      <c r="EL20" s="101"/>
      <c r="EM20" s="101"/>
      <c r="EN20" s="101"/>
      <c r="EO20">
        <f t="shared" ca="1" si="33"/>
        <v>70.2</v>
      </c>
      <c r="EQ20" s="20" t="s">
        <v>120</v>
      </c>
      <c r="ER20" s="20" t="e">
        <f t="shared" ca="1" si="29"/>
        <v>#N/A</v>
      </c>
      <c r="ES20" t="e">
        <f t="shared" ca="1" si="30"/>
        <v>#N/A</v>
      </c>
      <c r="EU20" s="20" t="s">
        <v>120</v>
      </c>
      <c r="EV20" s="109">
        <v>46586.068704755322</v>
      </c>
    </row>
    <row r="21" spans="1:152" x14ac:dyDescent="0.3">
      <c r="A21" s="20" t="s">
        <v>99</v>
      </c>
      <c r="B21" s="20" t="s">
        <v>635</v>
      </c>
      <c r="C21" s="81">
        <v>2015</v>
      </c>
      <c r="D21" s="82">
        <v>15331.343999999999</v>
      </c>
      <c r="E21" s="82">
        <v>15667.941000000001</v>
      </c>
      <c r="F21" s="82">
        <v>16409.061000000002</v>
      </c>
      <c r="G21" s="82">
        <v>16120.726000000001</v>
      </c>
      <c r="H21" s="82">
        <v>15227.938</v>
      </c>
      <c r="I21" s="82">
        <v>14463.11</v>
      </c>
      <c r="J21" s="82">
        <v>13477.12</v>
      </c>
      <c r="K21" s="82">
        <v>11863.462</v>
      </c>
      <c r="L21" s="82">
        <v>9913.0889999999999</v>
      </c>
      <c r="M21" s="82">
        <v>8970.2819999999992</v>
      </c>
      <c r="N21" s="82">
        <v>7285.97</v>
      </c>
      <c r="O21" s="82">
        <v>5030.8630000000003</v>
      </c>
      <c r="P21" s="82">
        <v>3227.527</v>
      </c>
      <c r="Q21" s="82">
        <v>2855.3649999999998</v>
      </c>
      <c r="R21" s="82">
        <v>2193.4520000000002</v>
      </c>
      <c r="S21" s="82">
        <v>1438.817</v>
      </c>
      <c r="T21" s="82">
        <v>881.87400000000002</v>
      </c>
      <c r="U21" s="82">
        <v>433.01900000000001</v>
      </c>
      <c r="V21" s="82">
        <v>160.05600000000001</v>
      </c>
      <c r="W21" s="82">
        <v>38.893000000000001</v>
      </c>
      <c r="X21" s="82">
        <v>5.7329999999999997</v>
      </c>
      <c r="Y21" s="82">
        <f t="shared" si="1"/>
        <v>160995.64200000005</v>
      </c>
      <c r="Z21" s="52">
        <f t="shared" si="2"/>
        <v>1533.134</v>
      </c>
      <c r="AA21" s="52">
        <f t="shared" si="3"/>
        <v>1533.134</v>
      </c>
      <c r="AB21" s="52">
        <f t="shared" si="4"/>
        <v>3066.2689999999998</v>
      </c>
      <c r="AC21" s="52">
        <f t="shared" si="5"/>
        <v>9198.8060000000005</v>
      </c>
      <c r="AD21" s="52">
        <f t="shared" si="6"/>
        <v>32077.002</v>
      </c>
      <c r="AE21" s="52">
        <f t="shared" si="7"/>
        <v>90035.726999999999</v>
      </c>
      <c r="AF21" s="52">
        <f t="shared" si="8"/>
        <v>15544.36</v>
      </c>
      <c r="AG21" s="52">
        <f t="shared" si="9"/>
        <v>8007.2089999999998</v>
      </c>
      <c r="AH21" s="52">
        <f t="shared" si="10"/>
        <v>160995.64099999997</v>
      </c>
      <c r="AI21">
        <v>19.795999999999999</v>
      </c>
      <c r="AJ21" s="30">
        <f t="shared" si="11"/>
        <v>3187069.7092359993</v>
      </c>
      <c r="AK21">
        <f t="shared" si="12"/>
        <v>3066.2687999999998</v>
      </c>
      <c r="AM21" s="20" t="s">
        <v>99</v>
      </c>
      <c r="AN21" t="s">
        <v>282</v>
      </c>
      <c r="AO21" t="s">
        <v>283</v>
      </c>
      <c r="AP21" t="s">
        <v>688</v>
      </c>
      <c r="AQ21" s="55">
        <v>94151.753499017068</v>
      </c>
      <c r="AR21" s="55">
        <v>77.946908333333297</v>
      </c>
      <c r="AS21" t="s">
        <v>99</v>
      </c>
      <c r="AT21" t="s">
        <v>1166</v>
      </c>
      <c r="AU21" t="s">
        <v>1153</v>
      </c>
      <c r="AV21">
        <v>60.044987358421103</v>
      </c>
      <c r="AW21">
        <v>64.600922621638105</v>
      </c>
      <c r="AX21">
        <v>69.153102968056402</v>
      </c>
      <c r="AY21">
        <v>73.831490991383106</v>
      </c>
      <c r="AZ21">
        <v>80.555313778396695</v>
      </c>
      <c r="BA21">
        <v>87.7263034206632</v>
      </c>
      <c r="BB21">
        <v>92.484115240665005</v>
      </c>
      <c r="BC21">
        <v>100</v>
      </c>
      <c r="BD21">
        <v>110.7048045957</v>
      </c>
      <c r="BE21">
        <v>117.58863123746301</v>
      </c>
      <c r="BF21">
        <v>126.443023213017</v>
      </c>
      <c r="BG21">
        <v>135.28286401030499</v>
      </c>
      <c r="BH21">
        <v>143.66266371007001</v>
      </c>
      <c r="BJ21" s="20" t="s">
        <v>99</v>
      </c>
      <c r="BK21" t="s">
        <v>688</v>
      </c>
      <c r="BL21">
        <v>2015</v>
      </c>
      <c r="BM21">
        <f>INDEX('Costs lists'!$C$5:$C$8,MATCH(Lists!BK21,'Costs lists'!$B$5:$B$8,0))</f>
        <v>5.21</v>
      </c>
      <c r="BN21">
        <f>INDEX('Costs lists'!$D$5:$D$8,MATCH(Lists!BK21,'Costs lists'!$B$5:$B$8,0))</f>
        <v>5.16</v>
      </c>
      <c r="BO21">
        <f>INDEX('Costs lists'!$E$5:$E$8,MATCH(Lists!BK21,'Costs lists'!$B$5:$B$8,0))</f>
        <v>5.26</v>
      </c>
      <c r="BW21" s="20" t="s">
        <v>99</v>
      </c>
      <c r="BX21" s="20">
        <v>2008</v>
      </c>
      <c r="BY21" s="52">
        <v>62.244400000000006</v>
      </c>
      <c r="BZ21" s="52">
        <v>77.040199999999999</v>
      </c>
      <c r="CA21" s="52">
        <v>87.754400000000004</v>
      </c>
      <c r="CB21" s="52">
        <v>91.325800000000001</v>
      </c>
      <c r="CC21" s="375">
        <f t="shared" si="34"/>
        <v>64.34897500000001</v>
      </c>
      <c r="CD21" s="375">
        <v>8.98</v>
      </c>
      <c r="CE21" s="375">
        <v>9.3699999999999992</v>
      </c>
      <c r="CF21" s="375">
        <v>12.12</v>
      </c>
      <c r="CG21" s="375">
        <f t="shared" si="35"/>
        <v>9.5683333333333316</v>
      </c>
      <c r="CI21" s="20" t="s">
        <v>99</v>
      </c>
      <c r="CJ21" s="20">
        <v>2015</v>
      </c>
      <c r="CK21" s="59">
        <f t="shared" si="15"/>
        <v>101.93289761858155</v>
      </c>
      <c r="CL21" s="59">
        <f t="shared" si="16"/>
        <v>126.16284869185091</v>
      </c>
      <c r="CM21" s="59">
        <f t="shared" si="17"/>
        <v>143.70867533111496</v>
      </c>
      <c r="CN21" s="59">
        <f t="shared" si="18"/>
        <v>149.55728421086962</v>
      </c>
      <c r="CO21" s="59">
        <f t="shared" si="19"/>
        <v>105.37939927986555</v>
      </c>
      <c r="CP21" s="59">
        <f t="shared" si="20"/>
        <v>14.705859814133676</v>
      </c>
      <c r="CQ21" s="59">
        <f t="shared" si="21"/>
        <v>15.344533013188478</v>
      </c>
      <c r="CR21" s="59">
        <f t="shared" si="22"/>
        <v>19.847997878318502</v>
      </c>
      <c r="CS21" s="59">
        <f t="shared" si="23"/>
        <v>15.669328358006945</v>
      </c>
      <c r="CW21" s="20" t="s">
        <v>99</v>
      </c>
      <c r="CX21">
        <v>2011</v>
      </c>
      <c r="CY21">
        <v>159.07751299999998</v>
      </c>
      <c r="CZ21">
        <v>59.0511474609375</v>
      </c>
      <c r="DA21">
        <v>2371.8132902080652</v>
      </c>
      <c r="DB21">
        <v>459317.625</v>
      </c>
      <c r="DE21">
        <f t="shared" si="24"/>
        <v>0</v>
      </c>
      <c r="DH21">
        <f t="shared" si="25"/>
        <v>0</v>
      </c>
      <c r="DI21">
        <f t="shared" si="31"/>
        <v>0</v>
      </c>
      <c r="DJ21">
        <f t="shared" si="32"/>
        <v>0</v>
      </c>
      <c r="DL21" s="20" t="s">
        <v>99</v>
      </c>
      <c r="DM21" s="99"/>
      <c r="DN21" s="100"/>
      <c r="DO21" s="101"/>
      <c r="DP21" s="101"/>
      <c r="DQ21" s="101"/>
      <c r="DR21" s="101"/>
      <c r="DS21" s="101"/>
      <c r="DT21" s="101"/>
      <c r="DU21" s="101"/>
      <c r="DV21" s="101"/>
      <c r="DW21" s="101"/>
      <c r="DX21" t="e">
        <f t="shared" ca="1" si="26"/>
        <v>#N/A</v>
      </c>
      <c r="DY21" t="e">
        <f t="shared" ca="1" si="27"/>
        <v>#N/A</v>
      </c>
      <c r="DZ21" t="e">
        <f t="shared" ca="1" si="28"/>
        <v>#N/A</v>
      </c>
      <c r="EB21" s="20" t="s">
        <v>99</v>
      </c>
      <c r="EC21" s="99" t="s">
        <v>760</v>
      </c>
      <c r="ED21" s="100" t="s">
        <v>754</v>
      </c>
      <c r="EE21" s="101"/>
      <c r="EF21" s="101"/>
      <c r="EG21" s="101"/>
      <c r="EH21" s="101"/>
      <c r="EI21" s="101">
        <v>56.6</v>
      </c>
      <c r="EJ21" s="101"/>
      <c r="EK21" s="101"/>
      <c r="EL21" s="101">
        <v>54.6</v>
      </c>
      <c r="EM21" s="101"/>
      <c r="EN21" s="101"/>
      <c r="EO21">
        <f t="shared" ca="1" si="33"/>
        <v>54.6</v>
      </c>
      <c r="EQ21" s="20" t="s">
        <v>99</v>
      </c>
      <c r="ER21" s="20" t="e">
        <f t="shared" ca="1" si="29"/>
        <v>#N/A</v>
      </c>
      <c r="ES21" t="e">
        <f t="shared" ca="1" si="30"/>
        <v>#N/A</v>
      </c>
      <c r="EU21" s="20" t="s">
        <v>99</v>
      </c>
      <c r="EV21" s="109">
        <v>3339.5892829092813</v>
      </c>
    </row>
    <row r="22" spans="1:152" x14ac:dyDescent="0.3">
      <c r="A22" s="20" t="s">
        <v>178</v>
      </c>
      <c r="B22" s="20" t="s">
        <v>633</v>
      </c>
      <c r="C22" s="81">
        <v>2015</v>
      </c>
      <c r="D22" s="82">
        <v>17.36</v>
      </c>
      <c r="E22" s="82">
        <v>18.577999999999999</v>
      </c>
      <c r="F22" s="82">
        <v>19.103000000000002</v>
      </c>
      <c r="G22" s="82">
        <v>18.388999999999999</v>
      </c>
      <c r="H22" s="82">
        <v>18.221</v>
      </c>
      <c r="I22" s="82">
        <v>17.952000000000002</v>
      </c>
      <c r="J22" s="82">
        <v>19.170000000000002</v>
      </c>
      <c r="K22" s="82">
        <v>18.835000000000001</v>
      </c>
      <c r="L22" s="82">
        <v>20.324999999999999</v>
      </c>
      <c r="M22" s="82">
        <v>19.693999999999999</v>
      </c>
      <c r="N22" s="82">
        <v>20.792999999999999</v>
      </c>
      <c r="O22" s="82">
        <v>19.457999999999998</v>
      </c>
      <c r="P22" s="82">
        <v>16.081</v>
      </c>
      <c r="Q22" s="82">
        <v>13.331</v>
      </c>
      <c r="R22" s="82">
        <v>9.6669999999999998</v>
      </c>
      <c r="S22" s="82">
        <v>7.6369999999999996</v>
      </c>
      <c r="T22" s="82">
        <v>5.8419999999999996</v>
      </c>
      <c r="U22" s="82">
        <v>2.7810000000000001</v>
      </c>
      <c r="V22" s="82">
        <v>0.83199999999999996</v>
      </c>
      <c r="W22" s="82">
        <v>0.151</v>
      </c>
      <c r="X22" s="82">
        <v>1.4999999999999999E-2</v>
      </c>
      <c r="Y22" s="82">
        <f t="shared" si="1"/>
        <v>284.21499999999997</v>
      </c>
      <c r="Z22" s="52">
        <f t="shared" si="2"/>
        <v>1.736</v>
      </c>
      <c r="AA22" s="52">
        <f t="shared" si="3"/>
        <v>1.736</v>
      </c>
      <c r="AB22" s="52">
        <f t="shared" si="4"/>
        <v>3.472</v>
      </c>
      <c r="AC22" s="52">
        <f t="shared" si="5"/>
        <v>10.416</v>
      </c>
      <c r="AD22" s="52">
        <f t="shared" si="6"/>
        <v>37.680999999999997</v>
      </c>
      <c r="AE22" s="52">
        <f t="shared" si="7"/>
        <v>132.58600000000001</v>
      </c>
      <c r="AF22" s="52">
        <f t="shared" si="8"/>
        <v>56.332000000000001</v>
      </c>
      <c r="AG22" s="52">
        <f t="shared" si="9"/>
        <v>40.256</v>
      </c>
      <c r="AH22" s="52">
        <f t="shared" si="10"/>
        <v>284.21500000000003</v>
      </c>
      <c r="AI22">
        <v>12.098000000000001</v>
      </c>
      <c r="AJ22" s="30">
        <f t="shared" si="11"/>
        <v>3438.4330700000005</v>
      </c>
      <c r="AK22">
        <f t="shared" si="12"/>
        <v>3.472</v>
      </c>
      <c r="AM22" s="20" t="s">
        <v>178</v>
      </c>
      <c r="AN22" t="s">
        <v>284</v>
      </c>
      <c r="AO22" t="s">
        <v>285</v>
      </c>
      <c r="AP22" t="s">
        <v>690</v>
      </c>
      <c r="AQ22" s="55">
        <v>30858.680928170575</v>
      </c>
      <c r="AR22" s="55">
        <v>2</v>
      </c>
      <c r="AS22" t="s">
        <v>178</v>
      </c>
      <c r="AT22" t="s">
        <v>1167</v>
      </c>
      <c r="AU22" t="s">
        <v>1153</v>
      </c>
      <c r="AV22">
        <v>70.2343476740119</v>
      </c>
      <c r="AW22">
        <v>71.213711087792902</v>
      </c>
      <c r="AX22">
        <v>75.545062376122203</v>
      </c>
      <c r="AY22">
        <v>81.065640666899995</v>
      </c>
      <c r="AZ22">
        <v>84.336014923633002</v>
      </c>
      <c r="BA22">
        <v>91.174070187711095</v>
      </c>
      <c r="BB22">
        <v>94.496327387198306</v>
      </c>
      <c r="BC22">
        <v>100</v>
      </c>
      <c r="BD22">
        <v>109.432202401772</v>
      </c>
      <c r="BE22">
        <v>114.393144456104</v>
      </c>
      <c r="BF22">
        <v>116.456803077999</v>
      </c>
      <c r="BG22">
        <v>118.654541214877</v>
      </c>
      <c r="BH22">
        <v>117.39535968287301</v>
      </c>
      <c r="BJ22" s="20" t="s">
        <v>178</v>
      </c>
      <c r="BK22" t="s">
        <v>690</v>
      </c>
      <c r="BL22">
        <v>2015</v>
      </c>
      <c r="BM22">
        <f>INDEX('Costs lists'!$C$5:$C$8,MATCH(Lists!BK22,'Costs lists'!$B$5:$B$8,0))</f>
        <v>3.55</v>
      </c>
      <c r="BN22">
        <f>INDEX('Costs lists'!$D$5:$D$8,MATCH(Lists!BK22,'Costs lists'!$B$5:$B$8,0))</f>
        <v>2.91</v>
      </c>
      <c r="BO22">
        <f>INDEX('Costs lists'!$E$5:$E$8,MATCH(Lists!BK22,'Costs lists'!$B$5:$B$8,0))</f>
        <v>7.59</v>
      </c>
      <c r="BW22" s="20" t="s">
        <v>178</v>
      </c>
      <c r="BX22" s="20">
        <v>2008</v>
      </c>
      <c r="BY22" s="52">
        <v>36.088000000000001</v>
      </c>
      <c r="BZ22" s="52">
        <v>44.564</v>
      </c>
      <c r="CA22" s="52">
        <v>50.778000000000006</v>
      </c>
      <c r="CB22" s="52">
        <v>52.910000000000004</v>
      </c>
      <c r="CC22" s="375">
        <f t="shared" si="34"/>
        <v>37.299599999999998</v>
      </c>
      <c r="CD22" s="375">
        <v>255.72</v>
      </c>
      <c r="CE22" s="375">
        <v>266.77999999999997</v>
      </c>
      <c r="CF22" s="375">
        <v>344.96</v>
      </c>
      <c r="CG22" s="375">
        <f t="shared" si="35"/>
        <v>272.43666666666667</v>
      </c>
      <c r="CI22" s="20" t="s">
        <v>178</v>
      </c>
      <c r="CJ22" s="20">
        <v>2015</v>
      </c>
      <c r="CK22" s="59">
        <f t="shared" si="15"/>
        <v>46.466761125319891</v>
      </c>
      <c r="CL22" s="59">
        <f t="shared" si="16"/>
        <v>57.380424040920964</v>
      </c>
      <c r="CM22" s="59">
        <f t="shared" si="17"/>
        <v>65.38154501278801</v>
      </c>
      <c r="CN22" s="59">
        <f t="shared" si="18"/>
        <v>68.12669948849134</v>
      </c>
      <c r="CO22" s="59">
        <f t="shared" si="19"/>
        <v>48.026812327365931</v>
      </c>
      <c r="CP22" s="59">
        <f t="shared" si="20"/>
        <v>329.26402557544901</v>
      </c>
      <c r="CQ22" s="59">
        <f t="shared" si="21"/>
        <v>343.50483631713701</v>
      </c>
      <c r="CR22" s="59">
        <f t="shared" si="22"/>
        <v>444.1690843989789</v>
      </c>
      <c r="CS22" s="59">
        <f t="shared" si="23"/>
        <v>350.78833716965198</v>
      </c>
      <c r="CW22" s="20" t="s">
        <v>178</v>
      </c>
      <c r="CX22">
        <v>2011</v>
      </c>
      <c r="CY22">
        <v>0.28337999999999997</v>
      </c>
      <c r="CZ22">
        <v>0.12374772131443024</v>
      </c>
      <c r="DA22">
        <v>1672.2788024724891</v>
      </c>
      <c r="DB22">
        <v>2830.75634765625</v>
      </c>
      <c r="DC22">
        <v>0.75508403778076172</v>
      </c>
      <c r="DE22">
        <f t="shared" si="24"/>
        <v>17272.713471068608</v>
      </c>
      <c r="DH22">
        <f t="shared" si="25"/>
        <v>10.328847944212797</v>
      </c>
      <c r="DI22">
        <f t="shared" si="31"/>
        <v>10.219236508821739</v>
      </c>
      <c r="DJ22">
        <f t="shared" si="32"/>
        <v>23.401863170568213</v>
      </c>
      <c r="DL22" s="20" t="s">
        <v>178</v>
      </c>
      <c r="DM22" s="99"/>
      <c r="DN22" s="100"/>
      <c r="DO22" s="101"/>
      <c r="DP22" s="101"/>
      <c r="DQ22" s="101"/>
      <c r="DR22" s="101"/>
      <c r="DS22" s="101"/>
      <c r="DT22" s="101"/>
      <c r="DU22" s="101"/>
      <c r="DV22" s="101"/>
      <c r="DW22" s="101"/>
      <c r="DX22" t="e">
        <f t="shared" ca="1" si="26"/>
        <v>#N/A</v>
      </c>
      <c r="DY22" t="e">
        <f t="shared" ca="1" si="27"/>
        <v>#N/A</v>
      </c>
      <c r="DZ22" t="e">
        <f t="shared" ca="1" si="28"/>
        <v>#N/A</v>
      </c>
      <c r="EB22" s="20" t="s">
        <v>178</v>
      </c>
      <c r="EC22" s="99" t="s">
        <v>760</v>
      </c>
      <c r="ED22" s="100" t="s">
        <v>754</v>
      </c>
      <c r="EE22" s="101">
        <v>62</v>
      </c>
      <c r="EF22" s="101">
        <v>62.8</v>
      </c>
      <c r="EG22" s="101">
        <v>62.2</v>
      </c>
      <c r="EH22" s="101">
        <v>60.2</v>
      </c>
      <c r="EI22" s="101">
        <v>59.5</v>
      </c>
      <c r="EJ22" s="101">
        <v>60</v>
      </c>
      <c r="EK22" s="101">
        <v>58.5</v>
      </c>
      <c r="EL22" s="101">
        <v>58.9</v>
      </c>
      <c r="EM22" s="101">
        <v>56</v>
      </c>
      <c r="EN22" s="101">
        <v>57.7</v>
      </c>
      <c r="EO22">
        <f t="shared" ca="1" si="33"/>
        <v>57.7</v>
      </c>
      <c r="EQ22" s="20" t="s">
        <v>178</v>
      </c>
      <c r="ER22" s="20" t="e">
        <f t="shared" ca="1" si="29"/>
        <v>#N/A</v>
      </c>
      <c r="ES22" t="e">
        <f t="shared" ca="1" si="30"/>
        <v>#N/A</v>
      </c>
      <c r="EU22" s="20" t="s">
        <v>178</v>
      </c>
      <c r="EV22" s="109">
        <v>16405.762599912581</v>
      </c>
    </row>
    <row r="23" spans="1:152" x14ac:dyDescent="0.3">
      <c r="A23" s="20" t="s">
        <v>136</v>
      </c>
      <c r="B23" s="20" t="s">
        <v>257</v>
      </c>
      <c r="C23" s="81">
        <v>2015</v>
      </c>
      <c r="D23" s="82">
        <v>586.33000000000004</v>
      </c>
      <c r="E23" s="82">
        <v>497.26799999999997</v>
      </c>
      <c r="F23" s="82">
        <v>442.21100000000001</v>
      </c>
      <c r="G23" s="82">
        <v>437.03800000000001</v>
      </c>
      <c r="H23" s="82">
        <v>633.50900000000001</v>
      </c>
      <c r="I23" s="82">
        <v>792.91300000000001</v>
      </c>
      <c r="J23" s="82">
        <v>746.09699999999998</v>
      </c>
      <c r="K23" s="82">
        <v>668.93399999999997</v>
      </c>
      <c r="L23" s="82">
        <v>648.048</v>
      </c>
      <c r="M23" s="82">
        <v>622.33799999999997</v>
      </c>
      <c r="N23" s="82">
        <v>762.77200000000005</v>
      </c>
      <c r="O23" s="82">
        <v>730.96500000000003</v>
      </c>
      <c r="P23" s="82">
        <v>599.79899999999998</v>
      </c>
      <c r="Q23" s="82">
        <v>376.84899999999999</v>
      </c>
      <c r="R23" s="82">
        <v>284.61799999999999</v>
      </c>
      <c r="S23" s="82">
        <v>321.75099999999998</v>
      </c>
      <c r="T23" s="82">
        <v>202.73500000000001</v>
      </c>
      <c r="U23" s="82">
        <v>110.93300000000001</v>
      </c>
      <c r="V23" s="82">
        <v>27.068000000000001</v>
      </c>
      <c r="W23" s="82">
        <v>3.2250000000000001</v>
      </c>
      <c r="X23" s="82">
        <v>0.42499999999999999</v>
      </c>
      <c r="Y23" s="82">
        <f t="shared" si="1"/>
        <v>9495.8260000000009</v>
      </c>
      <c r="Z23" s="52">
        <f t="shared" si="2"/>
        <v>58.633000000000003</v>
      </c>
      <c r="AA23" s="52">
        <f t="shared" si="3"/>
        <v>58.633000000000003</v>
      </c>
      <c r="AB23" s="52">
        <f t="shared" si="4"/>
        <v>117.26600000000001</v>
      </c>
      <c r="AC23" s="52">
        <f t="shared" si="5"/>
        <v>351.798</v>
      </c>
      <c r="AD23" s="52">
        <f t="shared" si="6"/>
        <v>939.47900000000004</v>
      </c>
      <c r="AE23" s="52">
        <f t="shared" si="7"/>
        <v>4548.8770000000004</v>
      </c>
      <c r="AF23" s="52">
        <f t="shared" si="8"/>
        <v>2093.5360000000001</v>
      </c>
      <c r="AG23" s="52">
        <f t="shared" si="9"/>
        <v>1327.604</v>
      </c>
      <c r="AH23" s="52">
        <f t="shared" si="10"/>
        <v>9495.8260000000009</v>
      </c>
      <c r="AI23">
        <v>12.5</v>
      </c>
      <c r="AJ23" s="30">
        <f t="shared" si="11"/>
        <v>118697.82500000001</v>
      </c>
      <c r="AK23">
        <f t="shared" si="12"/>
        <v>117.26600000000001</v>
      </c>
      <c r="AM23" s="20" t="s">
        <v>136</v>
      </c>
      <c r="AN23" t="s">
        <v>286</v>
      </c>
      <c r="AO23" t="s">
        <v>287</v>
      </c>
      <c r="AP23" t="s">
        <v>689</v>
      </c>
      <c r="AQ23" s="55">
        <v>91647723.153392091</v>
      </c>
      <c r="AR23" s="55">
        <v>15925.9883333333</v>
      </c>
      <c r="AS23" t="s">
        <v>136</v>
      </c>
      <c r="AT23" t="s">
        <v>1168</v>
      </c>
      <c r="AU23" t="s">
        <v>1153</v>
      </c>
      <c r="BJ23" s="20" t="s">
        <v>136</v>
      </c>
      <c r="BK23" t="s">
        <v>689</v>
      </c>
      <c r="BL23">
        <v>2015</v>
      </c>
      <c r="BM23">
        <f>INDEX('Costs lists'!$C$5:$C$8,MATCH(Lists!BK23,'Costs lists'!$B$5:$B$8,0))</f>
        <v>3.2</v>
      </c>
      <c r="BN23">
        <f>INDEX('Costs lists'!$D$5:$D$8,MATCH(Lists!BK23,'Costs lists'!$B$5:$B$8,0))</f>
        <v>1.1200000000000001</v>
      </c>
      <c r="BO23">
        <f>INDEX('Costs lists'!$E$5:$E$8,MATCH(Lists!BK23,'Costs lists'!$B$5:$B$8,0))</f>
        <v>4.4400000000000004</v>
      </c>
      <c r="BW23" s="20" t="s">
        <v>136</v>
      </c>
      <c r="BX23" s="20">
        <v>2008</v>
      </c>
      <c r="BY23" s="52">
        <v>18163.185600000001</v>
      </c>
      <c r="BZ23" s="52">
        <v>22420.862800000003</v>
      </c>
      <c r="CA23" s="52">
        <v>25546.063200000004</v>
      </c>
      <c r="CB23" s="52">
        <v>26624.094000000001</v>
      </c>
      <c r="CC23" s="375">
        <f t="shared" si="34"/>
        <v>18772.164110000005</v>
      </c>
      <c r="CD23" s="375">
        <v>126.7</v>
      </c>
      <c r="CE23" s="375">
        <v>132.18</v>
      </c>
      <c r="CF23" s="375">
        <v>170.91</v>
      </c>
      <c r="CG23" s="375">
        <f t="shared" si="35"/>
        <v>134.98166666666668</v>
      </c>
      <c r="CI23" s="20" t="s">
        <v>136</v>
      </c>
      <c r="CJ23" s="20">
        <v>2015</v>
      </c>
      <c r="CK23" s="59" t="e">
        <f t="shared" si="15"/>
        <v>#DIV/0!</v>
      </c>
      <c r="CL23" s="59" t="e">
        <f t="shared" si="16"/>
        <v>#DIV/0!</v>
      </c>
      <c r="CM23" s="59" t="e">
        <f t="shared" si="17"/>
        <v>#DIV/0!</v>
      </c>
      <c r="CN23" s="59" t="e">
        <f t="shared" si="18"/>
        <v>#DIV/0!</v>
      </c>
      <c r="CO23" s="59" t="e">
        <f t="shared" si="19"/>
        <v>#DIV/0!</v>
      </c>
      <c r="CP23" s="59" t="e">
        <f t="shared" si="20"/>
        <v>#DIV/0!</v>
      </c>
      <c r="CQ23" s="59" t="e">
        <f t="shared" si="21"/>
        <v>#DIV/0!</v>
      </c>
      <c r="CR23" s="59" t="e">
        <f t="shared" si="22"/>
        <v>#DIV/0!</v>
      </c>
      <c r="CS23" s="59" t="e">
        <f t="shared" si="23"/>
        <v>#DIV/0!</v>
      </c>
      <c r="CW23" s="20" t="s">
        <v>136</v>
      </c>
      <c r="CX23">
        <v>2011</v>
      </c>
      <c r="CY23">
        <v>9.5004220000000004</v>
      </c>
      <c r="CZ23">
        <v>4.4992470741271973</v>
      </c>
      <c r="DB23">
        <v>188960.640625</v>
      </c>
      <c r="DC23">
        <v>0.56141442060470581</v>
      </c>
      <c r="DE23">
        <f t="shared" si="24"/>
        <v>23578.440309183894</v>
      </c>
      <c r="DH23" t="e">
        <f t="shared" si="25"/>
        <v>#DIV/0!</v>
      </c>
      <c r="DI23" t="e">
        <f t="shared" si="31"/>
        <v>#DIV/0!</v>
      </c>
      <c r="DJ23" t="e">
        <f t="shared" si="32"/>
        <v>#DIV/0!</v>
      </c>
      <c r="DL23" s="20" t="s">
        <v>136</v>
      </c>
      <c r="DM23" s="99"/>
      <c r="DN23" s="100"/>
      <c r="DO23" s="101"/>
      <c r="DP23" s="101"/>
      <c r="DQ23" s="101"/>
      <c r="DR23" s="101"/>
      <c r="DS23" s="101"/>
      <c r="DT23" s="101"/>
      <c r="DU23" s="101"/>
      <c r="DV23" s="101"/>
      <c r="DW23" s="101"/>
      <c r="DX23" t="e">
        <f t="shared" ca="1" si="26"/>
        <v>#N/A</v>
      </c>
      <c r="DY23" t="e">
        <f t="shared" ca="1" si="27"/>
        <v>#N/A</v>
      </c>
      <c r="DZ23" t="e">
        <f t="shared" ca="1" si="28"/>
        <v>#N/A</v>
      </c>
      <c r="EB23" s="20" t="s">
        <v>136</v>
      </c>
      <c r="EC23" s="99" t="s">
        <v>799</v>
      </c>
      <c r="ED23" s="100" t="s">
        <v>754</v>
      </c>
      <c r="EE23" s="101"/>
      <c r="EF23" s="101"/>
      <c r="EG23" s="101"/>
      <c r="EH23" s="101">
        <v>56.9</v>
      </c>
      <c r="EI23" s="101">
        <v>80.7</v>
      </c>
      <c r="EJ23" s="101">
        <v>81.2</v>
      </c>
      <c r="EK23" s="101">
        <v>80.7</v>
      </c>
      <c r="EL23" s="101">
        <v>81</v>
      </c>
      <c r="EM23" s="101">
        <v>81.400000000000006</v>
      </c>
      <c r="EN23" s="101">
        <v>81.3</v>
      </c>
      <c r="EO23">
        <f t="shared" ca="1" si="33"/>
        <v>81.3</v>
      </c>
      <c r="EQ23" s="20" t="s">
        <v>136</v>
      </c>
      <c r="ER23" s="20" t="e">
        <f t="shared" ca="1" si="29"/>
        <v>#N/A</v>
      </c>
      <c r="ES23" t="e">
        <f t="shared" ca="1" si="30"/>
        <v>#N/A</v>
      </c>
      <c r="EU23" s="20" t="s">
        <v>136</v>
      </c>
      <c r="EV23" s="109">
        <v>17696.905597337354</v>
      </c>
    </row>
    <row r="24" spans="1:152" x14ac:dyDescent="0.3">
      <c r="A24" s="20" t="s">
        <v>169</v>
      </c>
      <c r="B24" s="20" t="s">
        <v>257</v>
      </c>
      <c r="C24" s="81">
        <v>2015</v>
      </c>
      <c r="D24" s="82">
        <v>652.95100000000002</v>
      </c>
      <c r="E24" s="82">
        <v>651.19000000000005</v>
      </c>
      <c r="F24" s="82">
        <v>610.44399999999996</v>
      </c>
      <c r="G24" s="82">
        <v>620.59100000000001</v>
      </c>
      <c r="H24" s="82">
        <v>691.04100000000005</v>
      </c>
      <c r="I24" s="82">
        <v>713.50699999999995</v>
      </c>
      <c r="J24" s="82">
        <v>734.572</v>
      </c>
      <c r="K24" s="82">
        <v>738.21900000000005</v>
      </c>
      <c r="L24" s="82">
        <v>766.02099999999996</v>
      </c>
      <c r="M24" s="82">
        <v>811.274</v>
      </c>
      <c r="N24" s="82">
        <v>824.62800000000004</v>
      </c>
      <c r="O24" s="82">
        <v>759.38199999999995</v>
      </c>
      <c r="P24" s="82">
        <v>666.11500000000001</v>
      </c>
      <c r="Q24" s="82">
        <v>617.55200000000002</v>
      </c>
      <c r="R24" s="82">
        <v>429.529</v>
      </c>
      <c r="S24" s="82">
        <v>389.5</v>
      </c>
      <c r="T24" s="82">
        <v>325.16699999999997</v>
      </c>
      <c r="U24" s="82">
        <v>196.84299999999999</v>
      </c>
      <c r="V24" s="82">
        <v>86.537000000000006</v>
      </c>
      <c r="W24" s="82">
        <v>12.374000000000001</v>
      </c>
      <c r="X24" s="82">
        <v>1.7549999999999999</v>
      </c>
      <c r="Y24" s="82">
        <f t="shared" si="1"/>
        <v>11299.191999999999</v>
      </c>
      <c r="Z24" s="52">
        <f t="shared" si="2"/>
        <v>65.295000000000002</v>
      </c>
      <c r="AA24" s="52">
        <f t="shared" si="3"/>
        <v>65.295000000000002</v>
      </c>
      <c r="AB24" s="52">
        <f t="shared" si="4"/>
        <v>130.59</v>
      </c>
      <c r="AC24" s="52">
        <f t="shared" si="5"/>
        <v>391.77100000000002</v>
      </c>
      <c r="AD24" s="52">
        <f t="shared" si="6"/>
        <v>1261.634</v>
      </c>
      <c r="AE24" s="52">
        <f t="shared" si="7"/>
        <v>5075.2250000000004</v>
      </c>
      <c r="AF24" s="52">
        <f t="shared" si="8"/>
        <v>2250.125</v>
      </c>
      <c r="AG24" s="52">
        <f t="shared" si="9"/>
        <v>2059.2570000000001</v>
      </c>
      <c r="AH24" s="52">
        <f t="shared" si="10"/>
        <v>11299.192000000001</v>
      </c>
      <c r="AI24">
        <v>11.1</v>
      </c>
      <c r="AJ24" s="30">
        <f t="shared" si="11"/>
        <v>125421.03120000001</v>
      </c>
      <c r="AK24">
        <f t="shared" si="12"/>
        <v>130.59020000000001</v>
      </c>
      <c r="AM24" s="20" t="s">
        <v>169</v>
      </c>
      <c r="AN24" t="s">
        <v>256</v>
      </c>
      <c r="AO24" t="s">
        <v>257</v>
      </c>
      <c r="AP24" t="s">
        <v>690</v>
      </c>
      <c r="AQ24" s="55">
        <v>36477.525063514382</v>
      </c>
      <c r="AR24" s="55">
        <v>0.90165896164127801</v>
      </c>
      <c r="AS24" t="s">
        <v>169</v>
      </c>
      <c r="AT24" t="s">
        <v>1169</v>
      </c>
      <c r="AU24" t="s">
        <v>1153</v>
      </c>
      <c r="AV24">
        <v>86.152557502787403</v>
      </c>
      <c r="AW24">
        <v>87.954816200713793</v>
      </c>
      <c r="AX24">
        <v>90.403745217004399</v>
      </c>
      <c r="AY24">
        <v>92.022822693508502</v>
      </c>
      <c r="AZ24">
        <v>93.699537086876902</v>
      </c>
      <c r="BA24">
        <v>97.9061255248143</v>
      </c>
      <c r="BB24">
        <v>97.8576811282162</v>
      </c>
      <c r="BC24">
        <v>100</v>
      </c>
      <c r="BD24">
        <v>103.53105824092999</v>
      </c>
      <c r="BE24">
        <v>106.470018301217</v>
      </c>
      <c r="BF24">
        <v>107.654214662504</v>
      </c>
      <c r="BG24">
        <v>108.02023899235699</v>
      </c>
      <c r="BH24">
        <v>108.623102594467</v>
      </c>
      <c r="BJ24" s="20" t="s">
        <v>169</v>
      </c>
      <c r="BK24" t="s">
        <v>690</v>
      </c>
      <c r="BL24">
        <v>2015</v>
      </c>
      <c r="BM24">
        <f>INDEX('Costs lists'!$C$5:$C$8,MATCH(Lists!BK24,'Costs lists'!$B$5:$B$8,0))</f>
        <v>3.55</v>
      </c>
      <c r="BN24">
        <f>INDEX('Costs lists'!$D$5:$D$8,MATCH(Lists!BK24,'Costs lists'!$B$5:$B$8,0))</f>
        <v>2.91</v>
      </c>
      <c r="BO24">
        <f>INDEX('Costs lists'!$E$5:$E$8,MATCH(Lists!BK24,'Costs lists'!$B$5:$B$8,0))</f>
        <v>7.59</v>
      </c>
      <c r="BW24" s="20" t="s">
        <v>169</v>
      </c>
      <c r="BX24" s="20">
        <v>2008</v>
      </c>
      <c r="BY24" s="52">
        <v>37.436100000000003</v>
      </c>
      <c r="BZ24" s="52">
        <v>46.223100000000002</v>
      </c>
      <c r="CA24" s="52">
        <v>52.669800000000002</v>
      </c>
      <c r="CB24" s="52">
        <v>54.888300000000001</v>
      </c>
      <c r="CC24" s="375">
        <f t="shared" si="34"/>
        <v>38.692597500000005</v>
      </c>
      <c r="CD24" s="375">
        <v>467.78</v>
      </c>
      <c r="CE24" s="375">
        <v>488.01</v>
      </c>
      <c r="CF24" s="375">
        <v>631.01</v>
      </c>
      <c r="CG24" s="375">
        <f t="shared" si="35"/>
        <v>498.35666666666657</v>
      </c>
      <c r="CI24" s="20" t="s">
        <v>169</v>
      </c>
      <c r="CJ24" s="20">
        <v>2015</v>
      </c>
      <c r="CK24" s="59">
        <f t="shared" si="15"/>
        <v>41.533921491011213</v>
      </c>
      <c r="CL24" s="59">
        <f t="shared" si="16"/>
        <v>51.282761999010589</v>
      </c>
      <c r="CM24" s="59">
        <f t="shared" si="17"/>
        <v>58.435129143988348</v>
      </c>
      <c r="CN24" s="59">
        <f t="shared" si="18"/>
        <v>60.896470064324824</v>
      </c>
      <c r="CO24" s="59">
        <f t="shared" si="19"/>
        <v>42.927957422068452</v>
      </c>
      <c r="CP24" s="59">
        <f t="shared" si="20"/>
        <v>518.98402331079421</v>
      </c>
      <c r="CQ24" s="59">
        <f t="shared" si="21"/>
        <v>541.42843476826863</v>
      </c>
      <c r="CR24" s="59">
        <f t="shared" si="22"/>
        <v>700.08146682060851</v>
      </c>
      <c r="CS24" s="59">
        <f t="shared" si="23"/>
        <v>552.90766580534216</v>
      </c>
      <c r="CW24" s="20" t="s">
        <v>169</v>
      </c>
      <c r="CX24">
        <v>2011</v>
      </c>
      <c r="CY24">
        <v>11.226322</v>
      </c>
      <c r="CZ24">
        <v>4.8993806838989258</v>
      </c>
      <c r="DA24">
        <v>1575.2772843891848</v>
      </c>
      <c r="DB24">
        <v>436640.1875</v>
      </c>
      <c r="DC24">
        <v>0.62982434034347534</v>
      </c>
      <c r="DE24">
        <f t="shared" si="24"/>
        <v>56130.894046140682</v>
      </c>
      <c r="DH24">
        <f t="shared" si="25"/>
        <v>35.632389676656501</v>
      </c>
      <c r="DI24">
        <f t="shared" si="31"/>
        <v>35.83125491702851</v>
      </c>
      <c r="DJ24">
        <f t="shared" si="32"/>
        <v>82.102867957288908</v>
      </c>
      <c r="DL24" s="20" t="s">
        <v>169</v>
      </c>
      <c r="DM24" s="99" t="s">
        <v>796</v>
      </c>
      <c r="DN24" s="100" t="s">
        <v>754</v>
      </c>
      <c r="DO24" s="101">
        <v>37.4</v>
      </c>
      <c r="DP24" s="101">
        <v>37.1</v>
      </c>
      <c r="DQ24" s="101">
        <v>37</v>
      </c>
      <c r="DR24" s="101">
        <v>37.4</v>
      </c>
      <c r="DS24" s="101">
        <v>37.200000000000003</v>
      </c>
      <c r="DT24" s="101">
        <v>37</v>
      </c>
      <c r="DU24" s="101">
        <v>37.299999999999997</v>
      </c>
      <c r="DV24" s="101">
        <v>37.299999999999997</v>
      </c>
      <c r="DW24" s="101">
        <v>37.299999999999997</v>
      </c>
      <c r="DX24">
        <f t="shared" ca="1" si="26"/>
        <v>37.299999999999997</v>
      </c>
      <c r="DY24">
        <f t="shared" ca="1" si="27"/>
        <v>7.4599999999999991</v>
      </c>
      <c r="DZ24">
        <f t="shared" ca="1" si="28"/>
        <v>267.30116168103262</v>
      </c>
      <c r="EB24" s="20" t="s">
        <v>169</v>
      </c>
      <c r="EC24" s="99" t="s">
        <v>796</v>
      </c>
      <c r="ED24" s="100" t="s">
        <v>754</v>
      </c>
      <c r="EE24" s="101">
        <v>48.7</v>
      </c>
      <c r="EF24" s="101">
        <v>49.6</v>
      </c>
      <c r="EG24" s="101">
        <v>49.9</v>
      </c>
      <c r="EH24" s="101">
        <v>49.2</v>
      </c>
      <c r="EI24" s="101">
        <v>49.6</v>
      </c>
      <c r="EJ24" s="101">
        <v>49.4</v>
      </c>
      <c r="EK24" s="101">
        <v>49.2</v>
      </c>
      <c r="EL24" s="101">
        <v>49</v>
      </c>
      <c r="EM24" s="101">
        <v>49</v>
      </c>
      <c r="EN24" s="101">
        <v>48.8</v>
      </c>
      <c r="EO24">
        <f t="shared" ca="1" si="33"/>
        <v>48.8</v>
      </c>
      <c r="EQ24" s="20" t="s">
        <v>169</v>
      </c>
      <c r="ER24" s="20">
        <f t="shared" ca="1" si="29"/>
        <v>267.30116168103262</v>
      </c>
      <c r="ES24">
        <f t="shared" ca="1" si="30"/>
        <v>130.44296690034392</v>
      </c>
      <c r="EU24" s="20" t="s">
        <v>169</v>
      </c>
      <c r="EV24" s="109">
        <v>44093.03614295859</v>
      </c>
    </row>
    <row r="25" spans="1:152" x14ac:dyDescent="0.3">
      <c r="A25" s="20" t="s">
        <v>190</v>
      </c>
      <c r="B25" s="20" t="s">
        <v>633</v>
      </c>
      <c r="C25" s="81">
        <v>2015</v>
      </c>
      <c r="D25" s="82">
        <v>39.453000000000003</v>
      </c>
      <c r="E25" s="82">
        <v>37.880000000000003</v>
      </c>
      <c r="F25" s="82">
        <v>39.271000000000001</v>
      </c>
      <c r="G25" s="82">
        <v>38.380000000000003</v>
      </c>
      <c r="H25" s="82">
        <v>35.706000000000003</v>
      </c>
      <c r="I25" s="82">
        <v>31.731999999999999</v>
      </c>
      <c r="J25" s="82">
        <v>27.536999999999999</v>
      </c>
      <c r="K25" s="82">
        <v>23.155000000000001</v>
      </c>
      <c r="L25" s="82">
        <v>21.163</v>
      </c>
      <c r="M25" s="82">
        <v>17.844999999999999</v>
      </c>
      <c r="N25" s="82">
        <v>14.835000000000001</v>
      </c>
      <c r="O25" s="82">
        <v>10.993</v>
      </c>
      <c r="P25" s="82">
        <v>7.819</v>
      </c>
      <c r="Q25" s="82">
        <v>5.33</v>
      </c>
      <c r="R25" s="82">
        <v>3.4950000000000001</v>
      </c>
      <c r="S25" s="82">
        <v>2.4500000000000002</v>
      </c>
      <c r="T25" s="82">
        <v>1.4370000000000001</v>
      </c>
      <c r="U25" s="82">
        <v>0.69099999999999995</v>
      </c>
      <c r="V25" s="82">
        <v>9.6000000000000002E-2</v>
      </c>
      <c r="W25" s="82">
        <v>1.7000000000000001E-2</v>
      </c>
      <c r="X25" s="82">
        <v>2E-3</v>
      </c>
      <c r="Y25" s="82">
        <f t="shared" si="1"/>
        <v>359.28700000000003</v>
      </c>
      <c r="Z25" s="52">
        <f t="shared" si="2"/>
        <v>3.9449999999999998</v>
      </c>
      <c r="AA25" s="52">
        <f t="shared" si="3"/>
        <v>3.9449999999999998</v>
      </c>
      <c r="AB25" s="52">
        <f t="shared" si="4"/>
        <v>7.891</v>
      </c>
      <c r="AC25" s="52">
        <f t="shared" si="5"/>
        <v>23.672000000000001</v>
      </c>
      <c r="AD25" s="52">
        <f t="shared" si="6"/>
        <v>77.150999999999996</v>
      </c>
      <c r="AE25" s="52">
        <f t="shared" si="7"/>
        <v>195.518</v>
      </c>
      <c r="AF25" s="52">
        <f t="shared" si="8"/>
        <v>33.646999999999998</v>
      </c>
      <c r="AG25" s="52">
        <f t="shared" si="9"/>
        <v>13.518000000000001</v>
      </c>
      <c r="AH25" s="52">
        <f t="shared" si="10"/>
        <v>359.28700000000003</v>
      </c>
      <c r="AI25">
        <v>22.933</v>
      </c>
      <c r="AJ25" s="30">
        <f t="shared" si="11"/>
        <v>8239.5287710000011</v>
      </c>
      <c r="AK25">
        <f t="shared" si="12"/>
        <v>7.8906000000000009</v>
      </c>
      <c r="AM25" s="20" t="s">
        <v>190</v>
      </c>
      <c r="AN25" t="s">
        <v>288</v>
      </c>
      <c r="AO25" t="s">
        <v>289</v>
      </c>
      <c r="AP25" t="s">
        <v>689</v>
      </c>
      <c r="AQ25" s="55">
        <v>9757.4425344949013</v>
      </c>
      <c r="AR25" s="55">
        <v>2</v>
      </c>
      <c r="AS25" t="s">
        <v>190</v>
      </c>
      <c r="AT25" t="s">
        <v>1170</v>
      </c>
      <c r="AU25" t="s">
        <v>1153</v>
      </c>
      <c r="AV25">
        <v>94.174907664723506</v>
      </c>
      <c r="AW25">
        <v>100.196857152232</v>
      </c>
      <c r="AX25">
        <v>99.090372794020794</v>
      </c>
      <c r="AY25">
        <v>92.041313847855093</v>
      </c>
      <c r="AZ25">
        <v>94.174907663740697</v>
      </c>
      <c r="BA25">
        <v>100.196857155967</v>
      </c>
      <c r="BB25">
        <v>99.090372793181203</v>
      </c>
      <c r="BC25">
        <v>100</v>
      </c>
      <c r="BD25">
        <v>101.602056156402</v>
      </c>
      <c r="BE25">
        <v>102.923499341596</v>
      </c>
      <c r="BF25">
        <v>103.44814958325</v>
      </c>
      <c r="BG25">
        <v>104.69097528490499</v>
      </c>
      <c r="BH25">
        <v>103.764165394426</v>
      </c>
      <c r="BJ25" s="20" t="s">
        <v>190</v>
      </c>
      <c r="BK25" t="s">
        <v>689</v>
      </c>
      <c r="BL25">
        <v>2015</v>
      </c>
      <c r="BM25">
        <f>INDEX('Costs lists'!$C$5:$C$8,MATCH(Lists!BK25,'Costs lists'!$B$5:$B$8,0))</f>
        <v>3.2</v>
      </c>
      <c r="BN25">
        <f>INDEX('Costs lists'!$D$5:$D$8,MATCH(Lists!BK25,'Costs lists'!$B$5:$B$8,0))</f>
        <v>1.1200000000000001</v>
      </c>
      <c r="BO25">
        <f>INDEX('Costs lists'!$E$5:$E$8,MATCH(Lists!BK25,'Costs lists'!$B$5:$B$8,0))</f>
        <v>4.4400000000000004</v>
      </c>
      <c r="BW25" s="20" t="s">
        <v>190</v>
      </c>
      <c r="BX25" s="20">
        <v>2008</v>
      </c>
      <c r="BY25" s="52">
        <v>13.1625</v>
      </c>
      <c r="BZ25" s="52">
        <v>16.25</v>
      </c>
      <c r="CA25" s="52">
        <v>18.512499999999999</v>
      </c>
      <c r="CB25" s="52">
        <v>19.3</v>
      </c>
      <c r="CC25" s="375">
        <f t="shared" si="34"/>
        <v>13.6040625</v>
      </c>
      <c r="CD25" s="375">
        <v>67.22</v>
      </c>
      <c r="CE25" s="375">
        <v>70.13</v>
      </c>
      <c r="CF25" s="375">
        <v>90.68</v>
      </c>
      <c r="CG25" s="375">
        <f t="shared" si="35"/>
        <v>71.614999999999995</v>
      </c>
      <c r="CI25" s="20" t="s">
        <v>190</v>
      </c>
      <c r="CJ25" s="20">
        <v>2015</v>
      </c>
      <c r="CK25" s="59">
        <f t="shared" si="15"/>
        <v>13.631124426169643</v>
      </c>
      <c r="CL25" s="59">
        <f t="shared" si="16"/>
        <v>16.82854867428351</v>
      </c>
      <c r="CM25" s="59">
        <f t="shared" si="17"/>
        <v>19.171600451241446</v>
      </c>
      <c r="CN25" s="59">
        <f t="shared" si="18"/>
        <v>19.98713781007211</v>
      </c>
      <c r="CO25" s="59">
        <f t="shared" si="19"/>
        <v>14.088407873799692</v>
      </c>
      <c r="CP25" s="59">
        <f t="shared" si="20"/>
        <v>69.613233346789997</v>
      </c>
      <c r="CQ25" s="59">
        <f t="shared" si="21"/>
        <v>72.62683806323092</v>
      </c>
      <c r="CR25" s="59">
        <f t="shared" si="22"/>
        <v>93.90847961747869</v>
      </c>
      <c r="CS25" s="59">
        <f t="shared" si="23"/>
        <v>74.164708511311602</v>
      </c>
      <c r="CW25" s="20" t="s">
        <v>190</v>
      </c>
      <c r="CX25">
        <v>2011</v>
      </c>
      <c r="CY25">
        <v>0.35170599999999996</v>
      </c>
      <c r="CZ25">
        <v>0.14491799473762512</v>
      </c>
      <c r="DB25">
        <v>2736.4658203125</v>
      </c>
      <c r="DE25">
        <f t="shared" si="24"/>
        <v>0</v>
      </c>
      <c r="DH25" t="e">
        <f t="shared" si="25"/>
        <v>#DIV/0!</v>
      </c>
      <c r="DI25" t="e">
        <f t="shared" si="31"/>
        <v>#DIV/0!</v>
      </c>
      <c r="DJ25" t="e">
        <f t="shared" si="32"/>
        <v>#DIV/0!</v>
      </c>
      <c r="DL25" s="20" t="s">
        <v>190</v>
      </c>
      <c r="DM25" s="99" t="s">
        <v>756</v>
      </c>
      <c r="DN25" s="100" t="s">
        <v>847</v>
      </c>
      <c r="DO25" s="101"/>
      <c r="DP25" s="101"/>
      <c r="DQ25" s="101"/>
      <c r="DR25" s="101"/>
      <c r="DS25" s="101"/>
      <c r="DT25" s="101"/>
      <c r="DU25" s="101"/>
      <c r="DV25" s="101"/>
      <c r="DW25" s="101">
        <v>46</v>
      </c>
      <c r="DX25">
        <f t="shared" ca="1" si="26"/>
        <v>46</v>
      </c>
      <c r="DY25">
        <f t="shared" ca="1" si="27"/>
        <v>9.1999999999999993</v>
      </c>
      <c r="DZ25" t="e">
        <f t="shared" ca="1" si="28"/>
        <v>#DIV/0!</v>
      </c>
      <c r="EB25" s="20" t="s">
        <v>190</v>
      </c>
      <c r="EC25" s="99" t="s">
        <v>756</v>
      </c>
      <c r="ED25" s="100" t="s">
        <v>754</v>
      </c>
      <c r="EE25" s="101"/>
      <c r="EF25" s="101"/>
      <c r="EG25" s="101"/>
      <c r="EH25" s="101"/>
      <c r="EI25" s="101"/>
      <c r="EJ25" s="101"/>
      <c r="EK25" s="101">
        <v>56</v>
      </c>
      <c r="EL25" s="101"/>
      <c r="EM25" s="101"/>
      <c r="EN25" s="101">
        <v>57.1</v>
      </c>
      <c r="EO25">
        <f t="shared" ca="1" si="33"/>
        <v>57.1</v>
      </c>
      <c r="EQ25" s="20" t="s">
        <v>190</v>
      </c>
      <c r="ER25" s="20" t="e">
        <f t="shared" ca="1" si="29"/>
        <v>#DIV/0!</v>
      </c>
      <c r="ES25" t="e">
        <f t="shared" ca="1" si="30"/>
        <v>#DIV/0!</v>
      </c>
      <c r="EU25" s="20" t="s">
        <v>190</v>
      </c>
      <c r="EV25" s="109">
        <v>8483.5168670427593</v>
      </c>
    </row>
    <row r="26" spans="1:152" x14ac:dyDescent="0.3">
      <c r="A26" s="20" t="s">
        <v>72</v>
      </c>
      <c r="B26" s="20" t="s">
        <v>632</v>
      </c>
      <c r="C26" s="81">
        <v>2015</v>
      </c>
      <c r="D26" s="82">
        <v>1707.7329999999999</v>
      </c>
      <c r="E26" s="82">
        <v>1523.6479999999999</v>
      </c>
      <c r="F26" s="82">
        <v>1355.3810000000001</v>
      </c>
      <c r="G26" s="82">
        <v>1172.421</v>
      </c>
      <c r="H26" s="82">
        <v>1001.63</v>
      </c>
      <c r="I26" s="82">
        <v>843.29700000000003</v>
      </c>
      <c r="J26" s="82">
        <v>709.63699999999994</v>
      </c>
      <c r="K26" s="82">
        <v>592.43200000000002</v>
      </c>
      <c r="L26" s="82">
        <v>492.745</v>
      </c>
      <c r="M26" s="82">
        <v>406.81700000000001</v>
      </c>
      <c r="N26" s="82">
        <v>324.39600000000002</v>
      </c>
      <c r="O26" s="82">
        <v>248.71700000000001</v>
      </c>
      <c r="P26" s="82">
        <v>186.42099999999999</v>
      </c>
      <c r="Q26" s="82">
        <v>135.16900000000001</v>
      </c>
      <c r="R26" s="82">
        <v>97.65</v>
      </c>
      <c r="S26" s="82">
        <v>52.515999999999998</v>
      </c>
      <c r="T26" s="82">
        <v>21.946999999999999</v>
      </c>
      <c r="U26" s="82">
        <v>6.17</v>
      </c>
      <c r="V26" s="82">
        <v>1.008</v>
      </c>
      <c r="W26" s="82">
        <v>0.09</v>
      </c>
      <c r="X26" s="82">
        <v>4.0000000000000001E-3</v>
      </c>
      <c r="Y26" s="82">
        <f t="shared" si="1"/>
        <v>10879.829000000003</v>
      </c>
      <c r="Z26" s="52">
        <f t="shared" si="2"/>
        <v>170.773</v>
      </c>
      <c r="AA26" s="52">
        <f t="shared" si="3"/>
        <v>170.773</v>
      </c>
      <c r="AB26" s="52">
        <f t="shared" si="4"/>
        <v>341.54700000000003</v>
      </c>
      <c r="AC26" s="52">
        <f t="shared" si="5"/>
        <v>1024.6400000000001</v>
      </c>
      <c r="AD26" s="52">
        <f t="shared" si="6"/>
        <v>2879.029</v>
      </c>
      <c r="AE26" s="52">
        <f t="shared" si="7"/>
        <v>5218.9790000000003</v>
      </c>
      <c r="AF26" s="52">
        <f t="shared" si="8"/>
        <v>759.53399999999999</v>
      </c>
      <c r="AG26" s="52">
        <f t="shared" si="9"/>
        <v>314.55399999999997</v>
      </c>
      <c r="AH26" s="52">
        <f t="shared" si="10"/>
        <v>10879.829000000002</v>
      </c>
      <c r="AI26">
        <v>36.008000000000003</v>
      </c>
      <c r="AJ26" s="30">
        <f t="shared" si="11"/>
        <v>391760.88263200008</v>
      </c>
      <c r="AK26">
        <f t="shared" si="12"/>
        <v>341.54660000000001</v>
      </c>
      <c r="AM26" s="20" t="s">
        <v>72</v>
      </c>
      <c r="AN26" t="s">
        <v>290</v>
      </c>
      <c r="AO26" t="s">
        <v>291</v>
      </c>
      <c r="AP26" t="s">
        <v>691</v>
      </c>
      <c r="AQ26" s="55">
        <v>450714.8044330476</v>
      </c>
      <c r="AR26" s="55">
        <v>591.44950750132796</v>
      </c>
      <c r="AS26" t="s">
        <v>72</v>
      </c>
      <c r="AT26" t="s">
        <v>1171</v>
      </c>
      <c r="AU26" t="s">
        <v>1153</v>
      </c>
      <c r="AV26">
        <v>79.326234636224598</v>
      </c>
      <c r="AW26">
        <v>80.019459327183796</v>
      </c>
      <c r="AX26">
        <v>84.312119913508198</v>
      </c>
      <c r="AY26">
        <v>87.500953491920498</v>
      </c>
      <c r="AZ26">
        <v>88.636775485569103</v>
      </c>
      <c r="BA26">
        <v>95.681004845239201</v>
      </c>
      <c r="BB26">
        <v>97.744681425248501</v>
      </c>
      <c r="BC26">
        <v>100</v>
      </c>
      <c r="BD26">
        <v>102.712800519818</v>
      </c>
      <c r="BE26">
        <v>109.649122807018</v>
      </c>
      <c r="BF26">
        <v>110.71474983755699</v>
      </c>
      <c r="BG26">
        <v>109.512670565302</v>
      </c>
      <c r="BH26">
        <v>109.86354775828499</v>
      </c>
      <c r="BJ26" s="20" t="s">
        <v>72</v>
      </c>
      <c r="BK26" t="s">
        <v>691</v>
      </c>
      <c r="BL26">
        <v>2015</v>
      </c>
      <c r="BM26">
        <f>INDEX('Costs lists'!$C$5:$C$8,MATCH(Lists!BK26,'Costs lists'!$B$5:$B$8,0))</f>
        <v>4.2</v>
      </c>
      <c r="BN26">
        <f>INDEX('Costs lists'!$D$5:$D$8,MATCH(Lists!BK26,'Costs lists'!$B$5:$B$8,0))</f>
        <v>4.2</v>
      </c>
      <c r="BO26">
        <f>INDEX('Costs lists'!$E$5:$E$8,MATCH(Lists!BK26,'Costs lists'!$B$5:$B$8,0))</f>
        <v>4.2</v>
      </c>
      <c r="BW26" s="20" t="s">
        <v>72</v>
      </c>
      <c r="BX26" s="20">
        <v>2008</v>
      </c>
      <c r="BY26" s="52">
        <v>629.80970000000002</v>
      </c>
      <c r="BZ26" s="52">
        <v>777.3116</v>
      </c>
      <c r="CA26" s="52">
        <v>887.35270000000003</v>
      </c>
      <c r="CB26" s="52">
        <v>924.81349999999998</v>
      </c>
      <c r="CC26" s="375">
        <f t="shared" si="34"/>
        <v>650.99846500000012</v>
      </c>
      <c r="CD26" s="375">
        <v>10.27</v>
      </c>
      <c r="CE26" s="375">
        <v>10.71</v>
      </c>
      <c r="CF26" s="375">
        <v>13.85</v>
      </c>
      <c r="CG26" s="375">
        <f t="shared" si="35"/>
        <v>10.94</v>
      </c>
      <c r="CI26" s="20" t="s">
        <v>72</v>
      </c>
      <c r="CJ26" s="20">
        <v>2015</v>
      </c>
      <c r="CK26" s="59">
        <f t="shared" si="15"/>
        <v>723.16473020427304</v>
      </c>
      <c r="CL26" s="59">
        <f t="shared" si="16"/>
        <v>892.53044768705809</v>
      </c>
      <c r="CM26" s="59">
        <f t="shared" si="17"/>
        <v>1018.8826496186597</v>
      </c>
      <c r="CN26" s="59">
        <f t="shared" si="18"/>
        <v>1061.8961651698432</v>
      </c>
      <c r="CO26" s="59">
        <f t="shared" si="19"/>
        <v>747.49424993791126</v>
      </c>
      <c r="CP26" s="59">
        <f t="shared" si="20"/>
        <v>11.792295004662334</v>
      </c>
      <c r="CQ26" s="59">
        <f t="shared" si="21"/>
        <v>12.297515043810478</v>
      </c>
      <c r="CR26" s="59">
        <f t="shared" si="22"/>
        <v>15.902948959549496</v>
      </c>
      <c r="CS26" s="59">
        <f t="shared" si="23"/>
        <v>12.561607337001552</v>
      </c>
      <c r="CW26" s="20" t="s">
        <v>72</v>
      </c>
      <c r="CX26">
        <v>2011</v>
      </c>
      <c r="CY26">
        <v>10.598481999999999</v>
      </c>
      <c r="CZ26">
        <v>4.3223800659179688</v>
      </c>
      <c r="DB26">
        <v>22287.26953125</v>
      </c>
      <c r="DC26">
        <v>0.61715501546859741</v>
      </c>
      <c r="DE26">
        <f t="shared" si="24"/>
        <v>3182.2051653364333</v>
      </c>
      <c r="DH26" t="e">
        <f t="shared" si="25"/>
        <v>#DIV/0!</v>
      </c>
      <c r="DI26" t="e">
        <f t="shared" si="31"/>
        <v>#DIV/0!</v>
      </c>
      <c r="DJ26" t="e">
        <f t="shared" si="32"/>
        <v>#DIV/0!</v>
      </c>
      <c r="DL26" s="20" t="s">
        <v>72</v>
      </c>
      <c r="DM26" s="99"/>
      <c r="DN26" s="100"/>
      <c r="DO26" s="101"/>
      <c r="DP26" s="101"/>
      <c r="DQ26" s="101"/>
      <c r="DR26" s="101"/>
      <c r="DS26" s="101"/>
      <c r="DT26" s="101"/>
      <c r="DU26" s="101"/>
      <c r="DV26" s="101"/>
      <c r="DW26" s="101"/>
      <c r="DX26" t="e">
        <f t="shared" ca="1" si="26"/>
        <v>#N/A</v>
      </c>
      <c r="DY26" t="e">
        <f t="shared" ca="1" si="27"/>
        <v>#N/A</v>
      </c>
      <c r="DZ26" t="e">
        <f t="shared" ca="1" si="28"/>
        <v>#N/A</v>
      </c>
      <c r="EB26" s="20" t="s">
        <v>72</v>
      </c>
      <c r="EC26" s="99" t="s">
        <v>800</v>
      </c>
      <c r="ED26" s="100" t="s">
        <v>754</v>
      </c>
      <c r="EE26" s="101"/>
      <c r="EF26" s="101"/>
      <c r="EG26" s="101"/>
      <c r="EH26" s="101"/>
      <c r="EI26" s="101">
        <v>74.5</v>
      </c>
      <c r="EJ26" s="101"/>
      <c r="EK26" s="101"/>
      <c r="EL26" s="101"/>
      <c r="EM26" s="101"/>
      <c r="EN26" s="101"/>
      <c r="EO26">
        <f t="shared" ca="1" si="33"/>
        <v>74.5</v>
      </c>
      <c r="EQ26" s="20" t="s">
        <v>72</v>
      </c>
      <c r="ER26" s="20" t="e">
        <f t="shared" ca="1" si="29"/>
        <v>#N/A</v>
      </c>
      <c r="ES26" t="e">
        <f t="shared" ca="1" si="30"/>
        <v>#N/A</v>
      </c>
      <c r="EU26" s="20" t="s">
        <v>72</v>
      </c>
      <c r="EV26" s="109">
        <v>2056.7007715377395</v>
      </c>
    </row>
    <row r="27" spans="1:152" x14ac:dyDescent="0.3">
      <c r="A27" s="20" t="s">
        <v>100</v>
      </c>
      <c r="B27" s="20" t="s">
        <v>635</v>
      </c>
      <c r="C27" s="81">
        <v>2015</v>
      </c>
      <c r="D27" s="82">
        <v>65.933999999999997</v>
      </c>
      <c r="E27" s="82">
        <v>71.519000000000005</v>
      </c>
      <c r="F27" s="82">
        <v>70.706999999999994</v>
      </c>
      <c r="G27" s="82">
        <v>73.707999999999998</v>
      </c>
      <c r="H27" s="82">
        <v>77.504000000000005</v>
      </c>
      <c r="I27" s="82">
        <v>80.25</v>
      </c>
      <c r="J27" s="82">
        <v>76.87</v>
      </c>
      <c r="K27" s="82">
        <v>61.951000000000001</v>
      </c>
      <c r="L27" s="82">
        <v>45.723999999999997</v>
      </c>
      <c r="M27" s="82">
        <v>39.414000000000001</v>
      </c>
      <c r="N27" s="82">
        <v>28.914000000000001</v>
      </c>
      <c r="O27" s="82">
        <v>25.364999999999998</v>
      </c>
      <c r="P27" s="82">
        <v>17.742000000000001</v>
      </c>
      <c r="Q27" s="82">
        <v>14.298</v>
      </c>
      <c r="R27" s="82">
        <v>10.398</v>
      </c>
      <c r="S27" s="82">
        <v>7.109</v>
      </c>
      <c r="T27" s="82">
        <v>4.4130000000000003</v>
      </c>
      <c r="U27" s="82">
        <v>2.069</v>
      </c>
      <c r="V27" s="82">
        <v>0.72399999999999998</v>
      </c>
      <c r="W27" s="82">
        <v>0.183</v>
      </c>
      <c r="X27" s="82">
        <v>3.4000000000000002E-2</v>
      </c>
      <c r="Y27" s="82">
        <f t="shared" si="1"/>
        <v>774.83</v>
      </c>
      <c r="Z27" s="52">
        <f t="shared" si="2"/>
        <v>6.593</v>
      </c>
      <c r="AA27" s="52">
        <f t="shared" si="3"/>
        <v>6.593</v>
      </c>
      <c r="AB27" s="52">
        <f t="shared" si="4"/>
        <v>13.186999999999999</v>
      </c>
      <c r="AC27" s="52">
        <f t="shared" si="5"/>
        <v>39.56</v>
      </c>
      <c r="AD27" s="52">
        <f t="shared" si="6"/>
        <v>142.226</v>
      </c>
      <c r="AE27" s="52">
        <f t="shared" si="7"/>
        <v>455.42099999999999</v>
      </c>
      <c r="AF27" s="52">
        <f t="shared" si="8"/>
        <v>72.021000000000001</v>
      </c>
      <c r="AG27" s="52">
        <f t="shared" si="9"/>
        <v>39.228000000000002</v>
      </c>
      <c r="AH27" s="52">
        <f t="shared" si="10"/>
        <v>774.82899999999984</v>
      </c>
      <c r="AI27">
        <v>17.725999999999999</v>
      </c>
      <c r="AJ27" s="30">
        <f t="shared" si="11"/>
        <v>13734.618853999997</v>
      </c>
      <c r="AK27">
        <f t="shared" si="12"/>
        <v>13.1868</v>
      </c>
      <c r="AM27" s="20" t="s">
        <v>100</v>
      </c>
      <c r="AN27" t="s">
        <v>292</v>
      </c>
      <c r="AO27" t="s">
        <v>293</v>
      </c>
      <c r="AP27" t="s">
        <v>688</v>
      </c>
      <c r="AQ27" s="55">
        <v>170387.37529522605</v>
      </c>
      <c r="AR27" s="55">
        <v>64.151944463278596</v>
      </c>
      <c r="AS27" t="s">
        <v>100</v>
      </c>
      <c r="AT27" t="s">
        <v>293</v>
      </c>
      <c r="AU27" t="s">
        <v>1153</v>
      </c>
      <c r="AV27">
        <v>86.786623046165005</v>
      </c>
      <c r="AW27">
        <v>71.070754476355603</v>
      </c>
      <c r="AX27">
        <v>74.845686884660495</v>
      </c>
      <c r="AY27">
        <v>78.588311312894305</v>
      </c>
      <c r="AZ27">
        <v>82.640412181808898</v>
      </c>
      <c r="BA27">
        <v>89.522011936948402</v>
      </c>
      <c r="BB27">
        <v>93.426176265537606</v>
      </c>
      <c r="BC27">
        <v>100</v>
      </c>
      <c r="BD27">
        <v>108.848985699468</v>
      </c>
      <c r="BE27">
        <v>120.734921525617</v>
      </c>
      <c r="BF27">
        <v>129.19441502717899</v>
      </c>
      <c r="BG27">
        <v>139.79681302275199</v>
      </c>
      <c r="BH27">
        <v>146.11801746044799</v>
      </c>
      <c r="BJ27" s="20" t="s">
        <v>100</v>
      </c>
      <c r="BK27" t="s">
        <v>688</v>
      </c>
      <c r="BL27">
        <v>2015</v>
      </c>
      <c r="BM27">
        <f>INDEX('Costs lists'!$C$5:$C$8,MATCH(Lists!BK27,'Costs lists'!$B$5:$B$8,0))</f>
        <v>5.21</v>
      </c>
      <c r="BN27">
        <f>INDEX('Costs lists'!$D$5:$D$8,MATCH(Lists!BK27,'Costs lists'!$B$5:$B$8,0))</f>
        <v>5.16</v>
      </c>
      <c r="BO27">
        <f>INDEX('Costs lists'!$E$5:$E$8,MATCH(Lists!BK27,'Costs lists'!$B$5:$B$8,0))</f>
        <v>5.26</v>
      </c>
      <c r="BW27" s="20" t="s">
        <v>100</v>
      </c>
      <c r="BX27" s="20">
        <v>2008</v>
      </c>
      <c r="BY27" s="52">
        <v>121.4581</v>
      </c>
      <c r="BZ27" s="52">
        <v>149.95850000000002</v>
      </c>
      <c r="CA27" s="52">
        <v>170.83670000000001</v>
      </c>
      <c r="CB27" s="52">
        <v>177.96180000000001</v>
      </c>
      <c r="CC27" s="375">
        <f t="shared" si="34"/>
        <v>125.53017749999999</v>
      </c>
      <c r="CD27" s="375">
        <v>40.79</v>
      </c>
      <c r="CE27" s="375">
        <v>42.55</v>
      </c>
      <c r="CF27" s="375">
        <v>55.02</v>
      </c>
      <c r="CG27" s="375">
        <f t="shared" si="35"/>
        <v>43.454999999999998</v>
      </c>
      <c r="CI27" s="20" t="s">
        <v>100</v>
      </c>
      <c r="CJ27" s="20">
        <v>2015</v>
      </c>
      <c r="CK27" s="59">
        <f t="shared" si="15"/>
        <v>198.24416802665749</v>
      </c>
      <c r="CL27" s="59">
        <f t="shared" si="16"/>
        <v>244.76258126074359</v>
      </c>
      <c r="CM27" s="59">
        <f t="shared" si="17"/>
        <v>278.84002351362057</v>
      </c>
      <c r="CN27" s="59">
        <f t="shared" si="18"/>
        <v>290.46962682214212</v>
      </c>
      <c r="CO27" s="59">
        <f t="shared" si="19"/>
        <v>204.89062154542299</v>
      </c>
      <c r="CP27" s="59">
        <f t="shared" si="20"/>
        <v>66.577524379249795</v>
      </c>
      <c r="CQ27" s="59">
        <f t="shared" si="21"/>
        <v>69.450200106327003</v>
      </c>
      <c r="CR27" s="59">
        <f t="shared" si="22"/>
        <v>89.803760513516153</v>
      </c>
      <c r="CS27" s="59">
        <f t="shared" si="23"/>
        <v>70.927343022807051</v>
      </c>
      <c r="CW27" s="20" t="s">
        <v>100</v>
      </c>
      <c r="CX27">
        <v>2011</v>
      </c>
      <c r="CY27">
        <v>0.76500799999999991</v>
      </c>
      <c r="CZ27">
        <v>0.35680800676345825</v>
      </c>
      <c r="DB27">
        <v>5234.927734375</v>
      </c>
      <c r="DE27">
        <f t="shared" si="24"/>
        <v>0</v>
      </c>
      <c r="DH27" t="e">
        <f t="shared" si="25"/>
        <v>#DIV/0!</v>
      </c>
      <c r="DI27" t="e">
        <f t="shared" si="31"/>
        <v>#DIV/0!</v>
      </c>
      <c r="DJ27" t="e">
        <f t="shared" si="32"/>
        <v>#DIV/0!</v>
      </c>
      <c r="DL27" s="20" t="s">
        <v>100</v>
      </c>
      <c r="DM27" s="99"/>
      <c r="DN27" s="100"/>
      <c r="DO27" s="101"/>
      <c r="DP27" s="101"/>
      <c r="DQ27" s="101"/>
      <c r="DR27" s="101"/>
      <c r="DS27" s="101"/>
      <c r="DT27" s="101"/>
      <c r="DU27" s="101"/>
      <c r="DV27" s="101"/>
      <c r="DW27" s="101"/>
      <c r="DX27" t="e">
        <f t="shared" ca="1" si="26"/>
        <v>#N/A</v>
      </c>
      <c r="DY27" t="e">
        <f t="shared" ca="1" si="27"/>
        <v>#N/A</v>
      </c>
      <c r="DZ27" t="e">
        <f t="shared" ca="1" si="28"/>
        <v>#N/A</v>
      </c>
      <c r="EB27" s="20" t="s">
        <v>100</v>
      </c>
      <c r="EC27" s="99" t="s">
        <v>801</v>
      </c>
      <c r="ED27" s="100" t="s">
        <v>754</v>
      </c>
      <c r="EE27" s="101"/>
      <c r="EF27" s="101"/>
      <c r="EG27" s="101"/>
      <c r="EH27" s="101">
        <v>66.900000000000006</v>
      </c>
      <c r="EI27" s="101">
        <v>65.900000000000006</v>
      </c>
      <c r="EJ27" s="101">
        <v>65.3</v>
      </c>
      <c r="EK27" s="101">
        <v>63.1</v>
      </c>
      <c r="EL27" s="101">
        <v>60</v>
      </c>
      <c r="EM27" s="101">
        <v>61</v>
      </c>
      <c r="EN27" s="101">
        <v>61.6</v>
      </c>
      <c r="EO27">
        <f t="shared" ca="1" si="33"/>
        <v>61.6</v>
      </c>
      <c r="EQ27" s="20" t="s">
        <v>100</v>
      </c>
      <c r="ER27" s="20" t="e">
        <f t="shared" ca="1" si="29"/>
        <v>#N/A</v>
      </c>
      <c r="ES27" t="e">
        <f t="shared" ca="1" si="30"/>
        <v>#N/A</v>
      </c>
      <c r="EU27" s="20" t="s">
        <v>100</v>
      </c>
      <c r="EV27" s="109">
        <v>8369.8253500777901</v>
      </c>
    </row>
    <row r="28" spans="1:152" x14ac:dyDescent="0.3">
      <c r="A28" s="20" t="s">
        <v>199</v>
      </c>
      <c r="B28" s="20" t="s">
        <v>633</v>
      </c>
      <c r="C28" s="81">
        <v>2015</v>
      </c>
      <c r="D28" s="82">
        <v>1185.5630000000001</v>
      </c>
      <c r="E28" s="82">
        <v>1160.1179999999999</v>
      </c>
      <c r="F28" s="82">
        <v>1133.9749999999999</v>
      </c>
      <c r="G28" s="82">
        <v>1081.761</v>
      </c>
      <c r="H28" s="82">
        <v>986.22</v>
      </c>
      <c r="I28" s="82">
        <v>889.22299999999996</v>
      </c>
      <c r="J28" s="82">
        <v>801.14800000000002</v>
      </c>
      <c r="K28" s="82">
        <v>696.92700000000002</v>
      </c>
      <c r="L28" s="82">
        <v>578.57299999999998</v>
      </c>
      <c r="M28" s="82">
        <v>479.995</v>
      </c>
      <c r="N28" s="82">
        <v>401.05399999999997</v>
      </c>
      <c r="O28" s="82">
        <v>341.84399999999999</v>
      </c>
      <c r="P28" s="82">
        <v>294.90499999999997</v>
      </c>
      <c r="Q28" s="82">
        <v>222.27</v>
      </c>
      <c r="R28" s="82">
        <v>183.88</v>
      </c>
      <c r="S28" s="82">
        <v>128.059</v>
      </c>
      <c r="T28" s="82">
        <v>88.162000000000006</v>
      </c>
      <c r="U28" s="82">
        <v>48.442</v>
      </c>
      <c r="V28" s="82">
        <v>17.919</v>
      </c>
      <c r="W28" s="82">
        <v>4.3280000000000003</v>
      </c>
      <c r="X28" s="82">
        <v>0.33900000000000002</v>
      </c>
      <c r="Y28" s="82">
        <f t="shared" si="1"/>
        <v>10724.704999999998</v>
      </c>
      <c r="Z28" s="52">
        <f t="shared" si="2"/>
        <v>118.556</v>
      </c>
      <c r="AA28" s="52">
        <f t="shared" si="3"/>
        <v>118.556</v>
      </c>
      <c r="AB28" s="52">
        <f t="shared" si="4"/>
        <v>237.113</v>
      </c>
      <c r="AC28" s="52">
        <f t="shared" si="5"/>
        <v>711.33799999999997</v>
      </c>
      <c r="AD28" s="52">
        <f t="shared" si="6"/>
        <v>2294.0929999999998</v>
      </c>
      <c r="AE28" s="52">
        <f t="shared" si="7"/>
        <v>5513.8469999999998</v>
      </c>
      <c r="AF28" s="52">
        <f t="shared" si="8"/>
        <v>1037.8030000000001</v>
      </c>
      <c r="AG28" s="52">
        <f t="shared" si="9"/>
        <v>693.399</v>
      </c>
      <c r="AH28" s="52">
        <f t="shared" si="10"/>
        <v>10724.705</v>
      </c>
      <c r="AI28">
        <v>23.896000000000001</v>
      </c>
      <c r="AJ28" s="30">
        <f t="shared" si="11"/>
        <v>256277.55068000001</v>
      </c>
      <c r="AK28">
        <f t="shared" si="12"/>
        <v>237.11260000000001</v>
      </c>
      <c r="AM28" s="20" t="s">
        <v>199</v>
      </c>
      <c r="AN28" t="s">
        <v>294</v>
      </c>
      <c r="AO28" t="s">
        <v>295</v>
      </c>
      <c r="AP28" t="s">
        <v>688</v>
      </c>
      <c r="AQ28" s="55">
        <v>21260.631411306884</v>
      </c>
      <c r="AR28" s="55">
        <v>6.91</v>
      </c>
      <c r="AS28" t="s">
        <v>1120</v>
      </c>
      <c r="AT28" t="s">
        <v>1172</v>
      </c>
      <c r="AU28" t="s">
        <v>1153</v>
      </c>
      <c r="AV28">
        <v>66.360107998649994</v>
      </c>
      <c r="AW28">
        <v>69.304758690516394</v>
      </c>
      <c r="AX28">
        <v>73.0425244684441</v>
      </c>
      <c r="AY28">
        <v>76.172797840027002</v>
      </c>
      <c r="AZ28">
        <v>82.804589942625697</v>
      </c>
      <c r="BA28">
        <v>94.397570030374595</v>
      </c>
      <c r="BB28">
        <v>97.5592937569904</v>
      </c>
      <c r="BC28">
        <v>100</v>
      </c>
      <c r="BD28">
        <v>109.81268984137699</v>
      </c>
      <c r="BE28">
        <v>114.84911126111</v>
      </c>
      <c r="BF28">
        <v>121.413404207448</v>
      </c>
      <c r="BG28">
        <v>128.43542580717801</v>
      </c>
      <c r="BH28">
        <v>133.651141860726</v>
      </c>
      <c r="BJ28" s="20" t="s">
        <v>199</v>
      </c>
      <c r="BK28" t="s">
        <v>688</v>
      </c>
      <c r="BL28">
        <v>2015</v>
      </c>
      <c r="BM28">
        <f>INDEX('Costs lists'!$C$5:$C$8,MATCH(Lists!BK28,'Costs lists'!$B$5:$B$8,0))</f>
        <v>5.21</v>
      </c>
      <c r="BN28">
        <f>INDEX('Costs lists'!$D$5:$D$8,MATCH(Lists!BK28,'Costs lists'!$B$5:$B$8,0))</f>
        <v>5.16</v>
      </c>
      <c r="BO28">
        <f>INDEX('Costs lists'!$E$5:$E$8,MATCH(Lists!BK28,'Costs lists'!$B$5:$B$8,0))</f>
        <v>5.26</v>
      </c>
      <c r="BW28" s="20" t="s">
        <v>199</v>
      </c>
      <c r="BX28" s="20">
        <v>2008</v>
      </c>
      <c r="BY28" s="52">
        <v>19.467900000000004</v>
      </c>
      <c r="BZ28" s="52">
        <v>24.0366</v>
      </c>
      <c r="CA28" s="52">
        <v>27.383100000000002</v>
      </c>
      <c r="CB28" s="52">
        <v>28.547100000000004</v>
      </c>
      <c r="CC28" s="375">
        <f t="shared" si="34"/>
        <v>20.121195000000004</v>
      </c>
      <c r="CD28" s="375">
        <v>35.99</v>
      </c>
      <c r="CE28" s="375">
        <v>37.54</v>
      </c>
      <c r="CF28" s="375">
        <v>48.54</v>
      </c>
      <c r="CG28" s="375">
        <f t="shared" si="35"/>
        <v>38.340000000000003</v>
      </c>
      <c r="CI28" s="20" t="s">
        <v>199</v>
      </c>
      <c r="CJ28" s="20">
        <v>2015</v>
      </c>
      <c r="CK28" s="59">
        <f t="shared" si="15"/>
        <v>27.563284349302684</v>
      </c>
      <c r="CL28" s="59">
        <f t="shared" si="16"/>
        <v>34.031798015730956</v>
      </c>
      <c r="CM28" s="59">
        <f t="shared" si="17"/>
        <v>38.769881274579703</v>
      </c>
      <c r="CN28" s="59">
        <f t="shared" si="18"/>
        <v>40.417910234179267</v>
      </c>
      <c r="CO28" s="59">
        <f t="shared" si="19"/>
        <v>28.488240602877937</v>
      </c>
      <c r="CP28" s="59">
        <f t="shared" si="20"/>
        <v>50.955809498271691</v>
      </c>
      <c r="CQ28" s="59">
        <f t="shared" si="21"/>
        <v>53.150349779525399</v>
      </c>
      <c r="CR28" s="59">
        <f t="shared" si="22"/>
        <v>68.724506614229171</v>
      </c>
      <c r="CS28" s="59">
        <f t="shared" si="23"/>
        <v>54.283015731140225</v>
      </c>
      <c r="CW28" s="20" t="s">
        <v>199</v>
      </c>
      <c r="CX28">
        <v>2011</v>
      </c>
      <c r="CY28">
        <v>10.561886999999999</v>
      </c>
      <c r="CZ28">
        <v>4.9610891342163086</v>
      </c>
      <c r="DB28">
        <v>61243.390625</v>
      </c>
      <c r="DC28">
        <v>0.46105238795280457</v>
      </c>
      <c r="DE28">
        <f t="shared" si="24"/>
        <v>5691.5751219299736</v>
      </c>
      <c r="DH28" t="e">
        <f t="shared" si="25"/>
        <v>#DIV/0!</v>
      </c>
      <c r="DI28" t="e">
        <f t="shared" si="31"/>
        <v>#DIV/0!</v>
      </c>
      <c r="DJ28" t="e">
        <f t="shared" si="32"/>
        <v>#DIV/0!</v>
      </c>
      <c r="DL28" s="20" t="s">
        <v>199</v>
      </c>
      <c r="DM28" s="99" t="s">
        <v>758</v>
      </c>
      <c r="DN28" s="100" t="s">
        <v>847</v>
      </c>
      <c r="DO28" s="101"/>
      <c r="DP28" s="101"/>
      <c r="DQ28" s="101">
        <v>43.2</v>
      </c>
      <c r="DR28" s="101"/>
      <c r="DS28" s="101"/>
      <c r="DT28" s="101"/>
      <c r="DU28" s="101"/>
      <c r="DV28" s="101"/>
      <c r="DW28" s="101"/>
      <c r="DX28">
        <f t="shared" ca="1" si="26"/>
        <v>43.2</v>
      </c>
      <c r="DY28">
        <f t="shared" ca="1" si="27"/>
        <v>8.64</v>
      </c>
      <c r="DZ28" t="e">
        <f t="shared" ca="1" si="28"/>
        <v>#DIV/0!</v>
      </c>
      <c r="EB28" s="20" t="s">
        <v>199</v>
      </c>
      <c r="EC28" s="99" t="s">
        <v>758</v>
      </c>
      <c r="ED28" s="100" t="s">
        <v>754</v>
      </c>
      <c r="EE28" s="101"/>
      <c r="EF28" s="101"/>
      <c r="EG28" s="101"/>
      <c r="EH28" s="101">
        <v>63</v>
      </c>
      <c r="EI28" s="101"/>
      <c r="EJ28" s="101">
        <v>70.3</v>
      </c>
      <c r="EK28" s="101"/>
      <c r="EL28" s="101">
        <v>61.6</v>
      </c>
      <c r="EM28" s="101">
        <v>64.3</v>
      </c>
      <c r="EN28" s="101"/>
      <c r="EO28">
        <f t="shared" ca="1" si="33"/>
        <v>64.3</v>
      </c>
      <c r="EQ28" s="20" t="s">
        <v>199</v>
      </c>
      <c r="ER28" s="20" t="e">
        <f t="shared" ca="1" si="29"/>
        <v>#DIV/0!</v>
      </c>
      <c r="ES28" t="e">
        <f t="shared" ca="1" si="30"/>
        <v>#DIV/0!</v>
      </c>
      <c r="EU28" s="20" t="s">
        <v>199</v>
      </c>
      <c r="EV28" s="109">
        <v>6953.8271000320092</v>
      </c>
    </row>
    <row r="29" spans="1:152" x14ac:dyDescent="0.3">
      <c r="A29" s="20" t="s">
        <v>157</v>
      </c>
      <c r="B29" s="20" t="s">
        <v>257</v>
      </c>
      <c r="C29" s="81">
        <v>2015</v>
      </c>
      <c r="D29" s="82">
        <v>172.49</v>
      </c>
      <c r="E29" s="82">
        <v>175.952</v>
      </c>
      <c r="F29" s="82">
        <v>165.89099999999999</v>
      </c>
      <c r="G29" s="82">
        <v>220.02500000000001</v>
      </c>
      <c r="H29" s="82">
        <v>227.15700000000001</v>
      </c>
      <c r="I29" s="82">
        <v>283.93900000000002</v>
      </c>
      <c r="J29" s="82">
        <v>305.82299999999998</v>
      </c>
      <c r="K29" s="82">
        <v>269.86</v>
      </c>
      <c r="L29" s="82">
        <v>278.29300000000001</v>
      </c>
      <c r="M29" s="82">
        <v>263.68</v>
      </c>
      <c r="N29" s="82">
        <v>307.08300000000003</v>
      </c>
      <c r="O29" s="82">
        <v>287.67099999999999</v>
      </c>
      <c r="P29" s="82">
        <v>264.07299999999998</v>
      </c>
      <c r="Q29" s="82">
        <v>208.75899999999999</v>
      </c>
      <c r="R29" s="82">
        <v>120.401</v>
      </c>
      <c r="S29" s="82">
        <v>129.25700000000001</v>
      </c>
      <c r="T29" s="82">
        <v>81.599000000000004</v>
      </c>
      <c r="U29" s="82">
        <v>37.206000000000003</v>
      </c>
      <c r="V29" s="82">
        <v>9.68</v>
      </c>
      <c r="W29" s="82">
        <v>1.3420000000000001</v>
      </c>
      <c r="X29" s="82">
        <v>0.23499999999999999</v>
      </c>
      <c r="Y29" s="82">
        <f t="shared" si="1"/>
        <v>3810.4160000000002</v>
      </c>
      <c r="Z29" s="52">
        <f t="shared" si="2"/>
        <v>17.248999999999999</v>
      </c>
      <c r="AA29" s="52">
        <f t="shared" si="3"/>
        <v>17.248999999999999</v>
      </c>
      <c r="AB29" s="52">
        <f t="shared" si="4"/>
        <v>34.497999999999998</v>
      </c>
      <c r="AC29" s="52">
        <f t="shared" si="5"/>
        <v>103.494</v>
      </c>
      <c r="AD29" s="52">
        <f t="shared" si="6"/>
        <v>341.84300000000002</v>
      </c>
      <c r="AE29" s="52">
        <f t="shared" si="7"/>
        <v>1848.777</v>
      </c>
      <c r="AF29" s="52">
        <f t="shared" si="8"/>
        <v>858.827</v>
      </c>
      <c r="AG29" s="52">
        <f t="shared" si="9"/>
        <v>588.47900000000004</v>
      </c>
      <c r="AH29" s="52">
        <f t="shared" si="10"/>
        <v>3810.4160000000002</v>
      </c>
      <c r="AI29">
        <v>8.9469999999999992</v>
      </c>
      <c r="AJ29" s="30">
        <f t="shared" si="11"/>
        <v>34091.791952</v>
      </c>
      <c r="AK29">
        <f t="shared" si="12"/>
        <v>34.498000000000005</v>
      </c>
      <c r="AM29" s="20" t="s">
        <v>157</v>
      </c>
      <c r="AN29" t="s">
        <v>296</v>
      </c>
      <c r="AO29" t="s">
        <v>297</v>
      </c>
      <c r="AP29" t="s">
        <v>689</v>
      </c>
      <c r="AQ29" s="55">
        <v>7489.869610037329</v>
      </c>
      <c r="AR29" s="55">
        <v>1.76349164694686</v>
      </c>
      <c r="AS29" t="s">
        <v>157</v>
      </c>
      <c r="AT29" t="s">
        <v>1173</v>
      </c>
      <c r="AU29" t="s">
        <v>1153</v>
      </c>
      <c r="AX29">
        <v>84.893254950495304</v>
      </c>
      <c r="AY29">
        <v>90.092966816213107</v>
      </c>
      <c r="AZ29">
        <v>91.4583333333333</v>
      </c>
      <c r="BA29">
        <v>98.241666666666703</v>
      </c>
      <c r="BB29">
        <v>97.858333333333306</v>
      </c>
      <c r="BC29">
        <v>100</v>
      </c>
      <c r="BD29">
        <v>103.675</v>
      </c>
      <c r="BE29">
        <v>105.8</v>
      </c>
      <c r="BF29">
        <v>105.708333333333</v>
      </c>
      <c r="BG29">
        <v>104.741666666667</v>
      </c>
      <c r="BH29">
        <v>103.85</v>
      </c>
      <c r="BJ29" s="20" t="s">
        <v>157</v>
      </c>
      <c r="BK29" t="s">
        <v>689</v>
      </c>
      <c r="BL29">
        <v>2015</v>
      </c>
      <c r="BM29">
        <f>INDEX('Costs lists'!$C$5:$C$8,MATCH(Lists!BK29,'Costs lists'!$B$5:$B$8,0))</f>
        <v>3.2</v>
      </c>
      <c r="BN29">
        <f>INDEX('Costs lists'!$D$5:$D$8,MATCH(Lists!BK29,'Costs lists'!$B$5:$B$8,0))</f>
        <v>1.1200000000000001</v>
      </c>
      <c r="BO29">
        <f>INDEX('Costs lists'!$E$5:$E$8,MATCH(Lists!BK29,'Costs lists'!$B$5:$B$8,0))</f>
        <v>4.4400000000000004</v>
      </c>
      <c r="BW29" s="20" t="s">
        <v>157</v>
      </c>
      <c r="BX29" s="20">
        <v>2008</v>
      </c>
      <c r="BY29" s="52">
        <v>9.2303999999999995</v>
      </c>
      <c r="BZ29" s="52">
        <v>11.397599999999999</v>
      </c>
      <c r="CA29" s="52">
        <v>12.988799999999999</v>
      </c>
      <c r="CB29" s="52">
        <v>13.536</v>
      </c>
      <c r="CC29" s="375">
        <f t="shared" si="34"/>
        <v>9.540359999999998</v>
      </c>
      <c r="CD29" s="375">
        <v>88.17</v>
      </c>
      <c r="CE29" s="375">
        <v>91.98</v>
      </c>
      <c r="CF29" s="375">
        <v>118.94</v>
      </c>
      <c r="CG29" s="375">
        <f t="shared" si="35"/>
        <v>93.933333333333337</v>
      </c>
      <c r="CI29" s="20" t="s">
        <v>157</v>
      </c>
      <c r="CJ29" s="20">
        <v>2015</v>
      </c>
      <c r="CK29" s="59">
        <f t="shared" si="15"/>
        <v>9.7573369072864491</v>
      </c>
      <c r="CL29" s="59">
        <f t="shared" si="16"/>
        <v>12.048256103146995</v>
      </c>
      <c r="CM29" s="59">
        <f t="shared" si="17"/>
        <v>13.730293120705735</v>
      </c>
      <c r="CN29" s="59">
        <f t="shared" si="18"/>
        <v>14.308731190092452</v>
      </c>
      <c r="CO29" s="59">
        <f t="shared" si="19"/>
        <v>10.084991629485106</v>
      </c>
      <c r="CP29" s="59">
        <f t="shared" si="20"/>
        <v>93.203370939010895</v>
      </c>
      <c r="CQ29" s="59">
        <f t="shared" si="21"/>
        <v>97.230872847569728</v>
      </c>
      <c r="CR29" s="59">
        <f t="shared" si="22"/>
        <v>125.7299414708626</v>
      </c>
      <c r="CS29" s="59">
        <f t="shared" si="23"/>
        <v>99.295716345745987</v>
      </c>
      <c r="CW29" s="20" t="s">
        <v>157</v>
      </c>
      <c r="CX29">
        <v>2011</v>
      </c>
      <c r="CY29">
        <v>3.8175539999999999</v>
      </c>
      <c r="CZ29">
        <v>0.6859290599822998</v>
      </c>
      <c r="DB29">
        <v>38274.76953125</v>
      </c>
      <c r="DC29">
        <v>0.67105621099472046</v>
      </c>
      <c r="DE29">
        <f t="shared" si="24"/>
        <v>37444.866119245009</v>
      </c>
      <c r="DH29" t="e">
        <f t="shared" si="25"/>
        <v>#DIV/0!</v>
      </c>
      <c r="DI29" t="e">
        <f t="shared" si="31"/>
        <v>#DIV/0!</v>
      </c>
      <c r="DJ29" t="e">
        <f t="shared" si="32"/>
        <v>#DIV/0!</v>
      </c>
      <c r="DL29" s="20" t="s">
        <v>157</v>
      </c>
      <c r="DM29" s="99" t="s">
        <v>760</v>
      </c>
      <c r="DN29" s="100" t="s">
        <v>845</v>
      </c>
      <c r="DO29" s="101"/>
      <c r="DP29" s="101"/>
      <c r="DQ29" s="101"/>
      <c r="DR29" s="101"/>
      <c r="DS29" s="101"/>
      <c r="DT29" s="101"/>
      <c r="DU29" s="101"/>
      <c r="DV29" s="101">
        <v>41</v>
      </c>
      <c r="DW29" s="101">
        <v>40.700000000000003</v>
      </c>
      <c r="DX29">
        <f t="shared" ca="1" si="26"/>
        <v>40.700000000000003</v>
      </c>
      <c r="DY29">
        <f t="shared" ca="1" si="27"/>
        <v>8.14</v>
      </c>
      <c r="DZ29" t="e">
        <f t="shared" ca="1" si="28"/>
        <v>#DIV/0!</v>
      </c>
      <c r="EB29" s="20" t="s">
        <v>157</v>
      </c>
      <c r="EC29" s="99" t="s">
        <v>760</v>
      </c>
      <c r="ED29" s="100" t="s">
        <v>754</v>
      </c>
      <c r="EE29" s="101"/>
      <c r="EF29" s="101"/>
      <c r="EG29" s="101"/>
      <c r="EH29" s="101">
        <v>33.1</v>
      </c>
      <c r="EI29" s="101">
        <v>32.5</v>
      </c>
      <c r="EJ29" s="101">
        <v>31.9</v>
      </c>
      <c r="EK29" s="101">
        <v>31.7</v>
      </c>
      <c r="EL29" s="101">
        <v>31.6</v>
      </c>
      <c r="EM29" s="101">
        <v>31.7</v>
      </c>
      <c r="EN29" s="101">
        <v>31.9</v>
      </c>
      <c r="EO29">
        <f t="shared" ca="1" si="33"/>
        <v>31.9</v>
      </c>
      <c r="EQ29" s="20" t="s">
        <v>157</v>
      </c>
      <c r="ER29" s="20" t="e">
        <f t="shared" ca="1" si="29"/>
        <v>#DIV/0!</v>
      </c>
      <c r="ES29" t="e">
        <f t="shared" ca="1" si="30"/>
        <v>#DIV/0!</v>
      </c>
      <c r="EU29" s="20" t="s">
        <v>157</v>
      </c>
      <c r="EV29" s="109">
        <v>10633.215264101027</v>
      </c>
    </row>
    <row r="30" spans="1:152" x14ac:dyDescent="0.3">
      <c r="A30" s="20" t="s">
        <v>67</v>
      </c>
      <c r="B30" s="20" t="s">
        <v>632</v>
      </c>
      <c r="C30" s="81">
        <v>2015</v>
      </c>
      <c r="D30" s="82">
        <v>266.262</v>
      </c>
      <c r="E30" s="82">
        <v>236.661</v>
      </c>
      <c r="F30" s="82">
        <v>221.029</v>
      </c>
      <c r="G30" s="82">
        <v>219.89</v>
      </c>
      <c r="H30" s="82">
        <v>220.64</v>
      </c>
      <c r="I30" s="82">
        <v>221.99</v>
      </c>
      <c r="J30" s="82">
        <v>208.94300000000001</v>
      </c>
      <c r="K30" s="82">
        <v>171.24700000000001</v>
      </c>
      <c r="L30" s="82">
        <v>127.295</v>
      </c>
      <c r="M30" s="82">
        <v>96.099000000000004</v>
      </c>
      <c r="N30" s="82">
        <v>76.275999999999996</v>
      </c>
      <c r="O30" s="82">
        <v>63.648000000000003</v>
      </c>
      <c r="P30" s="82">
        <v>51.098999999999997</v>
      </c>
      <c r="Q30" s="82">
        <v>32.375</v>
      </c>
      <c r="R30" s="82">
        <v>23.472000000000001</v>
      </c>
      <c r="S30" s="82">
        <v>15.035</v>
      </c>
      <c r="T30" s="82">
        <v>7.3620000000000001</v>
      </c>
      <c r="U30" s="82">
        <v>2.4590000000000001</v>
      </c>
      <c r="V30" s="82">
        <v>0.627</v>
      </c>
      <c r="W30" s="82">
        <v>7.1999999999999995E-2</v>
      </c>
      <c r="X30" s="82">
        <v>4.0000000000000001E-3</v>
      </c>
      <c r="Y30" s="82">
        <f t="shared" si="1"/>
        <v>2262.4850000000001</v>
      </c>
      <c r="Z30" s="52">
        <f t="shared" si="2"/>
        <v>26.626000000000001</v>
      </c>
      <c r="AA30" s="52">
        <f t="shared" si="3"/>
        <v>26.626000000000001</v>
      </c>
      <c r="AB30" s="52">
        <f t="shared" si="4"/>
        <v>53.252000000000002</v>
      </c>
      <c r="AC30" s="52">
        <f t="shared" si="5"/>
        <v>159.75700000000001</v>
      </c>
      <c r="AD30" s="52">
        <f t="shared" si="6"/>
        <v>457.69</v>
      </c>
      <c r="AE30" s="52">
        <f t="shared" si="7"/>
        <v>1266.104</v>
      </c>
      <c r="AF30" s="52">
        <f t="shared" si="8"/>
        <v>191.023</v>
      </c>
      <c r="AG30" s="52">
        <f t="shared" si="9"/>
        <v>81.406000000000006</v>
      </c>
      <c r="AH30" s="52">
        <f t="shared" si="10"/>
        <v>2262.4839999999999</v>
      </c>
      <c r="AI30">
        <v>24.972000000000001</v>
      </c>
      <c r="AJ30" s="30">
        <f t="shared" si="11"/>
        <v>56498.750447999999</v>
      </c>
      <c r="AK30">
        <f t="shared" si="12"/>
        <v>53.252400000000002</v>
      </c>
      <c r="AM30" s="20" t="s">
        <v>67</v>
      </c>
      <c r="AN30" t="s">
        <v>298</v>
      </c>
      <c r="AO30" t="s">
        <v>299</v>
      </c>
      <c r="AP30" t="s">
        <v>689</v>
      </c>
      <c r="AQ30" s="55">
        <v>64404.667659093437</v>
      </c>
      <c r="AR30" s="55">
        <v>10.1290023854196</v>
      </c>
      <c r="AS30" t="s">
        <v>67</v>
      </c>
      <c r="AT30" t="s">
        <v>1174</v>
      </c>
      <c r="AU30" t="s">
        <v>1153</v>
      </c>
      <c r="AV30">
        <v>55.350500607238601</v>
      </c>
      <c r="AW30">
        <v>59.194982340762401</v>
      </c>
      <c r="AX30">
        <v>64.291803677992903</v>
      </c>
      <c r="AY30">
        <v>71.720862257946706</v>
      </c>
      <c r="AZ30">
        <v>76.799415418341297</v>
      </c>
      <c r="BA30">
        <v>86.554621848739501</v>
      </c>
      <c r="BB30">
        <v>93.502618438679605</v>
      </c>
      <c r="BC30">
        <v>100</v>
      </c>
      <c r="BD30">
        <v>108.45816587504601</v>
      </c>
      <c r="BE30">
        <v>116.636219705274</v>
      </c>
      <c r="BF30">
        <v>123.49896480331201</v>
      </c>
      <c r="BG30">
        <v>128.93679210814801</v>
      </c>
      <c r="BH30">
        <v>132.88271830471299</v>
      </c>
      <c r="BJ30" s="20" t="s">
        <v>67</v>
      </c>
      <c r="BK30" t="s">
        <v>689</v>
      </c>
      <c r="BL30">
        <v>2015</v>
      </c>
      <c r="BM30">
        <f>INDEX('Costs lists'!$C$5:$C$8,MATCH(Lists!BK30,'Costs lists'!$B$5:$B$8,0))</f>
        <v>3.2</v>
      </c>
      <c r="BN30">
        <f>INDEX('Costs lists'!$D$5:$D$8,MATCH(Lists!BK30,'Costs lists'!$B$5:$B$8,0))</f>
        <v>1.1200000000000001</v>
      </c>
      <c r="BO30">
        <f>INDEX('Costs lists'!$E$5:$E$8,MATCH(Lists!BK30,'Costs lists'!$B$5:$B$8,0))</f>
        <v>4.4400000000000004</v>
      </c>
      <c r="BW30" s="20" t="s">
        <v>67</v>
      </c>
      <c r="BX30" s="20">
        <v>2008</v>
      </c>
      <c r="BY30" s="52">
        <v>63.64</v>
      </c>
      <c r="BZ30" s="52">
        <v>78.569599999999994</v>
      </c>
      <c r="CA30" s="52">
        <v>89.543199999999999</v>
      </c>
      <c r="CB30" s="52">
        <v>93.327199999999991</v>
      </c>
      <c r="CC30" s="375">
        <f t="shared" si="34"/>
        <v>65.776240000000001</v>
      </c>
      <c r="CD30" s="375">
        <v>146.18</v>
      </c>
      <c r="CE30" s="375">
        <v>152.5</v>
      </c>
      <c r="CF30" s="375">
        <v>197.19</v>
      </c>
      <c r="CG30" s="375">
        <f t="shared" si="35"/>
        <v>155.73500000000001</v>
      </c>
      <c r="CI30" s="20" t="s">
        <v>67</v>
      </c>
      <c r="CJ30" s="20">
        <v>2015</v>
      </c>
      <c r="CK30" s="59">
        <f t="shared" si="15"/>
        <v>97.703115238497105</v>
      </c>
      <c r="CL30" s="59">
        <f t="shared" si="16"/>
        <v>120.62373794850129</v>
      </c>
      <c r="CM30" s="59">
        <f t="shared" si="17"/>
        <v>137.47092376530159</v>
      </c>
      <c r="CN30" s="59">
        <f t="shared" si="18"/>
        <v>143.2802981848879</v>
      </c>
      <c r="CO30" s="59">
        <f t="shared" si="19"/>
        <v>100.9827711608272</v>
      </c>
      <c r="CP30" s="59">
        <f t="shared" si="20"/>
        <v>224.42239763613304</v>
      </c>
      <c r="CQ30" s="59">
        <f t="shared" si="21"/>
        <v>234.12515829463871</v>
      </c>
      <c r="CR30" s="59">
        <f t="shared" si="22"/>
        <v>302.73534402701512</v>
      </c>
      <c r="CS30" s="59">
        <f t="shared" si="23"/>
        <v>239.09168214436437</v>
      </c>
      <c r="CW30" s="20" t="s">
        <v>67</v>
      </c>
      <c r="CX30">
        <v>2011</v>
      </c>
      <c r="CY30">
        <v>2.2199369999999998</v>
      </c>
      <c r="CZ30">
        <v>0.95406001806259155</v>
      </c>
      <c r="DB30">
        <v>33046.51171875</v>
      </c>
      <c r="DC30">
        <v>0.27796098589897156</v>
      </c>
      <c r="DE30">
        <f t="shared" si="24"/>
        <v>9627.9487704756102</v>
      </c>
      <c r="DH30" t="e">
        <f t="shared" si="25"/>
        <v>#DIV/0!</v>
      </c>
      <c r="DI30" t="e">
        <f t="shared" si="31"/>
        <v>#DIV/0!</v>
      </c>
      <c r="DJ30" t="e">
        <f t="shared" si="32"/>
        <v>#DIV/0!</v>
      </c>
      <c r="DL30" s="20" t="s">
        <v>67</v>
      </c>
      <c r="DM30" s="99" t="s">
        <v>802</v>
      </c>
      <c r="DN30" s="100" t="s">
        <v>754</v>
      </c>
      <c r="DO30" s="101"/>
      <c r="DP30" s="101"/>
      <c r="DQ30" s="101"/>
      <c r="DR30" s="101">
        <v>43</v>
      </c>
      <c r="DS30" s="101"/>
      <c r="DT30" s="101"/>
      <c r="DU30" s="101"/>
      <c r="DV30" s="101"/>
      <c r="DW30" s="101"/>
      <c r="DX30">
        <f t="shared" ca="1" si="26"/>
        <v>43</v>
      </c>
      <c r="DY30">
        <f t="shared" ca="1" si="27"/>
        <v>8.6</v>
      </c>
      <c r="DZ30" t="e">
        <f t="shared" ca="1" si="28"/>
        <v>#DIV/0!</v>
      </c>
      <c r="EB30" s="20" t="s">
        <v>67</v>
      </c>
      <c r="EC30" s="99" t="s">
        <v>802</v>
      </c>
      <c r="ED30" s="100" t="s">
        <v>754</v>
      </c>
      <c r="EE30" s="101"/>
      <c r="EF30" s="101"/>
      <c r="EG30" s="101"/>
      <c r="EH30" s="101"/>
      <c r="EI30" s="101">
        <v>48.6</v>
      </c>
      <c r="EJ30" s="101"/>
      <c r="EK30" s="101"/>
      <c r="EL30" s="101">
        <v>55.7</v>
      </c>
      <c r="EM30" s="101"/>
      <c r="EN30" s="101"/>
      <c r="EO30">
        <f t="shared" ca="1" si="33"/>
        <v>55.7</v>
      </c>
      <c r="EQ30" s="20" t="s">
        <v>67</v>
      </c>
      <c r="ER30" s="20" t="e">
        <f t="shared" ca="1" si="29"/>
        <v>#DIV/0!</v>
      </c>
      <c r="ES30" t="e">
        <f t="shared" ca="1" si="30"/>
        <v>#DIV/0!</v>
      </c>
      <c r="EU30" s="20" t="s">
        <v>67</v>
      </c>
      <c r="EV30" s="109">
        <v>15839.30239143086</v>
      </c>
    </row>
    <row r="31" spans="1:152" x14ac:dyDescent="0.3">
      <c r="A31" s="20" t="s">
        <v>200</v>
      </c>
      <c r="B31" s="20" t="s">
        <v>633</v>
      </c>
      <c r="C31" s="81">
        <v>2015</v>
      </c>
      <c r="D31" s="82">
        <v>15032.203</v>
      </c>
      <c r="E31" s="82">
        <v>15407.519</v>
      </c>
      <c r="F31" s="82">
        <v>17422.670999999998</v>
      </c>
      <c r="G31" s="82">
        <v>17464.37</v>
      </c>
      <c r="H31" s="82">
        <v>16669.280999999999</v>
      </c>
      <c r="I31" s="82">
        <v>17399.922999999999</v>
      </c>
      <c r="J31" s="82">
        <v>17815.595000000001</v>
      </c>
      <c r="K31" s="82">
        <v>16287.325000000001</v>
      </c>
      <c r="L31" s="82">
        <v>14320.144</v>
      </c>
      <c r="M31" s="82">
        <v>13192.927</v>
      </c>
      <c r="N31" s="82">
        <v>12344.468000000001</v>
      </c>
      <c r="O31" s="82">
        <v>10099.486999999999</v>
      </c>
      <c r="P31" s="82">
        <v>8086.652</v>
      </c>
      <c r="Q31" s="82">
        <v>5971.65</v>
      </c>
      <c r="R31" s="82">
        <v>4185.3130000000001</v>
      </c>
      <c r="S31" s="82">
        <v>3061.652</v>
      </c>
      <c r="T31" s="82">
        <v>1796.4690000000001</v>
      </c>
      <c r="U31" s="82">
        <v>929.48699999999997</v>
      </c>
      <c r="V31" s="82">
        <v>296.93700000000001</v>
      </c>
      <c r="W31" s="82">
        <v>57.378</v>
      </c>
      <c r="X31" s="82">
        <v>6.077</v>
      </c>
      <c r="Y31" s="82">
        <f t="shared" si="1"/>
        <v>207847.52799999996</v>
      </c>
      <c r="Z31" s="52">
        <f t="shared" si="2"/>
        <v>1503.22</v>
      </c>
      <c r="AA31" s="52">
        <f t="shared" si="3"/>
        <v>1503.22</v>
      </c>
      <c r="AB31" s="52">
        <f t="shared" si="4"/>
        <v>3006.4409999999998</v>
      </c>
      <c r="AC31" s="52">
        <f t="shared" si="5"/>
        <v>9019.3220000000001</v>
      </c>
      <c r="AD31" s="52">
        <f t="shared" si="6"/>
        <v>32830.19</v>
      </c>
      <c r="AE31" s="52">
        <f t="shared" si="7"/>
        <v>113149.565</v>
      </c>
      <c r="AF31" s="52">
        <f t="shared" si="8"/>
        <v>30530.607</v>
      </c>
      <c r="AG31" s="52">
        <f t="shared" si="9"/>
        <v>16304.963</v>
      </c>
      <c r="AH31" s="52">
        <f t="shared" si="10"/>
        <v>207847.52799999999</v>
      </c>
      <c r="AI31">
        <v>14.727</v>
      </c>
      <c r="AJ31" s="30">
        <f t="shared" si="11"/>
        <v>3060970.5448559998</v>
      </c>
      <c r="AK31">
        <f t="shared" si="12"/>
        <v>3006.4405999999999</v>
      </c>
      <c r="AM31" s="20" t="s">
        <v>200</v>
      </c>
      <c r="AN31" t="s">
        <v>300</v>
      </c>
      <c r="AO31" t="s">
        <v>301</v>
      </c>
      <c r="AP31" t="s">
        <v>689</v>
      </c>
      <c r="AQ31" s="55">
        <v>28870.066715443449</v>
      </c>
      <c r="AR31" s="55">
        <v>3.3269043827687899</v>
      </c>
      <c r="AS31" t="s">
        <v>200</v>
      </c>
      <c r="AT31" t="s">
        <v>1175</v>
      </c>
      <c r="AU31" t="s">
        <v>1153</v>
      </c>
      <c r="AV31">
        <v>69.838735210511501</v>
      </c>
      <c r="AW31">
        <v>74.447480538788199</v>
      </c>
      <c r="AX31">
        <v>79.560049281087998</v>
      </c>
      <c r="AY31">
        <v>82.888587573732295</v>
      </c>
      <c r="AZ31">
        <v>85.903268657640993</v>
      </c>
      <c r="BA31">
        <v>90.768055393044193</v>
      </c>
      <c r="BB31">
        <v>95.203353316493306</v>
      </c>
      <c r="BC31">
        <v>100</v>
      </c>
      <c r="BD31">
        <v>106.63619865693001</v>
      </c>
      <c r="BE31">
        <v>112.396648518929</v>
      </c>
      <c r="BF31">
        <v>119.367375827948</v>
      </c>
      <c r="BG31">
        <v>126.92582829165799</v>
      </c>
      <c r="BH31">
        <v>138.384186001693</v>
      </c>
      <c r="BJ31" s="20" t="s">
        <v>200</v>
      </c>
      <c r="BK31" t="s">
        <v>689</v>
      </c>
      <c r="BL31">
        <v>2015</v>
      </c>
      <c r="BM31">
        <f>INDEX('Costs lists'!$C$5:$C$8,MATCH(Lists!BK31,'Costs lists'!$B$5:$B$8,0))</f>
        <v>3.2</v>
      </c>
      <c r="BN31">
        <f>INDEX('Costs lists'!$D$5:$D$8,MATCH(Lists!BK31,'Costs lists'!$B$5:$B$8,0))</f>
        <v>1.1200000000000001</v>
      </c>
      <c r="BO31">
        <f>INDEX('Costs lists'!$E$5:$E$8,MATCH(Lists!BK31,'Costs lists'!$B$5:$B$8,0))</f>
        <v>4.4400000000000004</v>
      </c>
      <c r="BW31" s="20" t="s">
        <v>200</v>
      </c>
      <c r="BX31" s="20">
        <v>2008</v>
      </c>
      <c r="BY31" s="52">
        <v>3.5635999999999997</v>
      </c>
      <c r="BZ31" s="52">
        <v>4.3940999999999999</v>
      </c>
      <c r="CA31" s="52">
        <v>5.0131999999999994</v>
      </c>
      <c r="CB31" s="52">
        <v>5.2095000000000002</v>
      </c>
      <c r="CC31" s="375">
        <f t="shared" si="34"/>
        <v>3.6825124999999996</v>
      </c>
      <c r="CD31" s="375">
        <v>20.059999999999999</v>
      </c>
      <c r="CE31" s="375">
        <v>20.92</v>
      </c>
      <c r="CF31" s="375">
        <v>27.06</v>
      </c>
      <c r="CG31" s="375">
        <f t="shared" si="35"/>
        <v>21.369999999999997</v>
      </c>
      <c r="CI31" s="20" t="s">
        <v>200</v>
      </c>
      <c r="CJ31" s="20">
        <v>2015</v>
      </c>
      <c r="CK31" s="59">
        <f t="shared" si="15"/>
        <v>5.4330334951014523</v>
      </c>
      <c r="CL31" s="59">
        <f t="shared" si="16"/>
        <v>6.6992065554005205</v>
      </c>
      <c r="CM31" s="59">
        <f t="shared" si="17"/>
        <v>7.643081018532552</v>
      </c>
      <c r="CN31" s="59">
        <f t="shared" si="18"/>
        <v>7.9423582873305145</v>
      </c>
      <c r="CO31" s="59">
        <f t="shared" si="19"/>
        <v>5.6143264560079098</v>
      </c>
      <c r="CP31" s="59">
        <f t="shared" si="20"/>
        <v>30.583301131365793</v>
      </c>
      <c r="CQ31" s="59">
        <f t="shared" si="21"/>
        <v>31.894449634505108</v>
      </c>
      <c r="CR31" s="59">
        <f t="shared" si="22"/>
        <v>41.255440110406695</v>
      </c>
      <c r="CS31" s="59">
        <f t="shared" si="23"/>
        <v>32.580515711729163</v>
      </c>
      <c r="CW31" s="20" t="s">
        <v>200</v>
      </c>
      <c r="CX31">
        <v>2011</v>
      </c>
      <c r="CY31">
        <v>206.0779</v>
      </c>
      <c r="CZ31">
        <v>105.90861511230469</v>
      </c>
      <c r="DA31">
        <v>1711.283218264005</v>
      </c>
      <c r="DB31">
        <v>3023892</v>
      </c>
      <c r="DC31">
        <v>0.55762630701065063</v>
      </c>
      <c r="DE31">
        <f t="shared" si="24"/>
        <v>15921.289566207763</v>
      </c>
      <c r="DH31">
        <f t="shared" si="25"/>
        <v>9.3037139593754468</v>
      </c>
      <c r="DI31">
        <f t="shared" si="31"/>
        <v>10.143616160631172</v>
      </c>
      <c r="DJ31">
        <f t="shared" si="32"/>
        <v>19.737536125576909</v>
      </c>
      <c r="DL31" s="20" t="s">
        <v>200</v>
      </c>
      <c r="DM31" s="99"/>
      <c r="DN31" s="100"/>
      <c r="DO31" s="101"/>
      <c r="DP31" s="101"/>
      <c r="DQ31" s="101"/>
      <c r="DR31" s="101"/>
      <c r="DS31" s="101"/>
      <c r="DT31" s="101"/>
      <c r="DU31" s="101"/>
      <c r="DV31" s="101"/>
      <c r="DW31" s="101"/>
      <c r="DX31" t="e">
        <f t="shared" ca="1" si="26"/>
        <v>#N/A</v>
      </c>
      <c r="DY31" t="e">
        <f t="shared" ca="1" si="27"/>
        <v>#N/A</v>
      </c>
      <c r="DZ31" t="e">
        <f t="shared" ca="1" si="28"/>
        <v>#N/A</v>
      </c>
      <c r="EB31" s="20" t="s">
        <v>200</v>
      </c>
      <c r="EC31" s="99" t="s">
        <v>759</v>
      </c>
      <c r="ED31" s="100" t="s">
        <v>754</v>
      </c>
      <c r="EE31" s="101">
        <v>57.2</v>
      </c>
      <c r="EF31" s="101">
        <v>57</v>
      </c>
      <c r="EG31" s="101"/>
      <c r="EH31" s="101">
        <v>56.9</v>
      </c>
      <c r="EI31" s="101"/>
      <c r="EJ31" s="101">
        <v>56</v>
      </c>
      <c r="EK31" s="101">
        <v>56.2</v>
      </c>
      <c r="EL31" s="101">
        <v>55.8</v>
      </c>
      <c r="EM31" s="101">
        <v>56.8</v>
      </c>
      <c r="EN31" s="101"/>
      <c r="EO31">
        <f t="shared" ca="1" si="33"/>
        <v>56.8</v>
      </c>
      <c r="EQ31" s="20" t="s">
        <v>200</v>
      </c>
      <c r="ER31" s="20" t="e">
        <f t="shared" ca="1" si="29"/>
        <v>#N/A</v>
      </c>
      <c r="ES31" t="e">
        <f t="shared" ca="1" si="30"/>
        <v>#N/A</v>
      </c>
      <c r="EU31" s="20" t="s">
        <v>200</v>
      </c>
      <c r="EV31" s="109">
        <v>15390.599036802114</v>
      </c>
    </row>
    <row r="32" spans="1:152" x14ac:dyDescent="0.3">
      <c r="A32" s="20" t="s">
        <v>107</v>
      </c>
      <c r="B32" s="20" t="s">
        <v>634</v>
      </c>
      <c r="C32" s="81">
        <v>2015</v>
      </c>
      <c r="D32" s="82">
        <v>33.783000000000001</v>
      </c>
      <c r="E32" s="82">
        <v>30.36</v>
      </c>
      <c r="F32" s="82">
        <v>33.648000000000003</v>
      </c>
      <c r="G32" s="82">
        <v>35.645000000000003</v>
      </c>
      <c r="H32" s="82">
        <v>35.292999999999999</v>
      </c>
      <c r="I32" s="82">
        <v>38.494999999999997</v>
      </c>
      <c r="J32" s="82">
        <v>39.369999999999997</v>
      </c>
      <c r="K32" s="82">
        <v>36.999000000000002</v>
      </c>
      <c r="L32" s="82">
        <v>33.698999999999998</v>
      </c>
      <c r="M32" s="82">
        <v>29.91</v>
      </c>
      <c r="N32" s="82">
        <v>24.308</v>
      </c>
      <c r="O32" s="82">
        <v>19.387</v>
      </c>
      <c r="P32" s="82">
        <v>13.587999999999999</v>
      </c>
      <c r="Q32" s="82">
        <v>8.0340000000000007</v>
      </c>
      <c r="R32" s="82">
        <v>4.5659999999999998</v>
      </c>
      <c r="S32" s="82">
        <v>3.23</v>
      </c>
      <c r="T32" s="82">
        <v>1.8360000000000001</v>
      </c>
      <c r="U32" s="82">
        <v>0.76600000000000001</v>
      </c>
      <c r="V32" s="82">
        <v>0.22900000000000001</v>
      </c>
      <c r="W32" s="82">
        <v>3.7999999999999999E-2</v>
      </c>
      <c r="X32" s="82">
        <v>4.0000000000000001E-3</v>
      </c>
      <c r="Y32" s="82">
        <f t="shared" si="1"/>
        <v>423.1880000000001</v>
      </c>
      <c r="Z32" s="52">
        <f t="shared" si="2"/>
        <v>3.3780000000000001</v>
      </c>
      <c r="AA32" s="52">
        <f t="shared" si="3"/>
        <v>3.3780000000000001</v>
      </c>
      <c r="AB32" s="52">
        <f t="shared" si="4"/>
        <v>6.7569999999999997</v>
      </c>
      <c r="AC32" s="52">
        <f t="shared" si="5"/>
        <v>20.27</v>
      </c>
      <c r="AD32" s="52">
        <f t="shared" si="6"/>
        <v>64.007999999999996</v>
      </c>
      <c r="AE32" s="52">
        <f t="shared" si="7"/>
        <v>249.411</v>
      </c>
      <c r="AF32" s="52">
        <f t="shared" si="8"/>
        <v>57.283000000000001</v>
      </c>
      <c r="AG32" s="52">
        <f t="shared" si="9"/>
        <v>18.702999999999999</v>
      </c>
      <c r="AH32" s="52">
        <f t="shared" si="10"/>
        <v>423.18799999999999</v>
      </c>
      <c r="AI32">
        <v>16.042999999999999</v>
      </c>
      <c r="AJ32" s="30">
        <f t="shared" si="11"/>
        <v>6789.2050839999993</v>
      </c>
      <c r="AK32">
        <f t="shared" si="12"/>
        <v>6.7566000000000006</v>
      </c>
      <c r="AM32" s="20" t="s">
        <v>107</v>
      </c>
      <c r="AN32" t="s">
        <v>302</v>
      </c>
      <c r="AO32" t="s">
        <v>303</v>
      </c>
      <c r="AP32" t="s">
        <v>690</v>
      </c>
      <c r="AQ32" s="55">
        <v>42009.697817518456</v>
      </c>
      <c r="AR32" s="55">
        <v>1.37491084459887</v>
      </c>
      <c r="AS32" t="s">
        <v>107</v>
      </c>
      <c r="AT32" t="s">
        <v>1176</v>
      </c>
      <c r="AU32" t="s">
        <v>1153</v>
      </c>
      <c r="AV32">
        <v>93.593679549146003</v>
      </c>
      <c r="AW32">
        <v>94.355741745541494</v>
      </c>
      <c r="AX32">
        <v>95.529939619579494</v>
      </c>
      <c r="AY32">
        <v>95.682680604281501</v>
      </c>
      <c r="AZ32">
        <v>96.608672824037598</v>
      </c>
      <c r="BA32">
        <v>98.622944559795698</v>
      </c>
      <c r="BB32">
        <v>99.644399894990599</v>
      </c>
      <c r="BC32">
        <v>100</v>
      </c>
      <c r="BD32">
        <v>102.01593438501899</v>
      </c>
      <c r="BE32">
        <v>102.489393252349</v>
      </c>
      <c r="BF32">
        <v>102.882197264176</v>
      </c>
      <c r="BG32">
        <v>102.68216722316799</v>
      </c>
      <c r="BH32">
        <v>102.24687116002799</v>
      </c>
      <c r="BJ32" s="20" t="s">
        <v>107</v>
      </c>
      <c r="BK32" t="s">
        <v>690</v>
      </c>
      <c r="BL32">
        <v>2015</v>
      </c>
      <c r="BM32">
        <f>INDEX('Costs lists'!$C$5:$C$8,MATCH(Lists!BK32,'Costs lists'!$B$5:$B$8,0))</f>
        <v>3.55</v>
      </c>
      <c r="BN32">
        <f>INDEX('Costs lists'!$D$5:$D$8,MATCH(Lists!BK32,'Costs lists'!$B$5:$B$8,0))</f>
        <v>2.91</v>
      </c>
      <c r="BO32">
        <f>INDEX('Costs lists'!$E$5:$E$8,MATCH(Lists!BK32,'Costs lists'!$B$5:$B$8,0))</f>
        <v>7.59</v>
      </c>
      <c r="BW32" s="20" t="s">
        <v>107</v>
      </c>
      <c r="BX32" s="20">
        <v>2008</v>
      </c>
      <c r="BY32" s="52">
        <v>58.275000000000006</v>
      </c>
      <c r="BZ32" s="52">
        <v>71.956500000000005</v>
      </c>
      <c r="CA32" s="52">
        <v>81.994500000000002</v>
      </c>
      <c r="CB32" s="52">
        <v>85.448999999999998</v>
      </c>
      <c r="CC32" s="375">
        <f t="shared" si="34"/>
        <v>60.231412500000012</v>
      </c>
      <c r="CD32" s="375">
        <v>664.35</v>
      </c>
      <c r="CE32" s="375">
        <v>693.07</v>
      </c>
      <c r="CF32" s="375">
        <v>896.18</v>
      </c>
      <c r="CG32" s="375">
        <f t="shared" si="35"/>
        <v>707.77499999999998</v>
      </c>
      <c r="CI32" s="20" t="s">
        <v>107</v>
      </c>
      <c r="CJ32" s="20">
        <v>2015</v>
      </c>
      <c r="CK32" s="59">
        <f t="shared" si="15"/>
        <v>60.4163305349091</v>
      </c>
      <c r="CL32" s="59">
        <f t="shared" si="16"/>
        <v>74.600560928960732</v>
      </c>
      <c r="CM32" s="59">
        <f t="shared" si="17"/>
        <v>85.007409936415343</v>
      </c>
      <c r="CN32" s="59">
        <f t="shared" si="18"/>
        <v>88.588846467223462</v>
      </c>
      <c r="CO32" s="59">
        <f t="shared" si="19"/>
        <v>62.444631937957205</v>
      </c>
      <c r="CP32" s="59">
        <f t="shared" si="20"/>
        <v>688.76171927699454</v>
      </c>
      <c r="CQ32" s="59">
        <f t="shared" si="21"/>
        <v>718.53704339475678</v>
      </c>
      <c r="CR32" s="59">
        <f t="shared" si="22"/>
        <v>929.11037492535104</v>
      </c>
      <c r="CS32" s="59">
        <f t="shared" si="23"/>
        <v>733.78238257134763</v>
      </c>
      <c r="CW32" s="20" t="s">
        <v>107</v>
      </c>
      <c r="CX32">
        <v>2011</v>
      </c>
      <c r="CY32">
        <v>0.41739399999999999</v>
      </c>
      <c r="CZ32">
        <v>0.20008000731468201</v>
      </c>
      <c r="DB32">
        <v>27952.232421875</v>
      </c>
      <c r="DE32">
        <f t="shared" si="24"/>
        <v>0</v>
      </c>
      <c r="DH32" t="e">
        <f t="shared" si="25"/>
        <v>#DIV/0!</v>
      </c>
      <c r="DI32" t="e">
        <f t="shared" si="31"/>
        <v>#DIV/0!</v>
      </c>
      <c r="DJ32" t="e">
        <f t="shared" si="32"/>
        <v>#DIV/0!</v>
      </c>
      <c r="DL32" s="20" t="s">
        <v>107</v>
      </c>
      <c r="DM32" s="99"/>
      <c r="DN32" s="100"/>
      <c r="DO32" s="101"/>
      <c r="DP32" s="101"/>
      <c r="DQ32" s="101"/>
      <c r="DR32" s="101"/>
      <c r="DS32" s="101"/>
      <c r="DT32" s="101"/>
      <c r="DU32" s="101"/>
      <c r="DV32" s="101"/>
      <c r="DW32" s="101"/>
      <c r="DX32" t="e">
        <f t="shared" ca="1" si="26"/>
        <v>#N/A</v>
      </c>
      <c r="DY32" t="e">
        <f t="shared" ca="1" si="27"/>
        <v>#N/A</v>
      </c>
      <c r="DZ32" t="e">
        <f t="shared" ca="1" si="28"/>
        <v>#N/A</v>
      </c>
      <c r="EB32" s="20" t="s">
        <v>107</v>
      </c>
      <c r="EC32" s="99" t="s">
        <v>756</v>
      </c>
      <c r="ED32" s="100" t="s">
        <v>754</v>
      </c>
      <c r="EE32" s="101"/>
      <c r="EF32" s="101"/>
      <c r="EG32" s="101"/>
      <c r="EH32" s="101"/>
      <c r="EI32" s="101"/>
      <c r="EJ32" s="101"/>
      <c r="EK32" s="101"/>
      <c r="EL32" s="101"/>
      <c r="EM32" s="101">
        <v>61</v>
      </c>
      <c r="EN32" s="101"/>
      <c r="EO32">
        <f t="shared" ca="1" si="33"/>
        <v>61</v>
      </c>
      <c r="EQ32" s="20" t="s">
        <v>107</v>
      </c>
      <c r="ER32" s="20" t="e">
        <f t="shared" ca="1" si="29"/>
        <v>#N/A</v>
      </c>
      <c r="ES32" t="e">
        <f t="shared" ca="1" si="30"/>
        <v>#N/A</v>
      </c>
      <c r="EU32" s="20" t="s">
        <v>107</v>
      </c>
      <c r="EV32" s="109">
        <v>78369.291016259711</v>
      </c>
    </row>
    <row r="33" spans="1:152" x14ac:dyDescent="0.3">
      <c r="A33" s="20" t="s">
        <v>137</v>
      </c>
      <c r="B33" s="20" t="s">
        <v>257</v>
      </c>
      <c r="C33" s="81">
        <v>2015</v>
      </c>
      <c r="D33" s="82">
        <v>337.02600000000001</v>
      </c>
      <c r="E33" s="82">
        <v>357.291</v>
      </c>
      <c r="F33" s="82">
        <v>316.95</v>
      </c>
      <c r="G33" s="82">
        <v>318.536</v>
      </c>
      <c r="H33" s="82">
        <v>375.09100000000001</v>
      </c>
      <c r="I33" s="82">
        <v>482.45400000000001</v>
      </c>
      <c r="J33" s="82">
        <v>491.959</v>
      </c>
      <c r="K33" s="82">
        <v>523.69500000000005</v>
      </c>
      <c r="L33" s="82">
        <v>538.25199999999995</v>
      </c>
      <c r="M33" s="82">
        <v>504.09199999999998</v>
      </c>
      <c r="N33" s="82">
        <v>479.53</v>
      </c>
      <c r="O33" s="82">
        <v>498.88600000000002</v>
      </c>
      <c r="P33" s="82">
        <v>494.10300000000001</v>
      </c>
      <c r="Q33" s="82">
        <v>478.35500000000002</v>
      </c>
      <c r="R33" s="82">
        <v>359.19200000000001</v>
      </c>
      <c r="S33" s="82">
        <v>275.51499999999999</v>
      </c>
      <c r="T33" s="82">
        <v>198.38399999999999</v>
      </c>
      <c r="U33" s="82">
        <v>91.846999999999994</v>
      </c>
      <c r="V33" s="82">
        <v>25.983000000000001</v>
      </c>
      <c r="W33" s="82">
        <v>2.4140000000000001</v>
      </c>
      <c r="X33" s="82">
        <v>0.23200000000000001</v>
      </c>
      <c r="Y33" s="82">
        <f t="shared" si="1"/>
        <v>7149.7870000000012</v>
      </c>
      <c r="Z33" s="52">
        <f t="shared" si="2"/>
        <v>33.703000000000003</v>
      </c>
      <c r="AA33" s="52">
        <f t="shared" si="3"/>
        <v>33.703000000000003</v>
      </c>
      <c r="AB33" s="52">
        <f t="shared" si="4"/>
        <v>67.405000000000001</v>
      </c>
      <c r="AC33" s="52">
        <f t="shared" si="5"/>
        <v>202.21600000000001</v>
      </c>
      <c r="AD33" s="52">
        <f t="shared" si="6"/>
        <v>674.24099999999999</v>
      </c>
      <c r="AE33" s="52">
        <f t="shared" si="7"/>
        <v>3234.0790000000002</v>
      </c>
      <c r="AF33" s="52">
        <f t="shared" si="8"/>
        <v>1472.519</v>
      </c>
      <c r="AG33" s="52">
        <f t="shared" si="9"/>
        <v>1431.922</v>
      </c>
      <c r="AH33" s="52">
        <f t="shared" si="10"/>
        <v>7149.7880000000005</v>
      </c>
      <c r="AI33">
        <v>9.4</v>
      </c>
      <c r="AJ33" s="30">
        <f t="shared" si="11"/>
        <v>67208.007200000007</v>
      </c>
      <c r="AK33">
        <f t="shared" si="12"/>
        <v>67.405200000000008</v>
      </c>
      <c r="AM33" s="20" t="s">
        <v>137</v>
      </c>
      <c r="AN33" t="s">
        <v>304</v>
      </c>
      <c r="AO33" t="s">
        <v>305</v>
      </c>
      <c r="AP33" t="s">
        <v>689</v>
      </c>
      <c r="AQ33" s="55">
        <v>12339.291453555737</v>
      </c>
      <c r="AR33" s="55">
        <v>1.7644</v>
      </c>
      <c r="AS33" t="s">
        <v>137</v>
      </c>
      <c r="AT33" t="s">
        <v>1177</v>
      </c>
      <c r="AU33" t="s">
        <v>1153</v>
      </c>
      <c r="AV33">
        <v>65.105238662291896</v>
      </c>
      <c r="AW33">
        <v>69.236903791050594</v>
      </c>
      <c r="AX33">
        <v>72.725643041072203</v>
      </c>
      <c r="AY33">
        <v>78.00669801782</v>
      </c>
      <c r="AZ33">
        <v>84.561200485528701</v>
      </c>
      <c r="BA33">
        <v>95.003470405949699</v>
      </c>
      <c r="BB33">
        <v>97.6190798145944</v>
      </c>
      <c r="BC33">
        <v>100</v>
      </c>
      <c r="BD33">
        <v>104.21990346601901</v>
      </c>
      <c r="BE33">
        <v>107.299151694355</v>
      </c>
      <c r="BF33">
        <v>108.25421451304101</v>
      </c>
      <c r="BG33">
        <v>106.71903696495799</v>
      </c>
      <c r="BH33">
        <v>106.607118221333</v>
      </c>
      <c r="BJ33" s="20" t="s">
        <v>137</v>
      </c>
      <c r="BK33" t="s">
        <v>689</v>
      </c>
      <c r="BL33">
        <v>2015</v>
      </c>
      <c r="BM33">
        <f>INDEX('Costs lists'!$C$5:$C$8,MATCH(Lists!BK33,'Costs lists'!$B$5:$B$8,0))</f>
        <v>3.2</v>
      </c>
      <c r="BN33">
        <f>INDEX('Costs lists'!$D$5:$D$8,MATCH(Lists!BK33,'Costs lists'!$B$5:$B$8,0))</f>
        <v>1.1200000000000001</v>
      </c>
      <c r="BO33">
        <f>INDEX('Costs lists'!$E$5:$E$8,MATCH(Lists!BK33,'Costs lists'!$B$5:$B$8,0))</f>
        <v>4.4400000000000004</v>
      </c>
      <c r="BW33" s="20" t="s">
        <v>137</v>
      </c>
      <c r="BX33" s="20">
        <v>2008</v>
      </c>
      <c r="BY33" s="52">
        <v>12.130800000000001</v>
      </c>
      <c r="BZ33" s="52">
        <v>14.982000000000001</v>
      </c>
      <c r="CA33" s="52">
        <v>17.074200000000001</v>
      </c>
      <c r="CB33" s="52">
        <v>17.786999999999999</v>
      </c>
      <c r="CC33" s="375">
        <f t="shared" si="34"/>
        <v>12.538350000000001</v>
      </c>
      <c r="CD33" s="375">
        <v>144.9</v>
      </c>
      <c r="CE33" s="375">
        <v>151.16</v>
      </c>
      <c r="CF33" s="375">
        <v>195.46</v>
      </c>
      <c r="CG33" s="375">
        <f t="shared" si="35"/>
        <v>154.37</v>
      </c>
      <c r="CI33" s="20" t="s">
        <v>137</v>
      </c>
      <c r="CJ33" s="20">
        <v>2015</v>
      </c>
      <c r="CK33" s="59">
        <f t="shared" si="15"/>
        <v>13.612446200053304</v>
      </c>
      <c r="CL33" s="59">
        <f t="shared" si="16"/>
        <v>16.811889485375954</v>
      </c>
      <c r="CM33" s="59">
        <f t="shared" si="17"/>
        <v>19.159629118355767</v>
      </c>
      <c r="CN33" s="59">
        <f t="shared" si="18"/>
        <v>19.959489939686424</v>
      </c>
      <c r="CO33" s="59">
        <f t="shared" si="19"/>
        <v>14.069774030767826</v>
      </c>
      <c r="CP33" s="59">
        <f t="shared" si="20"/>
        <v>162.59796999272297</v>
      </c>
      <c r="CQ33" s="59">
        <f t="shared" si="21"/>
        <v>169.62256138095239</v>
      </c>
      <c r="CR33" s="59">
        <f t="shared" si="22"/>
        <v>219.33332791426935</v>
      </c>
      <c r="CS33" s="59">
        <f t="shared" si="23"/>
        <v>173.22462821101894</v>
      </c>
      <c r="CW33" s="20" t="s">
        <v>137</v>
      </c>
      <c r="CX33">
        <v>2011</v>
      </c>
      <c r="CY33">
        <v>7.201308</v>
      </c>
      <c r="CZ33">
        <v>3.5713400840759277</v>
      </c>
      <c r="DA33">
        <v>1644.0589720369114</v>
      </c>
      <c r="DB33">
        <v>120754.734375</v>
      </c>
      <c r="DC33">
        <v>0.53379368782043457</v>
      </c>
      <c r="DE33">
        <f t="shared" si="24"/>
        <v>18048.719378817314</v>
      </c>
      <c r="DH33">
        <f t="shared" si="25"/>
        <v>10.978145970308962</v>
      </c>
      <c r="DI33">
        <f t="shared" si="31"/>
        <v>10.966632932529842</v>
      </c>
      <c r="DJ33">
        <f t="shared" si="32"/>
        <v>22.11329630079878</v>
      </c>
      <c r="DL33" s="20" t="s">
        <v>137</v>
      </c>
      <c r="DM33" s="99" t="s">
        <v>796</v>
      </c>
      <c r="DN33" s="100" t="s">
        <v>754</v>
      </c>
      <c r="DO33" s="101">
        <v>41.2</v>
      </c>
      <c r="DP33" s="101">
        <v>41.1</v>
      </c>
      <c r="DQ33" s="101">
        <v>40.4</v>
      </c>
      <c r="DR33" s="101">
        <v>40.6</v>
      </c>
      <c r="DS33" s="101">
        <v>40.299999999999997</v>
      </c>
      <c r="DT33" s="101">
        <v>40.200000000000003</v>
      </c>
      <c r="DU33" s="101">
        <v>40</v>
      </c>
      <c r="DV33" s="101">
        <v>40.1</v>
      </c>
      <c r="DW33" s="101">
        <v>40.200000000000003</v>
      </c>
      <c r="DX33">
        <f t="shared" ca="1" si="26"/>
        <v>40.200000000000003</v>
      </c>
      <c r="DY33">
        <f t="shared" ca="1" si="27"/>
        <v>8.0400000000000009</v>
      </c>
      <c r="DZ33">
        <f t="shared" ca="1" si="28"/>
        <v>88.17172877753994</v>
      </c>
      <c r="EB33" s="20" t="s">
        <v>137</v>
      </c>
      <c r="EC33" s="99" t="s">
        <v>796</v>
      </c>
      <c r="ED33" s="100" t="s">
        <v>754</v>
      </c>
      <c r="EE33" s="101">
        <v>46.7</v>
      </c>
      <c r="EF33" s="101">
        <v>49</v>
      </c>
      <c r="EG33" s="101">
        <v>50.8</v>
      </c>
      <c r="EH33" s="101">
        <v>49.4</v>
      </c>
      <c r="EI33" s="101">
        <v>47.9</v>
      </c>
      <c r="EJ33" s="101">
        <v>46.6</v>
      </c>
      <c r="EK33" s="101">
        <v>46.6</v>
      </c>
      <c r="EL33" s="101">
        <v>46.9</v>
      </c>
      <c r="EM33" s="101">
        <v>48</v>
      </c>
      <c r="EN33" s="101">
        <v>49.1</v>
      </c>
      <c r="EO33">
        <f t="shared" ca="1" si="33"/>
        <v>49.1</v>
      </c>
      <c r="EQ33" s="20" t="s">
        <v>137</v>
      </c>
      <c r="ER33" s="20">
        <f t="shared" ca="1" si="29"/>
        <v>88.17172877753994</v>
      </c>
      <c r="ES33">
        <f t="shared" ca="1" si="30"/>
        <v>43.292318829772114</v>
      </c>
      <c r="EU33" s="20" t="s">
        <v>137</v>
      </c>
      <c r="EV33" s="109">
        <v>17957.547853657052</v>
      </c>
    </row>
    <row r="34" spans="1:152" x14ac:dyDescent="0.3">
      <c r="A34" s="20" t="s">
        <v>73</v>
      </c>
      <c r="B34" s="20" t="s">
        <v>632</v>
      </c>
      <c r="C34" s="81">
        <v>2015</v>
      </c>
      <c r="D34" s="82">
        <v>3143.9119999999998</v>
      </c>
      <c r="E34" s="82">
        <v>2756.9749999999999</v>
      </c>
      <c r="F34" s="82">
        <v>2350.1950000000002</v>
      </c>
      <c r="G34" s="82">
        <v>1968.6590000000001</v>
      </c>
      <c r="H34" s="82">
        <v>1641.9649999999999</v>
      </c>
      <c r="I34" s="82">
        <v>1367.268</v>
      </c>
      <c r="J34" s="82">
        <v>1147.3820000000001</v>
      </c>
      <c r="K34" s="82">
        <v>926.96500000000003</v>
      </c>
      <c r="L34" s="82">
        <v>723.81899999999996</v>
      </c>
      <c r="M34" s="82">
        <v>582.70699999999999</v>
      </c>
      <c r="N34" s="82">
        <v>453.94900000000001</v>
      </c>
      <c r="O34" s="82">
        <v>349.86799999999999</v>
      </c>
      <c r="P34" s="82">
        <v>258.584</v>
      </c>
      <c r="Q34" s="82">
        <v>189.553</v>
      </c>
      <c r="R34" s="82">
        <v>130.75399999999999</v>
      </c>
      <c r="S34" s="82">
        <v>72.641999999999996</v>
      </c>
      <c r="T34" s="82">
        <v>30.338000000000001</v>
      </c>
      <c r="U34" s="82">
        <v>8.5709999999999997</v>
      </c>
      <c r="V34" s="82">
        <v>1.347</v>
      </c>
      <c r="W34" s="82">
        <v>0.113</v>
      </c>
      <c r="X34" s="82">
        <v>4.0000000000000001E-3</v>
      </c>
      <c r="Y34" s="82">
        <f t="shared" si="1"/>
        <v>18105.57</v>
      </c>
      <c r="Z34" s="52">
        <f t="shared" si="2"/>
        <v>314.39100000000002</v>
      </c>
      <c r="AA34" s="52">
        <f t="shared" si="3"/>
        <v>314.39100000000002</v>
      </c>
      <c r="AB34" s="52">
        <f t="shared" si="4"/>
        <v>628.78200000000004</v>
      </c>
      <c r="AC34" s="52">
        <f t="shared" si="5"/>
        <v>1886.347</v>
      </c>
      <c r="AD34" s="52">
        <f t="shared" si="6"/>
        <v>5107.17</v>
      </c>
      <c r="AE34" s="52">
        <f t="shared" si="7"/>
        <v>8358.7649999999994</v>
      </c>
      <c r="AF34" s="52">
        <f t="shared" si="8"/>
        <v>1062.4010000000001</v>
      </c>
      <c r="AG34" s="52">
        <f t="shared" si="9"/>
        <v>433.322</v>
      </c>
      <c r="AH34" s="52">
        <f t="shared" si="10"/>
        <v>18105.569</v>
      </c>
      <c r="AI34">
        <v>40.024999999999999</v>
      </c>
      <c r="AJ34" s="30">
        <f t="shared" si="11"/>
        <v>724675.39922499994</v>
      </c>
      <c r="AK34">
        <f t="shared" si="12"/>
        <v>628.78239999999994</v>
      </c>
      <c r="AM34" s="20" t="s">
        <v>73</v>
      </c>
      <c r="AN34" t="s">
        <v>290</v>
      </c>
      <c r="AO34" t="s">
        <v>291</v>
      </c>
      <c r="AP34" t="s">
        <v>691</v>
      </c>
      <c r="AQ34" s="55">
        <v>349087.47572746349</v>
      </c>
      <c r="AR34" s="55">
        <v>591.44950750132796</v>
      </c>
      <c r="AS34" t="s">
        <v>73</v>
      </c>
      <c r="AT34" t="s">
        <v>1178</v>
      </c>
      <c r="AU34" t="s">
        <v>1153</v>
      </c>
      <c r="AV34">
        <v>82.013463579659501</v>
      </c>
      <c r="AW34">
        <v>81.685222158814696</v>
      </c>
      <c r="AX34">
        <v>86.925361984444706</v>
      </c>
      <c r="AY34">
        <v>88.953425048950294</v>
      </c>
      <c r="AZ34">
        <v>88.748274160922307</v>
      </c>
      <c r="BA34">
        <v>98.208660825985902</v>
      </c>
      <c r="BB34">
        <v>100.77011619936501</v>
      </c>
      <c r="BC34">
        <v>100</v>
      </c>
      <c r="BD34">
        <v>102.759767248546</v>
      </c>
      <c r="BE34">
        <v>106.683291770574</v>
      </c>
      <c r="BF34">
        <v>107.252701579385</v>
      </c>
      <c r="BG34">
        <v>106.975893599335</v>
      </c>
      <c r="BH34">
        <v>107.997506234414</v>
      </c>
      <c r="BJ34" s="20" t="s">
        <v>73</v>
      </c>
      <c r="BK34" t="s">
        <v>691</v>
      </c>
      <c r="BL34">
        <v>2015</v>
      </c>
      <c r="BM34">
        <f>INDEX('Costs lists'!$C$5:$C$8,MATCH(Lists!BK34,'Costs lists'!$B$5:$B$8,0))</f>
        <v>4.2</v>
      </c>
      <c r="BN34">
        <f>INDEX('Costs lists'!$D$5:$D$8,MATCH(Lists!BK34,'Costs lists'!$B$5:$B$8,0))</f>
        <v>4.2</v>
      </c>
      <c r="BO34">
        <f>INDEX('Costs lists'!$E$5:$E$8,MATCH(Lists!BK34,'Costs lists'!$B$5:$B$8,0))</f>
        <v>4.2</v>
      </c>
      <c r="BW34" s="20" t="s">
        <v>73</v>
      </c>
      <c r="BX34" s="20">
        <v>2008</v>
      </c>
      <c r="BY34" s="52">
        <v>510.24959999999999</v>
      </c>
      <c r="BZ34" s="52">
        <v>629.7127999999999</v>
      </c>
      <c r="CA34" s="52">
        <v>718.80399999999997</v>
      </c>
      <c r="CB34" s="52">
        <v>747.1511999999999</v>
      </c>
      <c r="CC34" s="375">
        <f t="shared" si="34"/>
        <v>527.35915999999997</v>
      </c>
      <c r="CD34" s="375">
        <v>9.3699999999999992</v>
      </c>
      <c r="CE34" s="375">
        <v>9.7799999999999994</v>
      </c>
      <c r="CF34" s="375">
        <v>12.64</v>
      </c>
      <c r="CG34" s="375">
        <f t="shared" si="35"/>
        <v>9.9833333333333325</v>
      </c>
      <c r="CI34" s="20" t="s">
        <v>73</v>
      </c>
      <c r="CJ34" s="20">
        <v>2015</v>
      </c>
      <c r="CK34" s="59">
        <f t="shared" si="15"/>
        <v>561.10819446716607</v>
      </c>
      <c r="CL34" s="59">
        <f t="shared" si="16"/>
        <v>692.47876380670095</v>
      </c>
      <c r="CM34" s="59">
        <f t="shared" si="17"/>
        <v>790.45003585652364</v>
      </c>
      <c r="CN34" s="59">
        <f t="shared" si="18"/>
        <v>821.62271332692171</v>
      </c>
      <c r="CO34" s="59">
        <f t="shared" si="19"/>
        <v>579.92313194037069</v>
      </c>
      <c r="CP34" s="59">
        <f t="shared" si="20"/>
        <v>10.303944936276963</v>
      </c>
      <c r="CQ34" s="59">
        <f t="shared" si="21"/>
        <v>10.754811256861121</v>
      </c>
      <c r="CR34" s="59">
        <f t="shared" si="22"/>
        <v>13.899878761423782</v>
      </c>
      <c r="CS34" s="59">
        <f t="shared" si="23"/>
        <v>10.978411627232125</v>
      </c>
      <c r="CW34" s="20" t="s">
        <v>73</v>
      </c>
      <c r="CX34">
        <v>2011</v>
      </c>
      <c r="CY34">
        <v>17.589198</v>
      </c>
      <c r="CZ34">
        <v>6.3614544868469238</v>
      </c>
      <c r="DB34">
        <v>27056.25</v>
      </c>
      <c r="DC34">
        <v>0.54630976915359497</v>
      </c>
      <c r="DE34">
        <f t="shared" si="24"/>
        <v>2323.5399580746275</v>
      </c>
      <c r="DH34" t="e">
        <f t="shared" si="25"/>
        <v>#DIV/0!</v>
      </c>
      <c r="DI34" t="e">
        <f t="shared" si="31"/>
        <v>#DIV/0!</v>
      </c>
      <c r="DJ34" t="e">
        <f t="shared" si="32"/>
        <v>#DIV/0!</v>
      </c>
      <c r="DL34" s="20" t="s">
        <v>73</v>
      </c>
      <c r="DM34" s="99"/>
      <c r="DN34" s="100"/>
      <c r="DO34" s="101"/>
      <c r="DP34" s="101"/>
      <c r="DQ34" s="101"/>
      <c r="DR34" s="101"/>
      <c r="DS34" s="101"/>
      <c r="DT34" s="101"/>
      <c r="DU34" s="101"/>
      <c r="DV34" s="101"/>
      <c r="DW34" s="101"/>
      <c r="DX34" t="e">
        <f t="shared" ca="1" si="26"/>
        <v>#N/A</v>
      </c>
      <c r="DY34" t="e">
        <f t="shared" ca="1" si="27"/>
        <v>#N/A</v>
      </c>
      <c r="DZ34" t="e">
        <f t="shared" ca="1" si="28"/>
        <v>#N/A</v>
      </c>
      <c r="EB34" s="20" t="s">
        <v>73</v>
      </c>
      <c r="EC34" s="99" t="s">
        <v>803</v>
      </c>
      <c r="ED34" s="100" t="s">
        <v>754</v>
      </c>
      <c r="EE34" s="101">
        <v>71</v>
      </c>
      <c r="EF34" s="101"/>
      <c r="EG34" s="101"/>
      <c r="EH34" s="101"/>
      <c r="EI34" s="101"/>
      <c r="EJ34" s="101"/>
      <c r="EK34" s="101"/>
      <c r="EL34" s="101"/>
      <c r="EM34" s="101"/>
      <c r="EN34" s="101"/>
      <c r="EO34">
        <f t="shared" ca="1" si="33"/>
        <v>71</v>
      </c>
      <c r="EQ34" s="20" t="s">
        <v>73</v>
      </c>
      <c r="ER34" s="20" t="e">
        <f t="shared" ca="1" si="29"/>
        <v>#N/A</v>
      </c>
      <c r="ES34" t="e">
        <f t="shared" ca="1" si="30"/>
        <v>#N/A</v>
      </c>
      <c r="EU34" s="20" t="s">
        <v>73</v>
      </c>
      <c r="EV34" s="109">
        <v>1696.0256014540191</v>
      </c>
    </row>
    <row r="35" spans="1:152" x14ac:dyDescent="0.3">
      <c r="A35" s="20" t="s">
        <v>34</v>
      </c>
      <c r="B35" s="20" t="s">
        <v>632</v>
      </c>
      <c r="C35" s="81">
        <v>2015</v>
      </c>
      <c r="D35" s="82">
        <v>2061.8969999999999</v>
      </c>
      <c r="E35" s="82">
        <v>1651.675</v>
      </c>
      <c r="F35" s="82">
        <v>1294.732</v>
      </c>
      <c r="G35" s="82">
        <v>1108.0329999999999</v>
      </c>
      <c r="H35" s="82">
        <v>1042.5070000000001</v>
      </c>
      <c r="I35" s="82">
        <v>944.029</v>
      </c>
      <c r="J35" s="82">
        <v>753.93799999999999</v>
      </c>
      <c r="K35" s="82">
        <v>547.10299999999995</v>
      </c>
      <c r="L35" s="82">
        <v>396.77699999999999</v>
      </c>
      <c r="M35" s="82">
        <v>348.36399999999998</v>
      </c>
      <c r="N35" s="82">
        <v>300.49</v>
      </c>
      <c r="O35" s="82">
        <v>261.33199999999999</v>
      </c>
      <c r="P35" s="82">
        <v>191.78200000000001</v>
      </c>
      <c r="Q35" s="82">
        <v>112.77800000000001</v>
      </c>
      <c r="R35" s="82">
        <v>76.751000000000005</v>
      </c>
      <c r="S35" s="82">
        <v>48.037999999999997</v>
      </c>
      <c r="T35" s="82">
        <v>25.812999999999999</v>
      </c>
      <c r="U35" s="82">
        <v>10.09</v>
      </c>
      <c r="V35" s="82">
        <v>2.484</v>
      </c>
      <c r="W35" s="82">
        <v>0.28599999999999998</v>
      </c>
      <c r="X35" s="82">
        <v>2.1999999999999999E-2</v>
      </c>
      <c r="Y35" s="82">
        <f t="shared" si="1"/>
        <v>11178.921</v>
      </c>
      <c r="Z35" s="52">
        <f t="shared" si="2"/>
        <v>206.19</v>
      </c>
      <c r="AA35" s="52">
        <f t="shared" si="3"/>
        <v>206.19</v>
      </c>
      <c r="AB35" s="52">
        <f t="shared" si="4"/>
        <v>412.37900000000002</v>
      </c>
      <c r="AC35" s="52">
        <f t="shared" si="5"/>
        <v>1237.1379999999999</v>
      </c>
      <c r="AD35" s="52">
        <f t="shared" si="6"/>
        <v>2946.4070000000002</v>
      </c>
      <c r="AE35" s="52">
        <f t="shared" si="7"/>
        <v>5140.7510000000002</v>
      </c>
      <c r="AF35" s="52">
        <f t="shared" si="8"/>
        <v>753.60400000000004</v>
      </c>
      <c r="AG35" s="52">
        <f t="shared" si="9"/>
        <v>276.262</v>
      </c>
      <c r="AH35" s="52">
        <f t="shared" si="10"/>
        <v>11178.921</v>
      </c>
      <c r="AI35">
        <v>43.866999999999997</v>
      </c>
      <c r="AJ35" s="30">
        <f t="shared" si="11"/>
        <v>490385.72750699997</v>
      </c>
      <c r="AK35">
        <f t="shared" si="12"/>
        <v>412.37939999999998</v>
      </c>
      <c r="AM35" s="20" t="s">
        <v>34</v>
      </c>
      <c r="AN35" t="s">
        <v>306</v>
      </c>
      <c r="AO35" t="s">
        <v>307</v>
      </c>
      <c r="AP35" t="s">
        <v>691</v>
      </c>
      <c r="AQ35" s="55">
        <v>435528.05286504398</v>
      </c>
      <c r="AR35" s="55">
        <v>1571.8983333333299</v>
      </c>
      <c r="AS35" t="s">
        <v>34</v>
      </c>
      <c r="AT35" t="s">
        <v>1179</v>
      </c>
      <c r="AU35" t="s">
        <v>1153</v>
      </c>
      <c r="AV35">
        <v>50.033825308953702</v>
      </c>
      <c r="AW35">
        <v>53.962325275604798</v>
      </c>
      <c r="AX35">
        <v>61.260016579165502</v>
      </c>
      <c r="AY35">
        <v>62.980819620584803</v>
      </c>
      <c r="AZ35">
        <v>68.234700002858403</v>
      </c>
      <c r="BA35">
        <v>84.684281236005404</v>
      </c>
      <c r="BB35">
        <v>93.983859134262602</v>
      </c>
      <c r="BC35">
        <v>100</v>
      </c>
      <c r="BD35">
        <v>109.735019199436</v>
      </c>
      <c r="BE35">
        <v>129.50138636125399</v>
      </c>
      <c r="BF35">
        <v>139.79761984164</v>
      </c>
      <c r="BG35">
        <v>145.920531971304</v>
      </c>
      <c r="BH35">
        <v>154.02525623955501</v>
      </c>
      <c r="BJ35" s="20" t="s">
        <v>34</v>
      </c>
      <c r="BK35" t="s">
        <v>691</v>
      </c>
      <c r="BL35">
        <v>2015</v>
      </c>
      <c r="BM35">
        <f>INDEX('Costs lists'!$C$5:$C$8,MATCH(Lists!BK35,'Costs lists'!$B$5:$B$8,0))</f>
        <v>4.2</v>
      </c>
      <c r="BN35">
        <f>INDEX('Costs lists'!$D$5:$D$8,MATCH(Lists!BK35,'Costs lists'!$B$5:$B$8,0))</f>
        <v>4.2</v>
      </c>
      <c r="BO35">
        <f>INDEX('Costs lists'!$E$5:$E$8,MATCH(Lists!BK35,'Costs lists'!$B$5:$B$8,0))</f>
        <v>4.2</v>
      </c>
      <c r="BW35" s="20" t="s">
        <v>34</v>
      </c>
      <c r="BX35" s="20">
        <v>2008</v>
      </c>
      <c r="BY35" s="52">
        <v>371.35859999999997</v>
      </c>
      <c r="BZ35" s="52">
        <v>456.36840000000001</v>
      </c>
      <c r="CA35" s="52">
        <v>519.00720000000001</v>
      </c>
      <c r="CB35" s="52">
        <v>541.37819999999999</v>
      </c>
      <c r="CC35" s="375">
        <f t="shared" si="34"/>
        <v>383.55079499999999</v>
      </c>
      <c r="CD35" s="375">
        <v>2.0099999999999998</v>
      </c>
      <c r="CE35" s="375">
        <v>2.1</v>
      </c>
      <c r="CF35" s="375">
        <v>2.72</v>
      </c>
      <c r="CG35" s="375">
        <f t="shared" si="35"/>
        <v>2.1433333333333335</v>
      </c>
      <c r="CI35" s="20" t="s">
        <v>34</v>
      </c>
      <c r="CJ35" s="20">
        <v>2015</v>
      </c>
      <c r="CK35" s="59">
        <f t="shared" si="15"/>
        <v>675.433536034349</v>
      </c>
      <c r="CL35" s="59">
        <f t="shared" si="16"/>
        <v>830.05085151209175</v>
      </c>
      <c r="CM35" s="59">
        <f t="shared" si="17"/>
        <v>943.97939975884935</v>
      </c>
      <c r="CN35" s="59">
        <f t="shared" si="18"/>
        <v>984.66816698983428</v>
      </c>
      <c r="CO35" s="59">
        <f t="shared" si="19"/>
        <v>697.6089141752359</v>
      </c>
      <c r="CP35" s="59">
        <f t="shared" si="20"/>
        <v>3.6558232593214255</v>
      </c>
      <c r="CQ35" s="59">
        <f t="shared" si="21"/>
        <v>3.8195168380970124</v>
      </c>
      <c r="CR35" s="59">
        <f t="shared" si="22"/>
        <v>4.9471837141066066</v>
      </c>
      <c r="CS35" s="59">
        <f t="shared" si="23"/>
        <v>3.8983322649148877</v>
      </c>
      <c r="CW35" s="20" t="s">
        <v>34</v>
      </c>
      <c r="CX35">
        <v>2011</v>
      </c>
      <c r="CY35">
        <v>10.81686</v>
      </c>
      <c r="CZ35">
        <v>4.925570011138916</v>
      </c>
      <c r="DB35">
        <v>9081.6396484375</v>
      </c>
      <c r="DC35">
        <v>0.6086430549621582</v>
      </c>
      <c r="DE35">
        <f t="shared" si="24"/>
        <v>1122.2004533871946</v>
      </c>
      <c r="DH35" t="e">
        <f t="shared" si="25"/>
        <v>#DIV/0!</v>
      </c>
      <c r="DI35" t="e">
        <f t="shared" si="31"/>
        <v>#DIV/0!</v>
      </c>
      <c r="DJ35" t="e">
        <f t="shared" si="32"/>
        <v>#DIV/0!</v>
      </c>
      <c r="DL35" s="20" t="s">
        <v>34</v>
      </c>
      <c r="DM35" s="99"/>
      <c r="DN35" s="100"/>
      <c r="DO35" s="101"/>
      <c r="DP35" s="101"/>
      <c r="DQ35" s="101"/>
      <c r="DR35" s="101"/>
      <c r="DS35" s="101"/>
      <c r="DT35" s="101"/>
      <c r="DU35" s="101"/>
      <c r="DV35" s="101"/>
      <c r="DW35" s="101"/>
      <c r="DX35" t="e">
        <f t="shared" ca="1" si="26"/>
        <v>#N/A</v>
      </c>
      <c r="DY35" t="e">
        <f t="shared" ca="1" si="27"/>
        <v>#N/A</v>
      </c>
      <c r="DZ35" t="e">
        <f t="shared" ca="1" si="28"/>
        <v>#N/A</v>
      </c>
      <c r="EB35" s="20" t="s">
        <v>34</v>
      </c>
      <c r="EC35" s="99"/>
      <c r="ED35" s="100"/>
      <c r="EE35" s="101"/>
      <c r="EF35" s="101"/>
      <c r="EG35" s="101"/>
      <c r="EH35" s="101"/>
      <c r="EI35" s="101"/>
      <c r="EJ35" s="101"/>
      <c r="EK35" s="101"/>
      <c r="EL35" s="101"/>
      <c r="EM35" s="101"/>
      <c r="EN35" s="101"/>
      <c r="EQ35" s="20" t="s">
        <v>34</v>
      </c>
      <c r="ER35" s="20" t="e">
        <f t="shared" ca="1" si="29"/>
        <v>#N/A</v>
      </c>
      <c r="ES35" t="e">
        <f t="shared" ca="1" si="30"/>
        <v>#N/A</v>
      </c>
      <c r="EU35" s="20" t="s">
        <v>34</v>
      </c>
      <c r="EV35" s="109">
        <v>727.15078951065868</v>
      </c>
    </row>
    <row r="36" spans="1:152" x14ac:dyDescent="0.3">
      <c r="A36" s="20" t="s">
        <v>74</v>
      </c>
      <c r="B36" s="20" t="s">
        <v>632</v>
      </c>
      <c r="C36" s="81">
        <v>2015</v>
      </c>
      <c r="D36" s="82">
        <v>53.588999999999999</v>
      </c>
      <c r="E36" s="82">
        <v>51.323</v>
      </c>
      <c r="F36" s="82">
        <v>49.42</v>
      </c>
      <c r="G36" s="82">
        <v>54.246000000000002</v>
      </c>
      <c r="H36" s="82">
        <v>57.676000000000002</v>
      </c>
      <c r="I36" s="82">
        <v>53.99</v>
      </c>
      <c r="J36" s="82">
        <v>44.537999999999997</v>
      </c>
      <c r="K36" s="82">
        <v>32.808999999999997</v>
      </c>
      <c r="L36" s="82">
        <v>26.355</v>
      </c>
      <c r="M36" s="82">
        <v>23.99</v>
      </c>
      <c r="N36" s="82">
        <v>22.538</v>
      </c>
      <c r="O36" s="82">
        <v>15.282</v>
      </c>
      <c r="P36" s="82">
        <v>10.903</v>
      </c>
      <c r="Q36" s="82">
        <v>5.1310000000000002</v>
      </c>
      <c r="R36" s="82">
        <v>5.7409999999999997</v>
      </c>
      <c r="S36" s="82">
        <v>6.5890000000000004</v>
      </c>
      <c r="T36" s="82">
        <v>4.3890000000000002</v>
      </c>
      <c r="U36" s="82">
        <v>1.68</v>
      </c>
      <c r="V36" s="82">
        <v>0.26800000000000002</v>
      </c>
      <c r="W36" s="82">
        <v>4.1000000000000002E-2</v>
      </c>
      <c r="X36" s="82">
        <v>4.0000000000000001E-3</v>
      </c>
      <c r="Y36" s="82">
        <f t="shared" si="1"/>
        <v>520.50200000000018</v>
      </c>
      <c r="Z36" s="52">
        <f t="shared" si="2"/>
        <v>5.359</v>
      </c>
      <c r="AA36" s="52">
        <f t="shared" si="3"/>
        <v>5.359</v>
      </c>
      <c r="AB36" s="52">
        <f t="shared" si="4"/>
        <v>10.718</v>
      </c>
      <c r="AC36" s="52">
        <f t="shared" si="5"/>
        <v>32.152999999999999</v>
      </c>
      <c r="AD36" s="52">
        <f t="shared" si="6"/>
        <v>100.74299999999999</v>
      </c>
      <c r="AE36" s="52">
        <f t="shared" si="7"/>
        <v>293.60399999999998</v>
      </c>
      <c r="AF36" s="52">
        <f t="shared" si="8"/>
        <v>48.722999999999999</v>
      </c>
      <c r="AG36" s="52">
        <f t="shared" si="9"/>
        <v>23.843</v>
      </c>
      <c r="AH36" s="52">
        <f t="shared" si="10"/>
        <v>520.50199999999995</v>
      </c>
      <c r="AI36">
        <v>21.388000000000002</v>
      </c>
      <c r="AJ36" s="30">
        <f t="shared" si="11"/>
        <v>11132.496776</v>
      </c>
      <c r="AK36">
        <f t="shared" si="12"/>
        <v>10.7178</v>
      </c>
      <c r="AM36" s="20" t="s">
        <v>74</v>
      </c>
      <c r="AN36" t="s">
        <v>308</v>
      </c>
      <c r="AO36" t="s">
        <v>309</v>
      </c>
      <c r="AP36" t="s">
        <v>688</v>
      </c>
      <c r="AQ36" s="55">
        <v>306249.65459082578</v>
      </c>
      <c r="AR36" s="55">
        <v>99.425933700183606</v>
      </c>
      <c r="AS36" t="s">
        <v>74</v>
      </c>
      <c r="AT36" t="s">
        <v>1180</v>
      </c>
      <c r="AU36" t="s">
        <v>1153</v>
      </c>
      <c r="AV36">
        <v>83.816618989530895</v>
      </c>
      <c r="AW36">
        <v>82.231796150140894</v>
      </c>
      <c r="AX36">
        <v>82.576258247314001</v>
      </c>
      <c r="AY36">
        <v>87.009841029523301</v>
      </c>
      <c r="AZ36">
        <v>90.847842543527904</v>
      </c>
      <c r="BA36">
        <v>97.0098410295234</v>
      </c>
      <c r="BB36">
        <v>97.963663890992294</v>
      </c>
      <c r="BC36">
        <v>100</v>
      </c>
      <c r="BD36">
        <v>104.47388342165</v>
      </c>
      <c r="BE36">
        <v>107.130961392884</v>
      </c>
      <c r="BF36">
        <v>108.750946252839</v>
      </c>
      <c r="BG36">
        <v>108.485995457987</v>
      </c>
      <c r="BH36">
        <v>108.629825889478</v>
      </c>
      <c r="BJ36" s="20" t="s">
        <v>74</v>
      </c>
      <c r="BK36" t="s">
        <v>688</v>
      </c>
      <c r="BL36">
        <v>2015</v>
      </c>
      <c r="BM36">
        <f>INDEX('Costs lists'!$C$5:$C$8,MATCH(Lists!BK36,'Costs lists'!$B$5:$B$8,0))</f>
        <v>5.21</v>
      </c>
      <c r="BN36">
        <f>INDEX('Costs lists'!$D$5:$D$8,MATCH(Lists!BK36,'Costs lists'!$B$5:$B$8,0))</f>
        <v>5.16</v>
      </c>
      <c r="BO36">
        <f>INDEX('Costs lists'!$E$5:$E$8,MATCH(Lists!BK36,'Costs lists'!$B$5:$B$8,0))</f>
        <v>5.26</v>
      </c>
      <c r="BW36" s="20" t="s">
        <v>74</v>
      </c>
      <c r="BX36" s="20">
        <v>2008</v>
      </c>
      <c r="BY36" s="52">
        <v>412.16919999999993</v>
      </c>
      <c r="BZ36" s="52">
        <v>508.84279999999995</v>
      </c>
      <c r="CA36" s="52">
        <v>579.38839999999993</v>
      </c>
      <c r="CB36" s="52">
        <v>604.20999999999992</v>
      </c>
      <c r="CC36" s="375">
        <f t="shared" si="34"/>
        <v>425.98437999999999</v>
      </c>
      <c r="CD36" s="375">
        <v>33.18</v>
      </c>
      <c r="CE36" s="375">
        <v>34.61</v>
      </c>
      <c r="CF36" s="375">
        <v>44.76</v>
      </c>
      <c r="CG36" s="375">
        <f t="shared" si="35"/>
        <v>35.348333333333329</v>
      </c>
      <c r="CI36" s="20" t="s">
        <v>74</v>
      </c>
      <c r="CJ36" s="20">
        <v>2015</v>
      </c>
      <c r="CK36" s="59">
        <f t="shared" si="15"/>
        <v>461.53944752243444</v>
      </c>
      <c r="CL36" s="59">
        <f t="shared" si="16"/>
        <v>569.79275692547776</v>
      </c>
      <c r="CM36" s="59">
        <f t="shared" si="17"/>
        <v>648.78841513850932</v>
      </c>
      <c r="CN36" s="59">
        <f t="shared" si="18"/>
        <v>676.58318376902037</v>
      </c>
      <c r="CO36" s="59">
        <f t="shared" si="19"/>
        <v>477.00943058915323</v>
      </c>
      <c r="CP36" s="59">
        <f t="shared" si="20"/>
        <v>37.154350370659373</v>
      </c>
      <c r="CQ36" s="59">
        <f t="shared" si="21"/>
        <v>38.755637924307443</v>
      </c>
      <c r="CR36" s="59">
        <f t="shared" si="22"/>
        <v>50.12142021069058</v>
      </c>
      <c r="CS36" s="59">
        <f t="shared" si="23"/>
        <v>39.582409936272583</v>
      </c>
      <c r="CW36" s="20" t="s">
        <v>74</v>
      </c>
      <c r="CX36">
        <v>2011</v>
      </c>
      <c r="CY36">
        <v>0.51390599999999997</v>
      </c>
      <c r="CZ36">
        <v>0.21850399672985077</v>
      </c>
      <c r="DB36">
        <v>3289.493408203125</v>
      </c>
      <c r="DE36">
        <f t="shared" si="24"/>
        <v>0</v>
      </c>
      <c r="DH36" t="e">
        <f t="shared" si="25"/>
        <v>#DIV/0!</v>
      </c>
      <c r="DI36" t="e">
        <f t="shared" si="31"/>
        <v>#DIV/0!</v>
      </c>
      <c r="DJ36" t="e">
        <f t="shared" si="32"/>
        <v>#DIV/0!</v>
      </c>
      <c r="DL36" s="20" t="s">
        <v>74</v>
      </c>
      <c r="DM36" s="99"/>
      <c r="DN36" s="100"/>
      <c r="DO36" s="101"/>
      <c r="DP36" s="101"/>
      <c r="DQ36" s="101"/>
      <c r="DR36" s="101"/>
      <c r="DS36" s="101"/>
      <c r="DT36" s="101"/>
      <c r="DU36" s="101"/>
      <c r="DV36" s="101"/>
      <c r="DW36" s="101"/>
      <c r="DX36" t="e">
        <f t="shared" ca="1" si="26"/>
        <v>#N/A</v>
      </c>
      <c r="DY36" t="e">
        <f t="shared" ca="1" si="27"/>
        <v>#N/A</v>
      </c>
      <c r="DZ36" t="e">
        <f t="shared" ca="1" si="28"/>
        <v>#N/A</v>
      </c>
      <c r="EB36" s="20" t="s">
        <v>74</v>
      </c>
      <c r="EC36" s="99" t="s">
        <v>803</v>
      </c>
      <c r="ED36" s="100" t="s">
        <v>754</v>
      </c>
      <c r="EE36" s="101"/>
      <c r="EF36" s="101"/>
      <c r="EG36" s="101"/>
      <c r="EH36" s="101"/>
      <c r="EI36" s="101">
        <v>52.8</v>
      </c>
      <c r="EJ36" s="101"/>
      <c r="EK36" s="101"/>
      <c r="EL36" s="101"/>
      <c r="EM36" s="101"/>
      <c r="EN36" s="101"/>
      <c r="EO36">
        <f ca="1">OFFSET(EE36,0,MATCH(MAX(EE36:EN36)+1,EE36:EN36,1)-1)</f>
        <v>52.8</v>
      </c>
      <c r="EQ36" s="20" t="s">
        <v>74</v>
      </c>
      <c r="ER36" s="20" t="e">
        <f t="shared" ca="1" si="29"/>
        <v>#N/A</v>
      </c>
      <c r="ES36" t="e">
        <f t="shared" ca="1" si="30"/>
        <v>#N/A</v>
      </c>
      <c r="EU36" s="20" t="s">
        <v>74</v>
      </c>
      <c r="EV36" s="109">
        <v>6556.4947113748021</v>
      </c>
    </row>
    <row r="37" spans="1:152" x14ac:dyDescent="0.3">
      <c r="A37" s="20" t="s">
        <v>108</v>
      </c>
      <c r="B37" s="20" t="s">
        <v>634</v>
      </c>
      <c r="C37" s="81">
        <v>2015</v>
      </c>
      <c r="D37" s="82">
        <v>1771.5530000000001</v>
      </c>
      <c r="E37" s="82">
        <v>1660.5419999999999</v>
      </c>
      <c r="F37" s="82">
        <v>1490.876</v>
      </c>
      <c r="G37" s="82">
        <v>1573.2739999999999</v>
      </c>
      <c r="H37" s="82">
        <v>1636.4880000000001</v>
      </c>
      <c r="I37" s="82">
        <v>1281.7550000000001</v>
      </c>
      <c r="J37" s="82">
        <v>1690.2139999999999</v>
      </c>
      <c r="K37" s="82">
        <v>650.55799999999999</v>
      </c>
      <c r="L37" s="82">
        <v>830.12699999999995</v>
      </c>
      <c r="M37" s="82">
        <v>762.81100000000004</v>
      </c>
      <c r="N37" s="82">
        <v>687.43399999999997</v>
      </c>
      <c r="O37" s="82">
        <v>489.52</v>
      </c>
      <c r="P37" s="82">
        <v>411.25799999999998</v>
      </c>
      <c r="Q37" s="82">
        <v>269.99200000000002</v>
      </c>
      <c r="R37" s="82">
        <v>181.726</v>
      </c>
      <c r="S37" s="82">
        <v>111.17</v>
      </c>
      <c r="T37" s="82">
        <v>55.9</v>
      </c>
      <c r="U37" s="82">
        <v>18.25</v>
      </c>
      <c r="V37" s="82">
        <v>3.9590000000000001</v>
      </c>
      <c r="W37" s="82">
        <v>0.46200000000000002</v>
      </c>
      <c r="X37" s="82">
        <v>0.03</v>
      </c>
      <c r="Y37" s="82">
        <f t="shared" si="1"/>
        <v>15577.899000000003</v>
      </c>
      <c r="Z37" s="52">
        <f t="shared" si="2"/>
        <v>177.155</v>
      </c>
      <c r="AA37" s="52">
        <f t="shared" si="3"/>
        <v>177.155</v>
      </c>
      <c r="AB37" s="52">
        <f t="shared" si="4"/>
        <v>354.31099999999998</v>
      </c>
      <c r="AC37" s="52">
        <f t="shared" si="5"/>
        <v>1062.932</v>
      </c>
      <c r="AD37" s="52">
        <f t="shared" si="6"/>
        <v>3151.4180000000001</v>
      </c>
      <c r="AE37" s="52">
        <f t="shared" si="7"/>
        <v>8425.2270000000008</v>
      </c>
      <c r="AF37" s="52">
        <f t="shared" si="8"/>
        <v>1588.212</v>
      </c>
      <c r="AG37" s="52">
        <f t="shared" si="9"/>
        <v>641.48900000000003</v>
      </c>
      <c r="AH37" s="52">
        <f t="shared" si="10"/>
        <v>15577.898999999999</v>
      </c>
      <c r="AI37">
        <v>24.119</v>
      </c>
      <c r="AJ37" s="30">
        <f t="shared" si="11"/>
        <v>375723.34598099999</v>
      </c>
      <c r="AK37">
        <f t="shared" si="12"/>
        <v>354.31060000000002</v>
      </c>
      <c r="AM37" s="20" t="s">
        <v>108</v>
      </c>
      <c r="AN37" t="s">
        <v>310</v>
      </c>
      <c r="AO37" t="s">
        <v>311</v>
      </c>
      <c r="AP37" t="s">
        <v>688</v>
      </c>
      <c r="AQ37" s="55">
        <v>4713260.8550613914</v>
      </c>
      <c r="AR37" s="55">
        <v>4067.75</v>
      </c>
      <c r="AS37" t="s">
        <v>108</v>
      </c>
      <c r="AT37" t="s">
        <v>1181</v>
      </c>
      <c r="AU37" t="s">
        <v>1153</v>
      </c>
      <c r="AV37">
        <v>61.309749698879699</v>
      </c>
      <c r="AW37">
        <v>63.716023512746702</v>
      </c>
      <c r="AX37">
        <v>67.761516363162997</v>
      </c>
      <c r="AY37">
        <v>71.924279618110404</v>
      </c>
      <c r="AZ37">
        <v>77.439716351063197</v>
      </c>
      <c r="BA37">
        <v>96.797460750469497</v>
      </c>
      <c r="BB37">
        <v>96.157331783579593</v>
      </c>
      <c r="BC37">
        <v>100</v>
      </c>
      <c r="BD37">
        <v>105.478587304119</v>
      </c>
      <c r="BE37">
        <v>108.57198380091801</v>
      </c>
      <c r="BF37">
        <v>111.766823169796</v>
      </c>
      <c r="BG37">
        <v>116.075700826637</v>
      </c>
      <c r="BH37">
        <v>117.493298608705</v>
      </c>
      <c r="BJ37" s="20" t="s">
        <v>108</v>
      </c>
      <c r="BK37" t="s">
        <v>688</v>
      </c>
      <c r="BL37">
        <v>2015</v>
      </c>
      <c r="BM37">
        <f>INDEX('Costs lists'!$C$5:$C$8,MATCH(Lists!BK37,'Costs lists'!$B$5:$B$8,0))</f>
        <v>5.21</v>
      </c>
      <c r="BN37">
        <f>INDEX('Costs lists'!$D$5:$D$8,MATCH(Lists!BK37,'Costs lists'!$B$5:$B$8,0))</f>
        <v>5.16</v>
      </c>
      <c r="BO37">
        <f>INDEX('Costs lists'!$E$5:$E$8,MATCH(Lists!BK37,'Costs lists'!$B$5:$B$8,0))</f>
        <v>5.26</v>
      </c>
      <c r="BW37" s="20" t="s">
        <v>108</v>
      </c>
      <c r="BX37" s="20">
        <v>2008</v>
      </c>
      <c r="BY37" s="52">
        <v>5370.1647999999996</v>
      </c>
      <c r="BZ37" s="52">
        <v>6638.94</v>
      </c>
      <c r="CA37" s="52">
        <v>7568.3915999999999</v>
      </c>
      <c r="CB37" s="52">
        <v>7878.2087999999994</v>
      </c>
      <c r="CC37" s="375">
        <f t="shared" si="34"/>
        <v>5551.2603299999992</v>
      </c>
      <c r="CD37" s="375">
        <v>15.57</v>
      </c>
      <c r="CE37" s="375">
        <v>16.25</v>
      </c>
      <c r="CF37" s="375">
        <v>21.01</v>
      </c>
      <c r="CG37" s="375">
        <f t="shared" si="35"/>
        <v>16.589999999999996</v>
      </c>
      <c r="CI37" s="20" t="s">
        <v>108</v>
      </c>
      <c r="CJ37" s="20">
        <v>2015</v>
      </c>
      <c r="CK37" s="59">
        <f t="shared" si="15"/>
        <v>6518.3360341536245</v>
      </c>
      <c r="CL37" s="59">
        <f t="shared" si="16"/>
        <v>8058.3824598053052</v>
      </c>
      <c r="CM37" s="59">
        <f t="shared" si="17"/>
        <v>9186.5560041780482</v>
      </c>
      <c r="CN37" s="59">
        <f t="shared" si="18"/>
        <v>9562.6138523022964</v>
      </c>
      <c r="CO37" s="59">
        <f t="shared" si="19"/>
        <v>6738.1508001405355</v>
      </c>
      <c r="CP37" s="59">
        <f t="shared" si="20"/>
        <v>18.898952980320445</v>
      </c>
      <c r="CQ37" s="59">
        <f t="shared" si="21"/>
        <v>19.724340779075607</v>
      </c>
      <c r="CR37" s="59">
        <f t="shared" si="22"/>
        <v>25.502055370361759</v>
      </c>
      <c r="CS37" s="59">
        <f t="shared" si="23"/>
        <v>20.137034678453187</v>
      </c>
      <c r="CW37" s="20" t="s">
        <v>108</v>
      </c>
      <c r="CX37">
        <v>2011</v>
      </c>
      <c r="CY37">
        <v>15.328135999999999</v>
      </c>
      <c r="CZ37">
        <v>8.9775161743164063</v>
      </c>
      <c r="DA37">
        <v>2510.4057904747669</v>
      </c>
      <c r="DB37">
        <v>45736.1484375</v>
      </c>
      <c r="DE37">
        <f t="shared" si="24"/>
        <v>0</v>
      </c>
      <c r="DH37">
        <f t="shared" si="25"/>
        <v>0</v>
      </c>
      <c r="DI37">
        <f t="shared" si="31"/>
        <v>0</v>
      </c>
      <c r="DJ37">
        <f t="shared" si="32"/>
        <v>0</v>
      </c>
      <c r="DL37" s="20" t="s">
        <v>108</v>
      </c>
      <c r="DM37" s="99" t="s">
        <v>804</v>
      </c>
      <c r="DN37" s="100" t="s">
        <v>848</v>
      </c>
      <c r="DO37" s="101"/>
      <c r="DP37" s="101"/>
      <c r="DQ37" s="101"/>
      <c r="DR37" s="101">
        <v>47</v>
      </c>
      <c r="DS37" s="101"/>
      <c r="DT37" s="101"/>
      <c r="DU37" s="101"/>
      <c r="DV37" s="101"/>
      <c r="DW37" s="101"/>
      <c r="DX37">
        <f t="shared" ca="1" si="26"/>
        <v>47</v>
      </c>
      <c r="DY37">
        <f t="shared" ca="1" si="27"/>
        <v>9.4</v>
      </c>
      <c r="DZ37">
        <f t="shared" ca="1" si="28"/>
        <v>0</v>
      </c>
      <c r="EB37" s="20" t="s">
        <v>108</v>
      </c>
      <c r="EC37" s="99" t="s">
        <v>804</v>
      </c>
      <c r="ED37" s="100" t="s">
        <v>754</v>
      </c>
      <c r="EE37" s="101"/>
      <c r="EF37" s="101">
        <v>82.9</v>
      </c>
      <c r="EG37" s="101">
        <v>81.400000000000006</v>
      </c>
      <c r="EH37" s="101">
        <v>84.2</v>
      </c>
      <c r="EI37" s="101">
        <v>86.7</v>
      </c>
      <c r="EJ37" s="101">
        <v>87.3</v>
      </c>
      <c r="EK37" s="101">
        <v>84.1</v>
      </c>
      <c r="EL37" s="101">
        <v>82.8</v>
      </c>
      <c r="EM37" s="101">
        <v>82.4</v>
      </c>
      <c r="EN37" s="101"/>
      <c r="EO37">
        <f ca="1">OFFSET(EE37,0,MATCH(MAX(EE37:EN37)+1,EE37:EN37,1)-1)</f>
        <v>82.4</v>
      </c>
      <c r="EQ37" s="20" t="s">
        <v>108</v>
      </c>
      <c r="ER37" s="20">
        <f t="shared" ca="1" si="29"/>
        <v>0</v>
      </c>
      <c r="ES37">
        <f t="shared" ca="1" si="30"/>
        <v>0</v>
      </c>
      <c r="EU37" s="20" t="s">
        <v>108</v>
      </c>
      <c r="EV37" s="109">
        <v>3490.4190275970714</v>
      </c>
    </row>
    <row r="38" spans="1:152" x14ac:dyDescent="0.3">
      <c r="A38" s="20" t="s">
        <v>53</v>
      </c>
      <c r="B38" s="20" t="s">
        <v>632</v>
      </c>
      <c r="C38" s="81">
        <v>2015</v>
      </c>
      <c r="D38" s="82">
        <v>3737.9250000000002</v>
      </c>
      <c r="E38" s="82">
        <v>3294.047</v>
      </c>
      <c r="F38" s="82">
        <v>2894.6</v>
      </c>
      <c r="G38" s="82">
        <v>2510.192</v>
      </c>
      <c r="H38" s="82">
        <v>2222.7530000000002</v>
      </c>
      <c r="I38" s="82">
        <v>1930.2650000000001</v>
      </c>
      <c r="J38" s="82">
        <v>1588.46</v>
      </c>
      <c r="K38" s="82">
        <v>1231.9010000000001</v>
      </c>
      <c r="L38" s="82">
        <v>964.32299999999998</v>
      </c>
      <c r="M38" s="82">
        <v>761.17700000000002</v>
      </c>
      <c r="N38" s="82">
        <v>602.726</v>
      </c>
      <c r="O38" s="82">
        <v>475.28699999999998</v>
      </c>
      <c r="P38" s="82">
        <v>382.20600000000002</v>
      </c>
      <c r="Q38" s="82">
        <v>298.28699999999998</v>
      </c>
      <c r="R38" s="82">
        <v>214.32300000000001</v>
      </c>
      <c r="S38" s="82">
        <v>134.624</v>
      </c>
      <c r="T38" s="82">
        <v>68.674000000000007</v>
      </c>
      <c r="U38" s="82">
        <v>25.399000000000001</v>
      </c>
      <c r="V38" s="82">
        <v>6.093</v>
      </c>
      <c r="W38" s="82">
        <v>0.84899999999999998</v>
      </c>
      <c r="X38" s="82">
        <v>6.8000000000000005E-2</v>
      </c>
      <c r="Y38" s="82">
        <f t="shared" si="1"/>
        <v>23344.178999999996</v>
      </c>
      <c r="Z38" s="52">
        <f t="shared" si="2"/>
        <v>373.79300000000001</v>
      </c>
      <c r="AA38" s="52">
        <f t="shared" si="3"/>
        <v>373.79300000000001</v>
      </c>
      <c r="AB38" s="52">
        <f t="shared" si="4"/>
        <v>747.58500000000004</v>
      </c>
      <c r="AC38" s="52">
        <f t="shared" si="5"/>
        <v>2242.7550000000001</v>
      </c>
      <c r="AD38" s="52">
        <f t="shared" si="6"/>
        <v>6188.6469999999999</v>
      </c>
      <c r="AE38" s="52">
        <f t="shared" si="7"/>
        <v>11209.071</v>
      </c>
      <c r="AF38" s="52">
        <f t="shared" si="8"/>
        <v>1460.2190000000001</v>
      </c>
      <c r="AG38" s="52">
        <f t="shared" si="9"/>
        <v>748.31700000000001</v>
      </c>
      <c r="AH38" s="52">
        <f t="shared" si="10"/>
        <v>23344.18</v>
      </c>
      <c r="AI38">
        <v>36.735999999999997</v>
      </c>
      <c r="AJ38" s="30">
        <f t="shared" si="11"/>
        <v>857571.7964799999</v>
      </c>
      <c r="AK38">
        <f t="shared" si="12"/>
        <v>747.58500000000004</v>
      </c>
      <c r="AM38" s="20" t="s">
        <v>53</v>
      </c>
      <c r="AN38" t="s">
        <v>312</v>
      </c>
      <c r="AO38" t="s">
        <v>313</v>
      </c>
      <c r="AP38" t="s">
        <v>688</v>
      </c>
      <c r="AQ38" s="55">
        <v>719948.21492758428</v>
      </c>
      <c r="AR38" s="55">
        <v>591.44950750132796</v>
      </c>
      <c r="AS38" t="s">
        <v>53</v>
      </c>
      <c r="AT38" t="s">
        <v>1182</v>
      </c>
      <c r="AU38" t="s">
        <v>1153</v>
      </c>
      <c r="AV38">
        <v>83.861142146650096</v>
      </c>
      <c r="AW38">
        <v>84.057081508170498</v>
      </c>
      <c r="AX38">
        <v>85.749604048364006</v>
      </c>
      <c r="AY38">
        <v>90.137907057596493</v>
      </c>
      <c r="AZ38">
        <v>90.968439757407197</v>
      </c>
      <c r="BA38">
        <v>95.824158844207503</v>
      </c>
      <c r="BB38">
        <v>98.740680650519394</v>
      </c>
      <c r="BC38">
        <v>100</v>
      </c>
      <c r="BD38">
        <v>102.939699463051</v>
      </c>
      <c r="BE38">
        <v>105.96871041513801</v>
      </c>
      <c r="BF38">
        <v>108.02995577927901</v>
      </c>
      <c r="BG38">
        <v>110.13432343137499</v>
      </c>
      <c r="BH38">
        <v>113.09251238493501</v>
      </c>
      <c r="BJ38" s="20" t="s">
        <v>53</v>
      </c>
      <c r="BK38" t="s">
        <v>688</v>
      </c>
      <c r="BL38">
        <v>2015</v>
      </c>
      <c r="BM38">
        <f>INDEX('Costs lists'!$C$5:$C$8,MATCH(Lists!BK38,'Costs lists'!$B$5:$B$8,0))</f>
        <v>5.21</v>
      </c>
      <c r="BN38">
        <f>INDEX('Costs lists'!$D$5:$D$8,MATCH(Lists!BK38,'Costs lists'!$B$5:$B$8,0))</f>
        <v>5.16</v>
      </c>
      <c r="BO38">
        <f>INDEX('Costs lists'!$E$5:$E$8,MATCH(Lists!BK38,'Costs lists'!$B$5:$B$8,0))</f>
        <v>5.26</v>
      </c>
      <c r="BW38" s="20" t="s">
        <v>53</v>
      </c>
      <c r="BX38" s="20">
        <v>2008</v>
      </c>
      <c r="BY38" s="52">
        <v>937.36799999999994</v>
      </c>
      <c r="BZ38" s="52">
        <v>1156.752</v>
      </c>
      <c r="CA38" s="52">
        <v>1318.797</v>
      </c>
      <c r="CB38" s="52">
        <v>1376.136</v>
      </c>
      <c r="CC38" s="375">
        <f t="shared" si="34"/>
        <v>968.8421249999999</v>
      </c>
      <c r="CD38" s="375">
        <v>16.28</v>
      </c>
      <c r="CE38" s="375">
        <v>16.98</v>
      </c>
      <c r="CF38" s="375">
        <v>21.96</v>
      </c>
      <c r="CG38" s="375">
        <f t="shared" si="35"/>
        <v>17.343333333333334</v>
      </c>
      <c r="CI38" s="20" t="s">
        <v>53</v>
      </c>
      <c r="CJ38" s="20">
        <v>2015</v>
      </c>
      <c r="CK38" s="59">
        <f t="shared" si="15"/>
        <v>1106.2899317654687</v>
      </c>
      <c r="CL38" s="59">
        <f t="shared" si="16"/>
        <v>1365.2088519658976</v>
      </c>
      <c r="CM38" s="59">
        <f t="shared" si="17"/>
        <v>1556.4557816593963</v>
      </c>
      <c r="CN38" s="59">
        <f t="shared" si="18"/>
        <v>1624.1277721663264</v>
      </c>
      <c r="CO38" s="59">
        <f t="shared" si="19"/>
        <v>1143.4359700328598</v>
      </c>
      <c r="CP38" s="59">
        <f t="shared" si="20"/>
        <v>19.213798731279319</v>
      </c>
      <c r="CQ38" s="59">
        <f t="shared" si="21"/>
        <v>20.039944868373638</v>
      </c>
      <c r="CR38" s="59">
        <f t="shared" si="22"/>
        <v>25.917384529416083</v>
      </c>
      <c r="CS38" s="59">
        <f t="shared" si="23"/>
        <v>20.468754053817833</v>
      </c>
      <c r="CW38" s="20" t="s">
        <v>53</v>
      </c>
      <c r="CX38">
        <v>2011</v>
      </c>
      <c r="CY38">
        <v>22.773014</v>
      </c>
      <c r="CZ38">
        <v>9.9354076385498047</v>
      </c>
      <c r="DB38">
        <v>61049.67578125</v>
      </c>
      <c r="DC38">
        <v>0.50266045331954956</v>
      </c>
      <c r="DE38">
        <f t="shared" si="24"/>
        <v>3088.6762596581125</v>
      </c>
      <c r="DH38" t="e">
        <f t="shared" si="25"/>
        <v>#DIV/0!</v>
      </c>
      <c r="DI38" t="e">
        <f t="shared" si="31"/>
        <v>#DIV/0!</v>
      </c>
      <c r="DJ38" t="e">
        <f t="shared" si="32"/>
        <v>#DIV/0!</v>
      </c>
      <c r="DL38" s="20" t="s">
        <v>53</v>
      </c>
      <c r="DM38" s="99"/>
      <c r="DN38" s="100"/>
      <c r="DO38" s="101"/>
      <c r="DP38" s="101"/>
      <c r="DQ38" s="101"/>
      <c r="DR38" s="101"/>
      <c r="DS38" s="101"/>
      <c r="DT38" s="101"/>
      <c r="DU38" s="101"/>
      <c r="DV38" s="101"/>
      <c r="DW38" s="101"/>
      <c r="DX38" t="e">
        <f t="shared" ca="1" si="26"/>
        <v>#N/A</v>
      </c>
      <c r="DY38" t="e">
        <f t="shared" ca="1" si="27"/>
        <v>#N/A</v>
      </c>
      <c r="DZ38" t="e">
        <f t="shared" ca="1" si="28"/>
        <v>#N/A</v>
      </c>
      <c r="EB38" s="20" t="s">
        <v>53</v>
      </c>
      <c r="EC38" s="99" t="s">
        <v>805</v>
      </c>
      <c r="ED38" s="100" t="s">
        <v>754</v>
      </c>
      <c r="EE38" s="101"/>
      <c r="EF38" s="101"/>
      <c r="EG38" s="101"/>
      <c r="EH38" s="101"/>
      <c r="EI38" s="101">
        <v>66.400000000000006</v>
      </c>
      <c r="EJ38" s="101"/>
      <c r="EK38" s="101"/>
      <c r="EL38" s="101"/>
      <c r="EM38" s="101"/>
      <c r="EN38" s="101"/>
      <c r="EO38">
        <f ca="1">OFFSET(EE38,0,MATCH(MAX(EE38:EN38)+1,EE38:EN38,1)-1)</f>
        <v>66.400000000000006</v>
      </c>
      <c r="EQ38" s="20" t="s">
        <v>53</v>
      </c>
      <c r="ER38" s="20" t="e">
        <f t="shared" ca="1" si="29"/>
        <v>#N/A</v>
      </c>
      <c r="ES38" t="e">
        <f t="shared" ca="1" si="30"/>
        <v>#N/A</v>
      </c>
      <c r="EU38" s="20" t="s">
        <v>53</v>
      </c>
      <c r="EV38" s="109">
        <v>3115.2788187025731</v>
      </c>
    </row>
    <row r="39" spans="1:152" x14ac:dyDescent="0.3">
      <c r="A39" s="20" t="s">
        <v>210</v>
      </c>
      <c r="B39" s="20" t="s">
        <v>633</v>
      </c>
      <c r="C39" s="81">
        <v>2015</v>
      </c>
      <c r="D39" s="82">
        <v>1942.489</v>
      </c>
      <c r="E39" s="82">
        <v>1947.3309999999999</v>
      </c>
      <c r="F39" s="82">
        <v>1850.5260000000001</v>
      </c>
      <c r="G39" s="82">
        <v>2115.0700000000002</v>
      </c>
      <c r="H39" s="82">
        <v>2493.2950000000001</v>
      </c>
      <c r="I39" s="82">
        <v>2449.9459999999999</v>
      </c>
      <c r="J39" s="82">
        <v>2525.692</v>
      </c>
      <c r="K39" s="82">
        <v>2385.855</v>
      </c>
      <c r="L39" s="82">
        <v>2343.89</v>
      </c>
      <c r="M39" s="82">
        <v>2422.8240000000001</v>
      </c>
      <c r="N39" s="82">
        <v>2814.1709999999998</v>
      </c>
      <c r="O39" s="82">
        <v>2627.8910000000001</v>
      </c>
      <c r="P39" s="82">
        <v>2221.7600000000002</v>
      </c>
      <c r="Q39" s="82">
        <v>1931.748</v>
      </c>
      <c r="R39" s="82">
        <v>1372.63</v>
      </c>
      <c r="S39" s="82">
        <v>986.51300000000003</v>
      </c>
      <c r="T39" s="82">
        <v>740.11599999999999</v>
      </c>
      <c r="U39" s="82">
        <v>489.637</v>
      </c>
      <c r="V39" s="82">
        <v>217.83600000000001</v>
      </c>
      <c r="W39" s="82">
        <v>52.968000000000004</v>
      </c>
      <c r="X39" s="82">
        <v>7.7389999999999999</v>
      </c>
      <c r="Y39" s="82">
        <f t="shared" si="1"/>
        <v>35939.927000000003</v>
      </c>
      <c r="Z39" s="52">
        <f t="shared" si="2"/>
        <v>194.249</v>
      </c>
      <c r="AA39" s="52">
        <f t="shared" si="3"/>
        <v>194.249</v>
      </c>
      <c r="AB39" s="52">
        <f t="shared" si="4"/>
        <v>388.49799999999999</v>
      </c>
      <c r="AC39" s="52">
        <f t="shared" si="5"/>
        <v>1165.4929999999999</v>
      </c>
      <c r="AD39" s="52">
        <f t="shared" si="6"/>
        <v>3797.857</v>
      </c>
      <c r="AE39" s="52">
        <f t="shared" si="7"/>
        <v>16736.572</v>
      </c>
      <c r="AF39" s="52">
        <f t="shared" si="8"/>
        <v>7663.8220000000001</v>
      </c>
      <c r="AG39" s="52">
        <f t="shared" si="9"/>
        <v>5799.1869999999999</v>
      </c>
      <c r="AH39" s="52">
        <f t="shared" si="10"/>
        <v>35939.926999999996</v>
      </c>
      <c r="AI39">
        <v>10.9</v>
      </c>
      <c r="AJ39" s="30">
        <f t="shared" si="11"/>
        <v>391745.20429999998</v>
      </c>
      <c r="AK39">
        <f t="shared" si="12"/>
        <v>388.49779999999998</v>
      </c>
      <c r="AM39" s="20" t="s">
        <v>210</v>
      </c>
      <c r="AN39" t="s">
        <v>314</v>
      </c>
      <c r="AO39" t="s">
        <v>315</v>
      </c>
      <c r="AP39" t="s">
        <v>690</v>
      </c>
      <c r="AQ39" s="55">
        <v>55405.021282554611</v>
      </c>
      <c r="AR39" s="55">
        <v>1.2790978956229</v>
      </c>
      <c r="AS39" t="s">
        <v>210</v>
      </c>
      <c r="AT39" t="s">
        <v>1183</v>
      </c>
      <c r="AU39" t="s">
        <v>1153</v>
      </c>
      <c r="AV39">
        <v>88.222667429879493</v>
      </c>
      <c r="AW39">
        <v>89.861190612478296</v>
      </c>
      <c r="AX39">
        <v>91.850314825414699</v>
      </c>
      <c r="AY39">
        <v>93.689181453920696</v>
      </c>
      <c r="AZ39">
        <v>95.692615912993404</v>
      </c>
      <c r="BA39">
        <v>97.960789925586397</v>
      </c>
      <c r="BB39">
        <v>98.254149971378993</v>
      </c>
      <c r="BC39">
        <v>100</v>
      </c>
      <c r="BD39">
        <v>102.91213508872301</v>
      </c>
      <c r="BE39">
        <v>104.47195191757299</v>
      </c>
      <c r="BF39">
        <v>105.452203777905</v>
      </c>
      <c r="BG39">
        <v>107.462793360045</v>
      </c>
      <c r="BH39">
        <v>108.672009158558</v>
      </c>
      <c r="BJ39" s="20" t="s">
        <v>210</v>
      </c>
      <c r="BK39" t="s">
        <v>690</v>
      </c>
      <c r="BL39">
        <v>2015</v>
      </c>
      <c r="BM39">
        <f>INDEX('Costs lists'!$C$5:$C$8,MATCH(Lists!BK39,'Costs lists'!$B$5:$B$8,0))</f>
        <v>3.55</v>
      </c>
      <c r="BN39">
        <f>INDEX('Costs lists'!$D$5:$D$8,MATCH(Lists!BK39,'Costs lists'!$B$5:$B$8,0))</f>
        <v>2.91</v>
      </c>
      <c r="BO39">
        <f>INDEX('Costs lists'!$E$5:$E$8,MATCH(Lists!BK39,'Costs lists'!$B$5:$B$8,0))</f>
        <v>7.59</v>
      </c>
      <c r="BW39" s="20" t="s">
        <v>210</v>
      </c>
      <c r="BX39" s="20">
        <v>2008</v>
      </c>
      <c r="BY39" s="52">
        <v>55.9773</v>
      </c>
      <c r="BZ39" s="52">
        <v>69.113699999999994</v>
      </c>
      <c r="CA39" s="52">
        <v>78.769200000000012</v>
      </c>
      <c r="CB39" s="52">
        <v>82.0779</v>
      </c>
      <c r="CC39" s="375">
        <f t="shared" si="34"/>
        <v>57.856432500000004</v>
      </c>
      <c r="CD39" s="375">
        <v>505.37</v>
      </c>
      <c r="CE39" s="375">
        <v>527.22</v>
      </c>
      <c r="CF39" s="375">
        <v>681.72</v>
      </c>
      <c r="CG39" s="375">
        <f t="shared" si="35"/>
        <v>538.40333333333331</v>
      </c>
      <c r="CI39" s="20" t="s">
        <v>210</v>
      </c>
      <c r="CJ39" s="20">
        <v>2015</v>
      </c>
      <c r="CK39" s="59">
        <f t="shared" si="15"/>
        <v>62.097964531444497</v>
      </c>
      <c r="CL39" s="59">
        <f t="shared" si="16"/>
        <v>76.670723511796652</v>
      </c>
      <c r="CM39" s="59">
        <f t="shared" si="17"/>
        <v>87.381974260463764</v>
      </c>
      <c r="CN39" s="59">
        <f t="shared" si="18"/>
        <v>91.052453816376428</v>
      </c>
      <c r="CO39" s="59">
        <f t="shared" si="19"/>
        <v>64.182564955810889</v>
      </c>
      <c r="CP39" s="59">
        <f t="shared" si="20"/>
        <v>560.62811774158638</v>
      </c>
      <c r="CQ39" s="59">
        <f t="shared" si="21"/>
        <v>584.86723833175529</v>
      </c>
      <c r="CR39" s="59">
        <f t="shared" si="22"/>
        <v>756.26056241327001</v>
      </c>
      <c r="CS39" s="59">
        <f t="shared" si="23"/>
        <v>597.27337861856176</v>
      </c>
      <c r="CW39" s="20" t="s">
        <v>210</v>
      </c>
      <c r="CX39">
        <v>2011</v>
      </c>
      <c r="CY39">
        <v>35.587792999999998</v>
      </c>
      <c r="CZ39">
        <v>18.828073501586914</v>
      </c>
      <c r="DA39">
        <v>1687.7841912682491</v>
      </c>
      <c r="DB39">
        <v>1522928.75</v>
      </c>
      <c r="DC39">
        <v>0.61911797523498535</v>
      </c>
      <c r="DE39">
        <f t="shared" si="24"/>
        <v>50078.015897254583</v>
      </c>
      <c r="DH39">
        <f t="shared" si="25"/>
        <v>29.670864412839734</v>
      </c>
      <c r="DI39">
        <f t="shared" si="31"/>
        <v>30.004733251362616</v>
      </c>
      <c r="DJ39">
        <f t="shared" si="32"/>
        <v>56.713302923940176</v>
      </c>
      <c r="DL39" s="20" t="s">
        <v>210</v>
      </c>
      <c r="DM39" s="99" t="s">
        <v>760</v>
      </c>
      <c r="DN39" s="100" t="s">
        <v>847</v>
      </c>
      <c r="DO39" s="101"/>
      <c r="DP39" s="101"/>
      <c r="DQ39" s="101">
        <v>32.799999999999997</v>
      </c>
      <c r="DR39" s="101">
        <v>33.200000000000003</v>
      </c>
      <c r="DS39" s="101">
        <v>33.4</v>
      </c>
      <c r="DT39" s="101">
        <v>33.6</v>
      </c>
      <c r="DU39" s="101">
        <v>33.4</v>
      </c>
      <c r="DV39" s="101">
        <v>32.9</v>
      </c>
      <c r="DW39" s="101"/>
      <c r="DX39">
        <f t="shared" ca="1" si="26"/>
        <v>32.9</v>
      </c>
      <c r="DY39">
        <f t="shared" ca="1" si="27"/>
        <v>6.58</v>
      </c>
      <c r="DZ39">
        <f t="shared" ca="1" si="28"/>
        <v>197.43114479396601</v>
      </c>
      <c r="EB39" s="20" t="s">
        <v>210</v>
      </c>
      <c r="EC39" s="99" t="s">
        <v>760</v>
      </c>
      <c r="ED39" s="100" t="s">
        <v>754</v>
      </c>
      <c r="EE39" s="101">
        <v>62.8</v>
      </c>
      <c r="EF39" s="101">
        <v>63.4</v>
      </c>
      <c r="EG39" s="101">
        <v>63.4</v>
      </c>
      <c r="EH39" s="101">
        <v>61.5</v>
      </c>
      <c r="EI39" s="101">
        <v>61.5</v>
      </c>
      <c r="EJ39" s="101">
        <v>61.7</v>
      </c>
      <c r="EK39" s="101">
        <v>61.6</v>
      </c>
      <c r="EL39" s="101">
        <v>61.8</v>
      </c>
      <c r="EM39" s="101">
        <v>61.4</v>
      </c>
      <c r="EN39" s="101">
        <v>61.3</v>
      </c>
      <c r="EO39">
        <f ca="1">OFFSET(EE39,0,MATCH(MAX(EE39:EN39)+1,EE39:EN39,1)-1)</f>
        <v>61.3</v>
      </c>
      <c r="EQ39" s="20" t="s">
        <v>210</v>
      </c>
      <c r="ER39" s="20">
        <f t="shared" ca="1" si="29"/>
        <v>197.43114479396601</v>
      </c>
      <c r="ES39">
        <f t="shared" ca="1" si="30"/>
        <v>121.02529175870117</v>
      </c>
      <c r="EU39" s="20" t="s">
        <v>210</v>
      </c>
      <c r="EV39" s="109">
        <v>44310.121082509359</v>
      </c>
    </row>
    <row r="40" spans="1:152" x14ac:dyDescent="0.3">
      <c r="A40" s="20" t="s">
        <v>54</v>
      </c>
      <c r="B40" s="20" t="s">
        <v>632</v>
      </c>
      <c r="C40" s="81">
        <v>2015</v>
      </c>
      <c r="D40" s="82">
        <v>708.09500000000003</v>
      </c>
      <c r="E40" s="82">
        <v>620.82100000000003</v>
      </c>
      <c r="F40" s="82">
        <v>584.76900000000001</v>
      </c>
      <c r="G40" s="82">
        <v>535</v>
      </c>
      <c r="H40" s="82">
        <v>471.47699999999998</v>
      </c>
      <c r="I40" s="82">
        <v>422.57900000000001</v>
      </c>
      <c r="J40" s="82">
        <v>352.13799999999998</v>
      </c>
      <c r="K40" s="82">
        <v>274.447</v>
      </c>
      <c r="L40" s="82">
        <v>211.52099999999999</v>
      </c>
      <c r="M40" s="82">
        <v>168.38399999999999</v>
      </c>
      <c r="N40" s="82">
        <v>142.059</v>
      </c>
      <c r="O40" s="82">
        <v>121.79600000000001</v>
      </c>
      <c r="P40" s="82">
        <v>98.26</v>
      </c>
      <c r="Q40" s="82">
        <v>74.590999999999994</v>
      </c>
      <c r="R40" s="82">
        <v>55.000999999999998</v>
      </c>
      <c r="S40" s="82">
        <v>34.387999999999998</v>
      </c>
      <c r="T40" s="82">
        <v>17.178000000000001</v>
      </c>
      <c r="U40" s="82">
        <v>6.173</v>
      </c>
      <c r="V40" s="82">
        <v>1.4</v>
      </c>
      <c r="W40" s="82">
        <v>0.182</v>
      </c>
      <c r="X40" s="82">
        <v>1.4999999999999999E-2</v>
      </c>
      <c r="Y40" s="82">
        <f t="shared" ref="Y40:Y71" si="36">SUM(D40:X40)</f>
        <v>4900.2740000000013</v>
      </c>
      <c r="Z40" s="52">
        <f t="shared" ref="Z40:Z71" si="37">ROUND(D40/10,3)</f>
        <v>70.81</v>
      </c>
      <c r="AA40" s="52">
        <f t="shared" ref="AA40:AA71" si="38">ROUND(D40/10,3)</f>
        <v>70.81</v>
      </c>
      <c r="AB40" s="52">
        <f t="shared" ref="AB40:AB71" si="39">ROUND(D40/5,3)</f>
        <v>141.619</v>
      </c>
      <c r="AC40" s="52">
        <f t="shared" ref="AC40:AC71" si="40">ROUND(D40/5*3,3)</f>
        <v>424.85700000000003</v>
      </c>
      <c r="AD40" s="52">
        <f t="shared" ref="AD40:AD71" si="41">ROUND(E40+F40,3)</f>
        <v>1205.5899999999999</v>
      </c>
      <c r="AE40" s="52">
        <f t="shared" ref="AE40:AE71" si="42">ROUND(SUM(G40:M40),3)</f>
        <v>2435.5459999999998</v>
      </c>
      <c r="AF40" s="52">
        <f t="shared" ref="AF40:AF71" si="43">ROUND(SUM(N40:P40),3)</f>
        <v>362.11500000000001</v>
      </c>
      <c r="AG40" s="52">
        <f t="shared" ref="AG40:AG71" si="44">ROUND(SUM(Q40:X40),3)</f>
        <v>188.928</v>
      </c>
      <c r="AH40" s="52">
        <f t="shared" ref="AH40:AH71" si="45">SUM(Z40:AG40)</f>
        <v>4900.2749999999996</v>
      </c>
      <c r="AI40">
        <v>33.774000000000001</v>
      </c>
      <c r="AJ40" s="30">
        <f t="shared" ref="AJ40:AJ71" si="46">AH40*AI40</f>
        <v>165501.88785</v>
      </c>
      <c r="AK40">
        <f t="shared" ref="AK40:AK71" si="47">D40/5</f>
        <v>141.619</v>
      </c>
      <c r="AM40" s="20" t="s">
        <v>54</v>
      </c>
      <c r="AN40" t="s">
        <v>312</v>
      </c>
      <c r="AO40" t="s">
        <v>313</v>
      </c>
      <c r="AP40" t="s">
        <v>691</v>
      </c>
      <c r="AQ40" s="55">
        <v>191157.46850074097</v>
      </c>
      <c r="AR40" s="55">
        <v>591.44950750132796</v>
      </c>
      <c r="AS40" t="s">
        <v>54</v>
      </c>
      <c r="AT40" t="s">
        <v>1184</v>
      </c>
      <c r="AU40" t="s">
        <v>1153</v>
      </c>
      <c r="AV40">
        <v>80.277088122605406</v>
      </c>
      <c r="AW40">
        <v>78.618237547892704</v>
      </c>
      <c r="AX40">
        <v>80.885210727969394</v>
      </c>
      <c r="AY40">
        <v>86.300689655172405</v>
      </c>
      <c r="AZ40">
        <v>87.101915708812299</v>
      </c>
      <c r="BA40">
        <v>95.178544061302702</v>
      </c>
      <c r="BB40">
        <v>98.528735632183896</v>
      </c>
      <c r="BC40">
        <v>100</v>
      </c>
      <c r="BD40">
        <v>101.30056996854699</v>
      </c>
      <c r="BE40">
        <v>107.147892720307</v>
      </c>
      <c r="BF40">
        <v>108.757088122605</v>
      </c>
      <c r="BG40">
        <v>136.25393678160901</v>
      </c>
      <c r="BH40">
        <v>186.86166666666699</v>
      </c>
      <c r="BJ40" s="20" t="s">
        <v>54</v>
      </c>
      <c r="BK40" t="s">
        <v>691</v>
      </c>
      <c r="BL40">
        <v>2015</v>
      </c>
      <c r="BM40">
        <f>INDEX('Costs lists'!$C$5:$C$8,MATCH(Lists!BK40,'Costs lists'!$B$5:$B$8,0))</f>
        <v>4.2</v>
      </c>
      <c r="BN40">
        <f>INDEX('Costs lists'!$D$5:$D$8,MATCH(Lists!BK40,'Costs lists'!$B$5:$B$8,0))</f>
        <v>4.2</v>
      </c>
      <c r="BO40">
        <f>INDEX('Costs lists'!$E$5:$E$8,MATCH(Lists!BK40,'Costs lists'!$B$5:$B$8,0))</f>
        <v>4.2</v>
      </c>
      <c r="BW40" s="20" t="s">
        <v>54</v>
      </c>
      <c r="BX40" s="20">
        <v>2008</v>
      </c>
      <c r="BY40" s="52">
        <v>406.30799999999994</v>
      </c>
      <c r="BZ40" s="52">
        <v>500.28399999999999</v>
      </c>
      <c r="CA40" s="52">
        <v>572.14799999999991</v>
      </c>
      <c r="CB40" s="52">
        <v>594.25999999999988</v>
      </c>
      <c r="CC40" s="375">
        <f t="shared" si="34"/>
        <v>419.85159999999996</v>
      </c>
      <c r="CD40" s="375">
        <v>4.45</v>
      </c>
      <c r="CE40" s="375">
        <v>4.6500000000000004</v>
      </c>
      <c r="CF40" s="375">
        <v>6.01</v>
      </c>
      <c r="CG40" s="375">
        <f t="shared" si="35"/>
        <v>4.7433333333333332</v>
      </c>
      <c r="CI40" s="20" t="s">
        <v>54</v>
      </c>
      <c r="CJ40" s="20">
        <v>2015</v>
      </c>
      <c r="CK40" s="59">
        <f t="shared" ref="CK40:CK71" si="48">BY40*($BH40/$BA40)</f>
        <v>797.69438384242676</v>
      </c>
      <c r="CL40" s="59">
        <f t="shared" ref="CL40:CL71" si="49">BZ40*($BH40/$BA40)</f>
        <v>982.19512568353241</v>
      </c>
      <c r="CM40" s="59">
        <f t="shared" ref="CM40:CM71" si="50">CA40*($BH40/$BA40)</f>
        <v>1123.283928267907</v>
      </c>
      <c r="CN40" s="59">
        <f t="shared" ref="CN40:CN71" si="51">CB40*($BH40/$BA40)</f>
        <v>1166.6958675246376</v>
      </c>
      <c r="CO40" s="59">
        <f t="shared" ref="CO40:CO71" si="52">CC40*($BH40/$BA40)</f>
        <v>824.28419663717432</v>
      </c>
      <c r="CP40" s="59">
        <f t="shared" ref="CP40:CP71" si="53">CD40*($BH40/$BA40)</f>
        <v>8.736574244412612</v>
      </c>
      <c r="CQ40" s="59">
        <f t="shared" ref="CQ40:CQ71" si="54">CE40*($BH40/$BA40)</f>
        <v>9.1292292666334038</v>
      </c>
      <c r="CR40" s="59">
        <f t="shared" ref="CR40:CR71" si="55">CF40*($BH40/$BA40)</f>
        <v>11.799283417734785</v>
      </c>
      <c r="CS40" s="59">
        <f t="shared" ref="CS40:CS71" si="56">CG40*($BH40/$BA40)</f>
        <v>9.3124682770031058</v>
      </c>
      <c r="CW40" s="20" t="s">
        <v>54</v>
      </c>
      <c r="CX40">
        <v>2011</v>
      </c>
      <c r="CY40">
        <v>4.804316</v>
      </c>
      <c r="CZ40">
        <v>2.0972731113433838</v>
      </c>
      <c r="DB40">
        <v>2875.5947265625</v>
      </c>
      <c r="DC40">
        <v>0.16431578993797302</v>
      </c>
      <c r="DE40">
        <f t="shared" ref="DE40:DE71" si="57">DB40*DC40/CZ40</f>
        <v>225.29522572953255</v>
      </c>
      <c r="DH40" t="e">
        <f t="shared" ref="DH40:DH71" si="58">DE40/DA40</f>
        <v>#DIV/0!</v>
      </c>
      <c r="DI40" t="e">
        <f t="shared" si="31"/>
        <v>#DIV/0!</v>
      </c>
      <c r="DJ40" t="e">
        <f t="shared" si="32"/>
        <v>#DIV/0!</v>
      </c>
      <c r="DL40" s="20" t="s">
        <v>54</v>
      </c>
      <c r="DM40" s="99"/>
      <c r="DN40" s="100"/>
      <c r="DO40" s="101"/>
      <c r="DP40" s="101"/>
      <c r="DQ40" s="101"/>
      <c r="DR40" s="101"/>
      <c r="DS40" s="101"/>
      <c r="DT40" s="101"/>
      <c r="DU40" s="101"/>
      <c r="DV40" s="101"/>
      <c r="DW40" s="101"/>
      <c r="DX40" t="e">
        <f t="shared" ref="DX40:DX71" ca="1" si="59">OFFSET(DO40,0,MATCH(MAX(DO40:DW40)+1,DO40:DW40,1)-1)</f>
        <v>#N/A</v>
      </c>
      <c r="DY40" t="e">
        <f t="shared" ref="DY40:DY71" ca="1" si="60">DX40/5</f>
        <v>#N/A</v>
      </c>
      <c r="DZ40" t="e">
        <f t="shared" ref="DZ40:DZ71" ca="1" si="61">DY40*DI40</f>
        <v>#N/A</v>
      </c>
      <c r="EB40" s="20" t="s">
        <v>54</v>
      </c>
      <c r="EC40" s="99"/>
      <c r="ED40" s="100"/>
      <c r="EE40" s="101"/>
      <c r="EF40" s="101"/>
      <c r="EG40" s="101"/>
      <c r="EH40" s="101"/>
      <c r="EI40" s="101"/>
      <c r="EJ40" s="101"/>
      <c r="EK40" s="101"/>
      <c r="EL40" s="101"/>
      <c r="EM40" s="101"/>
      <c r="EN40" s="101"/>
      <c r="EQ40" s="20" t="s">
        <v>54</v>
      </c>
      <c r="ER40" s="20" t="e">
        <f t="shared" ref="ER40:ER71" ca="1" si="62">DZ40</f>
        <v>#N/A</v>
      </c>
      <c r="ES40" t="e">
        <f t="shared" ref="ES40:ES71" ca="1" si="63">DZ40*EO40/100</f>
        <v>#N/A</v>
      </c>
      <c r="EU40" s="20" t="s">
        <v>54</v>
      </c>
      <c r="EV40" s="109">
        <v>618.75285861289251</v>
      </c>
    </row>
    <row r="41" spans="1:152" x14ac:dyDescent="0.3">
      <c r="A41" s="20" t="s">
        <v>55</v>
      </c>
      <c r="B41" s="20" t="s">
        <v>632</v>
      </c>
      <c r="C41" s="81">
        <v>2015</v>
      </c>
      <c r="D41" s="82">
        <v>2632.3470000000002</v>
      </c>
      <c r="E41" s="82">
        <v>2200.2809999999999</v>
      </c>
      <c r="F41" s="82">
        <v>1866.1010000000001</v>
      </c>
      <c r="G41" s="82">
        <v>1562.2929999999999</v>
      </c>
      <c r="H41" s="82">
        <v>1279.0029999999999</v>
      </c>
      <c r="I41" s="82">
        <v>1025.7059999999999</v>
      </c>
      <c r="J41" s="82">
        <v>817.59799999999996</v>
      </c>
      <c r="K41" s="82">
        <v>641.11800000000005</v>
      </c>
      <c r="L41" s="82">
        <v>496.82400000000001</v>
      </c>
      <c r="M41" s="82">
        <v>384.52</v>
      </c>
      <c r="N41" s="82">
        <v>314.52699999999999</v>
      </c>
      <c r="O41" s="82">
        <v>261.82299999999998</v>
      </c>
      <c r="P41" s="82">
        <v>211.309</v>
      </c>
      <c r="Q41" s="82">
        <v>141.25800000000001</v>
      </c>
      <c r="R41" s="82">
        <v>100.197</v>
      </c>
      <c r="S41" s="82">
        <v>60.606000000000002</v>
      </c>
      <c r="T41" s="82">
        <v>29.196000000000002</v>
      </c>
      <c r="U41" s="82">
        <v>10.16</v>
      </c>
      <c r="V41" s="82">
        <v>2.29</v>
      </c>
      <c r="W41" s="82">
        <v>0.29299999999999998</v>
      </c>
      <c r="X41" s="82">
        <v>2.1999999999999999E-2</v>
      </c>
      <c r="Y41" s="82">
        <f t="shared" si="36"/>
        <v>14037.472000000003</v>
      </c>
      <c r="Z41" s="52">
        <f t="shared" si="37"/>
        <v>263.23500000000001</v>
      </c>
      <c r="AA41" s="52">
        <f t="shared" si="38"/>
        <v>263.23500000000001</v>
      </c>
      <c r="AB41" s="52">
        <f t="shared" si="39"/>
        <v>526.46900000000005</v>
      </c>
      <c r="AC41" s="52">
        <f t="shared" si="40"/>
        <v>1579.4079999999999</v>
      </c>
      <c r="AD41" s="52">
        <f t="shared" si="41"/>
        <v>4066.3820000000001</v>
      </c>
      <c r="AE41" s="52">
        <f t="shared" si="42"/>
        <v>6207.0619999999999</v>
      </c>
      <c r="AF41" s="52">
        <f t="shared" si="43"/>
        <v>787.65899999999999</v>
      </c>
      <c r="AG41" s="52">
        <f t="shared" si="44"/>
        <v>344.02199999999999</v>
      </c>
      <c r="AH41" s="52">
        <f t="shared" si="45"/>
        <v>14037.472</v>
      </c>
      <c r="AI41">
        <v>45.264000000000003</v>
      </c>
      <c r="AJ41" s="30">
        <f t="shared" si="46"/>
        <v>635392.13260800007</v>
      </c>
      <c r="AK41">
        <f t="shared" si="47"/>
        <v>526.46940000000006</v>
      </c>
      <c r="AM41" s="20" t="s">
        <v>55</v>
      </c>
      <c r="AN41" t="s">
        <v>312</v>
      </c>
      <c r="AO41" t="s">
        <v>313</v>
      </c>
      <c r="AP41" t="s">
        <v>691</v>
      </c>
      <c r="AQ41" s="55">
        <v>458784.4734436514</v>
      </c>
      <c r="AR41" s="55">
        <v>591.44950750132796</v>
      </c>
      <c r="AS41" t="s">
        <v>55</v>
      </c>
      <c r="AT41" t="s">
        <v>1185</v>
      </c>
      <c r="AU41" t="s">
        <v>1153</v>
      </c>
      <c r="AV41">
        <v>83.857252497697104</v>
      </c>
      <c r="AW41">
        <v>79.366360955215299</v>
      </c>
      <c r="AX41">
        <v>85.628657057228494</v>
      </c>
      <c r="AY41">
        <v>92.510023387623804</v>
      </c>
      <c r="AZ41">
        <v>84.2074896660977</v>
      </c>
      <c r="BA41">
        <v>92.878314517434504</v>
      </c>
      <c r="BB41">
        <v>102.121957167557</v>
      </c>
      <c r="BC41">
        <v>100</v>
      </c>
      <c r="BD41">
        <v>96.295704295705093</v>
      </c>
      <c r="BE41">
        <v>109.794633937491</v>
      </c>
      <c r="BF41">
        <v>109.95433138290301</v>
      </c>
      <c r="BG41">
        <v>111.80248323105501</v>
      </c>
      <c r="BH41">
        <v>115.905523048381</v>
      </c>
      <c r="BJ41" s="20" t="s">
        <v>55</v>
      </c>
      <c r="BK41" t="s">
        <v>691</v>
      </c>
      <c r="BL41">
        <v>2015</v>
      </c>
      <c r="BM41">
        <f>INDEX('Costs lists'!$C$5:$C$8,MATCH(Lists!BK41,'Costs lists'!$B$5:$B$8,0))</f>
        <v>4.2</v>
      </c>
      <c r="BN41">
        <f>INDEX('Costs lists'!$D$5:$D$8,MATCH(Lists!BK41,'Costs lists'!$B$5:$B$8,0))</f>
        <v>4.2</v>
      </c>
      <c r="BO41">
        <f>INDEX('Costs lists'!$E$5:$E$8,MATCH(Lists!BK41,'Costs lists'!$B$5:$B$8,0))</f>
        <v>4.2</v>
      </c>
      <c r="BW41" s="20" t="s">
        <v>55</v>
      </c>
      <c r="BX41" s="20">
        <v>2008</v>
      </c>
      <c r="BY41" s="52">
        <v>627.86149999999998</v>
      </c>
      <c r="BZ41" s="52">
        <v>773.93539999999996</v>
      </c>
      <c r="CA41" s="52">
        <v>881.5687999999999</v>
      </c>
      <c r="CB41" s="52">
        <v>920.00929999999994</v>
      </c>
      <c r="CC41" s="375">
        <f t="shared" si="34"/>
        <v>648.81157250000001</v>
      </c>
      <c r="CD41" s="375">
        <v>8.99</v>
      </c>
      <c r="CE41" s="375">
        <v>9.3800000000000008</v>
      </c>
      <c r="CF41" s="375">
        <v>12.13</v>
      </c>
      <c r="CG41" s="375">
        <f t="shared" si="35"/>
        <v>9.5783333333333331</v>
      </c>
      <c r="CI41" s="20" t="s">
        <v>55</v>
      </c>
      <c r="CJ41" s="20">
        <v>2015</v>
      </c>
      <c r="CK41" s="59">
        <f t="shared" si="48"/>
        <v>783.52644465550327</v>
      </c>
      <c r="CL41" s="59">
        <f t="shared" si="49"/>
        <v>965.81627055494687</v>
      </c>
      <c r="CM41" s="59">
        <f t="shared" si="50"/>
        <v>1100.1350896387473</v>
      </c>
      <c r="CN41" s="59">
        <f t="shared" si="51"/>
        <v>1148.1060964543904</v>
      </c>
      <c r="CO41" s="59">
        <f t="shared" si="52"/>
        <v>809.67064337002876</v>
      </c>
      <c r="CP41" s="59">
        <f t="shared" si="53"/>
        <v>11.218879860372033</v>
      </c>
      <c r="CQ41" s="59">
        <f t="shared" si="54"/>
        <v>11.705572090132332</v>
      </c>
      <c r="CR41" s="59">
        <f t="shared" si="55"/>
        <v>15.137376274339573</v>
      </c>
      <c r="CS41" s="59">
        <f t="shared" si="56"/>
        <v>11.953077967660004</v>
      </c>
      <c r="CW41" s="20" t="s">
        <v>55</v>
      </c>
      <c r="CX41">
        <v>2011</v>
      </c>
      <c r="CY41">
        <v>13.587052999999999</v>
      </c>
      <c r="CZ41">
        <v>4.7766819000244141</v>
      </c>
      <c r="DB41">
        <v>26697.1875</v>
      </c>
      <c r="DC41">
        <v>0.59574282169342041</v>
      </c>
      <c r="DE41">
        <f t="shared" si="57"/>
        <v>3329.6455877555973</v>
      </c>
      <c r="DH41" t="e">
        <f t="shared" si="58"/>
        <v>#DIV/0!</v>
      </c>
      <c r="DI41" t="e">
        <f t="shared" si="31"/>
        <v>#DIV/0!</v>
      </c>
      <c r="DJ41" t="e">
        <f t="shared" si="32"/>
        <v>#DIV/0!</v>
      </c>
      <c r="DL41" s="20" t="s">
        <v>55</v>
      </c>
      <c r="DM41" s="99"/>
      <c r="DN41" s="100"/>
      <c r="DO41" s="101"/>
      <c r="DP41" s="101"/>
      <c r="DQ41" s="101"/>
      <c r="DR41" s="101"/>
      <c r="DS41" s="101"/>
      <c r="DT41" s="101"/>
      <c r="DU41" s="101"/>
      <c r="DV41" s="101"/>
      <c r="DW41" s="101"/>
      <c r="DX41" t="e">
        <f t="shared" ca="1" si="59"/>
        <v>#N/A</v>
      </c>
      <c r="DY41" t="e">
        <f t="shared" ca="1" si="60"/>
        <v>#N/A</v>
      </c>
      <c r="DZ41" t="e">
        <f t="shared" ca="1" si="61"/>
        <v>#N/A</v>
      </c>
      <c r="EB41" s="20" t="s">
        <v>55</v>
      </c>
      <c r="EC41" s="99"/>
      <c r="ED41" s="100"/>
      <c r="EE41" s="101"/>
      <c r="EF41" s="101"/>
      <c r="EG41" s="101"/>
      <c r="EH41" s="101"/>
      <c r="EI41" s="101"/>
      <c r="EJ41" s="101"/>
      <c r="EK41" s="101"/>
      <c r="EL41" s="101"/>
      <c r="EM41" s="101"/>
      <c r="EN41" s="101"/>
      <c r="EQ41" s="20" t="s">
        <v>55</v>
      </c>
      <c r="ER41" s="20" t="e">
        <f t="shared" ca="1" si="62"/>
        <v>#N/A</v>
      </c>
      <c r="ES41" t="e">
        <f t="shared" ca="1" si="63"/>
        <v>#N/A</v>
      </c>
      <c r="EU41" s="20" t="s">
        <v>55</v>
      </c>
      <c r="EV41" s="109">
        <v>2175.8219472355536</v>
      </c>
    </row>
    <row r="42" spans="1:152" x14ac:dyDescent="0.3">
      <c r="A42" s="20" t="s">
        <v>201</v>
      </c>
      <c r="B42" s="20" t="s">
        <v>633</v>
      </c>
      <c r="C42" s="81">
        <v>2015</v>
      </c>
      <c r="D42" s="82">
        <v>1170.4110000000001</v>
      </c>
      <c r="E42" s="82">
        <v>1199.567</v>
      </c>
      <c r="F42" s="82">
        <v>1246.0219999999999</v>
      </c>
      <c r="G42" s="82">
        <v>1321.6880000000001</v>
      </c>
      <c r="H42" s="82">
        <v>1414.818</v>
      </c>
      <c r="I42" s="82">
        <v>1450.979</v>
      </c>
      <c r="J42" s="82">
        <v>1327.883</v>
      </c>
      <c r="K42" s="82">
        <v>1252.7719999999999</v>
      </c>
      <c r="L42" s="82">
        <v>1262.056</v>
      </c>
      <c r="M42" s="82">
        <v>1286.866</v>
      </c>
      <c r="N42" s="82">
        <v>1176.566</v>
      </c>
      <c r="O42" s="82">
        <v>1020.8049999999999</v>
      </c>
      <c r="P42" s="82">
        <v>842.87199999999996</v>
      </c>
      <c r="Q42" s="82">
        <v>639.95500000000004</v>
      </c>
      <c r="R42" s="82">
        <v>497.154</v>
      </c>
      <c r="S42" s="82">
        <v>345.93400000000003</v>
      </c>
      <c r="T42" s="82">
        <v>243.21100000000001</v>
      </c>
      <c r="U42" s="82">
        <v>149.48599999999999</v>
      </c>
      <c r="V42" s="82">
        <v>69.394999999999996</v>
      </c>
      <c r="W42" s="82">
        <v>24.114999999999998</v>
      </c>
      <c r="X42" s="82">
        <v>5.5860000000000003</v>
      </c>
      <c r="Y42" s="82">
        <f t="shared" si="36"/>
        <v>17948.141000000003</v>
      </c>
      <c r="Z42" s="52">
        <f t="shared" si="37"/>
        <v>117.041</v>
      </c>
      <c r="AA42" s="52">
        <f t="shared" si="38"/>
        <v>117.041</v>
      </c>
      <c r="AB42" s="52">
        <f t="shared" si="39"/>
        <v>234.08199999999999</v>
      </c>
      <c r="AC42" s="52">
        <f t="shared" si="40"/>
        <v>702.24699999999996</v>
      </c>
      <c r="AD42" s="52">
        <f t="shared" si="41"/>
        <v>2445.5889999999999</v>
      </c>
      <c r="AE42" s="52">
        <f t="shared" si="42"/>
        <v>9317.0619999999999</v>
      </c>
      <c r="AF42" s="52">
        <f t="shared" si="43"/>
        <v>3040.2429999999999</v>
      </c>
      <c r="AG42" s="52">
        <f t="shared" si="44"/>
        <v>1974.836</v>
      </c>
      <c r="AH42" s="52">
        <f t="shared" si="45"/>
        <v>17948.141</v>
      </c>
      <c r="AI42">
        <v>13.212999999999999</v>
      </c>
      <c r="AJ42" s="30">
        <f t="shared" si="46"/>
        <v>237148.78703299997</v>
      </c>
      <c r="AK42">
        <f t="shared" si="47"/>
        <v>234.0822</v>
      </c>
      <c r="AM42" s="20" t="s">
        <v>201</v>
      </c>
      <c r="AN42" t="s">
        <v>316</v>
      </c>
      <c r="AO42" t="s">
        <v>317</v>
      </c>
      <c r="AP42" t="s">
        <v>690</v>
      </c>
      <c r="AQ42" s="55">
        <v>8775879.3996659592</v>
      </c>
      <c r="AR42" s="55">
        <v>654.12408425419596</v>
      </c>
      <c r="AS42" t="s">
        <v>201</v>
      </c>
      <c r="AT42" t="s">
        <v>1186</v>
      </c>
      <c r="AU42" t="s">
        <v>1153</v>
      </c>
      <c r="BB42">
        <v>98.609638851226407</v>
      </c>
      <c r="BC42">
        <v>100</v>
      </c>
      <c r="BD42">
        <v>103.340318008135</v>
      </c>
      <c r="BE42">
        <v>106.447265705246</v>
      </c>
      <c r="BF42">
        <v>108.35449278935</v>
      </c>
      <c r="BG42">
        <v>113.116672747442</v>
      </c>
      <c r="BH42">
        <v>118.035966720079</v>
      </c>
      <c r="BJ42" s="20" t="s">
        <v>201</v>
      </c>
      <c r="BK42" t="s">
        <v>690</v>
      </c>
      <c r="BL42">
        <v>2015</v>
      </c>
      <c r="BM42">
        <f>INDEX('Costs lists'!$C$5:$C$8,MATCH(Lists!BK42,'Costs lists'!$B$5:$B$8,0))</f>
        <v>3.55</v>
      </c>
      <c r="BN42">
        <f>INDEX('Costs lists'!$D$5:$D$8,MATCH(Lists!BK42,'Costs lists'!$B$5:$B$8,0))</f>
        <v>2.91</v>
      </c>
      <c r="BO42">
        <f>INDEX('Costs lists'!$E$5:$E$8,MATCH(Lists!BK42,'Costs lists'!$B$5:$B$8,0))</f>
        <v>7.59</v>
      </c>
      <c r="BW42" s="20" t="s">
        <v>201</v>
      </c>
      <c r="BX42" s="20">
        <v>2008</v>
      </c>
      <c r="BY42" s="52">
        <v>7032.9879000000001</v>
      </c>
      <c r="BZ42" s="52">
        <v>8686.0874999999996</v>
      </c>
      <c r="CA42" s="52">
        <v>9900.3111000000008</v>
      </c>
      <c r="CB42" s="52">
        <v>10313.586000000001</v>
      </c>
      <c r="CC42" s="375">
        <f t="shared" si="34"/>
        <v>7269.3409124999998</v>
      </c>
      <c r="CD42" s="375">
        <v>154.25</v>
      </c>
      <c r="CE42" s="375">
        <v>160.91999999999999</v>
      </c>
      <c r="CF42" s="375">
        <v>208.07</v>
      </c>
      <c r="CG42" s="375">
        <f t="shared" si="35"/>
        <v>164.33166666666665</v>
      </c>
      <c r="CI42" s="20" t="s">
        <v>201</v>
      </c>
      <c r="CJ42" s="20">
        <v>2015</v>
      </c>
      <c r="CK42" s="59" t="e">
        <f t="shared" si="48"/>
        <v>#DIV/0!</v>
      </c>
      <c r="CL42" s="59" t="e">
        <f t="shared" si="49"/>
        <v>#DIV/0!</v>
      </c>
      <c r="CM42" s="59" t="e">
        <f t="shared" si="50"/>
        <v>#DIV/0!</v>
      </c>
      <c r="CN42" s="59" t="e">
        <f t="shared" si="51"/>
        <v>#DIV/0!</v>
      </c>
      <c r="CO42" s="59" t="e">
        <f t="shared" si="52"/>
        <v>#DIV/0!</v>
      </c>
      <c r="CP42" s="59" t="e">
        <f t="shared" si="53"/>
        <v>#DIV/0!</v>
      </c>
      <c r="CQ42" s="59" t="e">
        <f t="shared" si="54"/>
        <v>#DIV/0!</v>
      </c>
      <c r="CR42" s="59" t="e">
        <f t="shared" si="55"/>
        <v>#DIV/0!</v>
      </c>
      <c r="CS42" s="59" t="e">
        <f t="shared" si="56"/>
        <v>#DIV/0!</v>
      </c>
      <c r="CW42" s="20" t="s">
        <v>201</v>
      </c>
      <c r="CX42">
        <v>2011</v>
      </c>
      <c r="CY42">
        <v>17.762646999999998</v>
      </c>
      <c r="CZ42">
        <v>7.7930412292480469</v>
      </c>
      <c r="DA42">
        <v>1990</v>
      </c>
      <c r="DB42">
        <v>375241.125</v>
      </c>
      <c r="DC42">
        <v>0.44779911637306213</v>
      </c>
      <c r="DE42">
        <f t="shared" si="57"/>
        <v>21561.883128654674</v>
      </c>
      <c r="DH42">
        <f t="shared" si="58"/>
        <v>10.835117150077725</v>
      </c>
      <c r="DI42">
        <f t="shared" si="31"/>
        <v>11.306322014883108</v>
      </c>
      <c r="DJ42">
        <f t="shared" si="32"/>
        <v>25.770453525250439</v>
      </c>
      <c r="DL42" s="20" t="s">
        <v>201</v>
      </c>
      <c r="DM42" s="99" t="s">
        <v>806</v>
      </c>
      <c r="DN42" s="100" t="s">
        <v>849</v>
      </c>
      <c r="DO42" s="101"/>
      <c r="DP42" s="101"/>
      <c r="DQ42" s="101"/>
      <c r="DR42" s="101">
        <v>40</v>
      </c>
      <c r="DS42" s="101">
        <v>40</v>
      </c>
      <c r="DT42" s="101">
        <v>40</v>
      </c>
      <c r="DU42" s="101">
        <v>40</v>
      </c>
      <c r="DV42" s="101">
        <v>39.4</v>
      </c>
      <c r="DW42" s="101">
        <v>38.9</v>
      </c>
      <c r="DX42">
        <f t="shared" ca="1" si="59"/>
        <v>38.9</v>
      </c>
      <c r="DY42">
        <f t="shared" ca="1" si="60"/>
        <v>7.7799999999999994</v>
      </c>
      <c r="DZ42">
        <f t="shared" ca="1" si="61"/>
        <v>87.963185275790565</v>
      </c>
      <c r="EB42" s="20" t="s">
        <v>201</v>
      </c>
      <c r="EC42" s="99" t="s">
        <v>806</v>
      </c>
      <c r="ED42" s="100" t="s">
        <v>754</v>
      </c>
      <c r="EE42" s="101">
        <v>51.3</v>
      </c>
      <c r="EF42" s="101">
        <v>50.7</v>
      </c>
      <c r="EG42" s="101">
        <v>51.4</v>
      </c>
      <c r="EH42" s="101">
        <v>51</v>
      </c>
      <c r="EI42" s="101">
        <v>55.1</v>
      </c>
      <c r="EJ42" s="101">
        <v>55.8</v>
      </c>
      <c r="EK42" s="101">
        <v>55.9</v>
      </c>
      <c r="EL42" s="101">
        <v>56.5</v>
      </c>
      <c r="EM42" s="101">
        <v>56.4</v>
      </c>
      <c r="EN42" s="101">
        <v>51.8</v>
      </c>
      <c r="EO42">
        <f ca="1">OFFSET(EE42,0,MATCH(MAX(EE42:EN42)+1,EE42:EN42,1)-1)</f>
        <v>51.8</v>
      </c>
      <c r="EQ42" s="20" t="s">
        <v>201</v>
      </c>
      <c r="ER42" s="20">
        <f t="shared" ca="1" si="62"/>
        <v>87.963185275790565</v>
      </c>
      <c r="ES42">
        <f t="shared" ca="1" si="63"/>
        <v>45.56492997285951</v>
      </c>
      <c r="EU42" s="20" t="s">
        <v>201</v>
      </c>
      <c r="EV42" s="109">
        <v>22370.153322274215</v>
      </c>
    </row>
    <row r="43" spans="1:152" x14ac:dyDescent="0.3">
      <c r="A43" s="20" t="s">
        <v>88</v>
      </c>
      <c r="B43" s="20" t="s">
        <v>634</v>
      </c>
      <c r="C43" s="81">
        <v>2015</v>
      </c>
      <c r="D43" s="82">
        <v>83185.944000000003</v>
      </c>
      <c r="E43" s="82">
        <v>78637.403999999995</v>
      </c>
      <c r="F43" s="82">
        <v>75291.907999999996</v>
      </c>
      <c r="G43" s="82">
        <v>78930.129000000001</v>
      </c>
      <c r="H43" s="82">
        <v>106138.61199999999</v>
      </c>
      <c r="I43" s="82">
        <v>129085.568</v>
      </c>
      <c r="J43" s="82">
        <v>99374.546000000002</v>
      </c>
      <c r="K43" s="82">
        <v>95219.097999999998</v>
      </c>
      <c r="L43" s="82">
        <v>119092.005</v>
      </c>
      <c r="M43" s="82">
        <v>123525.40399999999</v>
      </c>
      <c r="N43" s="82">
        <v>99395.399000000005</v>
      </c>
      <c r="O43" s="82">
        <v>78933.376999999993</v>
      </c>
      <c r="P43" s="82">
        <v>77810.271999999997</v>
      </c>
      <c r="Q43" s="82">
        <v>51161.150999999998</v>
      </c>
      <c r="R43" s="82">
        <v>33752.396000000001</v>
      </c>
      <c r="S43" s="82">
        <v>24156.347000000002</v>
      </c>
      <c r="T43" s="82">
        <v>14259.709000000001</v>
      </c>
      <c r="U43" s="82">
        <v>5938.9350000000004</v>
      </c>
      <c r="V43" s="82">
        <v>1742.2360000000001</v>
      </c>
      <c r="W43" s="82">
        <v>370.846</v>
      </c>
      <c r="X43" s="82">
        <v>47.656999999999996</v>
      </c>
      <c r="Y43" s="82">
        <f t="shared" si="36"/>
        <v>1376048.9430000002</v>
      </c>
      <c r="Z43" s="52">
        <f t="shared" si="37"/>
        <v>8318.5939999999991</v>
      </c>
      <c r="AA43" s="52">
        <f t="shared" si="38"/>
        <v>8318.5939999999991</v>
      </c>
      <c r="AB43" s="52">
        <f t="shared" si="39"/>
        <v>16637.188999999998</v>
      </c>
      <c r="AC43" s="52">
        <f t="shared" si="40"/>
        <v>49911.565999999999</v>
      </c>
      <c r="AD43" s="52">
        <f t="shared" si="41"/>
        <v>153929.31200000001</v>
      </c>
      <c r="AE43" s="52">
        <f t="shared" si="42"/>
        <v>751365.36199999996</v>
      </c>
      <c r="AF43" s="52">
        <f t="shared" si="43"/>
        <v>256139.04800000001</v>
      </c>
      <c r="AG43" s="52">
        <f t="shared" si="44"/>
        <v>131429.277</v>
      </c>
      <c r="AH43" s="52">
        <f t="shared" si="45"/>
        <v>1376048.942</v>
      </c>
      <c r="AI43">
        <v>12.4</v>
      </c>
      <c r="AJ43" s="30">
        <f t="shared" si="46"/>
        <v>17063006.880800001</v>
      </c>
      <c r="AK43">
        <f t="shared" si="47"/>
        <v>16637.1888</v>
      </c>
      <c r="AM43" s="20" t="s">
        <v>88</v>
      </c>
      <c r="AN43" t="s">
        <v>318</v>
      </c>
      <c r="AO43" t="s">
        <v>319</v>
      </c>
      <c r="AP43" t="s">
        <v>689</v>
      </c>
      <c r="AQ43" s="55">
        <v>50251.017342220795</v>
      </c>
      <c r="AR43" s="55">
        <v>6.22748867298455</v>
      </c>
      <c r="AS43" t="s">
        <v>88</v>
      </c>
      <c r="AT43" t="s">
        <v>1187</v>
      </c>
      <c r="AU43" t="s">
        <v>1153</v>
      </c>
      <c r="BC43">
        <v>100</v>
      </c>
      <c r="BD43">
        <v>91.75</v>
      </c>
      <c r="BE43">
        <v>94.174999999999997</v>
      </c>
      <c r="BF43">
        <v>96.65</v>
      </c>
      <c r="BG43">
        <v>98.5833333333333</v>
      </c>
      <c r="BH43">
        <v>100</v>
      </c>
      <c r="BJ43" s="20" t="s">
        <v>88</v>
      </c>
      <c r="BK43" t="s">
        <v>689</v>
      </c>
      <c r="BL43">
        <v>2015</v>
      </c>
      <c r="BM43">
        <f>INDEX('Costs lists'!$C$5:$C$8,MATCH(Lists!BK43,'Costs lists'!$B$5:$B$8,0))</f>
        <v>3.2</v>
      </c>
      <c r="BN43">
        <f>INDEX('Costs lists'!$D$5:$D$8,MATCH(Lists!BK43,'Costs lists'!$B$5:$B$8,0))</f>
        <v>1.1200000000000001</v>
      </c>
      <c r="BO43">
        <f>INDEX('Costs lists'!$E$5:$E$8,MATCH(Lists!BK43,'Costs lists'!$B$5:$B$8,0))</f>
        <v>4.4400000000000004</v>
      </c>
      <c r="BW43" s="20" t="s">
        <v>88</v>
      </c>
      <c r="BX43" s="20">
        <v>2008</v>
      </c>
      <c r="BY43" s="52">
        <v>34.9679</v>
      </c>
      <c r="BZ43" s="52">
        <v>43.164099999999998</v>
      </c>
      <c r="CA43" s="52">
        <v>49.177199999999999</v>
      </c>
      <c r="CB43" s="52">
        <v>51.245400000000004</v>
      </c>
      <c r="CC43" s="375">
        <f t="shared" si="34"/>
        <v>36.139879999999998</v>
      </c>
      <c r="CD43" s="375">
        <v>55.22</v>
      </c>
      <c r="CE43" s="375">
        <v>57.61</v>
      </c>
      <c r="CF43" s="375">
        <v>74.489999999999995</v>
      </c>
      <c r="CG43" s="375">
        <f t="shared" si="35"/>
        <v>58.83</v>
      </c>
      <c r="CI43" s="20" t="s">
        <v>88</v>
      </c>
      <c r="CJ43" s="20">
        <v>2015</v>
      </c>
      <c r="CK43" s="59" t="e">
        <f t="shared" si="48"/>
        <v>#DIV/0!</v>
      </c>
      <c r="CL43" s="59" t="e">
        <f t="shared" si="49"/>
        <v>#DIV/0!</v>
      </c>
      <c r="CM43" s="59" t="e">
        <f t="shared" si="50"/>
        <v>#DIV/0!</v>
      </c>
      <c r="CN43" s="59" t="e">
        <f t="shared" si="51"/>
        <v>#DIV/0!</v>
      </c>
      <c r="CO43" s="59" t="e">
        <f t="shared" si="52"/>
        <v>#DIV/0!</v>
      </c>
      <c r="CP43" s="59" t="e">
        <f t="shared" si="53"/>
        <v>#DIV/0!</v>
      </c>
      <c r="CQ43" s="59" t="e">
        <f t="shared" si="54"/>
        <v>#DIV/0!</v>
      </c>
      <c r="CR43" s="59" t="e">
        <f t="shared" si="55"/>
        <v>#DIV/0!</v>
      </c>
      <c r="CS43" s="59" t="e">
        <f t="shared" si="56"/>
        <v>#DIV/0!</v>
      </c>
      <c r="CW43" s="20" t="s">
        <v>88</v>
      </c>
      <c r="CX43">
        <v>2011</v>
      </c>
      <c r="CY43">
        <v>1369.4356699999998</v>
      </c>
      <c r="CZ43">
        <v>798.3677978515625</v>
      </c>
      <c r="DB43">
        <v>16810260</v>
      </c>
      <c r="DC43">
        <v>0.56723862886428833</v>
      </c>
      <c r="DE43">
        <f t="shared" si="57"/>
        <v>11943.654113946463</v>
      </c>
      <c r="DH43" t="e">
        <f t="shared" si="58"/>
        <v>#DIV/0!</v>
      </c>
      <c r="DI43" t="e">
        <f t="shared" si="31"/>
        <v>#DIV/0!</v>
      </c>
      <c r="DJ43" t="e">
        <f t="shared" si="32"/>
        <v>#DIV/0!</v>
      </c>
      <c r="DL43" s="20" t="s">
        <v>88</v>
      </c>
      <c r="DM43" s="99" t="s">
        <v>784</v>
      </c>
      <c r="DN43" s="100" t="s">
        <v>850</v>
      </c>
      <c r="DO43" s="101">
        <v>45.5</v>
      </c>
      <c r="DP43" s="101">
        <v>44.6</v>
      </c>
      <c r="DQ43" s="101">
        <v>44.7</v>
      </c>
      <c r="DR43" s="101">
        <v>47</v>
      </c>
      <c r="DS43" s="101">
        <v>46.2</v>
      </c>
      <c r="DT43" s="101"/>
      <c r="DU43" s="101"/>
      <c r="DV43" s="101"/>
      <c r="DW43" s="101"/>
      <c r="DX43">
        <f t="shared" ca="1" si="59"/>
        <v>46.2</v>
      </c>
      <c r="DY43">
        <f t="shared" ca="1" si="60"/>
        <v>9.24</v>
      </c>
      <c r="DZ43" t="e">
        <f t="shared" ca="1" si="61"/>
        <v>#DIV/0!</v>
      </c>
      <c r="EB43" s="20" t="s">
        <v>88</v>
      </c>
      <c r="EC43" s="99" t="s">
        <v>784</v>
      </c>
      <c r="ED43" s="100" t="s">
        <v>754</v>
      </c>
      <c r="EE43" s="101">
        <v>72.400000000000006</v>
      </c>
      <c r="EF43" s="101">
        <v>72</v>
      </c>
      <c r="EG43" s="101">
        <v>71.400000000000006</v>
      </c>
      <c r="EH43" s="101">
        <v>70.900000000000006</v>
      </c>
      <c r="EI43" s="101">
        <v>69.2</v>
      </c>
      <c r="EJ43" s="101">
        <v>68.900000000000006</v>
      </c>
      <c r="EK43" s="101">
        <v>68.7</v>
      </c>
      <c r="EL43" s="101">
        <v>68.599999999999994</v>
      </c>
      <c r="EM43" s="101">
        <v>68.5</v>
      </c>
      <c r="EN43" s="101">
        <v>68.400000000000006</v>
      </c>
      <c r="EO43">
        <f ca="1">OFFSET(EE43,0,MATCH(MAX(EE43:EN43)+1,EE43:EN43,1)-1)</f>
        <v>68.400000000000006</v>
      </c>
      <c r="EQ43" s="20" t="s">
        <v>88</v>
      </c>
      <c r="ER43" s="20" t="e">
        <f t="shared" ca="1" si="62"/>
        <v>#DIV/0!</v>
      </c>
      <c r="ES43" t="e">
        <f t="shared" ca="1" si="63"/>
        <v>#DIV/0!</v>
      </c>
      <c r="EU43" s="20" t="s">
        <v>88</v>
      </c>
      <c r="EV43" s="109">
        <v>14450.174743548047</v>
      </c>
    </row>
    <row r="44" spans="1:152" x14ac:dyDescent="0.3">
      <c r="A44" s="20" t="s">
        <v>202</v>
      </c>
      <c r="B44" s="20" t="s">
        <v>633</v>
      </c>
      <c r="C44" s="81">
        <v>2015</v>
      </c>
      <c r="D44" s="82">
        <v>3738.2779999999998</v>
      </c>
      <c r="E44" s="82">
        <v>3905.2930000000001</v>
      </c>
      <c r="F44" s="82">
        <v>4069.625</v>
      </c>
      <c r="G44" s="82">
        <v>4069.76</v>
      </c>
      <c r="H44" s="82">
        <v>4198.2299999999996</v>
      </c>
      <c r="I44" s="82">
        <v>4094.029</v>
      </c>
      <c r="J44" s="82">
        <v>3932.6819999999998</v>
      </c>
      <c r="K44" s="82">
        <v>3553.127</v>
      </c>
      <c r="L44" s="82">
        <v>3153.8829999999998</v>
      </c>
      <c r="M44" s="82">
        <v>3196.2919999999999</v>
      </c>
      <c r="N44" s="82">
        <v>2806.5</v>
      </c>
      <c r="O44" s="82">
        <v>2284.85</v>
      </c>
      <c r="P44" s="82">
        <v>1831.3340000000001</v>
      </c>
      <c r="Q44" s="82">
        <v>1315.374</v>
      </c>
      <c r="R44" s="82">
        <v>862.17600000000004</v>
      </c>
      <c r="S44" s="82">
        <v>574.38900000000001</v>
      </c>
      <c r="T44" s="82">
        <v>358.09899999999999</v>
      </c>
      <c r="U44" s="82">
        <v>188.49700000000001</v>
      </c>
      <c r="V44" s="82">
        <v>75.465000000000003</v>
      </c>
      <c r="W44" s="82">
        <v>18.138999999999999</v>
      </c>
      <c r="X44" s="82">
        <v>2.6819999999999999</v>
      </c>
      <c r="Y44" s="82">
        <f t="shared" si="36"/>
        <v>48228.704000000012</v>
      </c>
      <c r="Z44" s="52">
        <f t="shared" si="37"/>
        <v>373.82799999999997</v>
      </c>
      <c r="AA44" s="52">
        <f t="shared" si="38"/>
        <v>373.82799999999997</v>
      </c>
      <c r="AB44" s="52">
        <f t="shared" si="39"/>
        <v>747.65599999999995</v>
      </c>
      <c r="AC44" s="52">
        <f t="shared" si="40"/>
        <v>2242.9670000000001</v>
      </c>
      <c r="AD44" s="52">
        <f t="shared" si="41"/>
        <v>7974.9179999999997</v>
      </c>
      <c r="AE44" s="52">
        <f t="shared" si="42"/>
        <v>26198.003000000001</v>
      </c>
      <c r="AF44" s="52">
        <f t="shared" si="43"/>
        <v>6922.6840000000002</v>
      </c>
      <c r="AG44" s="52">
        <f t="shared" si="44"/>
        <v>3394.8209999999999</v>
      </c>
      <c r="AH44" s="52">
        <f t="shared" si="45"/>
        <v>48228.705000000002</v>
      </c>
      <c r="AI44">
        <v>15.773</v>
      </c>
      <c r="AJ44" s="30">
        <f t="shared" si="46"/>
        <v>760711.36396500003</v>
      </c>
      <c r="AK44">
        <f t="shared" si="47"/>
        <v>747.65559999999994</v>
      </c>
      <c r="AM44" s="20" t="s">
        <v>202</v>
      </c>
      <c r="AN44" t="s">
        <v>320</v>
      </c>
      <c r="AO44" t="s">
        <v>321</v>
      </c>
      <c r="AP44" t="s">
        <v>689</v>
      </c>
      <c r="AQ44" s="55">
        <v>16605235.753380394</v>
      </c>
      <c r="AR44" s="55">
        <v>2741.88085479965</v>
      </c>
      <c r="AS44" t="s">
        <v>202</v>
      </c>
      <c r="AT44" t="s">
        <v>1188</v>
      </c>
      <c r="AU44" t="s">
        <v>1153</v>
      </c>
      <c r="AV44">
        <v>71.607801413840093</v>
      </c>
      <c r="AW44">
        <v>75.836011633886002</v>
      </c>
      <c r="AX44">
        <v>79.664301586923401</v>
      </c>
      <c r="AY44">
        <v>83.086945612107201</v>
      </c>
      <c r="AZ44">
        <v>87.693081429074994</v>
      </c>
      <c r="BA44">
        <v>93.828958239205605</v>
      </c>
      <c r="BB44">
        <v>97.772526589964301</v>
      </c>
      <c r="BC44">
        <v>100</v>
      </c>
      <c r="BD44">
        <v>103.41161612124399</v>
      </c>
      <c r="BE44">
        <v>106.696935300795</v>
      </c>
      <c r="BF44">
        <v>108.85517417787</v>
      </c>
      <c r="BG44">
        <v>111.987819539255</v>
      </c>
      <c r="BH44">
        <v>117.592844239101</v>
      </c>
      <c r="BJ44" s="20" t="s">
        <v>202</v>
      </c>
      <c r="BK44" t="s">
        <v>689</v>
      </c>
      <c r="BL44">
        <v>2015</v>
      </c>
      <c r="BM44">
        <f>INDEX('Costs lists'!$C$5:$C$8,MATCH(Lists!BK44,'Costs lists'!$B$5:$B$8,0))</f>
        <v>3.2</v>
      </c>
      <c r="BN44">
        <f>INDEX('Costs lists'!$D$5:$D$8,MATCH(Lists!BK44,'Costs lists'!$B$5:$B$8,0))</f>
        <v>1.1200000000000001</v>
      </c>
      <c r="BO44">
        <f>INDEX('Costs lists'!$E$5:$E$8,MATCH(Lists!BK44,'Costs lists'!$B$5:$B$8,0))</f>
        <v>4.4400000000000004</v>
      </c>
      <c r="BW44" s="20" t="s">
        <v>202</v>
      </c>
      <c r="BX44" s="20">
        <v>2008</v>
      </c>
      <c r="BY44" s="52">
        <v>28214.367300000002</v>
      </c>
      <c r="BZ44" s="52">
        <v>34842.3894</v>
      </c>
      <c r="CA44" s="52">
        <v>39707.768100000001</v>
      </c>
      <c r="CB44" s="52">
        <v>41373.828300000001</v>
      </c>
      <c r="CC44" s="375">
        <f t="shared" si="34"/>
        <v>29162.089950000001</v>
      </c>
      <c r="CD44" s="375">
        <v>84.91</v>
      </c>
      <c r="CE44" s="375">
        <v>88.58</v>
      </c>
      <c r="CF44" s="375">
        <v>114.54</v>
      </c>
      <c r="CG44" s="375">
        <f t="shared" si="35"/>
        <v>90.46</v>
      </c>
      <c r="CI44" s="20" t="s">
        <v>202</v>
      </c>
      <c r="CJ44" s="20">
        <v>2015</v>
      </c>
      <c r="CK44" s="59">
        <f t="shared" si="48"/>
        <v>35360.167708090012</v>
      </c>
      <c r="CL44" s="59">
        <f t="shared" si="49"/>
        <v>43666.856656203585</v>
      </c>
      <c r="CM44" s="59">
        <f t="shared" si="50"/>
        <v>49764.480783871652</v>
      </c>
      <c r="CN44" s="59">
        <f t="shared" si="51"/>
        <v>51852.500956621516</v>
      </c>
      <c r="CO44" s="59">
        <f t="shared" si="52"/>
        <v>36547.918313603521</v>
      </c>
      <c r="CP44" s="59">
        <f t="shared" si="53"/>
        <v>106.41499801039036</v>
      </c>
      <c r="CQ44" s="59">
        <f t="shared" si="54"/>
        <v>111.01449209469295</v>
      </c>
      <c r="CR44" s="59">
        <f t="shared" si="55"/>
        <v>143.54933308338374</v>
      </c>
      <c r="CS44" s="59">
        <f t="shared" si="56"/>
        <v>113.37063620327302</v>
      </c>
      <c r="CW44" s="20" t="s">
        <v>202</v>
      </c>
      <c r="CX44">
        <v>2011</v>
      </c>
      <c r="CY44">
        <v>47.791392999999999</v>
      </c>
      <c r="CZ44">
        <v>24.561895370483398</v>
      </c>
      <c r="DA44">
        <v>1771.6460500545561</v>
      </c>
      <c r="DB44">
        <v>607433.125</v>
      </c>
      <c r="DC44">
        <v>0.62110990285873413</v>
      </c>
      <c r="DE44">
        <f t="shared" si="57"/>
        <v>15360.489228177266</v>
      </c>
      <c r="DH44">
        <f t="shared" si="58"/>
        <v>8.6701794795321874</v>
      </c>
      <c r="DI44">
        <f t="shared" si="31"/>
        <v>9.1041246204842476</v>
      </c>
      <c r="DJ44">
        <f t="shared" si="32"/>
        <v>17.714382017171477</v>
      </c>
      <c r="DL44" s="20" t="s">
        <v>202</v>
      </c>
      <c r="DM44" s="99" t="s">
        <v>761</v>
      </c>
      <c r="DN44" s="100" t="s">
        <v>847</v>
      </c>
      <c r="DO44" s="101"/>
      <c r="DP44" s="101"/>
      <c r="DQ44" s="101">
        <v>46.2</v>
      </c>
      <c r="DR44" s="101">
        <v>46</v>
      </c>
      <c r="DS44" s="101"/>
      <c r="DT44" s="101"/>
      <c r="DU44" s="101"/>
      <c r="DV44" s="101"/>
      <c r="DW44" s="101">
        <v>42.2</v>
      </c>
      <c r="DX44">
        <f t="shared" ca="1" si="59"/>
        <v>42.2</v>
      </c>
      <c r="DY44">
        <f t="shared" ca="1" si="60"/>
        <v>8.4400000000000013</v>
      </c>
      <c r="DZ44">
        <f t="shared" ca="1" si="61"/>
        <v>76.838811796887057</v>
      </c>
      <c r="EB44" s="20" t="s">
        <v>202</v>
      </c>
      <c r="EC44" s="99" t="s">
        <v>761</v>
      </c>
      <c r="ED44" s="100" t="s">
        <v>754</v>
      </c>
      <c r="EE44" s="101">
        <v>48.5</v>
      </c>
      <c r="EF44" s="101">
        <v>48.7</v>
      </c>
      <c r="EG44" s="101">
        <v>52.5</v>
      </c>
      <c r="EH44" s="101">
        <v>52</v>
      </c>
      <c r="EI44" s="101">
        <v>53.4</v>
      </c>
      <c r="EJ44" s="101">
        <v>56.8</v>
      </c>
      <c r="EK44" s="101">
        <v>57.8</v>
      </c>
      <c r="EL44" s="101">
        <v>58</v>
      </c>
      <c r="EM44" s="101">
        <v>63.1</v>
      </c>
      <c r="EN44" s="101">
        <v>63.5</v>
      </c>
      <c r="EO44">
        <f ca="1">OFFSET(EE44,0,MATCH(MAX(EE44:EN44)+1,EE44:EN44,1)-1)</f>
        <v>63.5</v>
      </c>
      <c r="EQ44" s="20" t="s">
        <v>202</v>
      </c>
      <c r="ER44" s="20">
        <f t="shared" ca="1" si="62"/>
        <v>76.838811796887057</v>
      </c>
      <c r="ES44">
        <f t="shared" ca="1" si="63"/>
        <v>48.792645491023286</v>
      </c>
      <c r="EU44" s="20" t="s">
        <v>202</v>
      </c>
      <c r="EV44" s="109">
        <v>13829.068234605456</v>
      </c>
    </row>
    <row r="45" spans="1:152" x14ac:dyDescent="0.3">
      <c r="A45" s="20" t="s">
        <v>35</v>
      </c>
      <c r="B45" s="20" t="s">
        <v>632</v>
      </c>
      <c r="C45" s="81">
        <v>2015</v>
      </c>
      <c r="D45" s="82">
        <v>119.289</v>
      </c>
      <c r="E45" s="82">
        <v>105.41200000000001</v>
      </c>
      <c r="F45" s="82">
        <v>92.846999999999994</v>
      </c>
      <c r="G45" s="82">
        <v>82.42</v>
      </c>
      <c r="H45" s="82">
        <v>73.575000000000003</v>
      </c>
      <c r="I45" s="82">
        <v>66.316999999999993</v>
      </c>
      <c r="J45" s="82">
        <v>56.668999999999997</v>
      </c>
      <c r="K45" s="82">
        <v>45.405999999999999</v>
      </c>
      <c r="L45" s="82">
        <v>36.209000000000003</v>
      </c>
      <c r="M45" s="82">
        <v>29.878</v>
      </c>
      <c r="N45" s="82">
        <v>24.629000000000001</v>
      </c>
      <c r="O45" s="82">
        <v>19.565999999999999</v>
      </c>
      <c r="P45" s="82">
        <v>14.231</v>
      </c>
      <c r="Q45" s="82">
        <v>8.8770000000000007</v>
      </c>
      <c r="R45" s="82">
        <v>6.4240000000000004</v>
      </c>
      <c r="S45" s="82">
        <v>3.9769999999999999</v>
      </c>
      <c r="T45" s="82">
        <v>1.917</v>
      </c>
      <c r="U45" s="82">
        <v>0.66500000000000004</v>
      </c>
      <c r="V45" s="82">
        <v>0.14699999999999999</v>
      </c>
      <c r="W45" s="82">
        <v>1.7999999999999999E-2</v>
      </c>
      <c r="X45" s="82">
        <v>1E-3</v>
      </c>
      <c r="Y45" s="82">
        <f t="shared" si="36"/>
        <v>788.47400000000005</v>
      </c>
      <c r="Z45" s="52">
        <f t="shared" si="37"/>
        <v>11.929</v>
      </c>
      <c r="AA45" s="52">
        <f t="shared" si="38"/>
        <v>11.929</v>
      </c>
      <c r="AB45" s="52">
        <f t="shared" si="39"/>
        <v>23.858000000000001</v>
      </c>
      <c r="AC45" s="52">
        <f t="shared" si="40"/>
        <v>71.572999999999993</v>
      </c>
      <c r="AD45" s="52">
        <f t="shared" si="41"/>
        <v>198.25899999999999</v>
      </c>
      <c r="AE45" s="52">
        <f t="shared" si="42"/>
        <v>390.47399999999999</v>
      </c>
      <c r="AF45" s="52">
        <f t="shared" si="43"/>
        <v>58.426000000000002</v>
      </c>
      <c r="AG45" s="52">
        <f t="shared" si="44"/>
        <v>22.026</v>
      </c>
      <c r="AH45" s="52">
        <f t="shared" si="45"/>
        <v>788.47399999999993</v>
      </c>
      <c r="AI45">
        <v>33.896999999999998</v>
      </c>
      <c r="AJ45" s="30">
        <f t="shared" si="46"/>
        <v>26726.903177999997</v>
      </c>
      <c r="AK45">
        <f t="shared" si="47"/>
        <v>23.857800000000001</v>
      </c>
      <c r="AM45" s="20" t="s">
        <v>35</v>
      </c>
      <c r="AN45" t="s">
        <v>322</v>
      </c>
      <c r="AO45" t="s">
        <v>323</v>
      </c>
      <c r="AP45" t="s">
        <v>691</v>
      </c>
      <c r="AQ45" s="55">
        <v>318251.26998715114</v>
      </c>
      <c r="AR45" s="55">
        <v>443.58735604073598</v>
      </c>
      <c r="AS45" t="s">
        <v>35</v>
      </c>
      <c r="AT45" t="s">
        <v>1189</v>
      </c>
      <c r="AU45" t="s">
        <v>1153</v>
      </c>
      <c r="AV45">
        <v>78.434499949730096</v>
      </c>
      <c r="AW45">
        <v>81.944438246400196</v>
      </c>
      <c r="AX45">
        <v>84.4136896302482</v>
      </c>
      <c r="AY45">
        <v>87.262114447571406</v>
      </c>
      <c r="AZ45">
        <v>91.159386294649494</v>
      </c>
      <c r="BA45">
        <v>92.709808511870605</v>
      </c>
      <c r="BB45">
        <v>96.754133261170196</v>
      </c>
      <c r="BC45">
        <v>100</v>
      </c>
      <c r="BD45">
        <v>101.77136377402699</v>
      </c>
      <c r="BE45">
        <v>103.57160465132699</v>
      </c>
      <c r="BF45">
        <v>105.950958254735</v>
      </c>
      <c r="BG45">
        <v>106.564146778853</v>
      </c>
      <c r="BH45">
        <v>97.916285887129803</v>
      </c>
      <c r="BJ45" s="20" t="s">
        <v>35</v>
      </c>
      <c r="BK45" t="s">
        <v>691</v>
      </c>
      <c r="BL45">
        <v>2015</v>
      </c>
      <c r="BM45">
        <f>INDEX('Costs lists'!$C$5:$C$8,MATCH(Lists!BK45,'Costs lists'!$B$5:$B$8,0))</f>
        <v>4.2</v>
      </c>
      <c r="BN45">
        <f>INDEX('Costs lists'!$D$5:$D$8,MATCH(Lists!BK45,'Costs lists'!$B$5:$B$8,0))</f>
        <v>4.2</v>
      </c>
      <c r="BO45">
        <f>INDEX('Costs lists'!$E$5:$E$8,MATCH(Lists!BK45,'Costs lists'!$B$5:$B$8,0))</f>
        <v>4.2</v>
      </c>
      <c r="BW45" s="20" t="s">
        <v>35</v>
      </c>
      <c r="BX45" s="20">
        <v>2008</v>
      </c>
      <c r="BY45" s="52">
        <v>502.87169999999998</v>
      </c>
      <c r="BZ45" s="52">
        <v>620.91669999999999</v>
      </c>
      <c r="CA45" s="52">
        <v>708.27</v>
      </c>
      <c r="CB45" s="52">
        <v>736.60080000000005</v>
      </c>
      <c r="CC45" s="375">
        <f t="shared" si="34"/>
        <v>519.75213499999995</v>
      </c>
      <c r="CD45" s="375">
        <v>7.43</v>
      </c>
      <c r="CE45" s="375">
        <v>7.76</v>
      </c>
      <c r="CF45" s="375">
        <v>10.029999999999999</v>
      </c>
      <c r="CG45" s="375">
        <f t="shared" si="35"/>
        <v>7.918333333333333</v>
      </c>
      <c r="CI45" s="20" t="s">
        <v>35</v>
      </c>
      <c r="CJ45" s="20">
        <v>2015</v>
      </c>
      <c r="CK45" s="59">
        <f t="shared" si="48"/>
        <v>531.11240258297312</v>
      </c>
      <c r="CL45" s="59">
        <f t="shared" si="49"/>
        <v>655.78667548977432</v>
      </c>
      <c r="CM45" s="59">
        <f t="shared" si="50"/>
        <v>748.04563744080724</v>
      </c>
      <c r="CN45" s="59">
        <f t="shared" si="51"/>
        <v>777.96746293843967</v>
      </c>
      <c r="CO45" s="59">
        <f t="shared" si="52"/>
        <v>548.9408236086457</v>
      </c>
      <c r="CP45" s="59">
        <f t="shared" si="53"/>
        <v>7.8472603473042737</v>
      </c>
      <c r="CQ45" s="59">
        <f t="shared" si="54"/>
        <v>8.1957927718817185</v>
      </c>
      <c r="CR45" s="59">
        <f t="shared" si="55"/>
        <v>10.593273389429591</v>
      </c>
      <c r="CS45" s="59">
        <f t="shared" si="56"/>
        <v>8.3630179250880676</v>
      </c>
      <c r="CW45" s="20" t="s">
        <v>35</v>
      </c>
      <c r="CX45">
        <v>2011</v>
      </c>
      <c r="CY45">
        <v>0.76999099999999998</v>
      </c>
      <c r="CZ45">
        <v>0.21165399253368378</v>
      </c>
      <c r="DB45">
        <v>1170.0550537109375</v>
      </c>
      <c r="DE45">
        <f t="shared" si="57"/>
        <v>0</v>
      </c>
      <c r="DH45" t="e">
        <f t="shared" si="58"/>
        <v>#DIV/0!</v>
      </c>
      <c r="DI45" t="e">
        <f t="shared" si="31"/>
        <v>#DIV/0!</v>
      </c>
      <c r="DJ45" t="e">
        <f t="shared" si="32"/>
        <v>#DIV/0!</v>
      </c>
      <c r="DL45" s="20" t="s">
        <v>35</v>
      </c>
      <c r="DM45" s="99"/>
      <c r="DN45" s="100"/>
      <c r="DO45" s="101"/>
      <c r="DP45" s="101"/>
      <c r="DQ45" s="101"/>
      <c r="DR45" s="101"/>
      <c r="DS45" s="101"/>
      <c r="DT45" s="101"/>
      <c r="DU45" s="101"/>
      <c r="DV45" s="101"/>
      <c r="DW45" s="101"/>
      <c r="DX45" t="e">
        <f t="shared" ca="1" si="59"/>
        <v>#N/A</v>
      </c>
      <c r="DY45" t="e">
        <f t="shared" ca="1" si="60"/>
        <v>#N/A</v>
      </c>
      <c r="DZ45" t="e">
        <f t="shared" ca="1" si="61"/>
        <v>#N/A</v>
      </c>
      <c r="EB45" s="20" t="s">
        <v>35</v>
      </c>
      <c r="EC45" s="99"/>
      <c r="ED45" s="100"/>
      <c r="EE45" s="101"/>
      <c r="EF45" s="101"/>
      <c r="EG45" s="101"/>
      <c r="EH45" s="101"/>
      <c r="EI45" s="101"/>
      <c r="EJ45" s="101"/>
      <c r="EK45" s="101"/>
      <c r="EL45" s="101"/>
      <c r="EM45" s="101"/>
      <c r="EN45" s="101"/>
      <c r="EQ45" s="20" t="s">
        <v>35</v>
      </c>
      <c r="ER45" s="20" t="e">
        <f t="shared" ca="1" si="62"/>
        <v>#N/A</v>
      </c>
      <c r="ES45" t="e">
        <f t="shared" ca="1" si="63"/>
        <v>#N/A</v>
      </c>
      <c r="EU45" s="20" t="s">
        <v>35</v>
      </c>
      <c r="EV45" s="109">
        <v>1483.4409320765374</v>
      </c>
    </row>
    <row r="46" spans="1:152" x14ac:dyDescent="0.3">
      <c r="A46" s="20" t="s">
        <v>56</v>
      </c>
      <c r="B46" s="20" t="s">
        <v>632</v>
      </c>
      <c r="C46" s="81">
        <v>2015</v>
      </c>
      <c r="D46" s="82">
        <v>759.04200000000003</v>
      </c>
      <c r="E46" s="82">
        <v>656.31500000000005</v>
      </c>
      <c r="F46" s="82">
        <v>554.32299999999998</v>
      </c>
      <c r="G46" s="82">
        <v>465.65899999999999</v>
      </c>
      <c r="H46" s="82">
        <v>391.416</v>
      </c>
      <c r="I46" s="82">
        <v>346.351</v>
      </c>
      <c r="J46" s="82">
        <v>308.738</v>
      </c>
      <c r="K46" s="82">
        <v>266.48599999999999</v>
      </c>
      <c r="L46" s="82">
        <v>213.33799999999999</v>
      </c>
      <c r="M46" s="82">
        <v>166.03299999999999</v>
      </c>
      <c r="N46" s="82">
        <v>131.49600000000001</v>
      </c>
      <c r="O46" s="82">
        <v>106.086</v>
      </c>
      <c r="P46" s="82">
        <v>85.903999999999996</v>
      </c>
      <c r="Q46" s="82">
        <v>66.263999999999996</v>
      </c>
      <c r="R46" s="82">
        <v>48.027000000000001</v>
      </c>
      <c r="S46" s="82">
        <v>30.76</v>
      </c>
      <c r="T46" s="82">
        <v>16.106999999999999</v>
      </c>
      <c r="U46" s="82">
        <v>6.1920000000000002</v>
      </c>
      <c r="V46" s="82">
        <v>1.5489999999999999</v>
      </c>
      <c r="W46" s="82">
        <v>0.22500000000000001</v>
      </c>
      <c r="X46" s="82">
        <v>1.9E-2</v>
      </c>
      <c r="Y46" s="82">
        <f t="shared" si="36"/>
        <v>4620.3300000000008</v>
      </c>
      <c r="Z46" s="52">
        <f t="shared" si="37"/>
        <v>75.903999999999996</v>
      </c>
      <c r="AA46" s="52">
        <f t="shared" si="38"/>
        <v>75.903999999999996</v>
      </c>
      <c r="AB46" s="52">
        <f t="shared" si="39"/>
        <v>151.80799999999999</v>
      </c>
      <c r="AC46" s="52">
        <f t="shared" si="40"/>
        <v>455.42500000000001</v>
      </c>
      <c r="AD46" s="52">
        <f t="shared" si="41"/>
        <v>1210.6379999999999</v>
      </c>
      <c r="AE46" s="52">
        <f t="shared" si="42"/>
        <v>2158.0210000000002</v>
      </c>
      <c r="AF46" s="52">
        <f t="shared" si="43"/>
        <v>323.48599999999999</v>
      </c>
      <c r="AG46" s="52">
        <f t="shared" si="44"/>
        <v>169.143</v>
      </c>
      <c r="AH46" s="52">
        <f t="shared" si="45"/>
        <v>4620.3289999999997</v>
      </c>
      <c r="AI46">
        <v>36.536000000000001</v>
      </c>
      <c r="AJ46" s="30">
        <f t="shared" si="46"/>
        <v>168808.340344</v>
      </c>
      <c r="AK46">
        <f t="shared" si="47"/>
        <v>151.80840000000001</v>
      </c>
      <c r="AM46" s="20" t="s">
        <v>56</v>
      </c>
      <c r="AN46" t="s">
        <v>312</v>
      </c>
      <c r="AO46" t="s">
        <v>313</v>
      </c>
      <c r="AP46" t="s">
        <v>688</v>
      </c>
      <c r="AQ46" s="55">
        <v>1094891.2644549978</v>
      </c>
      <c r="AR46" s="55">
        <v>591.44950750132796</v>
      </c>
      <c r="AS46" t="s">
        <v>1122</v>
      </c>
      <c r="AT46" t="s">
        <v>1191</v>
      </c>
      <c r="AU46" t="s">
        <v>1153</v>
      </c>
      <c r="AV46">
        <v>74.755195907688801</v>
      </c>
      <c r="AW46">
        <v>76.571572300605794</v>
      </c>
      <c r="AX46">
        <v>78.941072036012599</v>
      </c>
      <c r="AY46">
        <v>84.102116140549299</v>
      </c>
      <c r="AZ46">
        <v>86.336215891075796</v>
      </c>
      <c r="BA46">
        <v>92.668325822290996</v>
      </c>
      <c r="BB46">
        <v>99.576242685141594</v>
      </c>
      <c r="BC46">
        <v>100</v>
      </c>
      <c r="BD46">
        <v>100.76007264411101</v>
      </c>
      <c r="BE46">
        <v>106.901190556266</v>
      </c>
      <c r="BF46">
        <v>113.32481334499199</v>
      </c>
      <c r="BG46">
        <v>113.412255330598</v>
      </c>
      <c r="BH46">
        <v>118.531725439396</v>
      </c>
      <c r="BJ46" s="20" t="s">
        <v>56</v>
      </c>
      <c r="BK46" t="s">
        <v>688</v>
      </c>
      <c r="BL46">
        <v>2015</v>
      </c>
      <c r="BM46">
        <f>INDEX('Costs lists'!$C$5:$C$8,MATCH(Lists!BK46,'Costs lists'!$B$5:$B$8,0))</f>
        <v>5.21</v>
      </c>
      <c r="BN46">
        <f>INDEX('Costs lists'!$D$5:$D$8,MATCH(Lists!BK46,'Costs lists'!$B$5:$B$8,0))</f>
        <v>5.16</v>
      </c>
      <c r="BO46">
        <f>INDEX('Costs lists'!$E$5:$E$8,MATCH(Lists!BK46,'Costs lists'!$B$5:$B$8,0))</f>
        <v>5.26</v>
      </c>
      <c r="BW46" s="20" t="s">
        <v>56</v>
      </c>
      <c r="BX46" s="20">
        <v>2008</v>
      </c>
      <c r="BY46" s="52">
        <v>2095.5792000000001</v>
      </c>
      <c r="BZ46" s="52">
        <v>2589.2492999999999</v>
      </c>
      <c r="CA46" s="52">
        <v>2951.9456999999998</v>
      </c>
      <c r="CB46" s="52">
        <v>3076.2028</v>
      </c>
      <c r="CC46" s="375">
        <f t="shared" si="34"/>
        <v>2166.1874575000002</v>
      </c>
      <c r="CD46" s="375">
        <v>32.72</v>
      </c>
      <c r="CE46" s="375">
        <v>34.14</v>
      </c>
      <c r="CF46" s="375">
        <v>44.14</v>
      </c>
      <c r="CG46" s="375">
        <f t="shared" si="35"/>
        <v>34.86</v>
      </c>
      <c r="CI46" s="20" t="s">
        <v>56</v>
      </c>
      <c r="CJ46" s="20">
        <v>2015</v>
      </c>
      <c r="CK46" s="59">
        <f t="shared" si="48"/>
        <v>2680.4478894681756</v>
      </c>
      <c r="CL46" s="59">
        <f t="shared" si="49"/>
        <v>3311.8995557371209</v>
      </c>
      <c r="CM46" s="59">
        <f t="shared" si="50"/>
        <v>3775.8232289143048</v>
      </c>
      <c r="CN46" s="59">
        <f t="shared" si="51"/>
        <v>3934.7600428731553</v>
      </c>
      <c r="CO46" s="59">
        <f t="shared" si="52"/>
        <v>2770.7626601029006</v>
      </c>
      <c r="CP46" s="59">
        <f t="shared" si="53"/>
        <v>41.852035438889018</v>
      </c>
      <c r="CQ46" s="59">
        <f t="shared" si="54"/>
        <v>43.668352380307802</v>
      </c>
      <c r="CR46" s="59">
        <f t="shared" si="55"/>
        <v>56.459316756496378</v>
      </c>
      <c r="CS46" s="59">
        <f t="shared" si="56"/>
        <v>44.589301815393377</v>
      </c>
      <c r="CW46" s="20" t="s">
        <v>56</v>
      </c>
      <c r="CX46">
        <v>2011</v>
      </c>
      <c r="CY46">
        <v>4.5049619999999999</v>
      </c>
      <c r="CZ46">
        <v>1.6754090785980225</v>
      </c>
      <c r="DB46">
        <v>20285.908203125</v>
      </c>
      <c r="DE46">
        <f t="shared" si="57"/>
        <v>0</v>
      </c>
      <c r="DH46" t="e">
        <f t="shared" si="58"/>
        <v>#DIV/0!</v>
      </c>
      <c r="DI46" t="e">
        <f t="shared" si="31"/>
        <v>#DIV/0!</v>
      </c>
      <c r="DJ46" t="e">
        <f t="shared" si="32"/>
        <v>#DIV/0!</v>
      </c>
      <c r="DL46" s="20" t="s">
        <v>56</v>
      </c>
      <c r="DM46" s="99"/>
      <c r="DN46" s="100"/>
      <c r="DO46" s="101"/>
      <c r="DP46" s="101"/>
      <c r="DQ46" s="101"/>
      <c r="DR46" s="101"/>
      <c r="DS46" s="101"/>
      <c r="DT46" s="101"/>
      <c r="DU46" s="101"/>
      <c r="DV46" s="101"/>
      <c r="DW46" s="101"/>
      <c r="DX46" t="e">
        <f t="shared" ca="1" si="59"/>
        <v>#N/A</v>
      </c>
      <c r="DY46" t="e">
        <f t="shared" ca="1" si="60"/>
        <v>#N/A</v>
      </c>
      <c r="DZ46" t="e">
        <f t="shared" ca="1" si="61"/>
        <v>#N/A</v>
      </c>
      <c r="EB46" s="20" t="s">
        <v>56</v>
      </c>
      <c r="EC46" s="99" t="s">
        <v>762</v>
      </c>
      <c r="ED46" s="100" t="s">
        <v>794</v>
      </c>
      <c r="EE46" s="101"/>
      <c r="EF46" s="101"/>
      <c r="EG46" s="101"/>
      <c r="EH46" s="101">
        <v>48.4</v>
      </c>
      <c r="EI46" s="101"/>
      <c r="EJ46" s="101"/>
      <c r="EK46" s="101"/>
      <c r="EL46" s="101"/>
      <c r="EM46" s="101"/>
      <c r="EN46" s="101"/>
      <c r="EO46">
        <f ca="1">OFFSET(EE46,0,MATCH(MAX(EE46:EN46)+1,EE46:EN46,1)-1)</f>
        <v>48.4</v>
      </c>
      <c r="EQ46" s="20" t="s">
        <v>56</v>
      </c>
      <c r="ER46" s="20" t="e">
        <f t="shared" ca="1" si="62"/>
        <v>#N/A</v>
      </c>
      <c r="ES46" t="e">
        <f t="shared" ca="1" si="63"/>
        <v>#N/A</v>
      </c>
      <c r="EU46" s="20" t="s">
        <v>56</v>
      </c>
      <c r="EV46" s="109">
        <v>6381.0872570858073</v>
      </c>
    </row>
    <row r="47" spans="1:152" x14ac:dyDescent="0.3">
      <c r="A47" s="20" t="s">
        <v>191</v>
      </c>
      <c r="B47" s="20" t="s">
        <v>633</v>
      </c>
      <c r="C47" s="81">
        <v>2015</v>
      </c>
      <c r="D47" s="82">
        <v>350.327</v>
      </c>
      <c r="E47" s="82">
        <v>360.48700000000002</v>
      </c>
      <c r="F47" s="82">
        <v>361.75299999999999</v>
      </c>
      <c r="G47" s="82">
        <v>397.17500000000001</v>
      </c>
      <c r="H47" s="82">
        <v>412.72800000000001</v>
      </c>
      <c r="I47" s="82">
        <v>414.01600000000002</v>
      </c>
      <c r="J47" s="82">
        <v>390.29899999999998</v>
      </c>
      <c r="K47" s="82">
        <v>346.36</v>
      </c>
      <c r="L47" s="82">
        <v>304.98200000000003</v>
      </c>
      <c r="M47" s="82">
        <v>311.93200000000002</v>
      </c>
      <c r="N47" s="82">
        <v>297.92700000000002</v>
      </c>
      <c r="O47" s="82">
        <v>246.44800000000001</v>
      </c>
      <c r="P47" s="82">
        <v>185.46700000000001</v>
      </c>
      <c r="Q47" s="82">
        <v>154.18299999999999</v>
      </c>
      <c r="R47" s="82">
        <v>108.34099999999999</v>
      </c>
      <c r="S47" s="82">
        <v>75.876000000000005</v>
      </c>
      <c r="T47" s="82">
        <v>48.698999999999998</v>
      </c>
      <c r="U47" s="82">
        <v>26.8</v>
      </c>
      <c r="V47" s="82">
        <v>10.755000000000001</v>
      </c>
      <c r="W47" s="82">
        <v>2.8610000000000002</v>
      </c>
      <c r="X47" s="82">
        <v>0.434</v>
      </c>
      <c r="Y47" s="82">
        <f t="shared" si="36"/>
        <v>4807.8500000000004</v>
      </c>
      <c r="Z47" s="52">
        <f t="shared" si="37"/>
        <v>35.033000000000001</v>
      </c>
      <c r="AA47" s="52">
        <f t="shared" si="38"/>
        <v>35.033000000000001</v>
      </c>
      <c r="AB47" s="52">
        <f t="shared" si="39"/>
        <v>70.064999999999998</v>
      </c>
      <c r="AC47" s="52">
        <f t="shared" si="40"/>
        <v>210.196</v>
      </c>
      <c r="AD47" s="52">
        <f t="shared" si="41"/>
        <v>722.24</v>
      </c>
      <c r="AE47" s="52">
        <f t="shared" si="42"/>
        <v>2577.4920000000002</v>
      </c>
      <c r="AF47" s="52">
        <f t="shared" si="43"/>
        <v>729.84199999999998</v>
      </c>
      <c r="AG47" s="52">
        <f t="shared" si="44"/>
        <v>427.94900000000001</v>
      </c>
      <c r="AH47" s="52">
        <f t="shared" si="45"/>
        <v>4807.8499999999995</v>
      </c>
      <c r="AI47">
        <v>14.768000000000001</v>
      </c>
      <c r="AJ47" s="30">
        <f t="shared" si="46"/>
        <v>71002.328799999988</v>
      </c>
      <c r="AK47">
        <f t="shared" si="47"/>
        <v>70.065399999999997</v>
      </c>
      <c r="AM47" s="20" t="s">
        <v>191</v>
      </c>
      <c r="AN47" t="s">
        <v>326</v>
      </c>
      <c r="AO47" t="s">
        <v>327</v>
      </c>
      <c r="AP47" t="s">
        <v>689</v>
      </c>
      <c r="AQ47" s="55">
        <v>6020722.8594902083</v>
      </c>
      <c r="AR47" s="55">
        <v>534.56576996927799</v>
      </c>
      <c r="AS47" t="s">
        <v>191</v>
      </c>
      <c r="AT47" t="s">
        <v>1192</v>
      </c>
      <c r="AU47" t="s">
        <v>1153</v>
      </c>
      <c r="AV47">
        <v>49.660407175345902</v>
      </c>
      <c r="AW47">
        <v>55.776101677506396</v>
      </c>
      <c r="AX47">
        <v>63.472074398945502</v>
      </c>
      <c r="AY47">
        <v>70.752658185494994</v>
      </c>
      <c r="AZ47">
        <v>77.373218876972501</v>
      </c>
      <c r="BA47">
        <v>87.759301763321105</v>
      </c>
      <c r="BB47">
        <v>94.642988552689303</v>
      </c>
      <c r="BC47">
        <v>100</v>
      </c>
      <c r="BD47">
        <v>104.88301248136899</v>
      </c>
      <c r="BE47">
        <v>109.60701436092801</v>
      </c>
      <c r="BF47">
        <v>115.333198124109</v>
      </c>
      <c r="BG47">
        <v>120.540852639769</v>
      </c>
      <c r="BH47">
        <v>121.50118350786801</v>
      </c>
      <c r="BJ47" s="20" t="s">
        <v>191</v>
      </c>
      <c r="BK47" t="s">
        <v>689</v>
      </c>
      <c r="BL47">
        <v>2015</v>
      </c>
      <c r="BM47">
        <f>INDEX('Costs lists'!$C$5:$C$8,MATCH(Lists!BK47,'Costs lists'!$B$5:$B$8,0))</f>
        <v>3.2</v>
      </c>
      <c r="BN47">
        <f>INDEX('Costs lists'!$D$5:$D$8,MATCH(Lists!BK47,'Costs lists'!$B$5:$B$8,0))</f>
        <v>1.1200000000000001</v>
      </c>
      <c r="BO47">
        <f>INDEX('Costs lists'!$E$5:$E$8,MATCH(Lists!BK47,'Costs lists'!$B$5:$B$8,0))</f>
        <v>4.4400000000000004</v>
      </c>
      <c r="BW47" s="20" t="s">
        <v>191</v>
      </c>
      <c r="BX47" s="20">
        <v>2008</v>
      </c>
      <c r="BY47" s="52">
        <v>4735.6361999999999</v>
      </c>
      <c r="BZ47" s="52">
        <v>5847.3743999999997</v>
      </c>
      <c r="CA47" s="52">
        <v>6664.2870000000003</v>
      </c>
      <c r="CB47" s="52">
        <v>6943.7570999999998</v>
      </c>
      <c r="CC47" s="375">
        <f t="shared" si="34"/>
        <v>4894.6424025000006</v>
      </c>
      <c r="CD47" s="375">
        <v>113.75</v>
      </c>
      <c r="CE47" s="375">
        <v>118.67</v>
      </c>
      <c r="CF47" s="375">
        <v>153.44999999999999</v>
      </c>
      <c r="CG47" s="375">
        <f t="shared" si="35"/>
        <v>121.18666666666667</v>
      </c>
      <c r="CI47" s="20" t="s">
        <v>191</v>
      </c>
      <c r="CJ47" s="20">
        <v>2015</v>
      </c>
      <c r="CK47" s="59">
        <f t="shared" si="48"/>
        <v>6556.403610804301</v>
      </c>
      <c r="CL47" s="59">
        <f t="shared" si="49"/>
        <v>8095.585262627359</v>
      </c>
      <c r="CM47" s="59">
        <f t="shared" si="50"/>
        <v>9226.5861449061831</v>
      </c>
      <c r="CN47" s="59">
        <f t="shared" si="51"/>
        <v>9613.5074993699891</v>
      </c>
      <c r="CO47" s="59">
        <f t="shared" si="52"/>
        <v>6776.5448539621439</v>
      </c>
      <c r="CP47" s="59">
        <f t="shared" si="53"/>
        <v>157.4848403112108</v>
      </c>
      <c r="CQ47" s="59">
        <f t="shared" si="54"/>
        <v>164.29649230533087</v>
      </c>
      <c r="CR47" s="59">
        <f t="shared" si="55"/>
        <v>212.44878018246416</v>
      </c>
      <c r="CS47" s="59">
        <f t="shared" si="56"/>
        <v>167.78077228877305</v>
      </c>
      <c r="CW47" s="20" t="s">
        <v>191</v>
      </c>
      <c r="CX47">
        <v>2011</v>
      </c>
      <c r="CY47">
        <v>4.757606</v>
      </c>
      <c r="CZ47">
        <v>2.3391900062561035</v>
      </c>
      <c r="DA47">
        <v>2216</v>
      </c>
      <c r="DB47">
        <v>63544.46875</v>
      </c>
      <c r="DC47">
        <v>0.62106525897979736</v>
      </c>
      <c r="DE47">
        <f t="shared" si="57"/>
        <v>16871.33658890623</v>
      </c>
      <c r="DH47">
        <f t="shared" si="58"/>
        <v>7.6134190383150857</v>
      </c>
      <c r="DI47">
        <f t="shared" si="31"/>
        <v>7.6740740042801638</v>
      </c>
      <c r="DJ47">
        <f t="shared" si="32"/>
        <v>15.608061093610047</v>
      </c>
      <c r="DL47" s="20" t="s">
        <v>191</v>
      </c>
      <c r="DM47" s="99" t="s">
        <v>763</v>
      </c>
      <c r="DN47" s="100" t="s">
        <v>851</v>
      </c>
      <c r="DO47" s="101"/>
      <c r="DP47" s="101"/>
      <c r="DQ47" s="101"/>
      <c r="DR47" s="101"/>
      <c r="DS47" s="101"/>
      <c r="DT47" s="101"/>
      <c r="DU47" s="101"/>
      <c r="DV47" s="101"/>
      <c r="DW47" s="101">
        <v>42.9</v>
      </c>
      <c r="DX47">
        <f t="shared" ca="1" si="59"/>
        <v>42.9</v>
      </c>
      <c r="DY47">
        <f t="shared" ca="1" si="60"/>
        <v>8.58</v>
      </c>
      <c r="DZ47">
        <f t="shared" ca="1" si="61"/>
        <v>65.843554956723807</v>
      </c>
      <c r="EB47" s="20" t="s">
        <v>191</v>
      </c>
      <c r="EC47" s="99" t="s">
        <v>763</v>
      </c>
      <c r="ED47" s="100" t="s">
        <v>754</v>
      </c>
      <c r="EE47" s="101">
        <v>58.2</v>
      </c>
      <c r="EF47" s="101">
        <v>59.8</v>
      </c>
      <c r="EG47" s="101">
        <v>59.2</v>
      </c>
      <c r="EH47" s="101">
        <v>56.8</v>
      </c>
      <c r="EI47" s="101">
        <v>55.3</v>
      </c>
      <c r="EJ47" s="101">
        <v>52.9</v>
      </c>
      <c r="EK47" s="101">
        <v>56.4</v>
      </c>
      <c r="EL47" s="101">
        <v>56.4</v>
      </c>
      <c r="EM47" s="101">
        <v>56.5</v>
      </c>
      <c r="EN47" s="101">
        <v>55.4</v>
      </c>
      <c r="EO47">
        <f ca="1">OFFSET(EE47,0,MATCH(MAX(EE47:EN47)+1,EE47:EN47,1)-1)</f>
        <v>55.4</v>
      </c>
      <c r="EQ47" s="20" t="s">
        <v>191</v>
      </c>
      <c r="ER47" s="20">
        <f t="shared" ca="1" si="62"/>
        <v>65.843554956723807</v>
      </c>
      <c r="ES47">
        <f t="shared" ca="1" si="63"/>
        <v>36.477329446024989</v>
      </c>
      <c r="EU47" s="20" t="s">
        <v>191</v>
      </c>
      <c r="EV47" s="109">
        <v>15594.635822810951</v>
      </c>
    </row>
    <row r="48" spans="1:152" x14ac:dyDescent="0.3">
      <c r="A48" s="20" t="s">
        <v>75</v>
      </c>
      <c r="B48" s="20" t="s">
        <v>632</v>
      </c>
      <c r="C48" s="81">
        <v>2015</v>
      </c>
      <c r="D48" s="82">
        <v>3667.067</v>
      </c>
      <c r="E48" s="82">
        <v>3156.7159999999999</v>
      </c>
      <c r="F48" s="82">
        <v>2818.5479999999998</v>
      </c>
      <c r="G48" s="82">
        <v>2509.9859999999999</v>
      </c>
      <c r="H48" s="82">
        <v>2094.252</v>
      </c>
      <c r="I48" s="82">
        <v>1711.06</v>
      </c>
      <c r="J48" s="82">
        <v>1420.22</v>
      </c>
      <c r="K48" s="82">
        <v>1209.653</v>
      </c>
      <c r="L48" s="82">
        <v>996.34299999999996</v>
      </c>
      <c r="M48" s="82">
        <v>815.99599999999998</v>
      </c>
      <c r="N48" s="82">
        <v>666.49699999999996</v>
      </c>
      <c r="O48" s="82">
        <v>534.75400000000002</v>
      </c>
      <c r="P48" s="82">
        <v>413.30700000000002</v>
      </c>
      <c r="Q48" s="82">
        <v>311.04399999999998</v>
      </c>
      <c r="R48" s="82">
        <v>206.13900000000001</v>
      </c>
      <c r="S48" s="82">
        <v>110.861</v>
      </c>
      <c r="T48" s="82">
        <v>44.661999999999999</v>
      </c>
      <c r="U48" s="82">
        <v>12.163</v>
      </c>
      <c r="V48" s="82">
        <v>2.0609999999999999</v>
      </c>
      <c r="W48" s="82">
        <v>0.21299999999999999</v>
      </c>
      <c r="X48" s="82">
        <v>1.4E-2</v>
      </c>
      <c r="Y48" s="82">
        <f t="shared" si="36"/>
        <v>22701.556</v>
      </c>
      <c r="Z48" s="52">
        <f t="shared" si="37"/>
        <v>366.70699999999999</v>
      </c>
      <c r="AA48" s="52">
        <f t="shared" si="38"/>
        <v>366.70699999999999</v>
      </c>
      <c r="AB48" s="52">
        <f t="shared" si="39"/>
        <v>733.41300000000001</v>
      </c>
      <c r="AC48" s="52">
        <f t="shared" si="40"/>
        <v>2200.2399999999998</v>
      </c>
      <c r="AD48" s="52">
        <f t="shared" si="41"/>
        <v>5975.2640000000001</v>
      </c>
      <c r="AE48" s="52">
        <f t="shared" si="42"/>
        <v>10757.51</v>
      </c>
      <c r="AF48" s="52">
        <f t="shared" si="43"/>
        <v>1614.558</v>
      </c>
      <c r="AG48" s="52">
        <f t="shared" si="44"/>
        <v>687.15700000000004</v>
      </c>
      <c r="AH48" s="52">
        <f t="shared" si="45"/>
        <v>22701.556</v>
      </c>
      <c r="AI48">
        <v>37.118000000000002</v>
      </c>
      <c r="AJ48" s="30">
        <f t="shared" si="46"/>
        <v>842636.35560800007</v>
      </c>
      <c r="AK48">
        <f t="shared" si="47"/>
        <v>733.41340000000002</v>
      </c>
      <c r="AM48" s="20" t="s">
        <v>75</v>
      </c>
      <c r="AN48" t="s">
        <v>290</v>
      </c>
      <c r="AO48" t="s">
        <v>291</v>
      </c>
      <c r="AP48" t="s">
        <v>688</v>
      </c>
      <c r="AQ48" s="55">
        <v>827015.71146488818</v>
      </c>
      <c r="AR48" s="55">
        <v>591.44950750132796</v>
      </c>
      <c r="AS48" t="s">
        <v>1193</v>
      </c>
      <c r="AT48" t="s">
        <v>1194</v>
      </c>
      <c r="AU48" t="s">
        <v>1153</v>
      </c>
      <c r="AV48">
        <v>83.592077757298895</v>
      </c>
      <c r="AW48">
        <v>84.810840517545003</v>
      </c>
      <c r="AX48">
        <v>88.106445939908497</v>
      </c>
      <c r="AY48">
        <v>90.280200672727801</v>
      </c>
      <c r="AZ48">
        <v>91.988307751236704</v>
      </c>
      <c r="BA48">
        <v>97.791415618689399</v>
      </c>
      <c r="BB48">
        <v>98.788403577139206</v>
      </c>
      <c r="BC48">
        <v>100</v>
      </c>
      <c r="BD48">
        <v>104.912433950524</v>
      </c>
      <c r="BE48">
        <v>106.28102840071701</v>
      </c>
      <c r="BF48">
        <v>109.024322817415</v>
      </c>
      <c r="BG48">
        <v>109.51823620829801</v>
      </c>
      <c r="BH48">
        <v>110.87346224308</v>
      </c>
      <c r="BJ48" s="20" t="s">
        <v>75</v>
      </c>
      <c r="BK48" t="s">
        <v>688</v>
      </c>
      <c r="BL48">
        <v>2015</v>
      </c>
      <c r="BM48">
        <f>INDEX('Costs lists'!$C$5:$C$8,MATCH(Lists!BK48,'Costs lists'!$B$5:$B$8,0))</f>
        <v>5.21</v>
      </c>
      <c r="BN48">
        <f>INDEX('Costs lists'!$D$5:$D$8,MATCH(Lists!BK48,'Costs lists'!$B$5:$B$8,0))</f>
        <v>5.16</v>
      </c>
      <c r="BO48">
        <f>INDEX('Costs lists'!$E$5:$E$8,MATCH(Lists!BK48,'Costs lists'!$B$5:$B$8,0))</f>
        <v>5.26</v>
      </c>
      <c r="BW48" s="20" t="s">
        <v>75</v>
      </c>
      <c r="BX48" s="20">
        <v>2008</v>
      </c>
      <c r="BY48" s="52">
        <v>898.57159999999999</v>
      </c>
      <c r="BZ48" s="52">
        <v>1107.8280000000002</v>
      </c>
      <c r="CA48" s="52">
        <v>1261.693</v>
      </c>
      <c r="CB48" s="52">
        <v>1317.0844000000002</v>
      </c>
      <c r="CC48" s="375">
        <f t="shared" si="34"/>
        <v>928.57527499999992</v>
      </c>
      <c r="CD48" s="375">
        <v>11.47</v>
      </c>
      <c r="CE48" s="375">
        <v>11.96</v>
      </c>
      <c r="CF48" s="375">
        <v>15.47</v>
      </c>
      <c r="CG48" s="375">
        <f t="shared" ref="CG48:CG79" si="64">CD48*(2/3)+CE48*(1/6)+CF48*(1/6)</f>
        <v>12.218333333333334</v>
      </c>
      <c r="CI48" s="20" t="s">
        <v>75</v>
      </c>
      <c r="CJ48" s="20">
        <v>2015</v>
      </c>
      <c r="CK48" s="59">
        <f t="shared" si="48"/>
        <v>1018.7780157900039</v>
      </c>
      <c r="CL48" s="59">
        <f t="shared" si="49"/>
        <v>1256.0276907000052</v>
      </c>
      <c r="CM48" s="59">
        <f t="shared" si="50"/>
        <v>1430.4759810750056</v>
      </c>
      <c r="CN48" s="59">
        <f t="shared" si="51"/>
        <v>1493.277365610006</v>
      </c>
      <c r="CO48" s="59">
        <f t="shared" si="52"/>
        <v>1052.795432413129</v>
      </c>
      <c r="CP48" s="59">
        <f t="shared" si="53"/>
        <v>13.004399250000052</v>
      </c>
      <c r="CQ48" s="59">
        <f t="shared" si="54"/>
        <v>13.559949000000055</v>
      </c>
      <c r="CR48" s="59">
        <f t="shared" si="55"/>
        <v>17.53949925000007</v>
      </c>
      <c r="CS48" s="59">
        <f t="shared" si="56"/>
        <v>13.852840875000055</v>
      </c>
      <c r="CW48" s="20" t="s">
        <v>75</v>
      </c>
      <c r="CX48">
        <v>2011</v>
      </c>
      <c r="CY48">
        <v>22.157107</v>
      </c>
      <c r="CZ48">
        <v>8.2464828491210938</v>
      </c>
      <c r="DB48">
        <v>71314.3359375</v>
      </c>
      <c r="DC48">
        <v>0.4777924120426178</v>
      </c>
      <c r="DE48">
        <f t="shared" si="57"/>
        <v>4131.8764865226385</v>
      </c>
      <c r="DH48" t="e">
        <f t="shared" si="58"/>
        <v>#DIV/0!</v>
      </c>
      <c r="DI48" t="e">
        <f t="shared" si="31"/>
        <v>#DIV/0!</v>
      </c>
      <c r="DJ48" t="e">
        <f t="shared" si="32"/>
        <v>#DIV/0!</v>
      </c>
      <c r="DL48" s="20" t="s">
        <v>75</v>
      </c>
      <c r="DM48" s="99"/>
      <c r="DN48" s="100"/>
      <c r="DO48" s="101"/>
      <c r="DP48" s="101"/>
      <c r="DQ48" s="101"/>
      <c r="DR48" s="101"/>
      <c r="DS48" s="101"/>
      <c r="DT48" s="101"/>
      <c r="DU48" s="101"/>
      <c r="DV48" s="101"/>
      <c r="DW48" s="101"/>
      <c r="DX48" t="e">
        <f t="shared" ca="1" si="59"/>
        <v>#N/A</v>
      </c>
      <c r="DY48" t="e">
        <f t="shared" ca="1" si="60"/>
        <v>#N/A</v>
      </c>
      <c r="DZ48" t="e">
        <f t="shared" ca="1" si="61"/>
        <v>#N/A</v>
      </c>
      <c r="EB48" s="20" t="s">
        <v>75</v>
      </c>
      <c r="EC48" s="99"/>
      <c r="ED48" s="100"/>
      <c r="EE48" s="101"/>
      <c r="EF48" s="101"/>
      <c r="EG48" s="101"/>
      <c r="EH48" s="101"/>
      <c r="EI48" s="101"/>
      <c r="EJ48" s="101"/>
      <c r="EK48" s="101"/>
      <c r="EL48" s="101"/>
      <c r="EM48" s="101"/>
      <c r="EN48" s="101"/>
      <c r="EQ48" s="20" t="s">
        <v>75</v>
      </c>
      <c r="ER48" s="20" t="e">
        <f t="shared" ca="1" si="62"/>
        <v>#N/A</v>
      </c>
      <c r="ES48" t="e">
        <f t="shared" ca="1" si="63"/>
        <v>#N/A</v>
      </c>
      <c r="EU48" s="20" t="s">
        <v>75</v>
      </c>
      <c r="EV48" s="109">
        <v>3513.6847257567711</v>
      </c>
    </row>
    <row r="49" spans="1:152" x14ac:dyDescent="0.3">
      <c r="A49" s="20" t="s">
        <v>158</v>
      </c>
      <c r="B49" s="20" t="s">
        <v>257</v>
      </c>
      <c r="C49" s="81">
        <v>2015</v>
      </c>
      <c r="D49" s="82">
        <v>207.31299999999999</v>
      </c>
      <c r="E49" s="82">
        <v>217.27600000000001</v>
      </c>
      <c r="F49" s="82">
        <v>206.822</v>
      </c>
      <c r="G49" s="82">
        <v>240.86600000000001</v>
      </c>
      <c r="H49" s="82">
        <v>233.94</v>
      </c>
      <c r="I49" s="82">
        <v>267.20100000000002</v>
      </c>
      <c r="J49" s="82">
        <v>288.851</v>
      </c>
      <c r="K49" s="82">
        <v>292.61399999999998</v>
      </c>
      <c r="L49" s="82">
        <v>291.61599999999999</v>
      </c>
      <c r="M49" s="82">
        <v>277.88499999999999</v>
      </c>
      <c r="N49" s="82">
        <v>306.50900000000001</v>
      </c>
      <c r="O49" s="82">
        <v>309.22199999999998</v>
      </c>
      <c r="P49" s="82">
        <v>297.20999999999998</v>
      </c>
      <c r="Q49" s="82">
        <v>248.94300000000001</v>
      </c>
      <c r="R49" s="82">
        <v>171.91300000000001</v>
      </c>
      <c r="S49" s="82">
        <v>177.624</v>
      </c>
      <c r="T49" s="82">
        <v>122.742</v>
      </c>
      <c r="U49" s="82">
        <v>59.027000000000001</v>
      </c>
      <c r="V49" s="82">
        <v>19.411999999999999</v>
      </c>
      <c r="W49" s="82">
        <v>2.7989999999999999</v>
      </c>
      <c r="X49" s="82">
        <v>0.53200000000000003</v>
      </c>
      <c r="Y49" s="82">
        <f t="shared" si="36"/>
        <v>4240.317</v>
      </c>
      <c r="Z49" s="52">
        <f t="shared" si="37"/>
        <v>20.731000000000002</v>
      </c>
      <c r="AA49" s="52">
        <f t="shared" si="38"/>
        <v>20.731000000000002</v>
      </c>
      <c r="AB49" s="52">
        <f t="shared" si="39"/>
        <v>41.463000000000001</v>
      </c>
      <c r="AC49" s="52">
        <f t="shared" si="40"/>
        <v>124.38800000000001</v>
      </c>
      <c r="AD49" s="52">
        <f t="shared" si="41"/>
        <v>424.09800000000001</v>
      </c>
      <c r="AE49" s="52">
        <f t="shared" si="42"/>
        <v>1892.973</v>
      </c>
      <c r="AF49" s="52">
        <f t="shared" si="43"/>
        <v>912.94100000000003</v>
      </c>
      <c r="AG49" s="52">
        <f t="shared" si="44"/>
        <v>802.99199999999996</v>
      </c>
      <c r="AH49" s="52">
        <f t="shared" si="45"/>
        <v>4240.317</v>
      </c>
      <c r="AI49">
        <v>9.3000000000000007</v>
      </c>
      <c r="AJ49" s="30">
        <f t="shared" si="46"/>
        <v>39434.948100000001</v>
      </c>
      <c r="AK49">
        <f t="shared" si="47"/>
        <v>41.462599999999995</v>
      </c>
      <c r="AM49" s="20" t="s">
        <v>158</v>
      </c>
      <c r="AN49" t="s">
        <v>328</v>
      </c>
      <c r="AO49" t="s">
        <v>329</v>
      </c>
      <c r="AP49" t="s">
        <v>690</v>
      </c>
      <c r="AQ49" s="55">
        <v>79507.656001849842</v>
      </c>
      <c r="AR49" s="55">
        <v>6.8583037500000001</v>
      </c>
      <c r="AS49" t="s">
        <v>158</v>
      </c>
      <c r="AT49" t="s">
        <v>1195</v>
      </c>
      <c r="AU49" t="s">
        <v>1153</v>
      </c>
      <c r="AV49">
        <v>81.406585540443899</v>
      </c>
      <c r="AW49">
        <v>83.079813886900496</v>
      </c>
      <c r="AX49">
        <v>85.835719398711603</v>
      </c>
      <c r="AY49">
        <v>88.573729420186197</v>
      </c>
      <c r="AZ49">
        <v>91.141732283464606</v>
      </c>
      <c r="BA49">
        <v>96.680386542591293</v>
      </c>
      <c r="BB49">
        <v>98.979957050823202</v>
      </c>
      <c r="BC49">
        <v>100</v>
      </c>
      <c r="BD49">
        <v>102.272727272727</v>
      </c>
      <c r="BE49">
        <v>105.762347888332</v>
      </c>
      <c r="BF49">
        <v>108.106657122405</v>
      </c>
      <c r="BG49">
        <v>107.87401574803199</v>
      </c>
      <c r="BH49">
        <v>107.372942018611</v>
      </c>
      <c r="BJ49" s="20" t="s">
        <v>158</v>
      </c>
      <c r="BK49" t="s">
        <v>690</v>
      </c>
      <c r="BL49">
        <v>2015</v>
      </c>
      <c r="BM49">
        <f>INDEX('Costs lists'!$C$5:$C$8,MATCH(Lists!BK49,'Costs lists'!$B$5:$B$8,0))</f>
        <v>3.55</v>
      </c>
      <c r="BN49">
        <f>INDEX('Costs lists'!$D$5:$D$8,MATCH(Lists!BK49,'Costs lists'!$B$5:$B$8,0))</f>
        <v>2.91</v>
      </c>
      <c r="BO49">
        <f>INDEX('Costs lists'!$E$5:$E$8,MATCH(Lists!BK49,'Costs lists'!$B$5:$B$8,0))</f>
        <v>7.59</v>
      </c>
      <c r="BW49" s="20" t="s">
        <v>158</v>
      </c>
      <c r="BX49" s="20">
        <v>2008</v>
      </c>
      <c r="BY49" s="52">
        <v>97.950199999999995</v>
      </c>
      <c r="BZ49" s="52">
        <v>120.9401</v>
      </c>
      <c r="CA49" s="52">
        <v>137.8227</v>
      </c>
      <c r="CB49" s="52">
        <v>143.61880000000002</v>
      </c>
      <c r="CC49" s="375">
        <f t="shared" si="34"/>
        <v>101.23822249999999</v>
      </c>
      <c r="CD49" s="375">
        <v>223.58</v>
      </c>
      <c r="CE49" s="375">
        <v>233.25</v>
      </c>
      <c r="CF49" s="375">
        <v>301.61</v>
      </c>
      <c r="CG49" s="375">
        <f t="shared" si="64"/>
        <v>238.19666666666666</v>
      </c>
      <c r="CI49" s="20" t="s">
        <v>158</v>
      </c>
      <c r="CJ49" s="20">
        <v>2015</v>
      </c>
      <c r="CK49" s="59">
        <f t="shared" si="48"/>
        <v>108.78319296621899</v>
      </c>
      <c r="CL49" s="59">
        <f t="shared" si="49"/>
        <v>134.31570569180892</v>
      </c>
      <c r="CM49" s="59">
        <f t="shared" si="50"/>
        <v>153.06546968995787</v>
      </c>
      <c r="CN49" s="59">
        <f t="shared" si="51"/>
        <v>159.50260064784771</v>
      </c>
      <c r="CO49" s="59">
        <f t="shared" si="52"/>
        <v>112.43486071263267</v>
      </c>
      <c r="CP49" s="59">
        <f t="shared" si="53"/>
        <v>248.30726515502005</v>
      </c>
      <c r="CQ49" s="59">
        <f t="shared" si="54"/>
        <v>259.0467376214707</v>
      </c>
      <c r="CR49" s="59">
        <f t="shared" si="55"/>
        <v>334.96714484035061</v>
      </c>
      <c r="CS49" s="59">
        <f t="shared" si="56"/>
        <v>264.54049051365024</v>
      </c>
      <c r="CW49" s="20" t="s">
        <v>158</v>
      </c>
      <c r="CX49">
        <v>2011</v>
      </c>
      <c r="CY49">
        <v>4.2558530000000001</v>
      </c>
      <c r="CZ49">
        <v>1.4993664026260376</v>
      </c>
      <c r="DB49">
        <v>87224.1875</v>
      </c>
      <c r="DC49">
        <v>0.67167264223098755</v>
      </c>
      <c r="DE49">
        <f t="shared" si="57"/>
        <v>39073.90507214683</v>
      </c>
      <c r="DH49" t="e">
        <f t="shared" si="58"/>
        <v>#DIV/0!</v>
      </c>
      <c r="DI49" t="e">
        <f t="shared" si="31"/>
        <v>#DIV/0!</v>
      </c>
      <c r="DJ49" t="e">
        <f t="shared" si="32"/>
        <v>#DIV/0!</v>
      </c>
      <c r="DL49" s="20" t="s">
        <v>158</v>
      </c>
      <c r="DM49" s="99" t="s">
        <v>796</v>
      </c>
      <c r="DN49" s="100" t="s">
        <v>754</v>
      </c>
      <c r="DO49" s="101">
        <v>40.5</v>
      </c>
      <c r="DP49" s="101">
        <v>40.200000000000003</v>
      </c>
      <c r="DQ49" s="101">
        <v>39.9</v>
      </c>
      <c r="DR49" s="101">
        <v>39.700000000000003</v>
      </c>
      <c r="DS49" s="101">
        <v>39.5</v>
      </c>
      <c r="DT49" s="101">
        <v>39.4</v>
      </c>
      <c r="DU49" s="101">
        <v>39.200000000000003</v>
      </c>
      <c r="DV49" s="101">
        <v>39.299999999999997</v>
      </c>
      <c r="DW49" s="101">
        <v>38.4</v>
      </c>
      <c r="DX49">
        <f t="shared" ca="1" si="59"/>
        <v>38.4</v>
      </c>
      <c r="DY49">
        <f t="shared" ca="1" si="60"/>
        <v>7.68</v>
      </c>
      <c r="DZ49" t="e">
        <f t="shared" ca="1" si="61"/>
        <v>#DIV/0!</v>
      </c>
      <c r="EB49" s="20" t="s">
        <v>158</v>
      </c>
      <c r="EC49" s="99" t="s">
        <v>796</v>
      </c>
      <c r="ED49" s="100" t="s">
        <v>754</v>
      </c>
      <c r="EE49" s="101">
        <v>43.7</v>
      </c>
      <c r="EF49" s="101">
        <v>47.7</v>
      </c>
      <c r="EG49" s="101">
        <v>48.6</v>
      </c>
      <c r="EH49" s="101">
        <v>48.2</v>
      </c>
      <c r="EI49" s="101">
        <v>46.5</v>
      </c>
      <c r="EJ49" s="101">
        <v>44.8</v>
      </c>
      <c r="EK49" s="101">
        <v>43.2</v>
      </c>
      <c r="EL49" s="101">
        <v>42.1</v>
      </c>
      <c r="EM49" s="101">
        <v>43.3</v>
      </c>
      <c r="EN49" s="101">
        <v>44.1</v>
      </c>
      <c r="EO49">
        <f ca="1">OFFSET(EE49,0,MATCH(MAX(EE49:EN49)+1,EE49:EN49,1)-1)</f>
        <v>44.1</v>
      </c>
      <c r="EQ49" s="20" t="s">
        <v>158</v>
      </c>
      <c r="ER49" s="20" t="e">
        <f t="shared" ca="1" si="62"/>
        <v>#DIV/0!</v>
      </c>
      <c r="ES49" t="e">
        <f t="shared" ca="1" si="63"/>
        <v>#DIV/0!</v>
      </c>
      <c r="EU49" s="20" t="s">
        <v>158</v>
      </c>
      <c r="EV49" s="109">
        <v>21880.484213537984</v>
      </c>
    </row>
    <row r="50" spans="1:152" x14ac:dyDescent="0.3">
      <c r="A50" s="20" t="s">
        <v>179</v>
      </c>
      <c r="B50" s="20" t="s">
        <v>633</v>
      </c>
      <c r="C50" s="81">
        <v>2015</v>
      </c>
      <c r="D50" s="82">
        <v>587.755</v>
      </c>
      <c r="E50" s="82">
        <v>613.84500000000003</v>
      </c>
      <c r="F50" s="82">
        <v>655.50599999999997</v>
      </c>
      <c r="G50" s="82">
        <v>692.346</v>
      </c>
      <c r="H50" s="82">
        <v>730.928</v>
      </c>
      <c r="I50" s="82">
        <v>807.71500000000003</v>
      </c>
      <c r="J50" s="82">
        <v>684.71799999999996</v>
      </c>
      <c r="K50" s="82">
        <v>680.21799999999996</v>
      </c>
      <c r="L50" s="82">
        <v>990.86400000000003</v>
      </c>
      <c r="M50" s="82">
        <v>1048.2829999999999</v>
      </c>
      <c r="N50" s="82">
        <v>1017.703</v>
      </c>
      <c r="O50" s="82">
        <v>665.01199999999994</v>
      </c>
      <c r="P50" s="82">
        <v>623.22299999999996</v>
      </c>
      <c r="Q50" s="82">
        <v>478.69400000000002</v>
      </c>
      <c r="R50" s="82">
        <v>399.96699999999998</v>
      </c>
      <c r="S50" s="82">
        <v>310.62200000000001</v>
      </c>
      <c r="T50" s="82">
        <v>202.5</v>
      </c>
      <c r="U50" s="82">
        <v>120.393</v>
      </c>
      <c r="V50" s="82">
        <v>56.935000000000002</v>
      </c>
      <c r="W50" s="82">
        <v>18.872</v>
      </c>
      <c r="X50" s="82">
        <v>3.4630000000000001</v>
      </c>
      <c r="Y50" s="82">
        <f t="shared" si="36"/>
        <v>11389.561999999998</v>
      </c>
      <c r="Z50" s="52">
        <f t="shared" si="37"/>
        <v>58.776000000000003</v>
      </c>
      <c r="AA50" s="52">
        <f t="shared" si="38"/>
        <v>58.776000000000003</v>
      </c>
      <c r="AB50" s="52">
        <f t="shared" si="39"/>
        <v>117.551</v>
      </c>
      <c r="AC50" s="52">
        <f t="shared" si="40"/>
        <v>352.65300000000002</v>
      </c>
      <c r="AD50" s="52">
        <f t="shared" si="41"/>
        <v>1269.3510000000001</v>
      </c>
      <c r="AE50" s="52">
        <f t="shared" si="42"/>
        <v>5635.0720000000001</v>
      </c>
      <c r="AF50" s="52">
        <f t="shared" si="43"/>
        <v>2305.9380000000001</v>
      </c>
      <c r="AG50" s="52">
        <f t="shared" si="44"/>
        <v>1591.4459999999999</v>
      </c>
      <c r="AH50" s="52">
        <f t="shared" si="45"/>
        <v>11389.563</v>
      </c>
      <c r="AI50">
        <v>10.246</v>
      </c>
      <c r="AJ50" s="30">
        <f t="shared" si="46"/>
        <v>116697.46249800001</v>
      </c>
      <c r="AK50">
        <f t="shared" si="47"/>
        <v>117.551</v>
      </c>
      <c r="AM50" s="20" t="s">
        <v>179</v>
      </c>
      <c r="AN50" t="s">
        <v>330</v>
      </c>
      <c r="AO50" t="s">
        <v>331</v>
      </c>
      <c r="AP50" t="s">
        <v>689</v>
      </c>
      <c r="AQ50" s="55">
        <v>7650.2327306352954</v>
      </c>
      <c r="AR50" s="55"/>
      <c r="AS50" t="s">
        <v>179</v>
      </c>
      <c r="AT50" t="s">
        <v>1196</v>
      </c>
      <c r="AU50" t="s">
        <v>1153</v>
      </c>
      <c r="BJ50" s="20" t="s">
        <v>179</v>
      </c>
      <c r="BK50" t="s">
        <v>689</v>
      </c>
      <c r="BL50">
        <v>2015</v>
      </c>
      <c r="BM50">
        <f>INDEX('Costs lists'!$C$5:$C$8,MATCH(Lists!BK50,'Costs lists'!$B$5:$B$8,0))</f>
        <v>3.2</v>
      </c>
      <c r="BN50">
        <f>INDEX('Costs lists'!$D$5:$D$8,MATCH(Lists!BK50,'Costs lists'!$B$5:$B$8,0))</f>
        <v>1.1200000000000001</v>
      </c>
      <c r="BO50">
        <f>INDEX('Costs lists'!$E$5:$E$8,MATCH(Lists!BK50,'Costs lists'!$B$5:$B$8,0))</f>
        <v>4.4400000000000004</v>
      </c>
      <c r="BW50" s="20" t="s">
        <v>179</v>
      </c>
      <c r="BX50" s="20">
        <v>2008</v>
      </c>
      <c r="BY50" s="52">
        <v>8.7992000000000008</v>
      </c>
      <c r="BZ50" s="52">
        <v>10.866400000000001</v>
      </c>
      <c r="CA50" s="52">
        <v>12.3896</v>
      </c>
      <c r="CB50" s="52">
        <v>12.906400000000001</v>
      </c>
      <c r="CC50" s="375">
        <f t="shared" si="34"/>
        <v>9.0950000000000006</v>
      </c>
      <c r="CD50" s="375">
        <v>34.4</v>
      </c>
      <c r="CE50" s="375">
        <v>35.89</v>
      </c>
      <c r="CF50" s="375">
        <v>46.41</v>
      </c>
      <c r="CG50" s="375">
        <f t="shared" si="64"/>
        <v>36.649999999999991</v>
      </c>
      <c r="CI50" s="20" t="s">
        <v>179</v>
      </c>
      <c r="CJ50" s="20">
        <v>2015</v>
      </c>
      <c r="CK50" s="59" t="e">
        <f t="shared" si="48"/>
        <v>#DIV/0!</v>
      </c>
      <c r="CL50" s="59" t="e">
        <f t="shared" si="49"/>
        <v>#DIV/0!</v>
      </c>
      <c r="CM50" s="59" t="e">
        <f t="shared" si="50"/>
        <v>#DIV/0!</v>
      </c>
      <c r="CN50" s="59" t="e">
        <f t="shared" si="51"/>
        <v>#DIV/0!</v>
      </c>
      <c r="CO50" s="59" t="e">
        <f t="shared" si="52"/>
        <v>#DIV/0!</v>
      </c>
      <c r="CP50" s="59" t="e">
        <f t="shared" si="53"/>
        <v>#DIV/0!</v>
      </c>
      <c r="CQ50" s="59" t="e">
        <f t="shared" si="54"/>
        <v>#DIV/0!</v>
      </c>
      <c r="CR50" s="59" t="e">
        <f t="shared" si="55"/>
        <v>#DIV/0!</v>
      </c>
      <c r="CS50" s="59" t="e">
        <f t="shared" si="56"/>
        <v>#DIV/0!</v>
      </c>
      <c r="CW50" s="20" t="s">
        <v>179</v>
      </c>
      <c r="DE50" t="e">
        <f t="shared" si="57"/>
        <v>#DIV/0!</v>
      </c>
      <c r="DH50" t="e">
        <f t="shared" si="58"/>
        <v>#DIV/0!</v>
      </c>
      <c r="DI50" t="e">
        <f t="shared" si="31"/>
        <v>#DIV/0!</v>
      </c>
      <c r="DJ50" t="e">
        <f t="shared" si="32"/>
        <v>#DIV/0!</v>
      </c>
      <c r="DL50" s="20" t="s">
        <v>179</v>
      </c>
      <c r="DM50" s="99"/>
      <c r="DN50" s="100"/>
      <c r="DO50" s="101"/>
      <c r="DP50" s="101"/>
      <c r="DQ50" s="101"/>
      <c r="DR50" s="101"/>
      <c r="DS50" s="101"/>
      <c r="DT50" s="101"/>
      <c r="DU50" s="101"/>
      <c r="DV50" s="101"/>
      <c r="DW50" s="101"/>
      <c r="DX50" t="e">
        <f t="shared" ca="1" si="59"/>
        <v>#N/A</v>
      </c>
      <c r="DY50" t="e">
        <f t="shared" ca="1" si="60"/>
        <v>#N/A</v>
      </c>
      <c r="DZ50" t="e">
        <f t="shared" ca="1" si="61"/>
        <v>#N/A</v>
      </c>
      <c r="EB50" s="20" t="s">
        <v>179</v>
      </c>
      <c r="EC50" s="99" t="s">
        <v>764</v>
      </c>
      <c r="ED50" s="100" t="s">
        <v>754</v>
      </c>
      <c r="EE50" s="101"/>
      <c r="EF50" s="101"/>
      <c r="EG50" s="101"/>
      <c r="EH50" s="101"/>
      <c r="EI50" s="101"/>
      <c r="EJ50" s="101"/>
      <c r="EK50" s="101"/>
      <c r="EL50" s="101">
        <v>70.5</v>
      </c>
      <c r="EM50" s="101"/>
      <c r="EN50" s="101"/>
      <c r="EO50">
        <f ca="1">OFFSET(EE50,0,MATCH(MAX(EE50:EN50)+1,EE50:EN50,1)-1)</f>
        <v>70.5</v>
      </c>
      <c r="EQ50" s="20" t="s">
        <v>179</v>
      </c>
      <c r="ER50" s="20" t="e">
        <f t="shared" ca="1" si="62"/>
        <v>#N/A</v>
      </c>
      <c r="ES50" t="e">
        <f t="shared" ca="1" si="63"/>
        <v>#N/A</v>
      </c>
      <c r="EU50" s="20" t="s">
        <v>179</v>
      </c>
      <c r="EV50" s="109"/>
    </row>
    <row r="51" spans="1:152" x14ac:dyDescent="0.3">
      <c r="A51" s="20" t="s">
        <v>228</v>
      </c>
      <c r="B51" s="20" t="s">
        <v>633</v>
      </c>
      <c r="C51" s="81">
        <v>2015</v>
      </c>
      <c r="D51" s="82">
        <v>10.54</v>
      </c>
      <c r="E51" s="82">
        <v>9.3320000000000007</v>
      </c>
      <c r="F51" s="82">
        <v>9.9589999999999996</v>
      </c>
      <c r="G51" s="82">
        <v>10.051</v>
      </c>
      <c r="H51" s="82">
        <v>10.476000000000001</v>
      </c>
      <c r="I51" s="82">
        <v>9.5830000000000002</v>
      </c>
      <c r="J51" s="82">
        <v>8.9309999999999992</v>
      </c>
      <c r="K51" s="82">
        <v>8.6259999999999994</v>
      </c>
      <c r="L51" s="82">
        <v>10.321</v>
      </c>
      <c r="M51" s="82">
        <v>11.725</v>
      </c>
      <c r="N51" s="82">
        <v>12.683</v>
      </c>
      <c r="O51" s="82">
        <v>11.766</v>
      </c>
      <c r="P51" s="82">
        <v>9.8789999999999996</v>
      </c>
      <c r="Q51" s="82">
        <v>8.0079999999999991</v>
      </c>
      <c r="R51" s="82">
        <v>5.9539999999999997</v>
      </c>
      <c r="S51" s="82">
        <v>4.2919999999999998</v>
      </c>
      <c r="T51" s="82">
        <v>2.6949999999999998</v>
      </c>
      <c r="U51" s="82">
        <v>1.51</v>
      </c>
      <c r="V51" s="82">
        <v>0.65800000000000003</v>
      </c>
      <c r="W51" s="82">
        <v>0.18099999999999999</v>
      </c>
      <c r="X51" s="82">
        <v>3.3000000000000002E-2</v>
      </c>
      <c r="Y51" s="82">
        <f t="shared" si="36"/>
        <v>157.203</v>
      </c>
      <c r="Z51" s="52">
        <f t="shared" si="37"/>
        <v>1.054</v>
      </c>
      <c r="AA51" s="52">
        <f t="shared" si="38"/>
        <v>1.054</v>
      </c>
      <c r="AB51" s="52">
        <f t="shared" si="39"/>
        <v>2.1080000000000001</v>
      </c>
      <c r="AC51" s="52">
        <f t="shared" si="40"/>
        <v>6.3239999999999998</v>
      </c>
      <c r="AD51" s="52">
        <f t="shared" si="41"/>
        <v>19.291</v>
      </c>
      <c r="AE51" s="52">
        <f t="shared" si="42"/>
        <v>69.712999999999994</v>
      </c>
      <c r="AF51" s="52">
        <f t="shared" si="43"/>
        <v>34.328000000000003</v>
      </c>
      <c r="AG51" s="52">
        <f t="shared" si="44"/>
        <v>23.331</v>
      </c>
      <c r="AH51" s="52">
        <f t="shared" si="45"/>
        <v>157.203</v>
      </c>
      <c r="AI51">
        <v>12.6</v>
      </c>
      <c r="AJ51" s="30">
        <f t="shared" si="46"/>
        <v>1980.7578000000001</v>
      </c>
      <c r="AK51">
        <f t="shared" si="47"/>
        <v>2.1079999999999997</v>
      </c>
      <c r="AM51" s="20" t="s">
        <v>228</v>
      </c>
      <c r="AN51" t="s">
        <v>332</v>
      </c>
      <c r="AO51" t="s">
        <v>333</v>
      </c>
      <c r="AP51" t="s">
        <v>690</v>
      </c>
      <c r="AQ51" s="55"/>
      <c r="AR51" s="55">
        <v>1.79</v>
      </c>
      <c r="AS51" t="s">
        <v>228</v>
      </c>
      <c r="AT51" t="s">
        <v>1197</v>
      </c>
      <c r="AU51" t="s">
        <v>1153</v>
      </c>
      <c r="AX51">
        <v>84.238236549744101</v>
      </c>
      <c r="AY51">
        <v>86.834908124566994</v>
      </c>
      <c r="AZ51">
        <v>89.459198101844706</v>
      </c>
      <c r="BA51">
        <v>95.909317031773099</v>
      </c>
      <c r="BB51">
        <v>97.297814929972205</v>
      </c>
      <c r="BC51">
        <v>100</v>
      </c>
      <c r="BD51">
        <v>102.327949579221</v>
      </c>
      <c r="BE51">
        <v>105.58623354641099</v>
      </c>
      <c r="BF51">
        <v>107.00022879970901</v>
      </c>
      <c r="BG51">
        <v>108.59786158645301</v>
      </c>
      <c r="BH51">
        <v>108.08034711080801</v>
      </c>
      <c r="BJ51" s="20" t="s">
        <v>228</v>
      </c>
      <c r="BK51" t="s">
        <v>690</v>
      </c>
      <c r="BL51">
        <v>2015</v>
      </c>
      <c r="BM51">
        <f>INDEX('Costs lists'!$C$5:$C$8,MATCH(Lists!BK51,'Costs lists'!$B$5:$B$8,0))</f>
        <v>3.55</v>
      </c>
      <c r="BN51">
        <f>INDEX('Costs lists'!$D$5:$D$8,MATCH(Lists!BK51,'Costs lists'!$B$5:$B$8,0))</f>
        <v>2.91</v>
      </c>
      <c r="BO51">
        <f>INDEX('Costs lists'!$E$5:$E$8,MATCH(Lists!BK51,'Costs lists'!$B$5:$B$8,0))</f>
        <v>7.59</v>
      </c>
      <c r="BW51" s="20" t="s">
        <v>228</v>
      </c>
      <c r="BX51" s="20">
        <v>2008</v>
      </c>
      <c r="BY51" s="52"/>
      <c r="BZ51" s="52"/>
      <c r="CA51" s="52"/>
      <c r="CB51" s="52"/>
      <c r="CC51" s="375"/>
      <c r="CD51" s="375"/>
      <c r="CE51" s="375"/>
      <c r="CF51" s="375"/>
      <c r="CG51" s="375">
        <f t="shared" si="64"/>
        <v>0</v>
      </c>
      <c r="CI51" s="20" t="s">
        <v>228</v>
      </c>
      <c r="CJ51" s="20">
        <v>2015</v>
      </c>
      <c r="CK51" s="59">
        <f t="shared" si="48"/>
        <v>0</v>
      </c>
      <c r="CL51" s="59">
        <f t="shared" si="49"/>
        <v>0</v>
      </c>
      <c r="CM51" s="59">
        <f t="shared" si="50"/>
        <v>0</v>
      </c>
      <c r="CN51" s="59">
        <f t="shared" si="51"/>
        <v>0</v>
      </c>
      <c r="CO51" s="59">
        <f t="shared" si="52"/>
        <v>0</v>
      </c>
      <c r="CP51" s="59">
        <f t="shared" si="53"/>
        <v>0</v>
      </c>
      <c r="CQ51" s="59">
        <f t="shared" si="54"/>
        <v>0</v>
      </c>
      <c r="CR51" s="59">
        <f t="shared" si="55"/>
        <v>0</v>
      </c>
      <c r="CS51" s="59">
        <f t="shared" si="56"/>
        <v>0</v>
      </c>
      <c r="CW51" s="20" t="s">
        <v>228</v>
      </c>
      <c r="CX51">
        <v>2014</v>
      </c>
      <c r="CY51">
        <v>0.15576299999999998</v>
      </c>
      <c r="DB51">
        <v>3230.741455078125</v>
      </c>
      <c r="DE51" t="e">
        <f t="shared" si="57"/>
        <v>#DIV/0!</v>
      </c>
      <c r="DH51" t="e">
        <f t="shared" si="58"/>
        <v>#DIV/0!</v>
      </c>
      <c r="DI51" t="e">
        <f t="shared" si="31"/>
        <v>#DIV/0!</v>
      </c>
      <c r="DJ51" t="e">
        <f t="shared" si="32"/>
        <v>#DIV/0!</v>
      </c>
      <c r="DL51" s="20" t="s">
        <v>228</v>
      </c>
      <c r="DM51" s="99"/>
      <c r="DN51" s="100"/>
      <c r="DO51" s="101"/>
      <c r="DP51" s="101"/>
      <c r="DQ51" s="101"/>
      <c r="DR51" s="101"/>
      <c r="DS51" s="101"/>
      <c r="DT51" s="101"/>
      <c r="DU51" s="101"/>
      <c r="DV51" s="101"/>
      <c r="DW51" s="101"/>
      <c r="DX51" t="e">
        <f t="shared" ca="1" si="59"/>
        <v>#N/A</v>
      </c>
      <c r="DY51" t="e">
        <f t="shared" ca="1" si="60"/>
        <v>#N/A</v>
      </c>
      <c r="DZ51" t="e">
        <f t="shared" ca="1" si="61"/>
        <v>#N/A</v>
      </c>
      <c r="EB51" s="20" t="s">
        <v>228</v>
      </c>
      <c r="EC51" s="99"/>
      <c r="ED51" s="100"/>
      <c r="EE51" s="101"/>
      <c r="EF51" s="101"/>
      <c r="EG51" s="101"/>
      <c r="EH51" s="101"/>
      <c r="EI51" s="101"/>
      <c r="EJ51" s="101"/>
      <c r="EK51" s="101"/>
      <c r="EL51" s="101"/>
      <c r="EM51" s="101"/>
      <c r="EN51" s="101"/>
      <c r="EQ51" s="20" t="s">
        <v>228</v>
      </c>
      <c r="ER51" s="20" t="e">
        <f t="shared" ca="1" si="62"/>
        <v>#N/A</v>
      </c>
      <c r="ES51" t="e">
        <f t="shared" ca="1" si="63"/>
        <v>#N/A</v>
      </c>
      <c r="EU51" s="20" t="s">
        <v>228</v>
      </c>
      <c r="EV51" s="109"/>
    </row>
    <row r="52" spans="1:152" x14ac:dyDescent="0.3">
      <c r="A52" s="20" t="s">
        <v>121</v>
      </c>
      <c r="B52" s="20" t="s">
        <v>257</v>
      </c>
      <c r="C52" s="81">
        <v>2015</v>
      </c>
      <c r="D52" s="82">
        <v>65.671999999999997</v>
      </c>
      <c r="E52" s="82">
        <v>63.942999999999998</v>
      </c>
      <c r="F52" s="82">
        <v>63.253999999999998</v>
      </c>
      <c r="G52" s="82">
        <v>76.069999999999993</v>
      </c>
      <c r="H52" s="82">
        <v>97.88</v>
      </c>
      <c r="I52" s="82">
        <v>95.087000000000003</v>
      </c>
      <c r="J52" s="82">
        <v>103.714</v>
      </c>
      <c r="K52" s="82">
        <v>91.269000000000005</v>
      </c>
      <c r="L52" s="82">
        <v>81.257999999999996</v>
      </c>
      <c r="M52" s="82">
        <v>75.149000000000001</v>
      </c>
      <c r="N52" s="82">
        <v>72.962999999999994</v>
      </c>
      <c r="O52" s="82">
        <v>69.602999999999994</v>
      </c>
      <c r="P52" s="82">
        <v>59.75</v>
      </c>
      <c r="Q52" s="82">
        <v>49.826000000000001</v>
      </c>
      <c r="R52" s="82">
        <v>38.454999999999998</v>
      </c>
      <c r="S52" s="82">
        <v>28.324999999999999</v>
      </c>
      <c r="T52" s="82">
        <v>19.045000000000002</v>
      </c>
      <c r="U52" s="82">
        <v>10.081</v>
      </c>
      <c r="V52" s="82">
        <v>3.2040000000000002</v>
      </c>
      <c r="W52" s="82">
        <v>0.67500000000000004</v>
      </c>
      <c r="X52" s="82">
        <v>7.6999999999999999E-2</v>
      </c>
      <c r="Y52" s="82">
        <f t="shared" si="36"/>
        <v>1165.2999999999997</v>
      </c>
      <c r="Z52" s="52">
        <f t="shared" si="37"/>
        <v>6.5670000000000002</v>
      </c>
      <c r="AA52" s="52">
        <f t="shared" si="38"/>
        <v>6.5670000000000002</v>
      </c>
      <c r="AB52" s="52">
        <f t="shared" si="39"/>
        <v>13.134</v>
      </c>
      <c r="AC52" s="52">
        <f t="shared" si="40"/>
        <v>39.402999999999999</v>
      </c>
      <c r="AD52" s="52">
        <f t="shared" si="41"/>
        <v>127.197</v>
      </c>
      <c r="AE52" s="52">
        <f t="shared" si="42"/>
        <v>620.42700000000002</v>
      </c>
      <c r="AF52" s="52">
        <f t="shared" si="43"/>
        <v>202.316</v>
      </c>
      <c r="AG52" s="52">
        <f t="shared" si="44"/>
        <v>149.68799999999999</v>
      </c>
      <c r="AH52" s="52">
        <f t="shared" si="45"/>
        <v>1165.299</v>
      </c>
      <c r="AI52">
        <v>11.326000000000001</v>
      </c>
      <c r="AJ52" s="30">
        <f t="shared" si="46"/>
        <v>13198.176474</v>
      </c>
      <c r="AK52">
        <f t="shared" si="47"/>
        <v>13.134399999999999</v>
      </c>
      <c r="AM52" s="20" t="s">
        <v>121</v>
      </c>
      <c r="AN52" t="s">
        <v>256</v>
      </c>
      <c r="AO52" t="s">
        <v>257</v>
      </c>
      <c r="AP52" t="s">
        <v>690</v>
      </c>
      <c r="AQ52" s="55">
        <v>20806.829120972499</v>
      </c>
      <c r="AR52" s="55">
        <v>0.90165896164127801</v>
      </c>
      <c r="AS52" t="s">
        <v>121</v>
      </c>
      <c r="AT52" t="s">
        <v>1198</v>
      </c>
      <c r="AU52" t="s">
        <v>1153</v>
      </c>
      <c r="AV52">
        <v>84.461917151412806</v>
      </c>
      <c r="AW52">
        <v>86.3928999173026</v>
      </c>
      <c r="AX52">
        <v>88.603220780755294</v>
      </c>
      <c r="AY52">
        <v>90.814646356501299</v>
      </c>
      <c r="AZ52">
        <v>92.969217251334896</v>
      </c>
      <c r="BA52">
        <v>97.310109057615506</v>
      </c>
      <c r="BB52">
        <v>97.67412668995</v>
      </c>
      <c r="BC52">
        <v>100</v>
      </c>
      <c r="BD52">
        <v>103.289449395642</v>
      </c>
      <c r="BE52">
        <v>105.757828594213</v>
      </c>
      <c r="BF52">
        <v>105.33474116352799</v>
      </c>
      <c r="BG52">
        <v>103.907467160884</v>
      </c>
      <c r="BH52">
        <v>101.72852997423099</v>
      </c>
      <c r="BJ52" s="20" t="s">
        <v>121</v>
      </c>
      <c r="BK52" t="s">
        <v>690</v>
      </c>
      <c r="BL52">
        <v>2015</v>
      </c>
      <c r="BM52">
        <f>INDEX('Costs lists'!$C$5:$C$8,MATCH(Lists!BK52,'Costs lists'!$B$5:$B$8,0))</f>
        <v>3.55</v>
      </c>
      <c r="BN52">
        <f>INDEX('Costs lists'!$D$5:$D$8,MATCH(Lists!BK52,'Costs lists'!$B$5:$B$8,0))</f>
        <v>2.91</v>
      </c>
      <c r="BO52">
        <f>INDEX('Costs lists'!$E$5:$E$8,MATCH(Lists!BK52,'Costs lists'!$B$5:$B$8,0))</f>
        <v>7.59</v>
      </c>
      <c r="BW52" s="20" t="s">
        <v>121</v>
      </c>
      <c r="BX52" s="20">
        <v>2008</v>
      </c>
      <c r="BY52" s="52">
        <v>26.049899999999997</v>
      </c>
      <c r="BZ52" s="52">
        <v>32.162999999999997</v>
      </c>
      <c r="CA52" s="52">
        <v>36.657299999999999</v>
      </c>
      <c r="CB52" s="52">
        <v>38.197999999999993</v>
      </c>
      <c r="CC52" s="375">
        <f t="shared" ref="CC52:CC83" si="65">BY52*(9/10)+BZ52*(0.5/10)+CA52*(0.25/10)+CB52*(0.25/10)</f>
        <v>26.924442499999994</v>
      </c>
      <c r="CD52" s="375">
        <v>375.59</v>
      </c>
      <c r="CE52" s="375">
        <v>391.83</v>
      </c>
      <c r="CF52" s="375">
        <v>506.66</v>
      </c>
      <c r="CG52" s="375">
        <f t="shared" si="64"/>
        <v>400.14166666666665</v>
      </c>
      <c r="CI52" s="20" t="s">
        <v>121</v>
      </c>
      <c r="CJ52" s="20">
        <v>2015</v>
      </c>
      <c r="CK52" s="59">
        <f t="shared" si="48"/>
        <v>27.232710544047315</v>
      </c>
      <c r="CL52" s="59">
        <f t="shared" si="49"/>
        <v>33.62337933075343</v>
      </c>
      <c r="CM52" s="59">
        <f t="shared" si="50"/>
        <v>38.321745581607061</v>
      </c>
      <c r="CN52" s="59">
        <f t="shared" si="51"/>
        <v>39.932401942484205</v>
      </c>
      <c r="CO52" s="59">
        <f t="shared" si="52"/>
        <v>28.146962144282533</v>
      </c>
      <c r="CP52" s="59">
        <f t="shared" si="53"/>
        <v>392.64387783595066</v>
      </c>
      <c r="CQ52" s="59">
        <f t="shared" si="54"/>
        <v>409.62126428408789</v>
      </c>
      <c r="CR52" s="59">
        <f t="shared" si="55"/>
        <v>529.6651858259346</v>
      </c>
      <c r="CS52" s="59">
        <f t="shared" si="56"/>
        <v>418.31032690897086</v>
      </c>
      <c r="CW52" s="20" t="s">
        <v>121</v>
      </c>
      <c r="CX52">
        <v>2014</v>
      </c>
      <c r="CY52">
        <v>0.88257699999999994</v>
      </c>
      <c r="CZ52">
        <v>0.28806626796722412</v>
      </c>
      <c r="DA52">
        <v>1826.8002057377987</v>
      </c>
      <c r="DB52">
        <v>21542.876953125</v>
      </c>
      <c r="DC52">
        <v>0.46968063712120056</v>
      </c>
      <c r="DE52">
        <f t="shared" si="57"/>
        <v>35124.807372165575</v>
      </c>
      <c r="DH52">
        <f t="shared" si="58"/>
        <v>19.227503512339243</v>
      </c>
      <c r="DI52">
        <f t="shared" si="31"/>
        <v>18.824303207738719</v>
      </c>
      <c r="DJ52">
        <f t="shared" si="32"/>
        <v>57.673871951112048</v>
      </c>
      <c r="DL52" s="20" t="s">
        <v>121</v>
      </c>
      <c r="DM52" s="99" t="s">
        <v>796</v>
      </c>
      <c r="DN52" s="100" t="s">
        <v>754</v>
      </c>
      <c r="DO52" s="101">
        <v>39.5</v>
      </c>
      <c r="DP52" s="101">
        <v>39.4</v>
      </c>
      <c r="DQ52" s="101">
        <v>38.9</v>
      </c>
      <c r="DR52" s="101">
        <v>39.1</v>
      </c>
      <c r="DS52" s="101">
        <v>38.9</v>
      </c>
      <c r="DT52" s="101">
        <v>38.9</v>
      </c>
      <c r="DU52" s="101">
        <v>38.4</v>
      </c>
      <c r="DV52" s="101">
        <v>38</v>
      </c>
      <c r="DW52" s="101">
        <v>37.9</v>
      </c>
      <c r="DX52">
        <f t="shared" ca="1" si="59"/>
        <v>37.9</v>
      </c>
      <c r="DY52">
        <f t="shared" ca="1" si="60"/>
        <v>7.58</v>
      </c>
      <c r="DZ52">
        <f t="shared" ca="1" si="61"/>
        <v>142.68821831465948</v>
      </c>
      <c r="EB52" s="20" t="s">
        <v>121</v>
      </c>
      <c r="EC52" s="99" t="s">
        <v>796</v>
      </c>
      <c r="ED52" s="100" t="s">
        <v>754</v>
      </c>
      <c r="EE52" s="101">
        <v>60.6</v>
      </c>
      <c r="EF52" s="101">
        <v>61.9</v>
      </c>
      <c r="EG52" s="101">
        <v>61.9</v>
      </c>
      <c r="EH52" s="101">
        <v>60.3</v>
      </c>
      <c r="EI52" s="101">
        <v>60.2</v>
      </c>
      <c r="EJ52" s="101">
        <v>58.7</v>
      </c>
      <c r="EK52" s="101">
        <v>56</v>
      </c>
      <c r="EL52" s="101">
        <v>53.2</v>
      </c>
      <c r="EM52" s="101">
        <v>53.5</v>
      </c>
      <c r="EN52" s="101">
        <v>53</v>
      </c>
      <c r="EO52">
        <f ca="1">OFFSET(EE52,0,MATCH(MAX(EE52:EN52)+1,EE52:EN52,1)-1)</f>
        <v>53</v>
      </c>
      <c r="EQ52" s="20" t="s">
        <v>121</v>
      </c>
      <c r="ER52" s="20">
        <f t="shared" ca="1" si="62"/>
        <v>142.68821831465948</v>
      </c>
      <c r="ES52">
        <f t="shared" ca="1" si="63"/>
        <v>75.62475570676952</v>
      </c>
      <c r="EU52" s="20" t="s">
        <v>121</v>
      </c>
      <c r="EV52" s="109">
        <v>31116.310274695999</v>
      </c>
    </row>
    <row r="53" spans="1:152" x14ac:dyDescent="0.3">
      <c r="A53" s="20" t="s">
        <v>138</v>
      </c>
      <c r="B53" s="20" t="s">
        <v>257</v>
      </c>
      <c r="C53" s="81">
        <v>2015</v>
      </c>
      <c r="D53" s="82">
        <v>537.90599999999995</v>
      </c>
      <c r="E53" s="82">
        <v>568.73599999999999</v>
      </c>
      <c r="F53" s="82">
        <v>479.25299999999999</v>
      </c>
      <c r="G53" s="82">
        <v>452.63200000000001</v>
      </c>
      <c r="H53" s="82">
        <v>608.90899999999999</v>
      </c>
      <c r="I53" s="82">
        <v>694.58299999999997</v>
      </c>
      <c r="J53" s="82">
        <v>745.22500000000002</v>
      </c>
      <c r="K53" s="82">
        <v>921.29200000000003</v>
      </c>
      <c r="L53" s="82">
        <v>866.55700000000002</v>
      </c>
      <c r="M53" s="82">
        <v>698.85199999999998</v>
      </c>
      <c r="N53" s="82">
        <v>670.23500000000001</v>
      </c>
      <c r="O53" s="82">
        <v>668.73599999999999</v>
      </c>
      <c r="P53" s="82">
        <v>724.48500000000001</v>
      </c>
      <c r="Q53" s="82">
        <v>678.06700000000001</v>
      </c>
      <c r="R53" s="82">
        <v>490.25900000000001</v>
      </c>
      <c r="S53" s="82">
        <v>308.94400000000002</v>
      </c>
      <c r="T53" s="82">
        <v>236.59200000000001</v>
      </c>
      <c r="U53" s="82">
        <v>133.77099999999999</v>
      </c>
      <c r="V53" s="82">
        <v>52.106000000000002</v>
      </c>
      <c r="W53" s="82">
        <v>5.2069999999999999</v>
      </c>
      <c r="X53" s="82">
        <v>0.83899999999999997</v>
      </c>
      <c r="Y53" s="82">
        <f t="shared" si="36"/>
        <v>10543.186000000002</v>
      </c>
      <c r="Z53" s="52">
        <f t="shared" si="37"/>
        <v>53.790999999999997</v>
      </c>
      <c r="AA53" s="52">
        <f t="shared" si="38"/>
        <v>53.790999999999997</v>
      </c>
      <c r="AB53" s="52">
        <f t="shared" si="39"/>
        <v>107.581</v>
      </c>
      <c r="AC53" s="52">
        <f t="shared" si="40"/>
        <v>322.74400000000003</v>
      </c>
      <c r="AD53" s="52">
        <f t="shared" si="41"/>
        <v>1047.989</v>
      </c>
      <c r="AE53" s="52">
        <f t="shared" si="42"/>
        <v>4988.05</v>
      </c>
      <c r="AF53" s="52">
        <f t="shared" si="43"/>
        <v>2063.4560000000001</v>
      </c>
      <c r="AG53" s="52">
        <f t="shared" si="44"/>
        <v>1905.7850000000001</v>
      </c>
      <c r="AH53" s="52">
        <f t="shared" si="45"/>
        <v>10543.187</v>
      </c>
      <c r="AI53">
        <v>10.4</v>
      </c>
      <c r="AJ53" s="30">
        <f t="shared" si="46"/>
        <v>109649.14480000001</v>
      </c>
      <c r="AK53">
        <f t="shared" si="47"/>
        <v>107.5812</v>
      </c>
      <c r="AM53" s="20" t="s">
        <v>138</v>
      </c>
      <c r="AN53" t="s">
        <v>334</v>
      </c>
      <c r="AO53" t="s">
        <v>335</v>
      </c>
      <c r="AP53" t="s">
        <v>690</v>
      </c>
      <c r="AQ53" s="55">
        <v>431878.39172908099</v>
      </c>
      <c r="AR53" s="55">
        <v>24.598749999999999</v>
      </c>
      <c r="AS53" t="s">
        <v>138</v>
      </c>
      <c r="AT53" t="s">
        <v>1199</v>
      </c>
      <c r="AU53" t="s">
        <v>1153</v>
      </c>
      <c r="AV53">
        <v>83.031337698783901</v>
      </c>
      <c r="AW53">
        <v>85.378858746492099</v>
      </c>
      <c r="AX53">
        <v>86.955098222637801</v>
      </c>
      <c r="AY53">
        <v>89.153414405986894</v>
      </c>
      <c r="AZ53">
        <v>91.763330215154397</v>
      </c>
      <c r="BA53">
        <v>97.591206735266397</v>
      </c>
      <c r="BB53">
        <v>98.610851262862496</v>
      </c>
      <c r="BC53">
        <v>100</v>
      </c>
      <c r="BD53">
        <v>101.93638914873701</v>
      </c>
      <c r="BE53">
        <v>105.299345182414</v>
      </c>
      <c r="BF53">
        <v>106.810102899906</v>
      </c>
      <c r="BG53">
        <v>107.170252572498</v>
      </c>
      <c r="BH53">
        <v>107.53975678203901</v>
      </c>
      <c r="BJ53" s="20" t="s">
        <v>138</v>
      </c>
      <c r="BK53" t="s">
        <v>690</v>
      </c>
      <c r="BL53">
        <v>2015</v>
      </c>
      <c r="BM53">
        <f>INDEX('Costs lists'!$C$5:$C$8,MATCH(Lists!BK53,'Costs lists'!$B$5:$B$8,0))</f>
        <v>3.55</v>
      </c>
      <c r="BN53">
        <f>INDEX('Costs lists'!$D$5:$D$8,MATCH(Lists!BK53,'Costs lists'!$B$5:$B$8,0))</f>
        <v>2.91</v>
      </c>
      <c r="BO53">
        <f>INDEX('Costs lists'!$E$5:$E$8,MATCH(Lists!BK53,'Costs lists'!$B$5:$B$8,0))</f>
        <v>7.59</v>
      </c>
      <c r="BW53" s="20" t="s">
        <v>138</v>
      </c>
      <c r="BX53" s="20">
        <v>2008</v>
      </c>
      <c r="BY53" s="52">
        <v>431.96100000000001</v>
      </c>
      <c r="BZ53" s="52">
        <v>533.47799999999995</v>
      </c>
      <c r="CA53" s="52">
        <v>607.86899999999991</v>
      </c>
      <c r="CB53" s="52">
        <v>633.48799999999994</v>
      </c>
      <c r="CC53" s="375">
        <f t="shared" si="65"/>
        <v>446.47272500000003</v>
      </c>
      <c r="CD53" s="375">
        <v>304.83</v>
      </c>
      <c r="CE53" s="375">
        <v>318.01</v>
      </c>
      <c r="CF53" s="375">
        <v>411.2</v>
      </c>
      <c r="CG53" s="375">
        <f t="shared" si="64"/>
        <v>324.755</v>
      </c>
      <c r="CI53" s="20" t="s">
        <v>138</v>
      </c>
      <c r="CJ53" s="20">
        <v>2015</v>
      </c>
      <c r="CK53" s="59">
        <f t="shared" si="48"/>
        <v>475.99555772825283</v>
      </c>
      <c r="CL53" s="59">
        <f t="shared" si="49"/>
        <v>587.86130726096303</v>
      </c>
      <c r="CM53" s="59">
        <f t="shared" si="50"/>
        <v>669.83580388209884</v>
      </c>
      <c r="CN53" s="59">
        <f t="shared" si="51"/>
        <v>698.06643163191904</v>
      </c>
      <c r="CO53" s="59">
        <f t="shared" si="52"/>
        <v>491.98662320632616</v>
      </c>
      <c r="CP53" s="59">
        <f t="shared" si="53"/>
        <v>335.90469015097034</v>
      </c>
      <c r="CQ53" s="59">
        <f t="shared" si="54"/>
        <v>350.42827318475901</v>
      </c>
      <c r="CR53" s="59">
        <f t="shared" si="55"/>
        <v>453.1181595974117</v>
      </c>
      <c r="CS53" s="59">
        <f t="shared" si="56"/>
        <v>357.86086556434202</v>
      </c>
      <c r="CW53" s="20" t="s">
        <v>138</v>
      </c>
      <c r="CX53">
        <v>2014</v>
      </c>
      <c r="CY53">
        <v>10.542665999999999</v>
      </c>
      <c r="CZ53">
        <v>5.0684404373168945</v>
      </c>
      <c r="DA53">
        <v>1770.6885618100682</v>
      </c>
      <c r="DB53">
        <v>305246.75</v>
      </c>
      <c r="DC53">
        <v>0.51240038871765137</v>
      </c>
      <c r="DE53">
        <f t="shared" si="57"/>
        <v>30859.305794189921</v>
      </c>
      <c r="DH53">
        <f t="shared" si="58"/>
        <v>17.427856292607611</v>
      </c>
      <c r="DI53">
        <f t="shared" si="31"/>
        <v>17.487944480409894</v>
      </c>
      <c r="DJ53">
        <f t="shared" si="32"/>
        <v>36.375993752647446</v>
      </c>
      <c r="DL53" s="20" t="s">
        <v>138</v>
      </c>
      <c r="DM53" s="99" t="s">
        <v>796</v>
      </c>
      <c r="DN53" s="100" t="s">
        <v>754</v>
      </c>
      <c r="DO53" s="101">
        <v>41.5</v>
      </c>
      <c r="DP53" s="101">
        <v>41.5</v>
      </c>
      <c r="DQ53" s="101">
        <v>40.700000000000003</v>
      </c>
      <c r="DR53" s="101">
        <v>40.700000000000003</v>
      </c>
      <c r="DS53" s="101">
        <v>40.5</v>
      </c>
      <c r="DT53" s="101">
        <v>40.200000000000003</v>
      </c>
      <c r="DU53" s="101">
        <v>39.5</v>
      </c>
      <c r="DV53" s="101">
        <v>39.4</v>
      </c>
      <c r="DW53" s="101">
        <v>39.200000000000003</v>
      </c>
      <c r="DX53">
        <f t="shared" ca="1" si="59"/>
        <v>39.200000000000003</v>
      </c>
      <c r="DY53">
        <f t="shared" ca="1" si="60"/>
        <v>7.8400000000000007</v>
      </c>
      <c r="DZ53">
        <f t="shared" ca="1" si="61"/>
        <v>137.10548472641358</v>
      </c>
      <c r="EB53" s="20" t="s">
        <v>138</v>
      </c>
      <c r="EC53" s="99" t="s">
        <v>796</v>
      </c>
      <c r="ED53" s="100" t="s">
        <v>754</v>
      </c>
      <c r="EE53" s="101">
        <v>55</v>
      </c>
      <c r="EF53" s="101">
        <v>55.6</v>
      </c>
      <c r="EG53" s="101">
        <v>55.9</v>
      </c>
      <c r="EH53" s="101">
        <v>54.8</v>
      </c>
      <c r="EI53" s="101">
        <v>54.2</v>
      </c>
      <c r="EJ53" s="101">
        <v>54.4</v>
      </c>
      <c r="EK53" s="101">
        <v>54.6</v>
      </c>
      <c r="EL53" s="101">
        <v>55.2</v>
      </c>
      <c r="EM53" s="101">
        <v>55.7</v>
      </c>
      <c r="EN53" s="101">
        <v>56.4</v>
      </c>
      <c r="EO53">
        <f ca="1">OFFSET(EE53,0,MATCH(MAX(EE53:EN53)+1,EE53:EN53,1)-1)</f>
        <v>56.4</v>
      </c>
      <c r="EQ53" s="20" t="s">
        <v>138</v>
      </c>
      <c r="ER53" s="20">
        <f t="shared" ca="1" si="62"/>
        <v>137.10548472641358</v>
      </c>
      <c r="ES53">
        <f t="shared" ca="1" si="63"/>
        <v>77.327493385697252</v>
      </c>
      <c r="EU53" s="20" t="s">
        <v>138</v>
      </c>
      <c r="EV53" s="109">
        <v>32758.933416166448</v>
      </c>
    </row>
    <row r="54" spans="1:152" x14ac:dyDescent="0.3">
      <c r="A54" s="20" t="s">
        <v>89</v>
      </c>
      <c r="B54" s="20" t="s">
        <v>635</v>
      </c>
      <c r="C54" s="81">
        <v>2015</v>
      </c>
      <c r="D54" s="82">
        <v>1747.3969999999999</v>
      </c>
      <c r="E54" s="82">
        <v>1709.6210000000001</v>
      </c>
      <c r="F54" s="82">
        <v>1867.7149999999999</v>
      </c>
      <c r="G54" s="82">
        <v>1952.5329999999999</v>
      </c>
      <c r="H54" s="82">
        <v>2009.1120000000001</v>
      </c>
      <c r="I54" s="82">
        <v>1881.204</v>
      </c>
      <c r="J54" s="82">
        <v>1825.633</v>
      </c>
      <c r="K54" s="82">
        <v>1497.231</v>
      </c>
      <c r="L54" s="82">
        <v>2202.547</v>
      </c>
      <c r="M54" s="82">
        <v>2190.7190000000001</v>
      </c>
      <c r="N54" s="82">
        <v>1538.0070000000001</v>
      </c>
      <c r="O54" s="82">
        <v>1584.3689999999999</v>
      </c>
      <c r="P54" s="82">
        <v>749.553</v>
      </c>
      <c r="Q54" s="82">
        <v>889.16200000000003</v>
      </c>
      <c r="R54" s="82">
        <v>739.21699999999998</v>
      </c>
      <c r="S54" s="82">
        <v>481.24400000000003</v>
      </c>
      <c r="T54" s="82">
        <v>204.91900000000001</v>
      </c>
      <c r="U54" s="82">
        <v>68.375</v>
      </c>
      <c r="V54" s="82">
        <v>14.842000000000001</v>
      </c>
      <c r="W54" s="82">
        <v>1.7949999999999999</v>
      </c>
      <c r="X54" s="82">
        <v>0.122</v>
      </c>
      <c r="Y54" s="82">
        <f t="shared" si="36"/>
        <v>25155.316999999999</v>
      </c>
      <c r="Z54" s="52">
        <f t="shared" si="37"/>
        <v>174.74</v>
      </c>
      <c r="AA54" s="52">
        <f t="shared" si="38"/>
        <v>174.74</v>
      </c>
      <c r="AB54" s="52">
        <f t="shared" si="39"/>
        <v>349.47899999999998</v>
      </c>
      <c r="AC54" s="52">
        <f t="shared" si="40"/>
        <v>1048.4380000000001</v>
      </c>
      <c r="AD54" s="52">
        <f t="shared" si="41"/>
        <v>3577.3359999999998</v>
      </c>
      <c r="AE54" s="52">
        <f t="shared" si="42"/>
        <v>13558.978999999999</v>
      </c>
      <c r="AF54" s="52">
        <f t="shared" si="43"/>
        <v>3871.9290000000001</v>
      </c>
      <c r="AG54" s="52">
        <f t="shared" si="44"/>
        <v>2399.6759999999999</v>
      </c>
      <c r="AH54" s="52">
        <f t="shared" si="45"/>
        <v>25155.316999999999</v>
      </c>
      <c r="AI54">
        <v>14.349</v>
      </c>
      <c r="AJ54" s="30">
        <f t="shared" si="46"/>
        <v>360953.64363299997</v>
      </c>
      <c r="AK54">
        <f t="shared" si="47"/>
        <v>349.4794</v>
      </c>
      <c r="AM54" s="20" t="s">
        <v>89</v>
      </c>
      <c r="AN54" t="s">
        <v>444</v>
      </c>
      <c r="AO54" t="s">
        <v>445</v>
      </c>
      <c r="AP54" t="s">
        <v>691</v>
      </c>
      <c r="AQ54" s="55"/>
      <c r="AR54" s="55"/>
      <c r="AS54" t="s">
        <v>1200</v>
      </c>
      <c r="AT54" t="s">
        <v>1201</v>
      </c>
      <c r="AU54" t="s">
        <v>1153</v>
      </c>
      <c r="BJ54" s="20" t="s">
        <v>89</v>
      </c>
      <c r="BK54" t="s">
        <v>691</v>
      </c>
      <c r="BL54">
        <v>2015</v>
      </c>
      <c r="BM54">
        <f>INDEX('Costs lists'!$C$5:$C$8,MATCH(Lists!BK54,'Costs lists'!$B$5:$B$8,0))</f>
        <v>4.2</v>
      </c>
      <c r="BN54">
        <f>INDEX('Costs lists'!$D$5:$D$8,MATCH(Lists!BK54,'Costs lists'!$B$5:$B$8,0))</f>
        <v>4.2</v>
      </c>
      <c r="BO54">
        <f>INDEX('Costs lists'!$E$5:$E$8,MATCH(Lists!BK54,'Costs lists'!$B$5:$B$8,0))</f>
        <v>4.2</v>
      </c>
      <c r="BW54" s="20" t="s">
        <v>89</v>
      </c>
      <c r="BX54" s="20">
        <v>2008</v>
      </c>
      <c r="BY54" s="52">
        <v>139.72750000000002</v>
      </c>
      <c r="BZ54" s="52">
        <v>172.24590000000001</v>
      </c>
      <c r="CA54" s="52">
        <v>196.63470000000001</v>
      </c>
      <c r="CB54" s="52">
        <v>204.76430000000002</v>
      </c>
      <c r="CC54" s="375">
        <f t="shared" si="65"/>
        <v>144.40202000000002</v>
      </c>
      <c r="CD54" s="375">
        <v>10.56</v>
      </c>
      <c r="CE54" s="375">
        <v>11.02</v>
      </c>
      <c r="CF54" s="375">
        <v>14.25</v>
      </c>
      <c r="CG54" s="375">
        <f t="shared" si="64"/>
        <v>11.251666666666667</v>
      </c>
      <c r="CI54" s="20" t="s">
        <v>89</v>
      </c>
      <c r="CJ54" s="20">
        <v>2015</v>
      </c>
      <c r="CK54" s="59" t="e">
        <f t="shared" si="48"/>
        <v>#DIV/0!</v>
      </c>
      <c r="CL54" s="59" t="e">
        <f t="shared" si="49"/>
        <v>#DIV/0!</v>
      </c>
      <c r="CM54" s="59" t="e">
        <f t="shared" si="50"/>
        <v>#DIV/0!</v>
      </c>
      <c r="CN54" s="59" t="e">
        <f t="shared" si="51"/>
        <v>#DIV/0!</v>
      </c>
      <c r="CO54" s="59" t="e">
        <f t="shared" si="52"/>
        <v>#DIV/0!</v>
      </c>
      <c r="CP54" s="59" t="e">
        <f t="shared" si="53"/>
        <v>#DIV/0!</v>
      </c>
      <c r="CQ54" s="59" t="e">
        <f t="shared" si="54"/>
        <v>#DIV/0!</v>
      </c>
      <c r="CR54" s="59" t="e">
        <f t="shared" si="55"/>
        <v>#DIV/0!</v>
      </c>
      <c r="CS54" s="59" t="e">
        <f t="shared" si="56"/>
        <v>#DIV/0!</v>
      </c>
      <c r="CW54" s="20" t="s">
        <v>89</v>
      </c>
      <c r="CX54">
        <v>2014</v>
      </c>
      <c r="CY54">
        <v>74.877029999999991</v>
      </c>
      <c r="CZ54">
        <v>24.25090217590332</v>
      </c>
      <c r="DB54">
        <v>89791.375</v>
      </c>
      <c r="DE54">
        <f t="shared" si="57"/>
        <v>0</v>
      </c>
      <c r="DH54" t="e">
        <f t="shared" si="58"/>
        <v>#DIV/0!</v>
      </c>
      <c r="DI54" t="e">
        <f t="shared" si="31"/>
        <v>#DIV/0!</v>
      </c>
      <c r="DJ54" t="e">
        <f t="shared" si="32"/>
        <v>#DIV/0!</v>
      </c>
      <c r="DL54" s="20" t="s">
        <v>89</v>
      </c>
      <c r="DM54" s="99"/>
      <c r="DN54" s="100"/>
      <c r="DO54" s="101"/>
      <c r="DP54" s="101"/>
      <c r="DQ54" s="101"/>
      <c r="DR54" s="101"/>
      <c r="DS54" s="101"/>
      <c r="DT54" s="101"/>
      <c r="DU54" s="101"/>
      <c r="DV54" s="101"/>
      <c r="DW54" s="101"/>
      <c r="DX54" t="e">
        <f t="shared" ca="1" si="59"/>
        <v>#N/A</v>
      </c>
      <c r="DY54" t="e">
        <f t="shared" ca="1" si="60"/>
        <v>#N/A</v>
      </c>
      <c r="DZ54" t="e">
        <f t="shared" ca="1" si="61"/>
        <v>#N/A</v>
      </c>
      <c r="EB54" s="20" t="s">
        <v>89</v>
      </c>
      <c r="EC54" s="99"/>
      <c r="ED54" s="100"/>
      <c r="EE54" s="101"/>
      <c r="EF54" s="101"/>
      <c r="EG54" s="101"/>
      <c r="EH54" s="101"/>
      <c r="EI54" s="101"/>
      <c r="EJ54" s="101"/>
      <c r="EK54" s="101"/>
      <c r="EL54" s="101"/>
      <c r="EM54" s="101"/>
      <c r="EN54" s="101"/>
      <c r="EQ54" s="20" t="s">
        <v>89</v>
      </c>
      <c r="ER54" s="20" t="e">
        <f t="shared" ca="1" si="62"/>
        <v>#N/A</v>
      </c>
      <c r="ES54" t="e">
        <f t="shared" ca="1" si="63"/>
        <v>#N/A</v>
      </c>
      <c r="EU54" s="20" t="s">
        <v>89</v>
      </c>
      <c r="EV54" s="109"/>
    </row>
    <row r="55" spans="1:152" x14ac:dyDescent="0.3">
      <c r="A55" s="20" t="s">
        <v>57</v>
      </c>
      <c r="B55" s="20" t="s">
        <v>632</v>
      </c>
      <c r="C55" s="81">
        <v>2015</v>
      </c>
      <c r="D55" s="82">
        <v>13875.564</v>
      </c>
      <c r="E55" s="82">
        <v>11739.773999999999</v>
      </c>
      <c r="F55" s="82">
        <v>9921.9380000000001</v>
      </c>
      <c r="G55" s="82">
        <v>8198.9680000000008</v>
      </c>
      <c r="H55" s="82">
        <v>6845.5119999999997</v>
      </c>
      <c r="I55" s="82">
        <v>5638.768</v>
      </c>
      <c r="J55" s="82">
        <v>4583.2060000000001</v>
      </c>
      <c r="K55" s="82">
        <v>3709.0160000000001</v>
      </c>
      <c r="L55" s="82">
        <v>3060.3760000000002</v>
      </c>
      <c r="M55" s="82">
        <v>2515.6529999999998</v>
      </c>
      <c r="N55" s="82">
        <v>2031.789</v>
      </c>
      <c r="O55" s="82">
        <v>1609.258</v>
      </c>
      <c r="P55" s="82">
        <v>1246.8530000000001</v>
      </c>
      <c r="Q55" s="82">
        <v>965.95399999999995</v>
      </c>
      <c r="R55" s="82">
        <v>664.68399999999997</v>
      </c>
      <c r="S55" s="82">
        <v>392.63900000000001</v>
      </c>
      <c r="T55" s="82">
        <v>186.655</v>
      </c>
      <c r="U55" s="82">
        <v>64.158000000000001</v>
      </c>
      <c r="V55" s="82">
        <v>14.112</v>
      </c>
      <c r="W55" s="82">
        <v>1.8049999999999999</v>
      </c>
      <c r="X55" s="82">
        <v>0.13200000000000001</v>
      </c>
      <c r="Y55" s="82">
        <f t="shared" si="36"/>
        <v>77266.813999999984</v>
      </c>
      <c r="Z55" s="52">
        <f t="shared" si="37"/>
        <v>1387.556</v>
      </c>
      <c r="AA55" s="52">
        <f t="shared" si="38"/>
        <v>1387.556</v>
      </c>
      <c r="AB55" s="52">
        <f t="shared" si="39"/>
        <v>2775.1129999999998</v>
      </c>
      <c r="AC55" s="52">
        <f t="shared" si="40"/>
        <v>8325.3379999999997</v>
      </c>
      <c r="AD55" s="52">
        <f t="shared" si="41"/>
        <v>21661.712</v>
      </c>
      <c r="AE55" s="52">
        <f t="shared" si="42"/>
        <v>34551.499000000003</v>
      </c>
      <c r="AF55" s="52">
        <f t="shared" si="43"/>
        <v>4887.8999999999996</v>
      </c>
      <c r="AG55" s="52">
        <f t="shared" si="44"/>
        <v>2290.1390000000001</v>
      </c>
      <c r="AH55" s="52">
        <f t="shared" si="45"/>
        <v>77266.812999999995</v>
      </c>
      <c r="AI55">
        <v>41.96</v>
      </c>
      <c r="AJ55" s="30">
        <f t="shared" si="46"/>
        <v>3242115.4734799997</v>
      </c>
      <c r="AK55">
        <f t="shared" si="47"/>
        <v>2775.1127999999999</v>
      </c>
      <c r="AM55" s="20" t="s">
        <v>57</v>
      </c>
      <c r="AN55" t="s">
        <v>324</v>
      </c>
      <c r="AO55" t="s">
        <v>325</v>
      </c>
      <c r="AP55" t="s">
        <v>691</v>
      </c>
      <c r="AQ55" s="55">
        <v>422297.99695636472</v>
      </c>
      <c r="AR55" s="55">
        <v>925.98496128039301</v>
      </c>
      <c r="AS55" t="s">
        <v>1121</v>
      </c>
      <c r="AT55" t="s">
        <v>1190</v>
      </c>
      <c r="AU55" t="s">
        <v>1153</v>
      </c>
      <c r="AV55">
        <v>46.421634897108802</v>
      </c>
      <c r="AW55">
        <v>48.275893257765198</v>
      </c>
      <c r="AX55">
        <v>58.566776944882299</v>
      </c>
      <c r="AY55">
        <v>66.211319695899505</v>
      </c>
      <c r="AZ55">
        <v>77.430894462840499</v>
      </c>
      <c r="BA55">
        <v>90.827511289859501</v>
      </c>
      <c r="BB55">
        <v>93.370681605975406</v>
      </c>
      <c r="BC55">
        <v>100</v>
      </c>
      <c r="BD55">
        <v>115.316515913949</v>
      </c>
      <c r="BE55">
        <v>126.52738931903799</v>
      </c>
      <c r="BF55">
        <v>128.59348721118801</v>
      </c>
      <c r="BJ55" s="20" t="s">
        <v>57</v>
      </c>
      <c r="BK55" t="s">
        <v>691</v>
      </c>
      <c r="BL55">
        <v>2015</v>
      </c>
      <c r="BM55">
        <f>INDEX('Costs lists'!$C$5:$C$8,MATCH(Lists!BK55,'Costs lists'!$B$5:$B$8,0))</f>
        <v>4.2</v>
      </c>
      <c r="BN55">
        <f>INDEX('Costs lists'!$D$5:$D$8,MATCH(Lists!BK55,'Costs lists'!$B$5:$B$8,0))</f>
        <v>4.2</v>
      </c>
      <c r="BO55">
        <f>INDEX('Costs lists'!$E$5:$E$8,MATCH(Lists!BK55,'Costs lists'!$B$5:$B$8,0))</f>
        <v>4.2</v>
      </c>
      <c r="BW55" s="20" t="s">
        <v>57</v>
      </c>
      <c r="BX55" s="20">
        <v>2008</v>
      </c>
      <c r="BY55" s="52">
        <v>226.10699999999997</v>
      </c>
      <c r="BZ55" s="52">
        <v>277.78859999999997</v>
      </c>
      <c r="CA55" s="52">
        <v>316.5498</v>
      </c>
      <c r="CB55" s="52">
        <v>329.47019999999998</v>
      </c>
      <c r="CC55" s="375">
        <f t="shared" si="65"/>
        <v>233.53622999999999</v>
      </c>
      <c r="CD55" s="375">
        <v>1.6</v>
      </c>
      <c r="CE55" s="375">
        <v>1.67</v>
      </c>
      <c r="CF55" s="375">
        <v>2.16</v>
      </c>
      <c r="CG55" s="375">
        <f t="shared" si="64"/>
        <v>1.7050000000000001</v>
      </c>
      <c r="CI55" s="20" t="s">
        <v>57</v>
      </c>
      <c r="CJ55" s="20">
        <v>2015</v>
      </c>
      <c r="CK55" s="59">
        <f t="shared" si="48"/>
        <v>0</v>
      </c>
      <c r="CL55" s="59">
        <f t="shared" si="49"/>
        <v>0</v>
      </c>
      <c r="CM55" s="59">
        <f t="shared" si="50"/>
        <v>0</v>
      </c>
      <c r="CN55" s="59">
        <f t="shared" si="51"/>
        <v>0</v>
      </c>
      <c r="CO55" s="59">
        <f t="shared" si="52"/>
        <v>0</v>
      </c>
      <c r="CP55" s="59">
        <f t="shared" si="53"/>
        <v>0</v>
      </c>
      <c r="CQ55" s="59">
        <f t="shared" si="54"/>
        <v>0</v>
      </c>
      <c r="CR55" s="59">
        <f t="shared" si="55"/>
        <v>0</v>
      </c>
      <c r="CS55" s="59">
        <f t="shared" si="56"/>
        <v>0</v>
      </c>
      <c r="CW55" s="20" t="s">
        <v>57</v>
      </c>
      <c r="DE55" t="e">
        <f t="shared" si="57"/>
        <v>#DIV/0!</v>
      </c>
      <c r="DH55" t="e">
        <f t="shared" si="58"/>
        <v>#DIV/0!</v>
      </c>
      <c r="DI55" t="e">
        <f t="shared" si="31"/>
        <v>#DIV/0!</v>
      </c>
      <c r="DJ55" t="e">
        <f t="shared" si="32"/>
        <v>#DIV/0!</v>
      </c>
      <c r="DL55" s="20" t="s">
        <v>57</v>
      </c>
      <c r="DM55" s="99"/>
      <c r="DN55" s="100"/>
      <c r="DO55" s="101"/>
      <c r="DP55" s="101"/>
      <c r="DQ55" s="101"/>
      <c r="DR55" s="101"/>
      <c r="DS55" s="101"/>
      <c r="DT55" s="101"/>
      <c r="DU55" s="101"/>
      <c r="DV55" s="101"/>
      <c r="DW55" s="101"/>
      <c r="DX55" t="e">
        <f t="shared" ca="1" si="59"/>
        <v>#N/A</v>
      </c>
      <c r="DY55" t="e">
        <f t="shared" ca="1" si="60"/>
        <v>#N/A</v>
      </c>
      <c r="DZ55" t="e">
        <f t="shared" ca="1" si="61"/>
        <v>#N/A</v>
      </c>
      <c r="EB55" s="20" t="s">
        <v>57</v>
      </c>
      <c r="EC55" s="99"/>
      <c r="ED55" s="100"/>
      <c r="EE55" s="101"/>
      <c r="EF55" s="101"/>
      <c r="EG55" s="101"/>
      <c r="EH55" s="101"/>
      <c r="EI55" s="101"/>
      <c r="EJ55" s="101"/>
      <c r="EK55" s="101"/>
      <c r="EL55" s="101"/>
      <c r="EM55" s="101"/>
      <c r="EN55" s="101"/>
      <c r="EQ55" s="20" t="s">
        <v>57</v>
      </c>
      <c r="ER55" s="20" t="e">
        <f t="shared" ca="1" si="62"/>
        <v>#N/A</v>
      </c>
      <c r="ES55" t="e">
        <f t="shared" ca="1" si="63"/>
        <v>#N/A</v>
      </c>
      <c r="EU55" s="20" t="s">
        <v>57</v>
      </c>
      <c r="EV55" s="109">
        <v>784.36523214926399</v>
      </c>
    </row>
    <row r="56" spans="1:152" x14ac:dyDescent="0.3">
      <c r="A56" s="20" t="s">
        <v>146</v>
      </c>
      <c r="B56" s="20" t="s">
        <v>257</v>
      </c>
      <c r="C56" s="81">
        <v>2015</v>
      </c>
      <c r="D56" s="82">
        <v>294.67500000000001</v>
      </c>
      <c r="E56" s="82">
        <v>332.39499999999998</v>
      </c>
      <c r="F56" s="82">
        <v>329.928</v>
      </c>
      <c r="G56" s="82">
        <v>358.26</v>
      </c>
      <c r="H56" s="82">
        <v>385.07900000000001</v>
      </c>
      <c r="I56" s="82">
        <v>344.18799999999999</v>
      </c>
      <c r="J56" s="82">
        <v>311.64</v>
      </c>
      <c r="K56" s="82">
        <v>356.798</v>
      </c>
      <c r="L56" s="82">
        <v>378.53300000000002</v>
      </c>
      <c r="M56" s="82">
        <v>429.87799999999999</v>
      </c>
      <c r="N56" s="82">
        <v>391.28800000000001</v>
      </c>
      <c r="O56" s="82">
        <v>355.80700000000002</v>
      </c>
      <c r="P56" s="82">
        <v>325.786</v>
      </c>
      <c r="Q56" s="82">
        <v>378.16300000000001</v>
      </c>
      <c r="R56" s="82">
        <v>271.863</v>
      </c>
      <c r="S56" s="82">
        <v>188.465</v>
      </c>
      <c r="T56" s="82">
        <v>119.465</v>
      </c>
      <c r="U56" s="82">
        <v>74.489000000000004</v>
      </c>
      <c r="V56" s="82">
        <v>33.222999999999999</v>
      </c>
      <c r="W56" s="82">
        <v>8.8109999999999999</v>
      </c>
      <c r="X56" s="82">
        <v>0.34699999999999998</v>
      </c>
      <c r="Y56" s="82">
        <f t="shared" si="36"/>
        <v>5669.0809999999992</v>
      </c>
      <c r="Z56" s="52">
        <f t="shared" si="37"/>
        <v>29.468</v>
      </c>
      <c r="AA56" s="52">
        <f t="shared" si="38"/>
        <v>29.468</v>
      </c>
      <c r="AB56" s="52">
        <f t="shared" si="39"/>
        <v>58.935000000000002</v>
      </c>
      <c r="AC56" s="52">
        <f t="shared" si="40"/>
        <v>176.80500000000001</v>
      </c>
      <c r="AD56" s="52">
        <f t="shared" si="41"/>
        <v>662.32299999999998</v>
      </c>
      <c r="AE56" s="52">
        <f t="shared" si="42"/>
        <v>2564.3760000000002</v>
      </c>
      <c r="AF56" s="52">
        <f t="shared" si="43"/>
        <v>1072.8810000000001</v>
      </c>
      <c r="AG56" s="52">
        <f t="shared" si="44"/>
        <v>1074.826</v>
      </c>
      <c r="AH56" s="52">
        <f t="shared" si="45"/>
        <v>5669.0820000000003</v>
      </c>
      <c r="AI56">
        <v>10.1</v>
      </c>
      <c r="AJ56" s="30">
        <f t="shared" si="46"/>
        <v>57257.728199999998</v>
      </c>
      <c r="AK56">
        <f t="shared" si="47"/>
        <v>58.935000000000002</v>
      </c>
      <c r="AM56" s="20" t="s">
        <v>146</v>
      </c>
      <c r="AN56" t="s">
        <v>336</v>
      </c>
      <c r="AO56" t="s">
        <v>337</v>
      </c>
      <c r="AP56" t="s">
        <v>690</v>
      </c>
      <c r="AQ56" s="55">
        <v>356677.58661370148</v>
      </c>
      <c r="AR56" s="55">
        <v>6.7279068312963002</v>
      </c>
      <c r="AS56" t="s">
        <v>146</v>
      </c>
      <c r="AT56" t="s">
        <v>1202</v>
      </c>
      <c r="AU56" t="s">
        <v>1153</v>
      </c>
      <c r="AV56">
        <v>87.414919684182095</v>
      </c>
      <c r="AW56">
        <v>88.4290770487343</v>
      </c>
      <c r="AX56">
        <v>90.028586986115201</v>
      </c>
      <c r="AY56">
        <v>91.730193302477801</v>
      </c>
      <c r="AZ56">
        <v>93.302477538796893</v>
      </c>
      <c r="BA56">
        <v>96.4742717124969</v>
      </c>
      <c r="BB56">
        <v>97.753879662401303</v>
      </c>
      <c r="BC56">
        <v>100</v>
      </c>
      <c r="BD56">
        <v>102.758682260512</v>
      </c>
      <c r="BE56">
        <v>105.222747968931</v>
      </c>
      <c r="BF56">
        <v>106.053030979377</v>
      </c>
      <c r="BG56">
        <v>106.65119185787</v>
      </c>
      <c r="BH56">
        <v>107.133291670387</v>
      </c>
      <c r="BJ56" s="20" t="s">
        <v>146</v>
      </c>
      <c r="BK56" t="s">
        <v>690</v>
      </c>
      <c r="BL56">
        <v>2015</v>
      </c>
      <c r="BM56">
        <f>INDEX('Costs lists'!$C$5:$C$8,MATCH(Lists!BK56,'Costs lists'!$B$5:$B$8,0))</f>
        <v>3.55</v>
      </c>
      <c r="BN56">
        <f>INDEX('Costs lists'!$D$5:$D$8,MATCH(Lists!BK56,'Costs lists'!$B$5:$B$8,0))</f>
        <v>2.91</v>
      </c>
      <c r="BO56">
        <f>INDEX('Costs lists'!$E$5:$E$8,MATCH(Lists!BK56,'Costs lists'!$B$5:$B$8,0))</f>
        <v>7.59</v>
      </c>
      <c r="BW56" s="20" t="s">
        <v>146</v>
      </c>
      <c r="BX56" s="20">
        <v>2008</v>
      </c>
      <c r="BY56" s="52">
        <v>366.04799999999994</v>
      </c>
      <c r="BZ56" s="52">
        <v>451.98399999999992</v>
      </c>
      <c r="CA56" s="52">
        <v>515.04200000000003</v>
      </c>
      <c r="CB56" s="52">
        <v>536.77199999999993</v>
      </c>
      <c r="CC56" s="375">
        <f t="shared" si="65"/>
        <v>378.33774999999997</v>
      </c>
      <c r="CD56" s="375">
        <v>492.12</v>
      </c>
      <c r="CE56" s="375">
        <v>513.4</v>
      </c>
      <c r="CF56" s="375">
        <v>663.85</v>
      </c>
      <c r="CG56" s="375">
        <f t="shared" si="64"/>
        <v>524.2883333333333</v>
      </c>
      <c r="CI56" s="20" t="s">
        <v>146</v>
      </c>
      <c r="CJ56" s="20">
        <v>2015</v>
      </c>
      <c r="CK56" s="59">
        <f t="shared" si="48"/>
        <v>406.49104111642583</v>
      </c>
      <c r="CL56" s="59">
        <f t="shared" si="49"/>
        <v>501.92173356490576</v>
      </c>
      <c r="CM56" s="59">
        <f t="shared" si="50"/>
        <v>571.94673594360916</v>
      </c>
      <c r="CN56" s="59">
        <f t="shared" si="51"/>
        <v>596.07758851884489</v>
      </c>
      <c r="CO56" s="59">
        <f t="shared" si="52"/>
        <v>420.13863179458991</v>
      </c>
      <c r="CP56" s="59">
        <f t="shared" si="53"/>
        <v>546.49218450644594</v>
      </c>
      <c r="CQ56" s="59">
        <f t="shared" si="54"/>
        <v>570.12331855159175</v>
      </c>
      <c r="CR56" s="59">
        <f t="shared" si="55"/>
        <v>737.19588044502188</v>
      </c>
      <c r="CS56" s="59">
        <f t="shared" si="56"/>
        <v>582.21465617039951</v>
      </c>
      <c r="CW56" s="20" t="s">
        <v>146</v>
      </c>
      <c r="CX56">
        <v>2014</v>
      </c>
      <c r="CY56">
        <v>5.6468989999999994</v>
      </c>
      <c r="CZ56">
        <v>2.8066797256469727</v>
      </c>
      <c r="DA56">
        <v>1438.3959537572255</v>
      </c>
      <c r="DB56">
        <v>246955.25</v>
      </c>
      <c r="DC56">
        <v>0.64039546251296997</v>
      </c>
      <c r="DE56">
        <f t="shared" si="57"/>
        <v>56347.370203524348</v>
      </c>
      <c r="DH56">
        <f t="shared" si="58"/>
        <v>39.173754664937505</v>
      </c>
      <c r="DI56">
        <f t="shared" si="31"/>
        <v>39.350833415306475</v>
      </c>
      <c r="DJ56">
        <f t="shared" si="32"/>
        <v>79.171905448114018</v>
      </c>
      <c r="DL56" s="20" t="s">
        <v>146</v>
      </c>
      <c r="DM56" s="99" t="s">
        <v>796</v>
      </c>
      <c r="DN56" s="100" t="s">
        <v>754</v>
      </c>
      <c r="DO56" s="101">
        <v>35.6</v>
      </c>
      <c r="DP56" s="101">
        <v>35.4</v>
      </c>
      <c r="DQ56" s="101">
        <v>35</v>
      </c>
      <c r="DR56" s="101">
        <v>35.299999999999997</v>
      </c>
      <c r="DS56" s="101">
        <v>35.5</v>
      </c>
      <c r="DT56" s="101">
        <v>35.299999999999997</v>
      </c>
      <c r="DU56" s="101">
        <v>35.299999999999997</v>
      </c>
      <c r="DV56" s="101">
        <v>35</v>
      </c>
      <c r="DW56" s="101">
        <v>34.9</v>
      </c>
      <c r="DX56">
        <f t="shared" ca="1" si="59"/>
        <v>34.9</v>
      </c>
      <c r="DY56">
        <f t="shared" ca="1" si="60"/>
        <v>6.9799999999999995</v>
      </c>
      <c r="DZ56">
        <f t="shared" ca="1" si="61"/>
        <v>274.66881723883915</v>
      </c>
      <c r="EB56" s="20" t="s">
        <v>146</v>
      </c>
      <c r="EC56" s="99" t="s">
        <v>796</v>
      </c>
      <c r="ED56" s="100" t="s">
        <v>754</v>
      </c>
      <c r="EE56" s="101">
        <v>63.4</v>
      </c>
      <c r="EF56" s="101">
        <v>63.2</v>
      </c>
      <c r="EG56" s="101">
        <v>63.7</v>
      </c>
      <c r="EH56" s="101">
        <v>61.4</v>
      </c>
      <c r="EI56" s="101">
        <v>59.6</v>
      </c>
      <c r="EJ56" s="101">
        <v>59.1</v>
      </c>
      <c r="EK56" s="101">
        <v>58.4</v>
      </c>
      <c r="EL56" s="101">
        <v>58</v>
      </c>
      <c r="EM56" s="101">
        <v>58.1</v>
      </c>
      <c r="EN56" s="101">
        <v>58.4</v>
      </c>
      <c r="EO56">
        <f ca="1">OFFSET(EE56,0,MATCH(MAX(EE56:EN56)+1,EE56:EN56,1)-1)</f>
        <v>58.4</v>
      </c>
      <c r="EQ56" s="20" t="s">
        <v>146</v>
      </c>
      <c r="ER56" s="20">
        <f t="shared" ca="1" si="62"/>
        <v>274.66881723883915</v>
      </c>
      <c r="ES56">
        <f t="shared" ca="1" si="63"/>
        <v>160.40658926748208</v>
      </c>
      <c r="EU56" s="20" t="s">
        <v>146</v>
      </c>
      <c r="EV56" s="109">
        <v>46623.714132306348</v>
      </c>
    </row>
    <row r="57" spans="1:152" x14ac:dyDescent="0.3">
      <c r="A57" s="20" t="s">
        <v>36</v>
      </c>
      <c r="B57" s="20" t="s">
        <v>631</v>
      </c>
      <c r="C57" s="81">
        <v>2015</v>
      </c>
      <c r="D57" s="82">
        <v>102.054</v>
      </c>
      <c r="E57" s="82">
        <v>96.033000000000001</v>
      </c>
      <c r="F57" s="82">
        <v>92.558000000000007</v>
      </c>
      <c r="G57" s="82">
        <v>88.58</v>
      </c>
      <c r="H57" s="82">
        <v>89.926000000000002</v>
      </c>
      <c r="I57" s="82">
        <v>86.168000000000006</v>
      </c>
      <c r="J57" s="82">
        <v>65.397999999999996</v>
      </c>
      <c r="K57" s="82">
        <v>60.987000000000002</v>
      </c>
      <c r="L57" s="82">
        <v>48.156999999999996</v>
      </c>
      <c r="M57" s="82">
        <v>41.03</v>
      </c>
      <c r="N57" s="82">
        <v>35.06</v>
      </c>
      <c r="O57" s="82">
        <v>26.248999999999999</v>
      </c>
      <c r="P57" s="82">
        <v>18.489999999999998</v>
      </c>
      <c r="Q57" s="82">
        <v>15.545999999999999</v>
      </c>
      <c r="R57" s="82">
        <v>10.57</v>
      </c>
      <c r="S57" s="82">
        <v>6.3929999999999998</v>
      </c>
      <c r="T57" s="82">
        <v>3.1749999999999998</v>
      </c>
      <c r="U57" s="82">
        <v>1.1659999999999999</v>
      </c>
      <c r="V57" s="82">
        <v>0.28000000000000003</v>
      </c>
      <c r="W57" s="82">
        <v>3.7999999999999999E-2</v>
      </c>
      <c r="X57" s="82">
        <v>3.0000000000000001E-3</v>
      </c>
      <c r="Y57" s="82">
        <f t="shared" si="36"/>
        <v>887.86100000000022</v>
      </c>
      <c r="Z57" s="52">
        <f t="shared" si="37"/>
        <v>10.205</v>
      </c>
      <c r="AA57" s="52">
        <f t="shared" si="38"/>
        <v>10.205</v>
      </c>
      <c r="AB57" s="52">
        <f t="shared" si="39"/>
        <v>20.411000000000001</v>
      </c>
      <c r="AC57" s="52">
        <f t="shared" si="40"/>
        <v>61.231999999999999</v>
      </c>
      <c r="AD57" s="52">
        <f t="shared" si="41"/>
        <v>188.59100000000001</v>
      </c>
      <c r="AE57" s="52">
        <f t="shared" si="42"/>
        <v>480.24599999999998</v>
      </c>
      <c r="AF57" s="52">
        <f t="shared" si="43"/>
        <v>79.799000000000007</v>
      </c>
      <c r="AG57" s="52">
        <f t="shared" si="44"/>
        <v>37.170999999999999</v>
      </c>
      <c r="AH57" s="52">
        <f t="shared" si="45"/>
        <v>887.86</v>
      </c>
      <c r="AI57">
        <v>25.105</v>
      </c>
      <c r="AJ57" s="30">
        <f t="shared" si="46"/>
        <v>22289.725300000002</v>
      </c>
      <c r="AK57">
        <f t="shared" si="47"/>
        <v>20.410800000000002</v>
      </c>
      <c r="AM57" s="20" t="s">
        <v>36</v>
      </c>
      <c r="AN57" t="s">
        <v>338</v>
      </c>
      <c r="AO57" t="s">
        <v>339</v>
      </c>
      <c r="AP57" t="s">
        <v>688</v>
      </c>
      <c r="AQ57" s="55">
        <v>345687.48937052081</v>
      </c>
      <c r="AR57" s="55">
        <v>177.72</v>
      </c>
      <c r="AS57" t="s">
        <v>36</v>
      </c>
      <c r="AT57" t="s">
        <v>1203</v>
      </c>
      <c r="AU57" t="s">
        <v>1153</v>
      </c>
      <c r="AV57">
        <v>73.172863970159895</v>
      </c>
      <c r="AW57">
        <v>75.457512530598393</v>
      </c>
      <c r="AX57">
        <v>77.800442942068202</v>
      </c>
      <c r="AY57">
        <v>80.5105490150371</v>
      </c>
      <c r="AZ57">
        <v>84.508683995803693</v>
      </c>
      <c r="BA57">
        <v>94.614756964681206</v>
      </c>
      <c r="BB57">
        <v>96.200023312740598</v>
      </c>
      <c r="BC57">
        <v>100</v>
      </c>
      <c r="BD57">
        <v>105.06871394778</v>
      </c>
      <c r="BE57">
        <v>108.98904779208</v>
      </c>
      <c r="BF57">
        <v>111.627229280802</v>
      </c>
      <c r="BG57">
        <v>114.85021564284899</v>
      </c>
      <c r="BH57">
        <v>117.321366126589</v>
      </c>
      <c r="BJ57" s="20" t="s">
        <v>36</v>
      </c>
      <c r="BK57" t="s">
        <v>688</v>
      </c>
      <c r="BL57">
        <v>2015</v>
      </c>
      <c r="BM57">
        <f>INDEX('Costs lists'!$C$5:$C$8,MATCH(Lists!BK57,'Costs lists'!$B$5:$B$8,0))</f>
        <v>5.21</v>
      </c>
      <c r="BN57">
        <f>INDEX('Costs lists'!$D$5:$D$8,MATCH(Lists!BK57,'Costs lists'!$B$5:$B$8,0))</f>
        <v>5.16</v>
      </c>
      <c r="BO57">
        <f>INDEX('Costs lists'!$E$5:$E$8,MATCH(Lists!BK57,'Costs lists'!$B$5:$B$8,0))</f>
        <v>5.26</v>
      </c>
      <c r="BW57" s="20" t="s">
        <v>36</v>
      </c>
      <c r="BX57" s="20">
        <v>2008</v>
      </c>
      <c r="BY57" s="52">
        <v>351.08639999999997</v>
      </c>
      <c r="BZ57" s="52">
        <v>433.74959999999999</v>
      </c>
      <c r="CA57" s="52">
        <v>494.1216</v>
      </c>
      <c r="CB57" s="52">
        <v>514.55520000000001</v>
      </c>
      <c r="CC57" s="375">
        <f t="shared" si="65"/>
        <v>362.88216</v>
      </c>
      <c r="CD57" s="375">
        <v>16.38</v>
      </c>
      <c r="CE57" s="375">
        <v>17.09</v>
      </c>
      <c r="CF57" s="375">
        <v>22.1</v>
      </c>
      <c r="CG57" s="375">
        <f t="shared" si="64"/>
        <v>17.451666666666664</v>
      </c>
      <c r="CI57" s="20" t="s">
        <v>36</v>
      </c>
      <c r="CJ57" s="20">
        <v>2015</v>
      </c>
      <c r="CK57" s="59">
        <f t="shared" si="48"/>
        <v>435.3436757422723</v>
      </c>
      <c r="CL57" s="59">
        <f t="shared" si="49"/>
        <v>537.84522902550577</v>
      </c>
      <c r="CM57" s="59">
        <f t="shared" si="50"/>
        <v>612.7059140076426</v>
      </c>
      <c r="CN57" s="59">
        <f t="shared" si="51"/>
        <v>638.04337661698116</v>
      </c>
      <c r="CO57" s="59">
        <f t="shared" si="52"/>
        <v>449.97030188493596</v>
      </c>
      <c r="CP57" s="59">
        <f t="shared" si="53"/>
        <v>20.31103856104486</v>
      </c>
      <c r="CQ57" s="59">
        <f t="shared" si="54"/>
        <v>21.191431563385635</v>
      </c>
      <c r="CR57" s="59">
        <f t="shared" si="55"/>
        <v>27.40378218553672</v>
      </c>
      <c r="CS57" s="59">
        <f t="shared" si="56"/>
        <v>21.639894665516966</v>
      </c>
      <c r="CW57" s="20" t="s">
        <v>36</v>
      </c>
      <c r="CX57">
        <v>2014</v>
      </c>
      <c r="CY57">
        <v>0.87617400000000001</v>
      </c>
      <c r="CZ57">
        <v>0.13580499589443207</v>
      </c>
      <c r="DB57">
        <v>2817.3515625</v>
      </c>
      <c r="DC57">
        <v>0.63349533081054688</v>
      </c>
      <c r="DE57">
        <f t="shared" si="57"/>
        <v>13142.219462109815</v>
      </c>
      <c r="DH57" t="e">
        <f t="shared" si="58"/>
        <v>#DIV/0!</v>
      </c>
      <c r="DI57" t="e">
        <f t="shared" si="31"/>
        <v>#DIV/0!</v>
      </c>
      <c r="DJ57" t="e">
        <f t="shared" si="32"/>
        <v>#DIV/0!</v>
      </c>
      <c r="DL57" s="20" t="s">
        <v>36</v>
      </c>
      <c r="DM57" s="99"/>
      <c r="DN57" s="100"/>
      <c r="DO57" s="101"/>
      <c r="DP57" s="101"/>
      <c r="DQ57" s="101"/>
      <c r="DR57" s="101"/>
      <c r="DS57" s="101"/>
      <c r="DT57" s="101"/>
      <c r="DU57" s="101"/>
      <c r="DV57" s="101"/>
      <c r="DW57" s="101"/>
      <c r="DX57" t="e">
        <f t="shared" ca="1" si="59"/>
        <v>#N/A</v>
      </c>
      <c r="DY57" t="e">
        <f t="shared" ca="1" si="60"/>
        <v>#N/A</v>
      </c>
      <c r="DZ57" t="e">
        <f t="shared" ca="1" si="61"/>
        <v>#N/A</v>
      </c>
      <c r="EB57" s="20" t="s">
        <v>36</v>
      </c>
      <c r="EC57" s="99"/>
      <c r="ED57" s="100"/>
      <c r="EE57" s="101"/>
      <c r="EF57" s="101"/>
      <c r="EG57" s="101"/>
      <c r="EH57" s="101"/>
      <c r="EI57" s="101"/>
      <c r="EJ57" s="101"/>
      <c r="EK57" s="101"/>
      <c r="EL57" s="101"/>
      <c r="EM57" s="101"/>
      <c r="EN57" s="101"/>
      <c r="EQ57" s="20" t="s">
        <v>36</v>
      </c>
      <c r="ER57" s="20" t="e">
        <f t="shared" ca="1" si="62"/>
        <v>#N/A</v>
      </c>
      <c r="ES57" t="e">
        <f t="shared" ca="1" si="63"/>
        <v>#N/A</v>
      </c>
      <c r="EU57" s="20" t="s">
        <v>36</v>
      </c>
      <c r="EV57" s="109">
        <v>3491.3801450900069</v>
      </c>
    </row>
    <row r="58" spans="1:152" x14ac:dyDescent="0.3">
      <c r="A58" s="20" t="s">
        <v>181</v>
      </c>
      <c r="B58" s="20" t="s">
        <v>633</v>
      </c>
      <c r="C58" s="81">
        <v>2015</v>
      </c>
      <c r="D58" s="82">
        <v>1062.223</v>
      </c>
      <c r="E58" s="82">
        <v>1059.3</v>
      </c>
      <c r="F58" s="82">
        <v>1032.6610000000001</v>
      </c>
      <c r="G58" s="82">
        <v>974.61</v>
      </c>
      <c r="H58" s="82">
        <v>943.29700000000003</v>
      </c>
      <c r="I58" s="82">
        <v>865.15899999999999</v>
      </c>
      <c r="J58" s="82">
        <v>785.21299999999997</v>
      </c>
      <c r="K58" s="82">
        <v>690.14800000000002</v>
      </c>
      <c r="L58" s="82">
        <v>622.30100000000004</v>
      </c>
      <c r="M58" s="82">
        <v>559.36800000000005</v>
      </c>
      <c r="N58" s="82">
        <v>496.03500000000003</v>
      </c>
      <c r="O58" s="82">
        <v>415.27800000000002</v>
      </c>
      <c r="P58" s="82">
        <v>322.38</v>
      </c>
      <c r="Q58" s="82">
        <v>235.14500000000001</v>
      </c>
      <c r="R58" s="82">
        <v>169.762</v>
      </c>
      <c r="S58" s="82">
        <v>131.054</v>
      </c>
      <c r="T58" s="82">
        <v>85.644000000000005</v>
      </c>
      <c r="U58" s="82">
        <v>46.673999999999999</v>
      </c>
      <c r="V58" s="82">
        <v>21.341000000000001</v>
      </c>
      <c r="W58" s="82">
        <v>7.9180000000000001</v>
      </c>
      <c r="X58" s="82">
        <v>2.88</v>
      </c>
      <c r="Y58" s="82">
        <f t="shared" si="36"/>
        <v>10528.391000000001</v>
      </c>
      <c r="Z58" s="52">
        <f t="shared" si="37"/>
        <v>106.22199999999999</v>
      </c>
      <c r="AA58" s="52">
        <f t="shared" si="38"/>
        <v>106.22199999999999</v>
      </c>
      <c r="AB58" s="52">
        <f t="shared" si="39"/>
        <v>212.44499999999999</v>
      </c>
      <c r="AC58" s="52">
        <f t="shared" si="40"/>
        <v>637.33399999999995</v>
      </c>
      <c r="AD58" s="52">
        <f t="shared" si="41"/>
        <v>2091.9609999999998</v>
      </c>
      <c r="AE58" s="52">
        <f t="shared" si="42"/>
        <v>5440.0959999999995</v>
      </c>
      <c r="AF58" s="52">
        <f t="shared" si="43"/>
        <v>1233.693</v>
      </c>
      <c r="AG58" s="52">
        <f t="shared" si="44"/>
        <v>700.41800000000001</v>
      </c>
      <c r="AH58" s="52">
        <f t="shared" si="45"/>
        <v>10528.390999999998</v>
      </c>
      <c r="AI58">
        <v>20.853000000000002</v>
      </c>
      <c r="AJ58" s="30">
        <f t="shared" si="46"/>
        <v>219548.53752299998</v>
      </c>
      <c r="AK58">
        <f t="shared" si="47"/>
        <v>212.44459999999998</v>
      </c>
      <c r="AM58" s="20" t="s">
        <v>181</v>
      </c>
      <c r="AN58" t="s">
        <v>340</v>
      </c>
      <c r="AO58" t="s">
        <v>341</v>
      </c>
      <c r="AP58" t="s">
        <v>689</v>
      </c>
      <c r="AQ58" s="55">
        <v>291415.72719896137</v>
      </c>
      <c r="AR58" s="55">
        <v>45.051697688397802</v>
      </c>
      <c r="AS58" t="s">
        <v>181</v>
      </c>
      <c r="AT58" t="s">
        <v>1204</v>
      </c>
      <c r="AU58" t="s">
        <v>1153</v>
      </c>
      <c r="AV58">
        <v>46.502064618422601</v>
      </c>
      <c r="AW58">
        <v>70.432426911535202</v>
      </c>
      <c r="AX58">
        <v>73.383688298550197</v>
      </c>
      <c r="AY58">
        <v>78.940892090249903</v>
      </c>
      <c r="AZ58">
        <v>83.790678332936196</v>
      </c>
      <c r="BA58">
        <v>92.7098785547186</v>
      </c>
      <c r="BB58">
        <v>94.046895290530003</v>
      </c>
      <c r="BC58">
        <v>100</v>
      </c>
      <c r="BD58">
        <v>108.460168809602</v>
      </c>
      <c r="BE58">
        <v>112.467256758376</v>
      </c>
      <c r="BF58">
        <v>117.90049478676301</v>
      </c>
      <c r="BG58">
        <v>121.43590884966299</v>
      </c>
      <c r="BH58">
        <v>122.452019380575</v>
      </c>
      <c r="BJ58" s="20" t="s">
        <v>181</v>
      </c>
      <c r="BK58" t="s">
        <v>689</v>
      </c>
      <c r="BL58">
        <v>2015</v>
      </c>
      <c r="BM58">
        <f>INDEX('Costs lists'!$C$5:$C$8,MATCH(Lists!BK58,'Costs lists'!$B$5:$B$8,0))</f>
        <v>3.2</v>
      </c>
      <c r="BN58">
        <f>INDEX('Costs lists'!$D$5:$D$8,MATCH(Lists!BK58,'Costs lists'!$B$5:$B$8,0))</f>
        <v>1.1200000000000001</v>
      </c>
      <c r="BO58">
        <f>INDEX('Costs lists'!$E$5:$E$8,MATCH(Lists!BK58,'Costs lists'!$B$5:$B$8,0))</f>
        <v>4.4400000000000004</v>
      </c>
      <c r="BW58" s="20" t="s">
        <v>181</v>
      </c>
      <c r="BX58" s="20">
        <v>2008</v>
      </c>
      <c r="BY58" s="52">
        <v>226.709</v>
      </c>
      <c r="BZ58" s="52">
        <v>280.02940000000001</v>
      </c>
      <c r="CA58" s="52">
        <v>319.14400000000001</v>
      </c>
      <c r="CB58" s="52">
        <v>332.57140000000004</v>
      </c>
      <c r="CC58" s="375">
        <f t="shared" si="65"/>
        <v>234.33245500000004</v>
      </c>
      <c r="CD58" s="375">
        <v>77.33</v>
      </c>
      <c r="CE58" s="375">
        <v>80.67</v>
      </c>
      <c r="CF58" s="375">
        <v>104.32</v>
      </c>
      <c r="CG58" s="375">
        <f t="shared" si="64"/>
        <v>82.384999999999991</v>
      </c>
      <c r="CI58" s="20" t="s">
        <v>181</v>
      </c>
      <c r="CJ58" s="20">
        <v>2015</v>
      </c>
      <c r="CK58" s="59">
        <f t="shared" si="48"/>
        <v>299.43923230754621</v>
      </c>
      <c r="CL58" s="59">
        <f t="shared" si="49"/>
        <v>369.86528351120944</v>
      </c>
      <c r="CM58" s="59">
        <f t="shared" si="50"/>
        <v>421.52818968615946</v>
      </c>
      <c r="CN58" s="59">
        <f t="shared" si="51"/>
        <v>439.26321717905279</v>
      </c>
      <c r="CO58" s="59">
        <f t="shared" si="52"/>
        <v>309.50835842398243</v>
      </c>
      <c r="CP58" s="59">
        <f t="shared" si="53"/>
        <v>102.13814111633215</v>
      </c>
      <c r="CQ58" s="59">
        <f t="shared" si="54"/>
        <v>106.54964236201364</v>
      </c>
      <c r="CR58" s="59">
        <f t="shared" si="55"/>
        <v>137.78676944595591</v>
      </c>
      <c r="CS58" s="59">
        <f t="shared" si="56"/>
        <v>108.81482937888302</v>
      </c>
      <c r="CW58" s="20" t="s">
        <v>181</v>
      </c>
      <c r="CX58">
        <v>2014</v>
      </c>
      <c r="CY58">
        <v>10.405942999999999</v>
      </c>
      <c r="CZ58">
        <v>4.2233281135559082</v>
      </c>
      <c r="DB58">
        <v>131433.609375</v>
      </c>
      <c r="DC58">
        <v>0.6618608832359314</v>
      </c>
      <c r="DE58">
        <f t="shared" si="57"/>
        <v>20597.680892612541</v>
      </c>
      <c r="DH58" t="e">
        <f t="shared" si="58"/>
        <v>#DIV/0!</v>
      </c>
      <c r="DI58" t="e">
        <f t="shared" si="31"/>
        <v>#DIV/0!</v>
      </c>
      <c r="DJ58" t="e">
        <f t="shared" si="32"/>
        <v>#DIV/0!</v>
      </c>
      <c r="DL58" s="20" t="s">
        <v>181</v>
      </c>
      <c r="DM58" s="99" t="s">
        <v>765</v>
      </c>
      <c r="DN58" s="100" t="s">
        <v>847</v>
      </c>
      <c r="DO58" s="101"/>
      <c r="DP58" s="101"/>
      <c r="DQ58" s="101">
        <v>41.2</v>
      </c>
      <c r="DR58" s="101">
        <v>40.799999999999997</v>
      </c>
      <c r="DS58" s="101">
        <v>40.6</v>
      </c>
      <c r="DT58" s="101">
        <v>40.9</v>
      </c>
      <c r="DU58" s="101">
        <v>41</v>
      </c>
      <c r="DV58" s="101">
        <v>41.3</v>
      </c>
      <c r="DW58" s="101">
        <v>41.7</v>
      </c>
      <c r="DX58">
        <f t="shared" ca="1" si="59"/>
        <v>41.7</v>
      </c>
      <c r="DY58">
        <f t="shared" ca="1" si="60"/>
        <v>8.34</v>
      </c>
      <c r="DZ58" t="e">
        <f t="shared" ca="1" si="61"/>
        <v>#DIV/0!</v>
      </c>
      <c r="EB58" s="20" t="s">
        <v>181</v>
      </c>
      <c r="EC58" s="99" t="s">
        <v>765</v>
      </c>
      <c r="ED58" s="100" t="s">
        <v>754</v>
      </c>
      <c r="EE58" s="101">
        <v>47.4</v>
      </c>
      <c r="EF58" s="101">
        <v>47.4</v>
      </c>
      <c r="EG58" s="101">
        <v>47.7</v>
      </c>
      <c r="EH58" s="101">
        <v>45.8</v>
      </c>
      <c r="EI58" s="101">
        <v>47.1</v>
      </c>
      <c r="EJ58" s="101">
        <v>48</v>
      </c>
      <c r="EK58" s="101">
        <v>48.1</v>
      </c>
      <c r="EL58" s="101">
        <v>47.7</v>
      </c>
      <c r="EM58" s="101">
        <v>49</v>
      </c>
      <c r="EN58" s="101">
        <v>49.5</v>
      </c>
      <c r="EO58">
        <f ca="1">OFFSET(EE58,0,MATCH(MAX(EE58:EN58)+1,EE58:EN58,1)-1)</f>
        <v>49.5</v>
      </c>
      <c r="EQ58" s="20" t="s">
        <v>181</v>
      </c>
      <c r="ER58" s="20" t="e">
        <f t="shared" ca="1" si="62"/>
        <v>#DIV/0!</v>
      </c>
      <c r="ES58" t="e">
        <f t="shared" ca="1" si="63"/>
        <v>#DIV/0!</v>
      </c>
      <c r="EU58" s="20" t="s">
        <v>181</v>
      </c>
      <c r="EV58" s="109">
        <v>14237.061958433595</v>
      </c>
    </row>
    <row r="59" spans="1:152" x14ac:dyDescent="0.3">
      <c r="A59" s="20" t="s">
        <v>203</v>
      </c>
      <c r="B59" s="20" t="s">
        <v>633</v>
      </c>
      <c r="C59" s="81">
        <v>2015</v>
      </c>
      <c r="D59" s="82">
        <v>1610.3330000000001</v>
      </c>
      <c r="E59" s="82">
        <v>1567.9860000000001</v>
      </c>
      <c r="F59" s="82">
        <v>1506.6579999999999</v>
      </c>
      <c r="G59" s="82">
        <v>1498.7339999999999</v>
      </c>
      <c r="H59" s="82">
        <v>1442.0909999999999</v>
      </c>
      <c r="I59" s="82">
        <v>1356.4870000000001</v>
      </c>
      <c r="J59" s="82">
        <v>1219.8810000000001</v>
      </c>
      <c r="K59" s="82">
        <v>1096.8869999999999</v>
      </c>
      <c r="L59" s="82">
        <v>992.76300000000003</v>
      </c>
      <c r="M59" s="82">
        <v>874.66600000000005</v>
      </c>
      <c r="N59" s="82">
        <v>745.096</v>
      </c>
      <c r="O59" s="82">
        <v>630.37400000000002</v>
      </c>
      <c r="P59" s="82">
        <v>520.05799999999999</v>
      </c>
      <c r="Q59" s="82">
        <v>362.66399999999999</v>
      </c>
      <c r="R59" s="82">
        <v>286.93799999999999</v>
      </c>
      <c r="S59" s="82">
        <v>199.92599999999999</v>
      </c>
      <c r="T59" s="82">
        <v>128.46600000000001</v>
      </c>
      <c r="U59" s="82">
        <v>69.284000000000006</v>
      </c>
      <c r="V59" s="82">
        <v>27.042999999999999</v>
      </c>
      <c r="W59" s="82">
        <v>6.843</v>
      </c>
      <c r="X59" s="82">
        <v>1.1850000000000001</v>
      </c>
      <c r="Y59" s="82">
        <f t="shared" si="36"/>
        <v>16144.362999999999</v>
      </c>
      <c r="Z59" s="52">
        <f t="shared" si="37"/>
        <v>161.03299999999999</v>
      </c>
      <c r="AA59" s="52">
        <f t="shared" si="38"/>
        <v>161.03299999999999</v>
      </c>
      <c r="AB59" s="52">
        <f t="shared" si="39"/>
        <v>322.06700000000001</v>
      </c>
      <c r="AC59" s="52">
        <f t="shared" si="40"/>
        <v>966.2</v>
      </c>
      <c r="AD59" s="52">
        <f t="shared" si="41"/>
        <v>3074.6439999999998</v>
      </c>
      <c r="AE59" s="52">
        <f t="shared" si="42"/>
        <v>8481.509</v>
      </c>
      <c r="AF59" s="52">
        <f t="shared" si="43"/>
        <v>1895.528</v>
      </c>
      <c r="AG59" s="52">
        <f t="shared" si="44"/>
        <v>1082.3489999999999</v>
      </c>
      <c r="AH59" s="52">
        <f t="shared" si="45"/>
        <v>16144.363000000001</v>
      </c>
      <c r="AI59">
        <v>20.780999999999999</v>
      </c>
      <c r="AJ59" s="30">
        <f t="shared" si="46"/>
        <v>335496.00750300003</v>
      </c>
      <c r="AK59">
        <f t="shared" si="47"/>
        <v>322.06659999999999</v>
      </c>
      <c r="AM59" s="20" t="s">
        <v>203</v>
      </c>
      <c r="AN59" t="s">
        <v>262</v>
      </c>
      <c r="AO59" t="s">
        <v>263</v>
      </c>
      <c r="AP59" t="s">
        <v>689</v>
      </c>
      <c r="AQ59" s="55">
        <v>6205.0641452995078</v>
      </c>
      <c r="AR59" s="55"/>
      <c r="AS59" t="s">
        <v>203</v>
      </c>
      <c r="AT59" t="s">
        <v>1205</v>
      </c>
      <c r="AU59" t="s">
        <v>1153</v>
      </c>
      <c r="AV59">
        <v>76.402693850102693</v>
      </c>
      <c r="AW59">
        <v>78.497794256031398</v>
      </c>
      <c r="AX59">
        <v>80.387840426572794</v>
      </c>
      <c r="AY59">
        <v>82.827510330416203</v>
      </c>
      <c r="AZ59">
        <v>84.712913970878603</v>
      </c>
      <c r="BA59">
        <v>91.829497993565795</v>
      </c>
      <c r="BB59">
        <v>96.5659937094198</v>
      </c>
      <c r="BC59">
        <v>100</v>
      </c>
      <c r="BD59">
        <v>104.474553858528</v>
      </c>
      <c r="BE59">
        <v>109.803438825743</v>
      </c>
      <c r="BF59">
        <v>112.810550671879</v>
      </c>
      <c r="BG59">
        <v>116.841415876166</v>
      </c>
      <c r="BH59">
        <v>121.48027615546</v>
      </c>
      <c r="BJ59" s="20" t="s">
        <v>203</v>
      </c>
      <c r="BK59" t="s">
        <v>689</v>
      </c>
      <c r="BL59">
        <v>2015</v>
      </c>
      <c r="BM59">
        <f>INDEX('Costs lists'!$C$5:$C$8,MATCH(Lists!BK59,'Costs lists'!$B$5:$B$8,0))</f>
        <v>3.2</v>
      </c>
      <c r="BN59">
        <f>INDEX('Costs lists'!$D$5:$D$8,MATCH(Lists!BK59,'Costs lists'!$B$5:$B$8,0))</f>
        <v>1.1200000000000001</v>
      </c>
      <c r="BO59">
        <f>INDEX('Costs lists'!$E$5:$E$8,MATCH(Lists!BK59,'Costs lists'!$B$5:$B$8,0))</f>
        <v>4.4400000000000004</v>
      </c>
      <c r="BW59" s="20" t="s">
        <v>203</v>
      </c>
      <c r="BX59" s="20">
        <v>2008</v>
      </c>
      <c r="BY59" s="52">
        <v>5.7477</v>
      </c>
      <c r="BZ59" s="52">
        <v>7.0952000000000002</v>
      </c>
      <c r="CA59" s="52">
        <v>8.0849999999999991</v>
      </c>
      <c r="CB59" s="52">
        <v>8.427999999999999</v>
      </c>
      <c r="CC59" s="375">
        <f t="shared" si="65"/>
        <v>5.9405149999999995</v>
      </c>
      <c r="CD59" s="375">
        <v>78.02</v>
      </c>
      <c r="CE59" s="375">
        <v>81.39</v>
      </c>
      <c r="CF59" s="375">
        <v>105.24</v>
      </c>
      <c r="CG59" s="375">
        <f t="shared" si="64"/>
        <v>83.118333333333339</v>
      </c>
      <c r="CI59" s="20" t="s">
        <v>203</v>
      </c>
      <c r="CJ59" s="20">
        <v>2015</v>
      </c>
      <c r="CK59" s="59">
        <f t="shared" si="48"/>
        <v>7.6035718207635243</v>
      </c>
      <c r="CL59" s="59">
        <f t="shared" si="49"/>
        <v>9.3861653848811457</v>
      </c>
      <c r="CM59" s="59">
        <f t="shared" si="50"/>
        <v>10.695561384705725</v>
      </c>
      <c r="CN59" s="59">
        <f t="shared" si="51"/>
        <v>11.149312473753845</v>
      </c>
      <c r="CO59" s="59">
        <f t="shared" si="52"/>
        <v>7.858644754392718</v>
      </c>
      <c r="CP59" s="59">
        <f t="shared" si="53"/>
        <v>103.21183664004214</v>
      </c>
      <c r="CQ59" s="59">
        <f t="shared" si="54"/>
        <v>107.66997416217674</v>
      </c>
      <c r="CR59" s="59">
        <f t="shared" si="55"/>
        <v>139.22088807995428</v>
      </c>
      <c r="CS59" s="59">
        <f t="shared" si="56"/>
        <v>109.95636813371661</v>
      </c>
      <c r="CW59" s="20" t="s">
        <v>203</v>
      </c>
      <c r="CX59">
        <v>2014</v>
      </c>
      <c r="CY59">
        <v>15.902915999999999</v>
      </c>
      <c r="CZ59">
        <v>6.1298847198486328</v>
      </c>
      <c r="DA59">
        <v>2085.7142857142858</v>
      </c>
      <c r="DB59">
        <v>173686.484375</v>
      </c>
      <c r="DC59">
        <v>0.45125383138656616</v>
      </c>
      <c r="DE59">
        <f t="shared" si="57"/>
        <v>12785.997635566806</v>
      </c>
      <c r="DH59">
        <f t="shared" si="58"/>
        <v>6.1302728389703862</v>
      </c>
      <c r="DI59">
        <f t="shared" si="31"/>
        <v>6.3736581057500521</v>
      </c>
      <c r="DJ59">
        <f t="shared" si="32"/>
        <v>16.535343501690697</v>
      </c>
      <c r="DL59" s="20" t="s">
        <v>203</v>
      </c>
      <c r="DM59" s="99" t="s">
        <v>766</v>
      </c>
      <c r="DN59" s="100" t="s">
        <v>754</v>
      </c>
      <c r="DO59" s="101"/>
      <c r="DP59" s="101"/>
      <c r="DQ59" s="101"/>
      <c r="DR59" s="101"/>
      <c r="DS59" s="101">
        <v>41</v>
      </c>
      <c r="DT59" s="101">
        <v>41</v>
      </c>
      <c r="DU59" s="101">
        <v>40</v>
      </c>
      <c r="DV59" s="101">
        <v>39.5</v>
      </c>
      <c r="DW59" s="101">
        <v>39</v>
      </c>
      <c r="DX59">
        <f t="shared" ca="1" si="59"/>
        <v>39</v>
      </c>
      <c r="DY59">
        <f t="shared" ca="1" si="60"/>
        <v>7.8</v>
      </c>
      <c r="DZ59">
        <f t="shared" ca="1" si="61"/>
        <v>49.714533224850406</v>
      </c>
      <c r="EB59" s="20" t="s">
        <v>203</v>
      </c>
      <c r="EC59" s="99" t="s">
        <v>766</v>
      </c>
      <c r="ED59" s="100" t="s">
        <v>754</v>
      </c>
      <c r="EE59" s="101">
        <v>55.4</v>
      </c>
      <c r="EF59" s="101">
        <v>44.5</v>
      </c>
      <c r="EG59" s="101">
        <v>44.2</v>
      </c>
      <c r="EH59" s="101">
        <v>54</v>
      </c>
      <c r="EI59" s="101">
        <v>52.2</v>
      </c>
      <c r="EJ59" s="101">
        <v>59.9</v>
      </c>
      <c r="EK59" s="101">
        <v>59.1</v>
      </c>
      <c r="EL59" s="101">
        <v>51.9</v>
      </c>
      <c r="EM59" s="101">
        <v>62</v>
      </c>
      <c r="EN59" s="101">
        <v>62.6</v>
      </c>
      <c r="EO59">
        <f ca="1">OFFSET(EE59,0,MATCH(MAX(EE59:EN59)+1,EE59:EN59,1)-1)</f>
        <v>62.6</v>
      </c>
      <c r="EQ59" s="20" t="s">
        <v>203</v>
      </c>
      <c r="ER59" s="20">
        <f t="shared" ca="1" si="62"/>
        <v>49.714533224850406</v>
      </c>
      <c r="ES59">
        <f t="shared" ca="1" si="63"/>
        <v>31.121297798756355</v>
      </c>
      <c r="EU59" s="20" t="s">
        <v>203</v>
      </c>
      <c r="EV59" s="109">
        <v>11474.140772726496</v>
      </c>
    </row>
    <row r="60" spans="1:152" x14ac:dyDescent="0.3">
      <c r="A60" s="20" t="s">
        <v>62</v>
      </c>
      <c r="B60" s="20" t="s">
        <v>631</v>
      </c>
      <c r="C60" s="81">
        <v>2015</v>
      </c>
      <c r="D60" s="82">
        <v>12116.075000000001</v>
      </c>
      <c r="E60" s="82">
        <v>9579.2870000000003</v>
      </c>
      <c r="F60" s="82">
        <v>8648.9750000000004</v>
      </c>
      <c r="G60" s="82">
        <v>7862.4279999999999</v>
      </c>
      <c r="H60" s="82">
        <v>7981.3940000000002</v>
      </c>
      <c r="I60" s="82">
        <v>8345.9560000000001</v>
      </c>
      <c r="J60" s="82">
        <v>7355.3720000000003</v>
      </c>
      <c r="K60" s="82">
        <v>6123.0559999999996</v>
      </c>
      <c r="L60" s="82">
        <v>4851.7690000000002</v>
      </c>
      <c r="M60" s="82">
        <v>4304.1279999999997</v>
      </c>
      <c r="N60" s="82">
        <v>3873.143</v>
      </c>
      <c r="O60" s="82">
        <v>3228.8229999999999</v>
      </c>
      <c r="P60" s="82">
        <v>2460.7170000000001</v>
      </c>
      <c r="Q60" s="82">
        <v>2044.973</v>
      </c>
      <c r="R60" s="82">
        <v>1202.95</v>
      </c>
      <c r="S60" s="82">
        <v>815.31</v>
      </c>
      <c r="T60" s="82">
        <v>463.435</v>
      </c>
      <c r="U60" s="82">
        <v>189.917</v>
      </c>
      <c r="V60" s="82">
        <v>50.886000000000003</v>
      </c>
      <c r="W60" s="82">
        <v>8.6039999999999992</v>
      </c>
      <c r="X60" s="82">
        <v>0.88600000000000001</v>
      </c>
      <c r="Y60" s="82">
        <f t="shared" si="36"/>
        <v>91508.084000000003</v>
      </c>
      <c r="Z60" s="52">
        <f t="shared" si="37"/>
        <v>1211.6079999999999</v>
      </c>
      <c r="AA60" s="52">
        <f t="shared" si="38"/>
        <v>1211.6079999999999</v>
      </c>
      <c r="AB60" s="52">
        <f t="shared" si="39"/>
        <v>2423.2150000000001</v>
      </c>
      <c r="AC60" s="52">
        <f t="shared" si="40"/>
        <v>7269.6450000000004</v>
      </c>
      <c r="AD60" s="52">
        <f t="shared" si="41"/>
        <v>18228.261999999999</v>
      </c>
      <c r="AE60" s="52">
        <f t="shared" si="42"/>
        <v>46824.103000000003</v>
      </c>
      <c r="AF60" s="52">
        <f t="shared" si="43"/>
        <v>9562.6830000000009</v>
      </c>
      <c r="AG60" s="52">
        <f t="shared" si="44"/>
        <v>4776.9610000000002</v>
      </c>
      <c r="AH60" s="52">
        <f t="shared" si="45"/>
        <v>91508.085000000006</v>
      </c>
      <c r="AI60">
        <v>27.797000000000001</v>
      </c>
      <c r="AJ60" s="30">
        <f t="shared" si="46"/>
        <v>2543650.2387450002</v>
      </c>
      <c r="AK60">
        <f t="shared" si="47"/>
        <v>2423.2150000000001</v>
      </c>
      <c r="AM60" s="20" t="s">
        <v>62</v>
      </c>
      <c r="AN60" t="s">
        <v>342</v>
      </c>
      <c r="AO60" t="s">
        <v>343</v>
      </c>
      <c r="AP60" t="s">
        <v>688</v>
      </c>
      <c r="AQ60" s="55">
        <v>26552.845320201439</v>
      </c>
      <c r="AR60" s="55">
        <v>7.6912583333333302</v>
      </c>
      <c r="AS60" t="s">
        <v>1123</v>
      </c>
      <c r="AT60" t="s">
        <v>1206</v>
      </c>
      <c r="AU60" t="s">
        <v>1153</v>
      </c>
      <c r="AV60">
        <v>49.496835104022999</v>
      </c>
      <c r="AW60">
        <v>55.075434970010903</v>
      </c>
      <c r="AX60">
        <v>57.757276530949902</v>
      </c>
      <c r="AY60">
        <v>62.172546809422798</v>
      </c>
      <c r="AZ60">
        <v>67.966387209158697</v>
      </c>
      <c r="BA60">
        <v>80.415675955390796</v>
      </c>
      <c r="BB60">
        <v>89.875370328358201</v>
      </c>
      <c r="BC60">
        <v>100</v>
      </c>
      <c r="BD60">
        <v>110.053916904536</v>
      </c>
      <c r="BE60">
        <v>117.887725975262</v>
      </c>
      <c r="BF60">
        <v>128.99460830954601</v>
      </c>
      <c r="BG60">
        <v>142.08214398985101</v>
      </c>
      <c r="BH60">
        <v>156.79828734538501</v>
      </c>
      <c r="BJ60" s="20" t="s">
        <v>62</v>
      </c>
      <c r="BK60" t="s">
        <v>688</v>
      </c>
      <c r="BL60">
        <v>2015</v>
      </c>
      <c r="BM60">
        <f>INDEX('Costs lists'!$C$5:$C$8,MATCH(Lists!BK60,'Costs lists'!$B$5:$B$8,0))</f>
        <v>5.21</v>
      </c>
      <c r="BN60">
        <f>INDEX('Costs lists'!$D$5:$D$8,MATCH(Lists!BK60,'Costs lists'!$B$5:$B$8,0))</f>
        <v>5.16</v>
      </c>
      <c r="BO60">
        <f>INDEX('Costs lists'!$E$5:$E$8,MATCH(Lists!BK60,'Costs lists'!$B$5:$B$8,0))</f>
        <v>5.26</v>
      </c>
      <c r="BW60" s="20" t="s">
        <v>62</v>
      </c>
      <c r="BX60" s="20">
        <v>2008</v>
      </c>
      <c r="BY60" s="52">
        <v>16.604400000000002</v>
      </c>
      <c r="BZ60" s="52">
        <v>20.503</v>
      </c>
      <c r="CA60" s="52">
        <v>23.351200000000002</v>
      </c>
      <c r="CB60" s="52">
        <v>24.341000000000001</v>
      </c>
      <c r="CC60" s="375">
        <f t="shared" si="65"/>
        <v>17.161415000000002</v>
      </c>
      <c r="CD60" s="375">
        <v>47.79</v>
      </c>
      <c r="CE60" s="375">
        <v>49.85</v>
      </c>
      <c r="CF60" s="375">
        <v>64.459999999999994</v>
      </c>
      <c r="CG60" s="375">
        <f t="shared" si="64"/>
        <v>50.911666666666669</v>
      </c>
      <c r="CI60" s="20" t="s">
        <v>62</v>
      </c>
      <c r="CJ60" s="20">
        <v>2015</v>
      </c>
      <c r="CK60" s="59">
        <f t="shared" si="48"/>
        <v>32.376044240950989</v>
      </c>
      <c r="CL60" s="59">
        <f t="shared" si="49"/>
        <v>39.977718862001517</v>
      </c>
      <c r="CM60" s="59">
        <f t="shared" si="50"/>
        <v>45.531273896033262</v>
      </c>
      <c r="CN60" s="59">
        <f t="shared" si="51"/>
        <v>47.461232737647123</v>
      </c>
      <c r="CO60" s="59">
        <f t="shared" si="52"/>
        <v>33.462138425797974</v>
      </c>
      <c r="CP60" s="59">
        <f t="shared" si="53"/>
        <v>93.183201698046744</v>
      </c>
      <c r="CQ60" s="59">
        <f t="shared" si="54"/>
        <v>97.199887102900831</v>
      </c>
      <c r="CR60" s="59">
        <f t="shared" si="55"/>
        <v>125.68715592082221</v>
      </c>
      <c r="CS60" s="59">
        <f t="shared" si="56"/>
        <v>99.269974969318341</v>
      </c>
      <c r="CW60" s="20" t="s">
        <v>62</v>
      </c>
      <c r="CX60">
        <v>2014</v>
      </c>
      <c r="CY60">
        <v>89.579669999999993</v>
      </c>
      <c r="CZ60">
        <v>27.899337768554688</v>
      </c>
      <c r="DB60">
        <v>965650.6875</v>
      </c>
      <c r="DC60">
        <v>0.37784090638160706</v>
      </c>
      <c r="DE60">
        <f t="shared" si="57"/>
        <v>13077.813317284466</v>
      </c>
      <c r="DH60" t="e">
        <f t="shared" si="58"/>
        <v>#DIV/0!</v>
      </c>
      <c r="DI60" t="e">
        <f t="shared" si="31"/>
        <v>#DIV/0!</v>
      </c>
      <c r="DJ60" t="e">
        <f t="shared" si="32"/>
        <v>#DIV/0!</v>
      </c>
      <c r="DL60" s="20" t="s">
        <v>62</v>
      </c>
      <c r="DM60" s="99" t="s">
        <v>807</v>
      </c>
      <c r="DN60" s="100" t="s">
        <v>772</v>
      </c>
      <c r="DO60" s="101"/>
      <c r="DP60" s="101"/>
      <c r="DQ60" s="101">
        <v>46</v>
      </c>
      <c r="DR60" s="101">
        <v>46.3</v>
      </c>
      <c r="DS60" s="101">
        <v>45</v>
      </c>
      <c r="DT60" s="101">
        <v>45.8</v>
      </c>
      <c r="DU60" s="101"/>
      <c r="DV60" s="101"/>
      <c r="DW60" s="101"/>
      <c r="DX60">
        <f t="shared" ca="1" si="59"/>
        <v>45.8</v>
      </c>
      <c r="DY60">
        <f t="shared" ca="1" si="60"/>
        <v>9.16</v>
      </c>
      <c r="DZ60" t="e">
        <f t="shared" ca="1" si="61"/>
        <v>#DIV/0!</v>
      </c>
      <c r="EB60" s="20" t="s">
        <v>62</v>
      </c>
      <c r="EC60" s="99" t="s">
        <v>807</v>
      </c>
      <c r="ED60" s="100" t="s">
        <v>754</v>
      </c>
      <c r="EE60" s="101">
        <v>41.4</v>
      </c>
      <c r="EF60" s="101">
        <v>42.9</v>
      </c>
      <c r="EG60" s="101">
        <v>29.6</v>
      </c>
      <c r="EH60" s="101">
        <v>43.6</v>
      </c>
      <c r="EI60" s="101">
        <v>45</v>
      </c>
      <c r="EJ60" s="101">
        <v>43</v>
      </c>
      <c r="EK60" s="101">
        <v>42.4</v>
      </c>
      <c r="EL60" s="101">
        <v>42.1</v>
      </c>
      <c r="EM60" s="101"/>
      <c r="EN60" s="101">
        <v>40.799999999999997</v>
      </c>
      <c r="EO60">
        <f ca="1">OFFSET(EE60,0,MATCH(MAX(EE60:EN60)+1,EE60:EN60,1)-1)</f>
        <v>40.799999999999997</v>
      </c>
      <c r="EQ60" s="20" t="s">
        <v>62</v>
      </c>
      <c r="ER60" s="20" t="e">
        <f t="shared" ca="1" si="62"/>
        <v>#DIV/0!</v>
      </c>
      <c r="ES60" t="e">
        <f t="shared" ca="1" si="63"/>
        <v>#DIV/0!</v>
      </c>
      <c r="EU60" s="20" t="s">
        <v>62</v>
      </c>
      <c r="EV60" s="109">
        <v>10913.433167367602</v>
      </c>
    </row>
    <row r="61" spans="1:152" x14ac:dyDescent="0.3">
      <c r="A61" s="20" t="s">
        <v>192</v>
      </c>
      <c r="B61" s="20" t="s">
        <v>633</v>
      </c>
      <c r="C61" s="81">
        <v>2015</v>
      </c>
      <c r="D61" s="82">
        <v>519.88400000000001</v>
      </c>
      <c r="E61" s="82">
        <v>545.43200000000002</v>
      </c>
      <c r="F61" s="82">
        <v>590.61400000000003</v>
      </c>
      <c r="G61" s="82">
        <v>639.48400000000004</v>
      </c>
      <c r="H61" s="82">
        <v>601.55799999999999</v>
      </c>
      <c r="I61" s="82">
        <v>502.35399999999998</v>
      </c>
      <c r="J61" s="82">
        <v>427.959</v>
      </c>
      <c r="K61" s="82">
        <v>396.45600000000002</v>
      </c>
      <c r="L61" s="82">
        <v>360.04</v>
      </c>
      <c r="M61" s="82">
        <v>319.46199999999999</v>
      </c>
      <c r="N61" s="82">
        <v>281.887</v>
      </c>
      <c r="O61" s="82">
        <v>238.63300000000001</v>
      </c>
      <c r="P61" s="82">
        <v>202.16800000000001</v>
      </c>
      <c r="Q61" s="82">
        <v>158.696</v>
      </c>
      <c r="R61" s="82">
        <v>131.63900000000001</v>
      </c>
      <c r="S61" s="82">
        <v>102.242</v>
      </c>
      <c r="T61" s="82">
        <v>65.128</v>
      </c>
      <c r="U61" s="82">
        <v>30.417000000000002</v>
      </c>
      <c r="V61" s="82">
        <v>10.367000000000001</v>
      </c>
      <c r="W61" s="82">
        <v>1.9690000000000001</v>
      </c>
      <c r="X61" s="82">
        <v>0.19400000000000001</v>
      </c>
      <c r="Y61" s="82">
        <f t="shared" si="36"/>
        <v>6126.5830000000005</v>
      </c>
      <c r="Z61" s="52">
        <f t="shared" si="37"/>
        <v>51.988</v>
      </c>
      <c r="AA61" s="52">
        <f t="shared" si="38"/>
        <v>51.988</v>
      </c>
      <c r="AB61" s="52">
        <f t="shared" si="39"/>
        <v>103.977</v>
      </c>
      <c r="AC61" s="52">
        <f t="shared" si="40"/>
        <v>311.93</v>
      </c>
      <c r="AD61" s="52">
        <f t="shared" si="41"/>
        <v>1136.046</v>
      </c>
      <c r="AE61" s="52">
        <f t="shared" si="42"/>
        <v>3247.3130000000001</v>
      </c>
      <c r="AF61" s="52">
        <f t="shared" si="43"/>
        <v>722.68799999999999</v>
      </c>
      <c r="AG61" s="52">
        <f t="shared" si="44"/>
        <v>500.65199999999999</v>
      </c>
      <c r="AH61" s="52">
        <f t="shared" si="45"/>
        <v>6126.5820000000003</v>
      </c>
      <c r="AI61">
        <v>17.314</v>
      </c>
      <c r="AJ61" s="30">
        <f t="shared" si="46"/>
        <v>106075.64074800001</v>
      </c>
      <c r="AK61">
        <f t="shared" si="47"/>
        <v>103.9768</v>
      </c>
      <c r="AM61" s="20" t="s">
        <v>192</v>
      </c>
      <c r="AN61" t="s">
        <v>262</v>
      </c>
      <c r="AO61" t="s">
        <v>263</v>
      </c>
      <c r="AP61" t="s">
        <v>688</v>
      </c>
      <c r="AQ61" s="55">
        <v>4219.3503295393211</v>
      </c>
      <c r="AR61" s="55">
        <v>8.75</v>
      </c>
      <c r="AS61" t="s">
        <v>192</v>
      </c>
      <c r="AT61" t="s">
        <v>1207</v>
      </c>
      <c r="AU61" t="s">
        <v>1153</v>
      </c>
      <c r="AV61">
        <v>77.243507995853903</v>
      </c>
      <c r="AW61">
        <v>80.682345656721495</v>
      </c>
      <c r="AX61">
        <v>84.467113108726807</v>
      </c>
      <c r="AY61">
        <v>87.877154861459999</v>
      </c>
      <c r="AZ61">
        <v>91.900246342629103</v>
      </c>
      <c r="BA61">
        <v>98.064844044514302</v>
      </c>
      <c r="BB61">
        <v>99.100360056760906</v>
      </c>
      <c r="BC61">
        <v>100</v>
      </c>
      <c r="BD61">
        <v>105.128923766816</v>
      </c>
      <c r="BE61">
        <v>106.94721049855001</v>
      </c>
      <c r="BF61">
        <v>107.794777103667</v>
      </c>
      <c r="BH61">
        <v>108.19045106832</v>
      </c>
      <c r="BJ61" s="20" t="s">
        <v>192</v>
      </c>
      <c r="BK61" t="s">
        <v>688</v>
      </c>
      <c r="BL61">
        <v>2015</v>
      </c>
      <c r="BM61">
        <f>INDEX('Costs lists'!$C$5:$C$8,MATCH(Lists!BK61,'Costs lists'!$B$5:$B$8,0))</f>
        <v>5.21</v>
      </c>
      <c r="BN61">
        <f>INDEX('Costs lists'!$D$5:$D$8,MATCH(Lists!BK61,'Costs lists'!$B$5:$B$8,0))</f>
        <v>5.16</v>
      </c>
      <c r="BO61">
        <f>INDEX('Costs lists'!$E$5:$E$8,MATCH(Lists!BK61,'Costs lists'!$B$5:$B$8,0))</f>
        <v>5.26</v>
      </c>
      <c r="BW61" s="20" t="s">
        <v>192</v>
      </c>
      <c r="BX61" s="20">
        <v>2008</v>
      </c>
      <c r="BY61" s="52">
        <v>5.2947000000000006</v>
      </c>
      <c r="BZ61" s="52">
        <v>6.5349000000000004</v>
      </c>
      <c r="CA61" s="52">
        <v>7.4518000000000004</v>
      </c>
      <c r="CB61" s="52">
        <v>7.7645000000000008</v>
      </c>
      <c r="CC61" s="375">
        <f t="shared" si="65"/>
        <v>5.472382500000001</v>
      </c>
      <c r="CD61" s="375">
        <v>62.54</v>
      </c>
      <c r="CE61" s="375">
        <v>65.239999999999995</v>
      </c>
      <c r="CF61" s="375">
        <v>84.36</v>
      </c>
      <c r="CG61" s="375">
        <f t="shared" si="64"/>
        <v>66.626666666666665</v>
      </c>
      <c r="CI61" s="20" t="s">
        <v>192</v>
      </c>
      <c r="CJ61" s="20">
        <v>2015</v>
      </c>
      <c r="CK61" s="59">
        <f t="shared" si="48"/>
        <v>5.8414000129486583</v>
      </c>
      <c r="CL61" s="59">
        <f t="shared" si="49"/>
        <v>7.2096558718375325</v>
      </c>
      <c r="CM61" s="59">
        <f t="shared" si="50"/>
        <v>8.2212296478536668</v>
      </c>
      <c r="CN61" s="59">
        <f t="shared" si="51"/>
        <v>8.5662172362059898</v>
      </c>
      <c r="CO61" s="59">
        <f t="shared" si="52"/>
        <v>6.0374289773471608</v>
      </c>
      <c r="CP61" s="59">
        <f t="shared" si="53"/>
        <v>68.997517670464617</v>
      </c>
      <c r="CQ61" s="59">
        <f t="shared" si="54"/>
        <v>71.976304010571027</v>
      </c>
      <c r="CR61" s="59">
        <f t="shared" si="55"/>
        <v>93.070524315324519</v>
      </c>
      <c r="CS61" s="59">
        <f t="shared" si="56"/>
        <v>73.506149834625674</v>
      </c>
      <c r="CW61" s="20" t="s">
        <v>192</v>
      </c>
      <c r="CX61">
        <v>2014</v>
      </c>
      <c r="CY61">
        <v>6.1077059999999994</v>
      </c>
      <c r="CZ61">
        <v>2.5970721244812012</v>
      </c>
      <c r="DB61">
        <v>48643.5546875</v>
      </c>
      <c r="DE61">
        <f t="shared" si="57"/>
        <v>0</v>
      </c>
      <c r="DH61" t="e">
        <f t="shared" si="58"/>
        <v>#DIV/0!</v>
      </c>
      <c r="DI61" t="e">
        <f t="shared" si="31"/>
        <v>#DIV/0!</v>
      </c>
      <c r="DJ61" t="e">
        <f t="shared" si="32"/>
        <v>#DIV/0!</v>
      </c>
      <c r="DL61" s="20" t="s">
        <v>192</v>
      </c>
      <c r="DM61" s="99" t="s">
        <v>808</v>
      </c>
      <c r="DN61" s="100" t="s">
        <v>754</v>
      </c>
      <c r="DO61" s="101"/>
      <c r="DP61" s="101"/>
      <c r="DQ61" s="101"/>
      <c r="DR61" s="101"/>
      <c r="DS61" s="101"/>
      <c r="DT61" s="101">
        <v>41.3</v>
      </c>
      <c r="DU61" s="101">
        <v>41.7</v>
      </c>
      <c r="DV61" s="101"/>
      <c r="DW61" s="101"/>
      <c r="DX61">
        <f t="shared" ca="1" si="59"/>
        <v>41.7</v>
      </c>
      <c r="DY61">
        <f t="shared" ca="1" si="60"/>
        <v>8.34</v>
      </c>
      <c r="DZ61" t="e">
        <f t="shared" ca="1" si="61"/>
        <v>#DIV/0!</v>
      </c>
      <c r="EB61" s="20" t="s">
        <v>192</v>
      </c>
      <c r="EC61" s="99" t="s">
        <v>808</v>
      </c>
      <c r="ED61" s="100" t="s">
        <v>754</v>
      </c>
      <c r="EE61" s="101">
        <v>49.2</v>
      </c>
      <c r="EF61" s="101">
        <v>58.2</v>
      </c>
      <c r="EG61" s="101">
        <v>59</v>
      </c>
      <c r="EH61" s="101">
        <v>58.2</v>
      </c>
      <c r="EI61" s="101">
        <v>58.1</v>
      </c>
      <c r="EJ61" s="101">
        <v>58.6</v>
      </c>
      <c r="EK61" s="101">
        <v>59.4</v>
      </c>
      <c r="EL61" s="101">
        <v>59.9</v>
      </c>
      <c r="EM61" s="101"/>
      <c r="EN61" s="101"/>
      <c r="EO61">
        <f ca="1">OFFSET(EE61,0,MATCH(MAX(EE61:EN61)+1,EE61:EN61,1)-1)</f>
        <v>59.9</v>
      </c>
      <c r="EQ61" s="20" t="s">
        <v>192</v>
      </c>
      <c r="ER61" s="20" t="e">
        <f t="shared" ca="1" si="62"/>
        <v>#DIV/0!</v>
      </c>
      <c r="ES61" t="e">
        <f t="shared" ca="1" si="63"/>
        <v>#DIV/0!</v>
      </c>
      <c r="EU61" s="20" t="s">
        <v>192</v>
      </c>
      <c r="EV61" s="109">
        <v>8619.5809455385861</v>
      </c>
    </row>
    <row r="62" spans="1:152" x14ac:dyDescent="0.3">
      <c r="A62" s="20" t="s">
        <v>58</v>
      </c>
      <c r="B62" s="20" t="s">
        <v>632</v>
      </c>
      <c r="C62" s="81">
        <v>2015</v>
      </c>
      <c r="D62" s="82">
        <v>128.21799999999999</v>
      </c>
      <c r="E62" s="82">
        <v>109.83499999999999</v>
      </c>
      <c r="F62" s="82">
        <v>93.724999999999994</v>
      </c>
      <c r="G62" s="82">
        <v>83.786000000000001</v>
      </c>
      <c r="H62" s="82">
        <v>76.665999999999997</v>
      </c>
      <c r="I62" s="82">
        <v>68.429000000000002</v>
      </c>
      <c r="J62" s="82">
        <v>51.133000000000003</v>
      </c>
      <c r="K62" s="82">
        <v>37.853000000000002</v>
      </c>
      <c r="L62" s="82">
        <v>39.265000000000001</v>
      </c>
      <c r="M62" s="82">
        <v>42.487000000000002</v>
      </c>
      <c r="N62" s="82">
        <v>39.674999999999997</v>
      </c>
      <c r="O62" s="82">
        <v>30.831</v>
      </c>
      <c r="P62" s="82">
        <v>18.768999999999998</v>
      </c>
      <c r="Q62" s="82">
        <v>9.5410000000000004</v>
      </c>
      <c r="R62" s="82">
        <v>6.5069999999999997</v>
      </c>
      <c r="S62" s="82">
        <v>4.45</v>
      </c>
      <c r="T62" s="82">
        <v>2.569</v>
      </c>
      <c r="U62" s="82">
        <v>1.0229999999999999</v>
      </c>
      <c r="V62" s="82">
        <v>0.25900000000000001</v>
      </c>
      <c r="W62" s="82">
        <v>3.5999999999999997E-2</v>
      </c>
      <c r="X62" s="82">
        <v>3.0000000000000001E-3</v>
      </c>
      <c r="Y62" s="82">
        <f t="shared" si="36"/>
        <v>845.06</v>
      </c>
      <c r="Z62" s="52">
        <f t="shared" si="37"/>
        <v>12.821999999999999</v>
      </c>
      <c r="AA62" s="52">
        <f t="shared" si="38"/>
        <v>12.821999999999999</v>
      </c>
      <c r="AB62" s="52">
        <f t="shared" si="39"/>
        <v>25.643999999999998</v>
      </c>
      <c r="AC62" s="52">
        <f t="shared" si="40"/>
        <v>76.930999999999997</v>
      </c>
      <c r="AD62" s="52">
        <f t="shared" si="41"/>
        <v>203.56</v>
      </c>
      <c r="AE62" s="52">
        <f t="shared" si="42"/>
        <v>399.61900000000003</v>
      </c>
      <c r="AF62" s="52">
        <f t="shared" si="43"/>
        <v>89.275000000000006</v>
      </c>
      <c r="AG62" s="52">
        <f t="shared" si="44"/>
        <v>24.388000000000002</v>
      </c>
      <c r="AH62" s="52">
        <f t="shared" si="45"/>
        <v>845.06100000000004</v>
      </c>
      <c r="AI62">
        <v>35.006999999999998</v>
      </c>
      <c r="AJ62" s="30">
        <f t="shared" si="46"/>
        <v>29583.050426999998</v>
      </c>
      <c r="AK62">
        <f t="shared" si="47"/>
        <v>25.643599999999999</v>
      </c>
      <c r="AM62" s="20" t="s">
        <v>58</v>
      </c>
      <c r="AN62" t="s">
        <v>312</v>
      </c>
      <c r="AO62" t="s">
        <v>313</v>
      </c>
      <c r="AP62" t="s">
        <v>689</v>
      </c>
      <c r="AQ62" s="55">
        <v>8540290.9163846355</v>
      </c>
      <c r="AR62" s="55">
        <v>591.44950750132796</v>
      </c>
      <c r="AS62" t="s">
        <v>58</v>
      </c>
      <c r="AT62" t="s">
        <v>1208</v>
      </c>
      <c r="AU62" t="s">
        <v>1153</v>
      </c>
      <c r="AV62">
        <v>70.377738450846095</v>
      </c>
      <c r="AW62">
        <v>73.347459344104195</v>
      </c>
      <c r="AX62">
        <v>77.478119445883394</v>
      </c>
      <c r="AY62">
        <v>80.899475599842901</v>
      </c>
      <c r="AZ62">
        <v>83.167685196100095</v>
      </c>
      <c r="BA62">
        <v>88.616638076125994</v>
      </c>
      <c r="BB62">
        <v>92.773702769446302</v>
      </c>
      <c r="BC62">
        <v>100</v>
      </c>
      <c r="BD62">
        <v>104.80538922155699</v>
      </c>
      <c r="BE62">
        <v>108.637724550898</v>
      </c>
      <c r="BF62">
        <v>111.84131736526901</v>
      </c>
      <c r="BG62">
        <v>116.66167664670699</v>
      </c>
      <c r="BH62">
        <v>118.607784431138</v>
      </c>
      <c r="BJ62" s="20" t="s">
        <v>58</v>
      </c>
      <c r="BK62" t="s">
        <v>689</v>
      </c>
      <c r="BL62">
        <v>2015</v>
      </c>
      <c r="BM62">
        <f>INDEX('Costs lists'!$C$5:$C$8,MATCH(Lists!BK62,'Costs lists'!$B$5:$B$8,0))</f>
        <v>3.2</v>
      </c>
      <c r="BN62">
        <f>INDEX('Costs lists'!$D$5:$D$8,MATCH(Lists!BK62,'Costs lists'!$B$5:$B$8,0))</f>
        <v>1.1200000000000001</v>
      </c>
      <c r="BO62">
        <f>INDEX('Costs lists'!$E$5:$E$8,MATCH(Lists!BK62,'Costs lists'!$B$5:$B$8,0))</f>
        <v>4.4400000000000004</v>
      </c>
      <c r="BW62" s="20" t="s">
        <v>58</v>
      </c>
      <c r="BX62" s="20">
        <v>2008</v>
      </c>
      <c r="BY62" s="52">
        <v>14792.641499999998</v>
      </c>
      <c r="BZ62" s="52">
        <v>18265.631999999998</v>
      </c>
      <c r="CA62" s="52">
        <v>20815.703999999998</v>
      </c>
      <c r="CB62" s="52">
        <v>21694.144499999999</v>
      </c>
      <c r="CC62" s="375">
        <f t="shared" si="65"/>
        <v>15289.405162499997</v>
      </c>
      <c r="CD62" s="375">
        <v>421.8</v>
      </c>
      <c r="CE62" s="375">
        <v>440.04</v>
      </c>
      <c r="CF62" s="375">
        <v>568.99</v>
      </c>
      <c r="CG62" s="375">
        <f t="shared" si="64"/>
        <v>449.37166666666661</v>
      </c>
      <c r="CI62" s="20" t="s">
        <v>58</v>
      </c>
      <c r="CJ62" s="20">
        <v>2015</v>
      </c>
      <c r="CK62" s="59">
        <f t="shared" si="48"/>
        <v>19799.018246346535</v>
      </c>
      <c r="CL62" s="59">
        <f t="shared" si="49"/>
        <v>24447.397123025738</v>
      </c>
      <c r="CM62" s="59">
        <f t="shared" si="50"/>
        <v>27860.507760331282</v>
      </c>
      <c r="CN62" s="59">
        <f t="shared" si="51"/>
        <v>29036.245000217059</v>
      </c>
      <c r="CO62" s="59">
        <f t="shared" si="52"/>
        <v>20463.905096876875</v>
      </c>
      <c r="CP62" s="59">
        <f t="shared" si="53"/>
        <v>564.55271334122233</v>
      </c>
      <c r="CQ62" s="59">
        <f t="shared" si="54"/>
        <v>588.96580364786985</v>
      </c>
      <c r="CR62" s="59">
        <f t="shared" si="55"/>
        <v>761.55725074448105</v>
      </c>
      <c r="CS62" s="59">
        <f t="shared" si="56"/>
        <v>601.45565129287331</v>
      </c>
      <c r="CW62" s="20" t="s">
        <v>58</v>
      </c>
      <c r="CX62">
        <v>2014</v>
      </c>
      <c r="CY62">
        <v>0.82088499999999998</v>
      </c>
      <c r="CZ62">
        <v>0.37263798713684082</v>
      </c>
      <c r="DB62">
        <v>30633.150390625</v>
      </c>
      <c r="DE62">
        <f t="shared" si="57"/>
        <v>0</v>
      </c>
      <c r="DH62" t="e">
        <f t="shared" si="58"/>
        <v>#DIV/0!</v>
      </c>
      <c r="DI62" t="e">
        <f t="shared" si="31"/>
        <v>#DIV/0!</v>
      </c>
      <c r="DJ62" t="e">
        <f t="shared" si="32"/>
        <v>#DIV/0!</v>
      </c>
      <c r="DL62" s="20" t="s">
        <v>58</v>
      </c>
      <c r="DM62" s="99"/>
      <c r="DN62" s="100"/>
      <c r="DO62" s="101"/>
      <c r="DP62" s="101"/>
      <c r="DQ62" s="101"/>
      <c r="DR62" s="101"/>
      <c r="DS62" s="101"/>
      <c r="DT62" s="101"/>
      <c r="DU62" s="101"/>
      <c r="DV62" s="101"/>
      <c r="DW62" s="101"/>
      <c r="DX62" t="e">
        <f t="shared" ca="1" si="59"/>
        <v>#N/A</v>
      </c>
      <c r="DY62" t="e">
        <f t="shared" ca="1" si="60"/>
        <v>#N/A</v>
      </c>
      <c r="DZ62" t="e">
        <f t="shared" ca="1" si="61"/>
        <v>#N/A</v>
      </c>
      <c r="EB62" s="20" t="s">
        <v>58</v>
      </c>
      <c r="EC62" s="99"/>
      <c r="ED62" s="100"/>
      <c r="EE62" s="101"/>
      <c r="EF62" s="101"/>
      <c r="EG62" s="101"/>
      <c r="EH62" s="101"/>
      <c r="EI62" s="101"/>
      <c r="EJ62" s="101"/>
      <c r="EK62" s="101"/>
      <c r="EL62" s="101"/>
      <c r="EM62" s="101"/>
      <c r="EN62" s="101"/>
      <c r="EQ62" s="20" t="s">
        <v>58</v>
      </c>
      <c r="ER62" s="20" t="e">
        <f t="shared" ca="1" si="62"/>
        <v>#N/A</v>
      </c>
      <c r="ES62" t="e">
        <f t="shared" ca="1" si="63"/>
        <v>#N/A</v>
      </c>
      <c r="EU62" s="20" t="s">
        <v>58</v>
      </c>
      <c r="EV62" s="109">
        <v>40718.829683838667</v>
      </c>
    </row>
    <row r="63" spans="1:152" x14ac:dyDescent="0.3">
      <c r="A63" s="20" t="s">
        <v>37</v>
      </c>
      <c r="B63" s="20" t="s">
        <v>632</v>
      </c>
      <c r="C63" s="81">
        <v>2015</v>
      </c>
      <c r="D63" s="82">
        <v>814.75599999999997</v>
      </c>
      <c r="E63" s="82">
        <v>767.86199999999997</v>
      </c>
      <c r="F63" s="82">
        <v>654.10299999999995</v>
      </c>
      <c r="G63" s="82">
        <v>524.33299999999997</v>
      </c>
      <c r="H63" s="82">
        <v>476.3</v>
      </c>
      <c r="I63" s="82">
        <v>473.20400000000001</v>
      </c>
      <c r="J63" s="82">
        <v>410.673</v>
      </c>
      <c r="K63" s="82">
        <v>299.95800000000003</v>
      </c>
      <c r="L63" s="82">
        <v>203.92400000000001</v>
      </c>
      <c r="M63" s="82">
        <v>153.32599999999999</v>
      </c>
      <c r="N63" s="82">
        <v>125.96299999999999</v>
      </c>
      <c r="O63" s="82">
        <v>104.90300000000001</v>
      </c>
      <c r="P63" s="82">
        <v>80.923000000000002</v>
      </c>
      <c r="Q63" s="82">
        <v>65.206999999999994</v>
      </c>
      <c r="R63" s="82">
        <v>39.081000000000003</v>
      </c>
      <c r="S63" s="82">
        <v>20.574999999999999</v>
      </c>
      <c r="T63" s="82">
        <v>8.7710000000000008</v>
      </c>
      <c r="U63" s="82">
        <v>2.99</v>
      </c>
      <c r="V63" s="82">
        <v>0.80800000000000005</v>
      </c>
      <c r="W63" s="82">
        <v>0.12</v>
      </c>
      <c r="X63" s="82">
        <v>1.0999999999999999E-2</v>
      </c>
      <c r="Y63" s="82">
        <f t="shared" si="36"/>
        <v>5227.7910000000002</v>
      </c>
      <c r="Z63" s="52">
        <f t="shared" si="37"/>
        <v>81.475999999999999</v>
      </c>
      <c r="AA63" s="52">
        <f t="shared" si="38"/>
        <v>81.475999999999999</v>
      </c>
      <c r="AB63" s="52">
        <f t="shared" si="39"/>
        <v>162.95099999999999</v>
      </c>
      <c r="AC63" s="52">
        <f t="shared" si="40"/>
        <v>488.85399999999998</v>
      </c>
      <c r="AD63" s="52">
        <f t="shared" si="41"/>
        <v>1421.9649999999999</v>
      </c>
      <c r="AE63" s="52">
        <f t="shared" si="42"/>
        <v>2541.7179999999998</v>
      </c>
      <c r="AF63" s="52">
        <f t="shared" si="43"/>
        <v>311.78899999999999</v>
      </c>
      <c r="AG63" s="52">
        <f t="shared" si="44"/>
        <v>137.56299999999999</v>
      </c>
      <c r="AH63" s="52">
        <f t="shared" si="45"/>
        <v>5227.7919999999995</v>
      </c>
      <c r="AI63">
        <v>34.091000000000001</v>
      </c>
      <c r="AJ63" s="30">
        <f t="shared" si="46"/>
        <v>178220.657072</v>
      </c>
      <c r="AK63">
        <f t="shared" si="47"/>
        <v>162.9512</v>
      </c>
      <c r="AM63" s="20" t="s">
        <v>37</v>
      </c>
      <c r="AN63" t="s">
        <v>344</v>
      </c>
      <c r="AO63" t="s">
        <v>345</v>
      </c>
      <c r="AP63" t="s">
        <v>691</v>
      </c>
      <c r="AQ63" s="55"/>
      <c r="AR63" s="55"/>
      <c r="AS63" t="s">
        <v>37</v>
      </c>
      <c r="AT63" t="s">
        <v>1209</v>
      </c>
      <c r="AU63" t="s">
        <v>1153</v>
      </c>
      <c r="BJ63" s="20" t="s">
        <v>37</v>
      </c>
      <c r="BK63" t="s">
        <v>691</v>
      </c>
      <c r="BL63">
        <v>2015</v>
      </c>
      <c r="BM63">
        <f>INDEX('Costs lists'!$C$5:$C$8,MATCH(Lists!BK63,'Costs lists'!$B$5:$B$8,0))</f>
        <v>4.2</v>
      </c>
      <c r="BN63">
        <f>INDEX('Costs lists'!$D$5:$D$8,MATCH(Lists!BK63,'Costs lists'!$B$5:$B$8,0))</f>
        <v>4.2</v>
      </c>
      <c r="BO63">
        <f>INDEX('Costs lists'!$E$5:$E$8,MATCH(Lists!BK63,'Costs lists'!$B$5:$B$8,0))</f>
        <v>4.2</v>
      </c>
      <c r="BW63" s="20" t="s">
        <v>37</v>
      </c>
      <c r="BX63" s="20">
        <v>2008</v>
      </c>
      <c r="BY63" s="52">
        <v>9.7965999999999998</v>
      </c>
      <c r="BZ63" s="52">
        <v>12.125299999999999</v>
      </c>
      <c r="CA63" s="52">
        <v>13.811599999999999</v>
      </c>
      <c r="CB63" s="52">
        <v>14.373699999999999</v>
      </c>
      <c r="CC63" s="375">
        <f t="shared" si="65"/>
        <v>10.127837500000002</v>
      </c>
      <c r="CD63" s="375">
        <v>3.45</v>
      </c>
      <c r="CE63" s="375">
        <v>3.6</v>
      </c>
      <c r="CF63" s="375">
        <v>4.66</v>
      </c>
      <c r="CG63" s="375">
        <f t="shared" si="64"/>
        <v>3.6766666666666667</v>
      </c>
      <c r="CI63" s="20" t="s">
        <v>37</v>
      </c>
      <c r="CJ63" s="20">
        <v>2015</v>
      </c>
      <c r="CK63" s="59" t="e">
        <f t="shared" si="48"/>
        <v>#DIV/0!</v>
      </c>
      <c r="CL63" s="59" t="e">
        <f t="shared" si="49"/>
        <v>#DIV/0!</v>
      </c>
      <c r="CM63" s="59" t="e">
        <f t="shared" si="50"/>
        <v>#DIV/0!</v>
      </c>
      <c r="CN63" s="59" t="e">
        <f t="shared" si="51"/>
        <v>#DIV/0!</v>
      </c>
      <c r="CO63" s="59" t="e">
        <f t="shared" si="52"/>
        <v>#DIV/0!</v>
      </c>
      <c r="CP63" s="59" t="e">
        <f t="shared" si="53"/>
        <v>#DIV/0!</v>
      </c>
      <c r="CQ63" s="59" t="e">
        <f t="shared" si="54"/>
        <v>#DIV/0!</v>
      </c>
      <c r="CR63" s="59" t="e">
        <f t="shared" si="55"/>
        <v>#DIV/0!</v>
      </c>
      <c r="CS63" s="59" t="e">
        <f t="shared" si="56"/>
        <v>#DIV/0!</v>
      </c>
      <c r="CW63" s="20" t="s">
        <v>37</v>
      </c>
      <c r="DE63" t="e">
        <f t="shared" si="57"/>
        <v>#DIV/0!</v>
      </c>
      <c r="DH63" t="e">
        <f t="shared" si="58"/>
        <v>#DIV/0!</v>
      </c>
      <c r="DI63" t="e">
        <f t="shared" si="31"/>
        <v>#DIV/0!</v>
      </c>
      <c r="DJ63" t="e">
        <f t="shared" si="32"/>
        <v>#DIV/0!</v>
      </c>
      <c r="DL63" s="20" t="s">
        <v>37</v>
      </c>
      <c r="DM63" s="99"/>
      <c r="DN63" s="100"/>
      <c r="DO63" s="101"/>
      <c r="DP63" s="101"/>
      <c r="DQ63" s="101"/>
      <c r="DR63" s="101"/>
      <c r="DS63" s="101"/>
      <c r="DT63" s="101"/>
      <c r="DU63" s="101"/>
      <c r="DV63" s="101"/>
      <c r="DW63" s="101"/>
      <c r="DX63" t="e">
        <f t="shared" ca="1" si="59"/>
        <v>#N/A</v>
      </c>
      <c r="DY63" t="e">
        <f t="shared" ca="1" si="60"/>
        <v>#N/A</v>
      </c>
      <c r="DZ63" t="e">
        <f t="shared" ca="1" si="61"/>
        <v>#N/A</v>
      </c>
      <c r="EB63" s="20" t="s">
        <v>37</v>
      </c>
      <c r="EC63" s="99"/>
      <c r="ED63" s="100"/>
      <c r="EE63" s="101"/>
      <c r="EF63" s="101"/>
      <c r="EG63" s="101"/>
      <c r="EH63" s="101"/>
      <c r="EI63" s="101"/>
      <c r="EJ63" s="101"/>
      <c r="EK63" s="101"/>
      <c r="EL63" s="101"/>
      <c r="EM63" s="101"/>
      <c r="EN63" s="101"/>
      <c r="EQ63" s="20" t="s">
        <v>37</v>
      </c>
      <c r="ER63" s="20" t="e">
        <f t="shared" ca="1" si="62"/>
        <v>#N/A</v>
      </c>
      <c r="ES63" t="e">
        <f t="shared" ca="1" si="63"/>
        <v>#N/A</v>
      </c>
      <c r="EU63" s="20" t="s">
        <v>37</v>
      </c>
      <c r="EV63" s="109"/>
    </row>
    <row r="64" spans="1:152" x14ac:dyDescent="0.3">
      <c r="A64" s="20" t="s">
        <v>147</v>
      </c>
      <c r="B64" s="20" t="s">
        <v>257</v>
      </c>
      <c r="C64" s="81">
        <v>2015</v>
      </c>
      <c r="D64" s="82">
        <v>71.963999999999999</v>
      </c>
      <c r="E64" s="82">
        <v>76.92</v>
      </c>
      <c r="F64" s="82">
        <v>62.277999999999999</v>
      </c>
      <c r="G64" s="82">
        <v>55.451000000000001</v>
      </c>
      <c r="H64" s="82">
        <v>79.838999999999999</v>
      </c>
      <c r="I64" s="82">
        <v>98.305999999999997</v>
      </c>
      <c r="J64" s="82">
        <v>91.71</v>
      </c>
      <c r="K64" s="82">
        <v>88.497</v>
      </c>
      <c r="L64" s="82">
        <v>94.316999999999993</v>
      </c>
      <c r="M64" s="82">
        <v>81.311000000000007</v>
      </c>
      <c r="N64" s="82">
        <v>91.352000000000004</v>
      </c>
      <c r="O64" s="82">
        <v>89.605000000000004</v>
      </c>
      <c r="P64" s="82">
        <v>84.775999999999996</v>
      </c>
      <c r="Q64" s="82">
        <v>65.325000000000003</v>
      </c>
      <c r="R64" s="82">
        <v>58.72</v>
      </c>
      <c r="S64" s="82">
        <v>54.04</v>
      </c>
      <c r="T64" s="82">
        <v>38.375</v>
      </c>
      <c r="U64" s="82">
        <v>21.722000000000001</v>
      </c>
      <c r="V64" s="82">
        <v>6.9009999999999998</v>
      </c>
      <c r="W64" s="82">
        <v>1.012</v>
      </c>
      <c r="X64" s="82">
        <v>0.13700000000000001</v>
      </c>
      <c r="Y64" s="82">
        <f t="shared" si="36"/>
        <v>1312.558</v>
      </c>
      <c r="Z64" s="52">
        <f t="shared" si="37"/>
        <v>7.1959999999999997</v>
      </c>
      <c r="AA64" s="52">
        <f t="shared" si="38"/>
        <v>7.1959999999999997</v>
      </c>
      <c r="AB64" s="52">
        <f t="shared" si="39"/>
        <v>14.393000000000001</v>
      </c>
      <c r="AC64" s="52">
        <f t="shared" si="40"/>
        <v>43.177999999999997</v>
      </c>
      <c r="AD64" s="52">
        <f t="shared" si="41"/>
        <v>139.19800000000001</v>
      </c>
      <c r="AE64" s="52">
        <f t="shared" si="42"/>
        <v>589.43100000000004</v>
      </c>
      <c r="AF64" s="52">
        <f t="shared" si="43"/>
        <v>265.733</v>
      </c>
      <c r="AG64" s="52">
        <f t="shared" si="44"/>
        <v>246.232</v>
      </c>
      <c r="AH64" s="52">
        <f t="shared" si="45"/>
        <v>1312.557</v>
      </c>
      <c r="AI64">
        <v>10.3</v>
      </c>
      <c r="AJ64" s="30">
        <f t="shared" si="46"/>
        <v>13519.337100000001</v>
      </c>
      <c r="AK64">
        <f t="shared" si="47"/>
        <v>14.392799999999999</v>
      </c>
      <c r="AM64" s="20" t="s">
        <v>147</v>
      </c>
      <c r="AN64" t="s">
        <v>256</v>
      </c>
      <c r="AO64" t="s">
        <v>257</v>
      </c>
      <c r="AP64" t="s">
        <v>690</v>
      </c>
      <c r="AQ64" s="55">
        <v>15405.109355792754</v>
      </c>
      <c r="AR64" s="55">
        <v>0.90165896164127801</v>
      </c>
      <c r="AS64" t="s">
        <v>147</v>
      </c>
      <c r="AT64" t="s">
        <v>1210</v>
      </c>
      <c r="AU64" t="s">
        <v>1153</v>
      </c>
      <c r="AV64">
        <v>73.753095827776605</v>
      </c>
      <c r="AW64">
        <v>76.001143074871294</v>
      </c>
      <c r="AX64">
        <v>79.1093541626975</v>
      </c>
      <c r="AY64">
        <v>82.613831205943995</v>
      </c>
      <c r="AZ64">
        <v>88.064393217755395</v>
      </c>
      <c r="BA64">
        <v>97.192798628310001</v>
      </c>
      <c r="BB64">
        <v>97.110401981329403</v>
      </c>
      <c r="BC64">
        <v>100</v>
      </c>
      <c r="BD64">
        <v>104.977614783768</v>
      </c>
      <c r="BE64">
        <v>109.10840160030401</v>
      </c>
      <c r="BF64">
        <v>112.150885883025</v>
      </c>
      <c r="BG64">
        <v>111.98847399504599</v>
      </c>
      <c r="BH64">
        <v>111.476947990093</v>
      </c>
      <c r="BJ64" s="20" t="s">
        <v>147</v>
      </c>
      <c r="BK64" t="s">
        <v>690</v>
      </c>
      <c r="BL64">
        <v>2015</v>
      </c>
      <c r="BM64">
        <f>INDEX('Costs lists'!$C$5:$C$8,MATCH(Lists!BK64,'Costs lists'!$B$5:$B$8,0))</f>
        <v>3.55</v>
      </c>
      <c r="BN64">
        <f>INDEX('Costs lists'!$D$5:$D$8,MATCH(Lists!BK64,'Costs lists'!$B$5:$B$8,0))</f>
        <v>2.91</v>
      </c>
      <c r="BO64">
        <f>INDEX('Costs lists'!$E$5:$E$8,MATCH(Lists!BK64,'Costs lists'!$B$5:$B$8,0))</f>
        <v>7.59</v>
      </c>
      <c r="BW64" s="20" t="s">
        <v>147</v>
      </c>
      <c r="BX64" s="20">
        <v>2008</v>
      </c>
      <c r="BY64" s="52">
        <v>235.91069999999999</v>
      </c>
      <c r="BZ64" s="52">
        <v>291.31200000000001</v>
      </c>
      <c r="CA64" s="52">
        <v>331.97429999999997</v>
      </c>
      <c r="CB64" s="52">
        <v>345.93299999999999</v>
      </c>
      <c r="CC64" s="375">
        <f t="shared" si="65"/>
        <v>243.83291249999996</v>
      </c>
      <c r="CD64" s="375">
        <v>248.82</v>
      </c>
      <c r="CE64" s="375">
        <v>259.58</v>
      </c>
      <c r="CF64" s="375">
        <v>335.64</v>
      </c>
      <c r="CG64" s="375">
        <f t="shared" si="64"/>
        <v>265.08333333333331</v>
      </c>
      <c r="CI64" s="20" t="s">
        <v>147</v>
      </c>
      <c r="CJ64" s="20">
        <v>2015</v>
      </c>
      <c r="CK64" s="59">
        <f t="shared" si="48"/>
        <v>270.5818250463081</v>
      </c>
      <c r="CL64" s="59">
        <f t="shared" si="49"/>
        <v>334.12529663932207</v>
      </c>
      <c r="CM64" s="59">
        <f t="shared" si="50"/>
        <v>380.76361929522739</v>
      </c>
      <c r="CN64" s="59">
        <f t="shared" si="51"/>
        <v>396.77378975919493</v>
      </c>
      <c r="CO64" s="59">
        <f t="shared" si="52"/>
        <v>279.66834260000394</v>
      </c>
      <c r="CP64" s="59">
        <f t="shared" si="53"/>
        <v>285.38836817500174</v>
      </c>
      <c r="CQ64" s="59">
        <f t="shared" si="54"/>
        <v>297.72973479168456</v>
      </c>
      <c r="CR64" s="59">
        <f t="shared" si="55"/>
        <v>384.96805680515064</v>
      </c>
      <c r="CS64" s="59">
        <f t="shared" si="56"/>
        <v>304.041877382807</v>
      </c>
      <c r="CW64" s="20" t="s">
        <v>147</v>
      </c>
      <c r="CX64">
        <v>2014</v>
      </c>
      <c r="CY64">
        <v>1.316203</v>
      </c>
      <c r="CZ64">
        <v>0.63355404138565063</v>
      </c>
      <c r="DA64">
        <v>1859.4318744838977</v>
      </c>
      <c r="DB64">
        <v>33815.90625</v>
      </c>
      <c r="DC64">
        <v>0.5911102294921875</v>
      </c>
      <c r="DE64">
        <f t="shared" si="57"/>
        <v>31550.470517409798</v>
      </c>
      <c r="DH64">
        <f t="shared" si="58"/>
        <v>16.967801267882923</v>
      </c>
      <c r="DI64">
        <f t="shared" si="31"/>
        <v>16.890298009862097</v>
      </c>
      <c r="DJ64">
        <f t="shared" si="32"/>
        <v>35.089446928399042</v>
      </c>
      <c r="DL64" s="20" t="s">
        <v>147</v>
      </c>
      <c r="DM64" s="99" t="s">
        <v>796</v>
      </c>
      <c r="DN64" s="100" t="s">
        <v>754</v>
      </c>
      <c r="DO64" s="101">
        <v>40</v>
      </c>
      <c r="DP64" s="101">
        <v>39.5</v>
      </c>
      <c r="DQ64" s="101">
        <v>38</v>
      </c>
      <c r="DR64" s="101">
        <v>38.9</v>
      </c>
      <c r="DS64" s="101">
        <v>39</v>
      </c>
      <c r="DT64" s="101">
        <v>38.700000000000003</v>
      </c>
      <c r="DU64" s="101">
        <v>38.700000000000003</v>
      </c>
      <c r="DV64" s="101">
        <v>38.299999999999997</v>
      </c>
      <c r="DW64" s="101">
        <v>38.1</v>
      </c>
      <c r="DX64">
        <f t="shared" ca="1" si="59"/>
        <v>38.1</v>
      </c>
      <c r="DY64">
        <f t="shared" ca="1" si="60"/>
        <v>7.62</v>
      </c>
      <c r="DZ64">
        <f t="shared" ca="1" si="61"/>
        <v>128.70407083514917</v>
      </c>
      <c r="EB64" s="20" t="s">
        <v>147</v>
      </c>
      <c r="EC64" s="99" t="s">
        <v>796</v>
      </c>
      <c r="ED64" s="100" t="s">
        <v>754</v>
      </c>
      <c r="EE64" s="101">
        <v>57</v>
      </c>
      <c r="EF64" s="101">
        <v>57.8</v>
      </c>
      <c r="EG64" s="101">
        <v>57.8</v>
      </c>
      <c r="EH64" s="101">
        <v>52.5</v>
      </c>
      <c r="EI64" s="101">
        <v>50.4</v>
      </c>
      <c r="EJ64" s="101">
        <v>53.8</v>
      </c>
      <c r="EK64" s="101">
        <v>55.2</v>
      </c>
      <c r="EL64" s="101">
        <v>56</v>
      </c>
      <c r="EM64" s="101">
        <v>56.6</v>
      </c>
      <c r="EN64" s="101">
        <v>58.3</v>
      </c>
      <c r="EO64">
        <f t="shared" ref="EO64:EO74" ca="1" si="66">OFFSET(EE64,0,MATCH(MAX(EE64:EN64)+1,EE64:EN64,1)-1)</f>
        <v>58.3</v>
      </c>
      <c r="EQ64" s="20" t="s">
        <v>147</v>
      </c>
      <c r="ER64" s="20">
        <f t="shared" ca="1" si="62"/>
        <v>128.70407083514917</v>
      </c>
      <c r="ES64">
        <f t="shared" ca="1" si="63"/>
        <v>75.03447329689196</v>
      </c>
      <c r="EU64" s="20" t="s">
        <v>147</v>
      </c>
      <c r="EV64" s="109">
        <v>27807.511961836604</v>
      </c>
    </row>
    <row r="65" spans="1:152" x14ac:dyDescent="0.3">
      <c r="A65" s="20" t="s">
        <v>38</v>
      </c>
      <c r="B65" s="20" t="s">
        <v>632</v>
      </c>
      <c r="C65" s="81">
        <v>2015</v>
      </c>
      <c r="D65" s="82">
        <v>14601.687</v>
      </c>
      <c r="E65" s="82">
        <v>13612.096</v>
      </c>
      <c r="F65" s="82">
        <v>12973.97</v>
      </c>
      <c r="G65" s="82">
        <v>11750.609</v>
      </c>
      <c r="H65" s="82">
        <v>9703.9259999999995</v>
      </c>
      <c r="I65" s="82">
        <v>7676.8829999999998</v>
      </c>
      <c r="J65" s="82">
        <v>6493.3270000000002</v>
      </c>
      <c r="K65" s="82">
        <v>5061.2979999999998</v>
      </c>
      <c r="L65" s="82">
        <v>4202.4040000000005</v>
      </c>
      <c r="M65" s="82">
        <v>3307.9090000000001</v>
      </c>
      <c r="N65" s="82">
        <v>2606.31</v>
      </c>
      <c r="O65" s="82">
        <v>2195.509</v>
      </c>
      <c r="P65" s="82">
        <v>1742.1569999999999</v>
      </c>
      <c r="Q65" s="82">
        <v>1412.921</v>
      </c>
      <c r="R65" s="82">
        <v>984.03700000000003</v>
      </c>
      <c r="S65" s="82">
        <v>592.42700000000002</v>
      </c>
      <c r="T65" s="82">
        <v>320.86700000000002</v>
      </c>
      <c r="U65" s="82">
        <v>121.126</v>
      </c>
      <c r="V65" s="82">
        <v>27.283999999999999</v>
      </c>
      <c r="W65" s="82">
        <v>3.7290000000000001</v>
      </c>
      <c r="X65" s="82">
        <v>0.27400000000000002</v>
      </c>
      <c r="Y65" s="82">
        <f t="shared" si="36"/>
        <v>99390.75</v>
      </c>
      <c r="Z65" s="52">
        <f t="shared" si="37"/>
        <v>1460.1690000000001</v>
      </c>
      <c r="AA65" s="52">
        <f t="shared" si="38"/>
        <v>1460.1690000000001</v>
      </c>
      <c r="AB65" s="52">
        <f t="shared" si="39"/>
        <v>2920.337</v>
      </c>
      <c r="AC65" s="52">
        <f t="shared" si="40"/>
        <v>8761.0120000000006</v>
      </c>
      <c r="AD65" s="52">
        <f t="shared" si="41"/>
        <v>26586.065999999999</v>
      </c>
      <c r="AE65" s="52">
        <f t="shared" si="42"/>
        <v>48196.356</v>
      </c>
      <c r="AF65" s="52">
        <f t="shared" si="43"/>
        <v>6543.9759999999997</v>
      </c>
      <c r="AG65" s="52">
        <f t="shared" si="44"/>
        <v>3462.665</v>
      </c>
      <c r="AH65" s="52">
        <f t="shared" si="45"/>
        <v>99390.749999999985</v>
      </c>
      <c r="AI65">
        <v>32.411999999999999</v>
      </c>
      <c r="AJ65" s="30">
        <f t="shared" si="46"/>
        <v>3221452.9889999996</v>
      </c>
      <c r="AK65">
        <f t="shared" si="47"/>
        <v>2920.3373999999999</v>
      </c>
      <c r="AM65" s="20" t="s">
        <v>38</v>
      </c>
      <c r="AN65" t="s">
        <v>346</v>
      </c>
      <c r="AO65" t="s">
        <v>347</v>
      </c>
      <c r="AP65" t="s">
        <v>691</v>
      </c>
      <c r="AQ65" s="55">
        <v>12442.585884501324</v>
      </c>
      <c r="AR65" s="55"/>
      <c r="AS65" t="s">
        <v>38</v>
      </c>
      <c r="AT65" t="s">
        <v>1211</v>
      </c>
      <c r="AU65" t="s">
        <v>1153</v>
      </c>
      <c r="AV65">
        <v>38.451399101787501</v>
      </c>
      <c r="AW65">
        <v>39.703481592979003</v>
      </c>
      <c r="AX65">
        <v>44.843049327354301</v>
      </c>
      <c r="AY65">
        <v>50.363228699551698</v>
      </c>
      <c r="AZ65">
        <v>59.044843049327497</v>
      </c>
      <c r="BA65">
        <v>85.255605381166106</v>
      </c>
      <c r="BB65">
        <v>92.475336322870106</v>
      </c>
      <c r="BC65">
        <v>100</v>
      </c>
      <c r="BD65">
        <v>133.22421524663699</v>
      </c>
      <c r="BE65">
        <v>163.55998306788601</v>
      </c>
      <c r="BF65">
        <v>176.77313103614799</v>
      </c>
      <c r="BG65">
        <v>189.83987293274001</v>
      </c>
      <c r="BH65">
        <v>209.07846330056901</v>
      </c>
      <c r="BJ65" s="20" t="s">
        <v>38</v>
      </c>
      <c r="BK65" t="s">
        <v>691</v>
      </c>
      <c r="BL65">
        <v>2015</v>
      </c>
      <c r="BM65">
        <f>INDEX('Costs lists'!$C$5:$C$8,MATCH(Lists!BK65,'Costs lists'!$B$5:$B$8,0))</f>
        <v>4.2</v>
      </c>
      <c r="BN65">
        <f>INDEX('Costs lists'!$D$5:$D$8,MATCH(Lists!BK65,'Costs lists'!$B$5:$B$8,0))</f>
        <v>4.2</v>
      </c>
      <c r="BO65">
        <f>INDEX('Costs lists'!$E$5:$E$8,MATCH(Lists!BK65,'Costs lists'!$B$5:$B$8,0))</f>
        <v>4.2</v>
      </c>
      <c r="BW65" s="20" t="s">
        <v>38</v>
      </c>
      <c r="BX65" s="20">
        <v>2008</v>
      </c>
      <c r="BY65" s="52">
        <v>5.9639999999999995</v>
      </c>
      <c r="BZ65" s="52">
        <v>7.3839999999999995</v>
      </c>
      <c r="CA65" s="52">
        <v>8.4134999999999991</v>
      </c>
      <c r="CB65" s="52">
        <v>8.7684999999999995</v>
      </c>
      <c r="CC65" s="375">
        <f t="shared" si="65"/>
        <v>6.1663499999999996</v>
      </c>
      <c r="CD65" s="375">
        <v>5.37</v>
      </c>
      <c r="CE65" s="375">
        <v>5.6</v>
      </c>
      <c r="CF65" s="375">
        <v>7.24</v>
      </c>
      <c r="CG65" s="375">
        <f t="shared" si="64"/>
        <v>5.7200000000000006</v>
      </c>
      <c r="CI65" s="20" t="s">
        <v>38</v>
      </c>
      <c r="CJ65" s="20">
        <v>2015</v>
      </c>
      <c r="CK65" s="59">
        <f t="shared" si="48"/>
        <v>14.625946875277915</v>
      </c>
      <c r="CL65" s="59">
        <f t="shared" si="49"/>
        <v>18.108315178915515</v>
      </c>
      <c r="CM65" s="59">
        <f t="shared" si="50"/>
        <v>20.633032199052774</v>
      </c>
      <c r="CN65" s="59">
        <f t="shared" si="51"/>
        <v>21.503624274962174</v>
      </c>
      <c r="CO65" s="59">
        <f t="shared" si="52"/>
        <v>15.122184358546273</v>
      </c>
      <c r="CP65" s="59">
        <f t="shared" si="53"/>
        <v>13.169237880657681</v>
      </c>
      <c r="CQ65" s="59">
        <f t="shared" si="54"/>
        <v>13.733283450965178</v>
      </c>
      <c r="CR65" s="59">
        <f t="shared" si="55"/>
        <v>17.755173604462126</v>
      </c>
      <c r="CS65" s="59">
        <f t="shared" si="56"/>
        <v>14.027568096343007</v>
      </c>
      <c r="CW65" s="20" t="s">
        <v>38</v>
      </c>
      <c r="CX65">
        <v>2014</v>
      </c>
      <c r="CY65">
        <v>96.958731999999998</v>
      </c>
      <c r="CZ65">
        <v>45.281841278076172</v>
      </c>
      <c r="DB65">
        <v>144379.375</v>
      </c>
      <c r="DE65">
        <f t="shared" si="57"/>
        <v>0</v>
      </c>
      <c r="DH65" t="e">
        <f t="shared" si="58"/>
        <v>#DIV/0!</v>
      </c>
      <c r="DI65" t="e">
        <f t="shared" si="31"/>
        <v>#DIV/0!</v>
      </c>
      <c r="DJ65" t="e">
        <f t="shared" si="32"/>
        <v>#DIV/0!</v>
      </c>
      <c r="DL65" s="20" t="s">
        <v>38</v>
      </c>
      <c r="DM65" s="99" t="s">
        <v>767</v>
      </c>
      <c r="DN65" s="100" t="s">
        <v>754</v>
      </c>
      <c r="DO65" s="101"/>
      <c r="DP65" s="101"/>
      <c r="DQ65" s="101"/>
      <c r="DR65" s="101"/>
      <c r="DS65" s="101"/>
      <c r="DT65" s="101"/>
      <c r="DU65" s="101">
        <v>32</v>
      </c>
      <c r="DV65" s="101"/>
      <c r="DW65" s="101"/>
      <c r="DX65">
        <f t="shared" ca="1" si="59"/>
        <v>32</v>
      </c>
      <c r="DY65">
        <f t="shared" ca="1" si="60"/>
        <v>6.4</v>
      </c>
      <c r="DZ65" t="e">
        <f t="shared" ca="1" si="61"/>
        <v>#DIV/0!</v>
      </c>
      <c r="EB65" s="20" t="s">
        <v>38</v>
      </c>
      <c r="EC65" s="99" t="s">
        <v>767</v>
      </c>
      <c r="ED65" s="100" t="s">
        <v>754</v>
      </c>
      <c r="EE65" s="101"/>
      <c r="EF65" s="101"/>
      <c r="EG65" s="101"/>
      <c r="EH65" s="101"/>
      <c r="EI65" s="101"/>
      <c r="EJ65" s="101"/>
      <c r="EK65" s="101"/>
      <c r="EL65" s="101">
        <v>76.2</v>
      </c>
      <c r="EM65" s="101"/>
      <c r="EN65" s="101"/>
      <c r="EO65">
        <f t="shared" ca="1" si="66"/>
        <v>76.2</v>
      </c>
      <c r="EQ65" s="20" t="s">
        <v>38</v>
      </c>
      <c r="ER65" s="20" t="e">
        <f t="shared" ca="1" si="62"/>
        <v>#DIV/0!</v>
      </c>
      <c r="ES65" t="e">
        <f t="shared" ca="1" si="63"/>
        <v>#DIV/0!</v>
      </c>
      <c r="EU65" s="20" t="s">
        <v>38</v>
      </c>
      <c r="EV65" s="109">
        <v>1628.9231321513362</v>
      </c>
    </row>
    <row r="66" spans="1:152" x14ac:dyDescent="0.3">
      <c r="A66" s="20" t="s">
        <v>214</v>
      </c>
      <c r="B66" s="20" t="s">
        <v>634</v>
      </c>
      <c r="C66" s="81">
        <v>2015</v>
      </c>
      <c r="D66" s="82">
        <v>88.08</v>
      </c>
      <c r="E66" s="82">
        <v>88.025000000000006</v>
      </c>
      <c r="F66" s="82">
        <v>80.338999999999999</v>
      </c>
      <c r="G66" s="82">
        <v>76.518000000000001</v>
      </c>
      <c r="H66" s="82">
        <v>76.745999999999995</v>
      </c>
      <c r="I66" s="82">
        <v>71.022000000000006</v>
      </c>
      <c r="J66" s="82">
        <v>71.317999999999998</v>
      </c>
      <c r="K66" s="82">
        <v>62.351999999999997</v>
      </c>
      <c r="L66" s="82">
        <v>52.448</v>
      </c>
      <c r="M66" s="82">
        <v>50.215000000000003</v>
      </c>
      <c r="N66" s="82">
        <v>50.081000000000003</v>
      </c>
      <c r="O66" s="82">
        <v>42.445999999999998</v>
      </c>
      <c r="P66" s="82">
        <v>30.533999999999999</v>
      </c>
      <c r="Q66" s="82">
        <v>22.724</v>
      </c>
      <c r="R66" s="82">
        <v>15.363</v>
      </c>
      <c r="S66" s="82">
        <v>8.3559999999999999</v>
      </c>
      <c r="T66" s="82">
        <v>3.9590000000000001</v>
      </c>
      <c r="U66" s="82">
        <v>1.2769999999999999</v>
      </c>
      <c r="V66" s="82">
        <v>0.26900000000000002</v>
      </c>
      <c r="W66" s="82">
        <v>6.6000000000000003E-2</v>
      </c>
      <c r="X66" s="82">
        <v>7.0000000000000001E-3</v>
      </c>
      <c r="Y66" s="82">
        <f t="shared" si="36"/>
        <v>892.14499999999998</v>
      </c>
      <c r="Z66" s="52">
        <f t="shared" si="37"/>
        <v>8.8079999999999998</v>
      </c>
      <c r="AA66" s="52">
        <f t="shared" si="38"/>
        <v>8.8079999999999998</v>
      </c>
      <c r="AB66" s="52">
        <f t="shared" si="39"/>
        <v>17.616</v>
      </c>
      <c r="AC66" s="52">
        <f t="shared" si="40"/>
        <v>52.847999999999999</v>
      </c>
      <c r="AD66" s="52">
        <f t="shared" si="41"/>
        <v>168.364</v>
      </c>
      <c r="AE66" s="52">
        <f t="shared" si="42"/>
        <v>460.61900000000003</v>
      </c>
      <c r="AF66" s="52">
        <f t="shared" si="43"/>
        <v>123.06100000000001</v>
      </c>
      <c r="AG66" s="52">
        <f t="shared" si="44"/>
        <v>52.021000000000001</v>
      </c>
      <c r="AH66" s="52">
        <f t="shared" si="45"/>
        <v>892.1450000000001</v>
      </c>
      <c r="AI66">
        <v>20.074999999999999</v>
      </c>
      <c r="AJ66" s="30">
        <f t="shared" si="46"/>
        <v>17909.810875000003</v>
      </c>
      <c r="AK66">
        <f t="shared" si="47"/>
        <v>17.616</v>
      </c>
      <c r="AM66" s="20" t="s">
        <v>214</v>
      </c>
      <c r="AN66" t="s">
        <v>348</v>
      </c>
      <c r="AO66" t="s">
        <v>349</v>
      </c>
      <c r="AP66" t="s">
        <v>689</v>
      </c>
      <c r="AQ66" s="55">
        <v>10324.330181059817</v>
      </c>
      <c r="AR66" s="55">
        <v>2.0976232326369302</v>
      </c>
      <c r="AS66" t="s">
        <v>214</v>
      </c>
      <c r="AT66" t="s">
        <v>1212</v>
      </c>
      <c r="AU66" t="s">
        <v>1153</v>
      </c>
      <c r="AV66">
        <v>76.7170578643358</v>
      </c>
      <c r="AW66">
        <v>78.886221316654797</v>
      </c>
      <c r="AX66">
        <v>80.752483566172501</v>
      </c>
      <c r="AY66">
        <v>82.7638958109481</v>
      </c>
      <c r="AZ66">
        <v>86.739630381725107</v>
      </c>
      <c r="BA66">
        <v>93.446580241394798</v>
      </c>
      <c r="BB66">
        <v>96.450603486812696</v>
      </c>
      <c r="BC66">
        <v>100</v>
      </c>
      <c r="BD66">
        <v>107.28654447921301</v>
      </c>
      <c r="BE66">
        <v>110.94322753687899</v>
      </c>
      <c r="BF66">
        <v>114.17076441663001</v>
      </c>
      <c r="BG66">
        <v>114.787662047385</v>
      </c>
      <c r="BH66">
        <v>116.36119803308</v>
      </c>
      <c r="BJ66" s="20" t="s">
        <v>214</v>
      </c>
      <c r="BK66" t="s">
        <v>689</v>
      </c>
      <c r="BL66">
        <v>2015</v>
      </c>
      <c r="BM66">
        <f>INDEX('Costs lists'!$C$5:$C$8,MATCH(Lists!BK66,'Costs lists'!$B$5:$B$8,0))</f>
        <v>3.2</v>
      </c>
      <c r="BN66">
        <f>INDEX('Costs lists'!$D$5:$D$8,MATCH(Lists!BK66,'Costs lists'!$B$5:$B$8,0))</f>
        <v>1.1200000000000001</v>
      </c>
      <c r="BO66">
        <f>INDEX('Costs lists'!$E$5:$E$8,MATCH(Lists!BK66,'Costs lists'!$B$5:$B$8,0))</f>
        <v>4.4400000000000004</v>
      </c>
      <c r="BW66" s="20" t="s">
        <v>214</v>
      </c>
      <c r="BX66" s="20">
        <v>2008</v>
      </c>
      <c r="BY66" s="52">
        <v>10.439</v>
      </c>
      <c r="BZ66" s="52">
        <v>12.8918</v>
      </c>
      <c r="CA66" s="52">
        <v>14.6876</v>
      </c>
      <c r="CB66" s="52">
        <v>15.3154</v>
      </c>
      <c r="CC66" s="375">
        <f t="shared" si="65"/>
        <v>10.789765000000001</v>
      </c>
      <c r="CD66" s="375">
        <v>39.450000000000003</v>
      </c>
      <c r="CE66" s="375">
        <v>41.16</v>
      </c>
      <c r="CF66" s="375">
        <v>53.22</v>
      </c>
      <c r="CG66" s="375">
        <f t="shared" si="64"/>
        <v>42.029999999999994</v>
      </c>
      <c r="CI66" s="20" t="s">
        <v>214</v>
      </c>
      <c r="CJ66" s="20">
        <v>2015</v>
      </c>
      <c r="CK66" s="59">
        <f t="shared" si="48"/>
        <v>12.998812189054714</v>
      </c>
      <c r="CL66" s="59">
        <f t="shared" si="49"/>
        <v>16.053078549559878</v>
      </c>
      <c r="CM66" s="59">
        <f t="shared" si="50"/>
        <v>18.289237849215443</v>
      </c>
      <c r="CN66" s="59">
        <f t="shared" si="51"/>
        <v>19.070984596249506</v>
      </c>
      <c r="CO66" s="59">
        <f t="shared" si="52"/>
        <v>13.435590458763862</v>
      </c>
      <c r="CP66" s="59">
        <f t="shared" si="53"/>
        <v>49.123780137772634</v>
      </c>
      <c r="CQ66" s="59">
        <f t="shared" si="54"/>
        <v>51.253099885189386</v>
      </c>
      <c r="CR66" s="59">
        <f t="shared" si="55"/>
        <v>66.270407577497068</v>
      </c>
      <c r="CS66" s="59">
        <f t="shared" si="56"/>
        <v>52.336438002296156</v>
      </c>
      <c r="CW66" s="20" t="s">
        <v>214</v>
      </c>
      <c r="CX66">
        <v>2014</v>
      </c>
      <c r="CY66">
        <v>0.88644999999999996</v>
      </c>
      <c r="CZ66">
        <v>0.31492900848388672</v>
      </c>
      <c r="DB66">
        <v>6304.34814453125</v>
      </c>
      <c r="DC66">
        <v>0.48862648010253906</v>
      </c>
      <c r="DE66">
        <f t="shared" si="57"/>
        <v>9781.4788737090548</v>
      </c>
      <c r="DH66" t="e">
        <f t="shared" si="58"/>
        <v>#DIV/0!</v>
      </c>
      <c r="DI66" t="e">
        <f t="shared" si="31"/>
        <v>#DIV/0!</v>
      </c>
      <c r="DJ66" t="e">
        <f t="shared" si="32"/>
        <v>#DIV/0!</v>
      </c>
      <c r="DL66" s="20" t="s">
        <v>214</v>
      </c>
      <c r="DM66" s="99"/>
      <c r="DN66" s="100"/>
      <c r="DO66" s="101"/>
      <c r="DP66" s="101"/>
      <c r="DQ66" s="101"/>
      <c r="DR66" s="101"/>
      <c r="DS66" s="101"/>
      <c r="DT66" s="101"/>
      <c r="DU66" s="101"/>
      <c r="DV66" s="101"/>
      <c r="DW66" s="101"/>
      <c r="DX66" t="e">
        <f t="shared" ca="1" si="59"/>
        <v>#N/A</v>
      </c>
      <c r="DY66" t="e">
        <f t="shared" ca="1" si="60"/>
        <v>#N/A</v>
      </c>
      <c r="DZ66" t="e">
        <f t="shared" ca="1" si="61"/>
        <v>#N/A</v>
      </c>
      <c r="EB66" s="20" t="s">
        <v>214</v>
      </c>
      <c r="EC66" s="99" t="s">
        <v>756</v>
      </c>
      <c r="ED66" s="100" t="s">
        <v>754</v>
      </c>
      <c r="EE66" s="101"/>
      <c r="EF66" s="101"/>
      <c r="EG66" s="101"/>
      <c r="EH66" s="101"/>
      <c r="EI66" s="101">
        <v>52</v>
      </c>
      <c r="EJ66" s="101"/>
      <c r="EK66" s="101"/>
      <c r="EL66" s="101"/>
      <c r="EM66" s="101"/>
      <c r="EN66" s="101"/>
      <c r="EO66">
        <f t="shared" ca="1" si="66"/>
        <v>52</v>
      </c>
      <c r="EQ66" s="20" t="s">
        <v>214</v>
      </c>
      <c r="ER66" s="20" t="e">
        <f t="shared" ca="1" si="62"/>
        <v>#N/A</v>
      </c>
      <c r="ES66" t="e">
        <f t="shared" ca="1" si="63"/>
        <v>#N/A</v>
      </c>
      <c r="EU66" s="20" t="s">
        <v>214</v>
      </c>
      <c r="EV66" s="109">
        <v>9323.1984083240786</v>
      </c>
    </row>
    <row r="67" spans="1:152" x14ac:dyDescent="0.3">
      <c r="A67" s="20" t="s">
        <v>148</v>
      </c>
      <c r="B67" s="20" t="s">
        <v>257</v>
      </c>
      <c r="C67" s="81">
        <v>2015</v>
      </c>
      <c r="D67" s="82">
        <v>304.447</v>
      </c>
      <c r="E67" s="82">
        <v>307.09399999999999</v>
      </c>
      <c r="F67" s="82">
        <v>287.63200000000001</v>
      </c>
      <c r="G67" s="82">
        <v>304.24700000000001</v>
      </c>
      <c r="H67" s="82">
        <v>348.62</v>
      </c>
      <c r="I67" s="82">
        <v>337.26499999999999</v>
      </c>
      <c r="J67" s="82">
        <v>354.827</v>
      </c>
      <c r="K67" s="82">
        <v>355.69600000000003</v>
      </c>
      <c r="L67" s="82">
        <v>299.80200000000002</v>
      </c>
      <c r="M67" s="82">
        <v>364.20499999999998</v>
      </c>
      <c r="N67" s="82">
        <v>374.29300000000001</v>
      </c>
      <c r="O67" s="82">
        <v>369.63900000000001</v>
      </c>
      <c r="P67" s="82">
        <v>368.73700000000002</v>
      </c>
      <c r="Q67" s="82">
        <v>407.74900000000002</v>
      </c>
      <c r="R67" s="82">
        <v>239.66900000000001</v>
      </c>
      <c r="S67" s="82">
        <v>196.876</v>
      </c>
      <c r="T67" s="82">
        <v>146.452</v>
      </c>
      <c r="U67" s="82">
        <v>92.263000000000005</v>
      </c>
      <c r="V67" s="82">
        <v>36.384999999999998</v>
      </c>
      <c r="W67" s="82">
        <v>6.8250000000000002</v>
      </c>
      <c r="X67" s="82">
        <v>0.73399999999999999</v>
      </c>
      <c r="Y67" s="82">
        <f t="shared" si="36"/>
        <v>5503.4570000000003</v>
      </c>
      <c r="Z67" s="52">
        <f t="shared" si="37"/>
        <v>30.445</v>
      </c>
      <c r="AA67" s="52">
        <f t="shared" si="38"/>
        <v>30.445</v>
      </c>
      <c r="AB67" s="52">
        <f t="shared" si="39"/>
        <v>60.889000000000003</v>
      </c>
      <c r="AC67" s="52">
        <f t="shared" si="40"/>
        <v>182.66800000000001</v>
      </c>
      <c r="AD67" s="52">
        <f t="shared" si="41"/>
        <v>594.726</v>
      </c>
      <c r="AE67" s="52">
        <f t="shared" si="42"/>
        <v>2364.6619999999998</v>
      </c>
      <c r="AF67" s="52">
        <f t="shared" si="43"/>
        <v>1112.6690000000001</v>
      </c>
      <c r="AG67" s="52">
        <f t="shared" si="44"/>
        <v>1126.953</v>
      </c>
      <c r="AH67" s="52">
        <f t="shared" si="45"/>
        <v>5503.4570000000003</v>
      </c>
      <c r="AI67">
        <v>10.5</v>
      </c>
      <c r="AJ67" s="30">
        <f t="shared" si="46"/>
        <v>57786.298500000004</v>
      </c>
      <c r="AK67">
        <f t="shared" si="47"/>
        <v>60.889400000000002</v>
      </c>
      <c r="AM67" s="20" t="s">
        <v>148</v>
      </c>
      <c r="AN67" t="s">
        <v>256</v>
      </c>
      <c r="AO67" t="s">
        <v>257</v>
      </c>
      <c r="AP67" t="s">
        <v>690</v>
      </c>
      <c r="AQ67" s="55">
        <v>38235.206626260529</v>
      </c>
      <c r="AR67" s="55">
        <v>0.90165896164127801</v>
      </c>
      <c r="AS67" t="s">
        <v>148</v>
      </c>
      <c r="AT67" t="s">
        <v>1213</v>
      </c>
      <c r="AU67" t="s">
        <v>1153</v>
      </c>
      <c r="AV67">
        <v>90.241856428437004</v>
      </c>
      <c r="AW67">
        <v>90.4107200354551</v>
      </c>
      <c r="AX67">
        <v>91.189209884758398</v>
      </c>
      <c r="AY67">
        <v>92.617840839619603</v>
      </c>
      <c r="AZ67">
        <v>94.943165691681003</v>
      </c>
      <c r="BA67">
        <v>98.803508910135704</v>
      </c>
      <c r="BB67">
        <v>98.804116838201594</v>
      </c>
      <c r="BC67">
        <v>100</v>
      </c>
      <c r="BD67">
        <v>103.41680903371</v>
      </c>
      <c r="BE67">
        <v>106.321096712363</v>
      </c>
      <c r="BF67">
        <v>107.892828867869</v>
      </c>
      <c r="BG67">
        <v>109.016209008709</v>
      </c>
      <c r="BH67">
        <v>108.790366265261</v>
      </c>
      <c r="BJ67" s="20" t="s">
        <v>148</v>
      </c>
      <c r="BK67" t="s">
        <v>690</v>
      </c>
      <c r="BL67">
        <v>2015</v>
      </c>
      <c r="BM67">
        <f>INDEX('Costs lists'!$C$5:$C$8,MATCH(Lists!BK67,'Costs lists'!$B$5:$B$8,0))</f>
        <v>3.55</v>
      </c>
      <c r="BN67">
        <f>INDEX('Costs lists'!$D$5:$D$8,MATCH(Lists!BK67,'Costs lists'!$B$5:$B$8,0))</f>
        <v>2.91</v>
      </c>
      <c r="BO67">
        <f>INDEX('Costs lists'!$E$5:$E$8,MATCH(Lists!BK67,'Costs lists'!$B$5:$B$8,0))</f>
        <v>7.59</v>
      </c>
      <c r="BW67" s="20" t="s">
        <v>148</v>
      </c>
      <c r="BX67" s="20">
        <v>2008</v>
      </c>
      <c r="BY67" s="52">
        <v>40.2316</v>
      </c>
      <c r="BZ67" s="52">
        <v>49.670800000000007</v>
      </c>
      <c r="CA67" s="52">
        <v>56.607600000000005</v>
      </c>
      <c r="CB67" s="52">
        <v>58.990400000000008</v>
      </c>
      <c r="CC67" s="375">
        <f t="shared" si="65"/>
        <v>41.581930000000007</v>
      </c>
      <c r="CD67" s="375">
        <v>478.31</v>
      </c>
      <c r="CE67" s="375">
        <v>498.99</v>
      </c>
      <c r="CF67" s="375">
        <v>645.22</v>
      </c>
      <c r="CG67" s="375">
        <f t="shared" si="64"/>
        <v>509.57499999999993</v>
      </c>
      <c r="CI67" s="20" t="s">
        <v>148</v>
      </c>
      <c r="CJ67" s="20">
        <v>2015</v>
      </c>
      <c r="CK67" s="59">
        <f t="shared" si="48"/>
        <v>44.298128150674231</v>
      </c>
      <c r="CL67" s="59">
        <f t="shared" si="49"/>
        <v>54.691423253027715</v>
      </c>
      <c r="CM67" s="59">
        <f t="shared" si="50"/>
        <v>62.329380862359606</v>
      </c>
      <c r="CN67" s="59">
        <f t="shared" si="51"/>
        <v>64.953029431082371</v>
      </c>
      <c r="CO67" s="59">
        <f t="shared" si="52"/>
        <v>45.784946755594248</v>
      </c>
      <c r="CP67" s="59">
        <f t="shared" si="53"/>
        <v>526.65660017869016</v>
      </c>
      <c r="CQ67" s="59">
        <f t="shared" si="54"/>
        <v>549.42689244039343</v>
      </c>
      <c r="CR67" s="59">
        <f t="shared" si="55"/>
        <v>710.43752287699294</v>
      </c>
      <c r="CS67" s="59">
        <f t="shared" si="56"/>
        <v>561.08180267202442</v>
      </c>
      <c r="CW67" s="20" t="s">
        <v>148</v>
      </c>
      <c r="CX67">
        <v>2014</v>
      </c>
      <c r="CY67">
        <v>5.47966</v>
      </c>
      <c r="CZ67">
        <v>2.5984916687011719</v>
      </c>
      <c r="DA67">
        <v>1642.5055033019812</v>
      </c>
      <c r="DB67">
        <v>207230.8125</v>
      </c>
      <c r="DC67">
        <v>0.61007481813430786</v>
      </c>
      <c r="DE67">
        <f t="shared" si="57"/>
        <v>48653.725455642954</v>
      </c>
      <c r="DH67">
        <f t="shared" si="58"/>
        <v>29.621651408675842</v>
      </c>
      <c r="DI67">
        <f t="shared" si="31"/>
        <v>29.56028590091854</v>
      </c>
      <c r="DJ67">
        <f t="shared" si="32"/>
        <v>62.336284618834817</v>
      </c>
      <c r="DL67" s="20" t="s">
        <v>148</v>
      </c>
      <c r="DM67" s="99" t="s">
        <v>796</v>
      </c>
      <c r="DN67" s="100" t="s">
        <v>754</v>
      </c>
      <c r="DO67" s="101">
        <v>37.200000000000003</v>
      </c>
      <c r="DP67" s="101">
        <v>37.1</v>
      </c>
      <c r="DQ67" s="101">
        <v>36.5</v>
      </c>
      <c r="DR67" s="101">
        <v>36.799999999999997</v>
      </c>
      <c r="DS67" s="101">
        <v>36.700000000000003</v>
      </c>
      <c r="DT67" s="101">
        <v>36.5</v>
      </c>
      <c r="DU67" s="101">
        <v>36.200000000000003</v>
      </c>
      <c r="DV67" s="101">
        <v>36</v>
      </c>
      <c r="DW67" s="101">
        <v>36.1</v>
      </c>
      <c r="DX67">
        <f t="shared" ca="1" si="59"/>
        <v>36.1</v>
      </c>
      <c r="DY67">
        <f t="shared" ca="1" si="60"/>
        <v>7.2200000000000006</v>
      </c>
      <c r="DZ67">
        <f t="shared" ca="1" si="61"/>
        <v>213.42526420463187</v>
      </c>
      <c r="EB67" s="20" t="s">
        <v>148</v>
      </c>
      <c r="EC67" s="99" t="s">
        <v>796</v>
      </c>
      <c r="ED67" s="100" t="s">
        <v>754</v>
      </c>
      <c r="EE67" s="101">
        <v>56.3</v>
      </c>
      <c r="EF67" s="101">
        <v>57</v>
      </c>
      <c r="EG67" s="101">
        <v>57.6</v>
      </c>
      <c r="EH67" s="101">
        <v>55.5</v>
      </c>
      <c r="EI67" s="101">
        <v>54.9</v>
      </c>
      <c r="EJ67" s="101">
        <v>55.2</v>
      </c>
      <c r="EK67" s="101">
        <v>55.2</v>
      </c>
      <c r="EL67" s="101">
        <v>54.3</v>
      </c>
      <c r="EM67" s="101">
        <v>53.8</v>
      </c>
      <c r="EN67" s="101">
        <v>53.4</v>
      </c>
      <c r="EO67">
        <f t="shared" ca="1" si="66"/>
        <v>53.4</v>
      </c>
      <c r="EQ67" s="20" t="s">
        <v>148</v>
      </c>
      <c r="ER67" s="20">
        <f t="shared" ca="1" si="62"/>
        <v>213.42526420463187</v>
      </c>
      <c r="ES67">
        <f t="shared" ca="1" si="63"/>
        <v>113.96909108527342</v>
      </c>
      <c r="EU67" s="20" t="s">
        <v>148</v>
      </c>
      <c r="EV67" s="109">
        <v>40978.870723794658</v>
      </c>
    </row>
    <row r="68" spans="1:152" x14ac:dyDescent="0.3">
      <c r="A68" s="20" t="s">
        <v>170</v>
      </c>
      <c r="B68" s="20" t="s">
        <v>257</v>
      </c>
      <c r="C68" s="81">
        <v>2015</v>
      </c>
      <c r="D68" s="82">
        <v>3926.92</v>
      </c>
      <c r="E68" s="82">
        <v>3986.5439999999999</v>
      </c>
      <c r="F68" s="82">
        <v>3989.0709999999999</v>
      </c>
      <c r="G68" s="82">
        <v>3802.7</v>
      </c>
      <c r="H68" s="82">
        <v>3652.962</v>
      </c>
      <c r="I68" s="82">
        <v>3902.2959999999998</v>
      </c>
      <c r="J68" s="82">
        <v>3992.0839999999998</v>
      </c>
      <c r="K68" s="82">
        <v>3872.9850000000001</v>
      </c>
      <c r="L68" s="82">
        <v>4335.701</v>
      </c>
      <c r="M68" s="82">
        <v>4301.8440000000001</v>
      </c>
      <c r="N68" s="82">
        <v>4308.3450000000003</v>
      </c>
      <c r="O68" s="82">
        <v>4074.7350000000001</v>
      </c>
      <c r="P68" s="82">
        <v>3936.4389999999999</v>
      </c>
      <c r="Q68" s="82">
        <v>3791.252</v>
      </c>
      <c r="R68" s="82">
        <v>2431.8870000000002</v>
      </c>
      <c r="S68" s="82">
        <v>2193.3589999999999</v>
      </c>
      <c r="T68" s="82">
        <v>1892.085</v>
      </c>
      <c r="U68" s="82">
        <v>1251.442</v>
      </c>
      <c r="V68" s="82">
        <v>638.15499999999997</v>
      </c>
      <c r="W68" s="82">
        <v>94.771000000000001</v>
      </c>
      <c r="X68" s="82">
        <v>19.768000000000001</v>
      </c>
      <c r="Y68" s="82">
        <f t="shared" si="36"/>
        <v>64395.344999999994</v>
      </c>
      <c r="Z68" s="52">
        <f t="shared" si="37"/>
        <v>392.69200000000001</v>
      </c>
      <c r="AA68" s="52">
        <f t="shared" si="38"/>
        <v>392.69200000000001</v>
      </c>
      <c r="AB68" s="52">
        <f t="shared" si="39"/>
        <v>785.38400000000001</v>
      </c>
      <c r="AC68" s="52">
        <f t="shared" si="40"/>
        <v>2356.152</v>
      </c>
      <c r="AD68" s="52">
        <f t="shared" si="41"/>
        <v>7975.6149999999998</v>
      </c>
      <c r="AE68" s="52">
        <f t="shared" si="42"/>
        <v>27860.572</v>
      </c>
      <c r="AF68" s="52">
        <f t="shared" si="43"/>
        <v>12319.519</v>
      </c>
      <c r="AG68" s="52">
        <f t="shared" si="44"/>
        <v>12312.718999999999</v>
      </c>
      <c r="AH68" s="52">
        <f t="shared" si="45"/>
        <v>64395.345000000001</v>
      </c>
      <c r="AI68">
        <v>12.4</v>
      </c>
      <c r="AJ68" s="30">
        <f t="shared" si="46"/>
        <v>798502.27800000005</v>
      </c>
      <c r="AK68">
        <f t="shared" si="47"/>
        <v>785.38400000000001</v>
      </c>
      <c r="AM68" s="20" t="s">
        <v>170</v>
      </c>
      <c r="AN68" t="s">
        <v>256</v>
      </c>
      <c r="AO68" t="s">
        <v>257</v>
      </c>
      <c r="AP68" t="s">
        <v>690</v>
      </c>
      <c r="AQ68" s="55">
        <v>32779.031281354546</v>
      </c>
      <c r="AR68" s="55">
        <v>0.90165896164127801</v>
      </c>
      <c r="AS68" t="s">
        <v>170</v>
      </c>
      <c r="AT68" t="s">
        <v>1214</v>
      </c>
      <c r="AU68" t="s">
        <v>1153</v>
      </c>
      <c r="AV68">
        <v>89.260530678792605</v>
      </c>
      <c r="AW68">
        <v>91.1661312181391</v>
      </c>
      <c r="AX68">
        <v>92.748398813986995</v>
      </c>
      <c r="AY68">
        <v>94.310028136845503</v>
      </c>
      <c r="AZ68">
        <v>95.713430700119005</v>
      </c>
      <c r="BA68">
        <v>98.406725325224798</v>
      </c>
      <c r="BB68">
        <v>98.493406071779901</v>
      </c>
      <c r="BC68">
        <v>100</v>
      </c>
      <c r="BD68">
        <v>102.117486808704</v>
      </c>
      <c r="BE68">
        <v>104.114583691636</v>
      </c>
      <c r="BF68">
        <v>105.013724451538</v>
      </c>
      <c r="BG68">
        <v>105.546879837096</v>
      </c>
      <c r="BH68">
        <v>105.586780498208</v>
      </c>
      <c r="BJ68" s="20" t="s">
        <v>170</v>
      </c>
      <c r="BK68" t="s">
        <v>690</v>
      </c>
      <c r="BL68">
        <v>2015</v>
      </c>
      <c r="BM68">
        <f>INDEX('Costs lists'!$C$5:$C$8,MATCH(Lists!BK68,'Costs lists'!$B$5:$B$8,0))</f>
        <v>3.55</v>
      </c>
      <c r="BN68">
        <f>INDEX('Costs lists'!$D$5:$D$8,MATCH(Lists!BK68,'Costs lists'!$B$5:$B$8,0))</f>
        <v>2.91</v>
      </c>
      <c r="BO68">
        <f>INDEX('Costs lists'!$E$5:$E$8,MATCH(Lists!BK68,'Costs lists'!$B$5:$B$8,0))</f>
        <v>7.59</v>
      </c>
      <c r="BW68" s="20" t="s">
        <v>170</v>
      </c>
      <c r="BX68" s="20">
        <v>2008</v>
      </c>
      <c r="BY68" s="52">
        <v>35.7896</v>
      </c>
      <c r="BZ68" s="52">
        <v>44.193599999999996</v>
      </c>
      <c r="CA68" s="52">
        <v>50.362400000000001</v>
      </c>
      <c r="CB68" s="52">
        <v>52.483200000000004</v>
      </c>
      <c r="CC68" s="375">
        <f t="shared" si="65"/>
        <v>36.991459999999996</v>
      </c>
      <c r="CD68" s="375">
        <v>432.88</v>
      </c>
      <c r="CE68" s="375">
        <v>451.6</v>
      </c>
      <c r="CF68" s="375">
        <v>583.94000000000005</v>
      </c>
      <c r="CG68" s="375">
        <f t="shared" si="64"/>
        <v>461.17666666666662</v>
      </c>
      <c r="CI68" s="20" t="s">
        <v>170</v>
      </c>
      <c r="CJ68" s="20">
        <v>2015</v>
      </c>
      <c r="CK68" s="59">
        <f t="shared" si="48"/>
        <v>38.400918502569148</v>
      </c>
      <c r="CL68" s="59">
        <f t="shared" si="49"/>
        <v>47.418100004893596</v>
      </c>
      <c r="CM68" s="59">
        <f t="shared" si="50"/>
        <v>54.036994489845895</v>
      </c>
      <c r="CN68" s="59">
        <f t="shared" si="51"/>
        <v>56.312534533887984</v>
      </c>
      <c r="CO68" s="59">
        <f t="shared" si="52"/>
        <v>39.69046987815026</v>
      </c>
      <c r="CP68" s="59">
        <f t="shared" si="53"/>
        <v>464.46424663567444</v>
      </c>
      <c r="CQ68" s="59">
        <f t="shared" si="54"/>
        <v>484.55011499877702</v>
      </c>
      <c r="CR68" s="59">
        <f t="shared" si="55"/>
        <v>626.54604551015473</v>
      </c>
      <c r="CS68" s="59">
        <f t="shared" si="56"/>
        <v>494.82552450860481</v>
      </c>
      <c r="CW68" s="20" t="s">
        <v>170</v>
      </c>
      <c r="CX68">
        <v>2014</v>
      </c>
      <c r="CY68">
        <v>66.100167999999996</v>
      </c>
      <c r="CZ68">
        <v>27.253528594970703</v>
      </c>
      <c r="DA68">
        <v>1473.4584646968253</v>
      </c>
      <c r="DB68">
        <v>2522987</v>
      </c>
      <c r="DC68">
        <v>0.63000392913818359</v>
      </c>
      <c r="DE68">
        <f t="shared" si="57"/>
        <v>58322.419338312</v>
      </c>
      <c r="DH68">
        <f t="shared" si="58"/>
        <v>39.581990762333611</v>
      </c>
      <c r="DI68">
        <f t="shared" si="31"/>
        <v>39.596954232613207</v>
      </c>
      <c r="DJ68">
        <f t="shared" si="32"/>
        <v>96.03766785439467</v>
      </c>
      <c r="DL68" s="20" t="s">
        <v>170</v>
      </c>
      <c r="DM68" s="99" t="s">
        <v>796</v>
      </c>
      <c r="DN68" s="100" t="s">
        <v>754</v>
      </c>
      <c r="DO68" s="101">
        <v>37.1</v>
      </c>
      <c r="DP68" s="101">
        <v>37.1</v>
      </c>
      <c r="DQ68" s="101">
        <v>36.799999999999997</v>
      </c>
      <c r="DR68" s="101">
        <v>37.1</v>
      </c>
      <c r="DS68" s="101">
        <v>37.200000000000003</v>
      </c>
      <c r="DT68" s="101">
        <v>36.9</v>
      </c>
      <c r="DU68" s="101">
        <v>36.200000000000003</v>
      </c>
      <c r="DV68" s="101">
        <v>36.1</v>
      </c>
      <c r="DW68" s="101">
        <v>36.1</v>
      </c>
      <c r="DX68">
        <f t="shared" ca="1" si="59"/>
        <v>36.1</v>
      </c>
      <c r="DY68">
        <f t="shared" ca="1" si="60"/>
        <v>7.2200000000000006</v>
      </c>
      <c r="DZ68">
        <f t="shared" ca="1" si="61"/>
        <v>285.89000955946739</v>
      </c>
      <c r="EB68" s="20" t="s">
        <v>170</v>
      </c>
      <c r="EC68" s="99" t="s">
        <v>796</v>
      </c>
      <c r="ED68" s="100" t="s">
        <v>754</v>
      </c>
      <c r="EE68" s="101">
        <v>51.4</v>
      </c>
      <c r="EF68" s="101">
        <v>52</v>
      </c>
      <c r="EG68" s="101">
        <v>52.4</v>
      </c>
      <c r="EH68" s="101">
        <v>51.6</v>
      </c>
      <c r="EI68" s="101">
        <v>51.5</v>
      </c>
      <c r="EJ68" s="101">
        <v>51.3</v>
      </c>
      <c r="EK68" s="101">
        <v>51.2</v>
      </c>
      <c r="EL68" s="101">
        <v>50.9</v>
      </c>
      <c r="EM68" s="101">
        <v>50.4</v>
      </c>
      <c r="EN68" s="101">
        <v>50.3</v>
      </c>
      <c r="EO68">
        <f t="shared" ca="1" si="66"/>
        <v>50.3</v>
      </c>
      <c r="EQ68" s="20" t="s">
        <v>170</v>
      </c>
      <c r="ER68" s="20">
        <f t="shared" ca="1" si="62"/>
        <v>285.89000955946739</v>
      </c>
      <c r="ES68">
        <f t="shared" ca="1" si="63"/>
        <v>143.80267480841209</v>
      </c>
      <c r="EU68" s="20" t="s">
        <v>170</v>
      </c>
      <c r="EV68" s="109">
        <v>39631.348065818194</v>
      </c>
    </row>
    <row r="69" spans="1:152" x14ac:dyDescent="0.3">
      <c r="A69" s="20" t="s">
        <v>59</v>
      </c>
      <c r="B69" s="20" t="s">
        <v>632</v>
      </c>
      <c r="C69" s="81">
        <v>2015</v>
      </c>
      <c r="D69" s="82">
        <v>239.08</v>
      </c>
      <c r="E69" s="82">
        <v>212.09200000000001</v>
      </c>
      <c r="F69" s="82">
        <v>189.376</v>
      </c>
      <c r="G69" s="82">
        <v>176.43199999999999</v>
      </c>
      <c r="H69" s="82">
        <v>162.125</v>
      </c>
      <c r="I69" s="82">
        <v>145.07599999999999</v>
      </c>
      <c r="J69" s="82">
        <v>123.17700000000001</v>
      </c>
      <c r="K69" s="82">
        <v>100.315</v>
      </c>
      <c r="L69" s="82">
        <v>82.424000000000007</v>
      </c>
      <c r="M69" s="82">
        <v>69.066999999999993</v>
      </c>
      <c r="N69" s="82">
        <v>55.75</v>
      </c>
      <c r="O69" s="82">
        <v>45.042999999999999</v>
      </c>
      <c r="P69" s="82">
        <v>37.26</v>
      </c>
      <c r="Q69" s="82">
        <v>30.292999999999999</v>
      </c>
      <c r="R69" s="82">
        <v>24.023</v>
      </c>
      <c r="S69" s="82">
        <v>17.347999999999999</v>
      </c>
      <c r="T69" s="82">
        <v>10.510999999999999</v>
      </c>
      <c r="U69" s="82">
        <v>4.5049999999999999</v>
      </c>
      <c r="V69" s="82">
        <v>1.1910000000000001</v>
      </c>
      <c r="W69" s="82">
        <v>0.189</v>
      </c>
      <c r="X69" s="82">
        <v>1.4999999999999999E-2</v>
      </c>
      <c r="Y69" s="82">
        <f t="shared" si="36"/>
        <v>1725.2919999999999</v>
      </c>
      <c r="Z69" s="52">
        <f t="shared" si="37"/>
        <v>23.908000000000001</v>
      </c>
      <c r="AA69" s="52">
        <f t="shared" si="38"/>
        <v>23.908000000000001</v>
      </c>
      <c r="AB69" s="52">
        <f t="shared" si="39"/>
        <v>47.816000000000003</v>
      </c>
      <c r="AC69" s="52">
        <f t="shared" si="40"/>
        <v>143.44800000000001</v>
      </c>
      <c r="AD69" s="52">
        <f t="shared" si="41"/>
        <v>401.46800000000002</v>
      </c>
      <c r="AE69" s="52">
        <f t="shared" si="42"/>
        <v>858.61599999999999</v>
      </c>
      <c r="AF69" s="52">
        <f t="shared" si="43"/>
        <v>138.053</v>
      </c>
      <c r="AG69" s="52">
        <f t="shared" si="44"/>
        <v>88.075000000000003</v>
      </c>
      <c r="AH69" s="52">
        <f t="shared" si="45"/>
        <v>1725.2920000000001</v>
      </c>
      <c r="AI69">
        <v>30.166</v>
      </c>
      <c r="AJ69" s="30">
        <f t="shared" si="46"/>
        <v>52045.158472000003</v>
      </c>
      <c r="AK69">
        <f t="shared" si="47"/>
        <v>47.816000000000003</v>
      </c>
      <c r="AM69" s="20" t="s">
        <v>59</v>
      </c>
      <c r="AN69" t="s">
        <v>312</v>
      </c>
      <c r="AO69" t="s">
        <v>313</v>
      </c>
      <c r="AP69" t="s">
        <v>689</v>
      </c>
      <c r="AQ69" s="55">
        <v>4889185.119891352</v>
      </c>
      <c r="AR69" s="55">
        <v>591.44950750132796</v>
      </c>
      <c r="AS69" t="s">
        <v>59</v>
      </c>
      <c r="AT69" t="s">
        <v>1215</v>
      </c>
      <c r="AU69" t="s">
        <v>1153</v>
      </c>
      <c r="AV69">
        <v>85.225804093807497</v>
      </c>
      <c r="AW69">
        <v>85.573700349426204</v>
      </c>
      <c r="AX69">
        <v>88.747058404050506</v>
      </c>
      <c r="AY69">
        <v>87.496256150610293</v>
      </c>
      <c r="AZ69">
        <v>91.897596805248796</v>
      </c>
      <c r="BA69">
        <v>96.735363331669404</v>
      </c>
      <c r="BB69">
        <v>98.559509377451604</v>
      </c>
      <c r="BC69">
        <v>100</v>
      </c>
      <c r="BD69">
        <v>101.26934322184999</v>
      </c>
      <c r="BE69">
        <v>103.96491478285699</v>
      </c>
      <c r="BF69">
        <v>104.464094701562</v>
      </c>
      <c r="BG69">
        <v>109.32753333808699</v>
      </c>
      <c r="BH69">
        <v>109.988574092562</v>
      </c>
      <c r="BJ69" s="20" t="s">
        <v>59</v>
      </c>
      <c r="BK69" t="s">
        <v>689</v>
      </c>
      <c r="BL69">
        <v>2015</v>
      </c>
      <c r="BM69">
        <f>INDEX('Costs lists'!$C$5:$C$8,MATCH(Lists!BK69,'Costs lists'!$B$5:$B$8,0))</f>
        <v>3.2</v>
      </c>
      <c r="BN69">
        <f>INDEX('Costs lists'!$D$5:$D$8,MATCH(Lists!BK69,'Costs lists'!$B$5:$B$8,0))</f>
        <v>1.1200000000000001</v>
      </c>
      <c r="BO69">
        <f>INDEX('Costs lists'!$E$5:$E$8,MATCH(Lists!BK69,'Costs lists'!$B$5:$B$8,0))</f>
        <v>4.4400000000000004</v>
      </c>
      <c r="BW69" s="20" t="s">
        <v>59</v>
      </c>
      <c r="BX69" s="20">
        <v>2008</v>
      </c>
      <c r="BY69" s="52">
        <v>5948.4348</v>
      </c>
      <c r="BZ69" s="52">
        <v>7343.1765000000005</v>
      </c>
      <c r="CA69" s="52">
        <v>8368.4501999999993</v>
      </c>
      <c r="CB69" s="52">
        <v>8722.5236999999997</v>
      </c>
      <c r="CC69" s="375">
        <f t="shared" si="65"/>
        <v>6148.0244925000006</v>
      </c>
      <c r="CD69" s="375">
        <v>155.18</v>
      </c>
      <c r="CE69" s="375">
        <v>161.88999999999999</v>
      </c>
      <c r="CF69" s="375">
        <v>209.33</v>
      </c>
      <c r="CG69" s="375">
        <f t="shared" si="64"/>
        <v>165.32333333333332</v>
      </c>
      <c r="CI69" s="20" t="s">
        <v>59</v>
      </c>
      <c r="CJ69" s="20">
        <v>2015</v>
      </c>
      <c r="CK69" s="59">
        <f t="shared" si="48"/>
        <v>6763.399021838185</v>
      </c>
      <c r="CL69" s="59">
        <f t="shared" si="49"/>
        <v>8349.2270533561441</v>
      </c>
      <c r="CM69" s="59">
        <f t="shared" si="50"/>
        <v>9514.9681891077562</v>
      </c>
      <c r="CN69" s="59">
        <f t="shared" si="51"/>
        <v>9917.5514642171729</v>
      </c>
      <c r="CO69" s="59">
        <f t="shared" si="52"/>
        <v>6990.3334636552972</v>
      </c>
      <c r="CP69" s="59">
        <f t="shared" si="53"/>
        <v>176.44040751843653</v>
      </c>
      <c r="CQ69" s="59">
        <f t="shared" si="54"/>
        <v>184.06970984121463</v>
      </c>
      <c r="CR69" s="59">
        <f t="shared" si="55"/>
        <v>238.00921836470113</v>
      </c>
      <c r="CS69" s="59">
        <f t="shared" si="56"/>
        <v>187.97342637994365</v>
      </c>
      <c r="CW69" s="20" t="s">
        <v>59</v>
      </c>
      <c r="CX69">
        <v>2014</v>
      </c>
      <c r="CY69">
        <v>1.687673</v>
      </c>
      <c r="CZ69">
        <v>0.40791898965835571</v>
      </c>
      <c r="DB69">
        <v>23514.482421875</v>
      </c>
      <c r="DC69">
        <v>0.27539545297622681</v>
      </c>
      <c r="DE69">
        <f t="shared" si="57"/>
        <v>15875.165663401569</v>
      </c>
      <c r="DH69" t="e">
        <f t="shared" si="58"/>
        <v>#DIV/0!</v>
      </c>
      <c r="DI69" t="e">
        <f t="shared" si="31"/>
        <v>#DIV/0!</v>
      </c>
      <c r="DJ69" t="e">
        <f t="shared" si="32"/>
        <v>#DIV/0!</v>
      </c>
      <c r="DL69" s="20" t="s">
        <v>59</v>
      </c>
      <c r="DM69" s="99" t="s">
        <v>796</v>
      </c>
      <c r="DN69" s="100" t="s">
        <v>754</v>
      </c>
      <c r="DO69" s="101">
        <v>36.299999999999997</v>
      </c>
      <c r="DP69" s="101">
        <v>36.200000000000003</v>
      </c>
      <c r="DQ69" s="101">
        <v>35.6</v>
      </c>
      <c r="DR69" s="101">
        <v>35.799999999999997</v>
      </c>
      <c r="DS69" s="101">
        <v>35.9</v>
      </c>
      <c r="DT69" s="101">
        <v>35.799999999999997</v>
      </c>
      <c r="DU69" s="101">
        <v>35.5</v>
      </c>
      <c r="DV69" s="101">
        <v>35.6</v>
      </c>
      <c r="DW69" s="101">
        <v>35.5</v>
      </c>
      <c r="DX69">
        <f t="shared" ca="1" si="59"/>
        <v>35.5</v>
      </c>
      <c r="DY69">
        <f t="shared" ca="1" si="60"/>
        <v>7.1</v>
      </c>
      <c r="DZ69" t="e">
        <f t="shared" ca="1" si="61"/>
        <v>#DIV/0!</v>
      </c>
      <c r="EB69" s="20" t="s">
        <v>59</v>
      </c>
      <c r="EC69" s="99" t="s">
        <v>812</v>
      </c>
      <c r="ED69" s="100" t="s">
        <v>754</v>
      </c>
      <c r="EE69" s="101"/>
      <c r="EF69" s="101"/>
      <c r="EG69" s="101"/>
      <c r="EH69" s="101"/>
      <c r="EI69" s="101">
        <v>38.799999999999997</v>
      </c>
      <c r="EJ69" s="101"/>
      <c r="EK69" s="101"/>
      <c r="EL69" s="101"/>
      <c r="EM69" s="101"/>
      <c r="EN69" s="101"/>
      <c r="EO69">
        <f t="shared" ca="1" si="66"/>
        <v>38.799999999999997</v>
      </c>
      <c r="EQ69" s="20" t="s">
        <v>59</v>
      </c>
      <c r="ER69" s="20" t="e">
        <f t="shared" ca="1" si="62"/>
        <v>#DIV/0!</v>
      </c>
      <c r="ES69" t="e">
        <f t="shared" ca="1" si="63"/>
        <v>#DIV/0!</v>
      </c>
      <c r="EU69" s="20" t="s">
        <v>59</v>
      </c>
      <c r="EV69" s="109">
        <v>20081.027494995342</v>
      </c>
    </row>
    <row r="70" spans="1:152" x14ac:dyDescent="0.3">
      <c r="A70" s="20" t="s">
        <v>76</v>
      </c>
      <c r="B70" s="20" t="s">
        <v>632</v>
      </c>
      <c r="C70" s="81">
        <v>2015</v>
      </c>
      <c r="D70" s="82">
        <v>366.22500000000002</v>
      </c>
      <c r="E70" s="82">
        <v>301.178</v>
      </c>
      <c r="F70" s="82">
        <v>252.09100000000001</v>
      </c>
      <c r="G70" s="82">
        <v>212.01400000000001</v>
      </c>
      <c r="H70" s="82">
        <v>177.61</v>
      </c>
      <c r="I70" s="82">
        <v>150.202</v>
      </c>
      <c r="J70" s="82">
        <v>127.584</v>
      </c>
      <c r="K70" s="82">
        <v>103.512</v>
      </c>
      <c r="L70" s="82">
        <v>74.835999999999999</v>
      </c>
      <c r="M70" s="82">
        <v>64.335999999999999</v>
      </c>
      <c r="N70" s="82">
        <v>49.125999999999998</v>
      </c>
      <c r="O70" s="82">
        <v>37.915999999999997</v>
      </c>
      <c r="P70" s="82">
        <v>28.227</v>
      </c>
      <c r="Q70" s="82">
        <v>18.041</v>
      </c>
      <c r="R70" s="82">
        <v>15.112</v>
      </c>
      <c r="S70" s="82">
        <v>8.1180000000000003</v>
      </c>
      <c r="T70" s="82">
        <v>3.58</v>
      </c>
      <c r="U70" s="82">
        <v>1.0429999999999999</v>
      </c>
      <c r="V70" s="82">
        <v>0.161</v>
      </c>
      <c r="W70" s="82">
        <v>1.2E-2</v>
      </c>
      <c r="X70" s="82">
        <v>0</v>
      </c>
      <c r="Y70" s="82">
        <f t="shared" si="36"/>
        <v>1990.9239999999998</v>
      </c>
      <c r="Z70" s="52">
        <f t="shared" si="37"/>
        <v>36.622999999999998</v>
      </c>
      <c r="AA70" s="52">
        <f t="shared" si="38"/>
        <v>36.622999999999998</v>
      </c>
      <c r="AB70" s="52">
        <f t="shared" si="39"/>
        <v>73.245000000000005</v>
      </c>
      <c r="AC70" s="52">
        <f t="shared" si="40"/>
        <v>219.73500000000001</v>
      </c>
      <c r="AD70" s="52">
        <f t="shared" si="41"/>
        <v>553.26900000000001</v>
      </c>
      <c r="AE70" s="52">
        <f t="shared" si="42"/>
        <v>910.09400000000005</v>
      </c>
      <c r="AF70" s="52">
        <f t="shared" si="43"/>
        <v>115.26900000000001</v>
      </c>
      <c r="AG70" s="52">
        <f t="shared" si="44"/>
        <v>46.067</v>
      </c>
      <c r="AH70" s="52">
        <f t="shared" si="45"/>
        <v>1990.925</v>
      </c>
      <c r="AI70">
        <v>42.137999999999998</v>
      </c>
      <c r="AJ70" s="30">
        <f t="shared" si="46"/>
        <v>83893.597649999996</v>
      </c>
      <c r="AK70">
        <f t="shared" si="47"/>
        <v>73.245000000000005</v>
      </c>
      <c r="AM70" s="20" t="s">
        <v>76</v>
      </c>
      <c r="AN70" t="s">
        <v>352</v>
      </c>
      <c r="AO70" t="s">
        <v>353</v>
      </c>
      <c r="AP70" t="s">
        <v>691</v>
      </c>
      <c r="AQ70" s="55">
        <v>20043.254338186693</v>
      </c>
      <c r="AR70" s="55"/>
      <c r="AS70" t="s">
        <v>1124</v>
      </c>
      <c r="AT70" t="s">
        <v>1216</v>
      </c>
      <c r="AU70" t="s">
        <v>1153</v>
      </c>
      <c r="AV70">
        <v>67.699737692842405</v>
      </c>
      <c r="AW70">
        <v>77.317665631182905</v>
      </c>
      <c r="AX70">
        <v>81.058775036668706</v>
      </c>
      <c r="AY70">
        <v>82.725751521778804</v>
      </c>
      <c r="AZ70">
        <v>87.167408583251799</v>
      </c>
      <c r="BA70">
        <v>91.040827414939699</v>
      </c>
      <c r="BB70">
        <v>95.193728998925295</v>
      </c>
      <c r="BC70">
        <v>100</v>
      </c>
      <c r="BD70">
        <v>104.796484978653</v>
      </c>
      <c r="BE70">
        <v>109.25508787553299</v>
      </c>
      <c r="BF70">
        <v>115.482333219833</v>
      </c>
      <c r="BG70">
        <v>122.35050054480099</v>
      </c>
      <c r="BH70">
        <v>130.68100495036501</v>
      </c>
      <c r="BJ70" s="20" t="s">
        <v>76</v>
      </c>
      <c r="BK70" t="s">
        <v>691</v>
      </c>
      <c r="BL70">
        <v>2015</v>
      </c>
      <c r="BM70">
        <f>INDEX('Costs lists'!$C$5:$C$8,MATCH(Lists!BK70,'Costs lists'!$B$5:$B$8,0))</f>
        <v>4.2</v>
      </c>
      <c r="BN70">
        <f>INDEX('Costs lists'!$D$5:$D$8,MATCH(Lists!BK70,'Costs lists'!$B$5:$B$8,0))</f>
        <v>4.2</v>
      </c>
      <c r="BO70">
        <f>INDEX('Costs lists'!$E$5:$E$8,MATCH(Lists!BK70,'Costs lists'!$B$5:$B$8,0))</f>
        <v>4.2</v>
      </c>
      <c r="BW70" s="20" t="s">
        <v>76</v>
      </c>
      <c r="BX70" s="20">
        <v>2008</v>
      </c>
      <c r="BY70" s="52">
        <v>2.2115682000000003</v>
      </c>
      <c r="BZ70" s="52">
        <v>2.7355944000000001</v>
      </c>
      <c r="CA70" s="52">
        <v>3.1175117999999995</v>
      </c>
      <c r="CB70" s="52">
        <v>3.241857</v>
      </c>
      <c r="CC70" s="375">
        <f t="shared" si="65"/>
        <v>2.2861753199999999</v>
      </c>
      <c r="CD70" s="375">
        <v>9.23</v>
      </c>
      <c r="CE70" s="375">
        <v>9.6300000000000008</v>
      </c>
      <c r="CF70" s="375">
        <v>12.45</v>
      </c>
      <c r="CG70" s="375">
        <f t="shared" si="64"/>
        <v>9.8333333333333321</v>
      </c>
      <c r="CI70" s="20" t="s">
        <v>76</v>
      </c>
      <c r="CJ70" s="20">
        <v>2015</v>
      </c>
      <c r="CK70" s="59">
        <f t="shared" si="48"/>
        <v>3.1745093173971268</v>
      </c>
      <c r="CL70" s="59">
        <f t="shared" si="49"/>
        <v>3.9267022881860041</v>
      </c>
      <c r="CM70" s="59">
        <f t="shared" si="50"/>
        <v>4.4749107245236592</v>
      </c>
      <c r="CN70" s="59">
        <f t="shared" si="51"/>
        <v>4.6533971921684785</v>
      </c>
      <c r="CO70" s="59">
        <f t="shared" si="52"/>
        <v>3.2816011979840174</v>
      </c>
      <c r="CP70" s="59">
        <f t="shared" si="53"/>
        <v>13.248843512750581</v>
      </c>
      <c r="CQ70" s="59">
        <f t="shared" si="54"/>
        <v>13.823007912003044</v>
      </c>
      <c r="CR70" s="59">
        <f t="shared" si="55"/>
        <v>17.870866926732905</v>
      </c>
      <c r="CS70" s="59">
        <f t="shared" si="56"/>
        <v>14.114874814956377</v>
      </c>
      <c r="CW70" s="20" t="s">
        <v>76</v>
      </c>
      <c r="CX70">
        <v>2014</v>
      </c>
      <c r="CY70">
        <v>1.9282009999999998</v>
      </c>
      <c r="CZ70">
        <v>0.55853700637817383</v>
      </c>
      <c r="DB70">
        <v>3588.031494140625</v>
      </c>
      <c r="DE70">
        <f t="shared" si="57"/>
        <v>0</v>
      </c>
      <c r="DH70" t="e">
        <f t="shared" si="58"/>
        <v>#DIV/0!</v>
      </c>
      <c r="DI70" t="e">
        <f t="shared" si="31"/>
        <v>#DIV/0!</v>
      </c>
      <c r="DJ70" t="e">
        <f t="shared" si="32"/>
        <v>#DIV/0!</v>
      </c>
      <c r="DL70" s="20" t="s">
        <v>76</v>
      </c>
      <c r="DM70" s="99"/>
      <c r="DN70" s="100"/>
      <c r="DO70" s="101"/>
      <c r="DP70" s="101"/>
      <c r="DQ70" s="101"/>
      <c r="DR70" s="101"/>
      <c r="DS70" s="101"/>
      <c r="DT70" s="101"/>
      <c r="DU70" s="101"/>
      <c r="DV70" s="101"/>
      <c r="DW70" s="101"/>
      <c r="DX70" t="e">
        <f t="shared" ca="1" si="59"/>
        <v>#N/A</v>
      </c>
      <c r="DY70" t="e">
        <f t="shared" ca="1" si="60"/>
        <v>#N/A</v>
      </c>
      <c r="DZ70" t="e">
        <f t="shared" ca="1" si="61"/>
        <v>#N/A</v>
      </c>
      <c r="EB70" s="20" t="s">
        <v>76</v>
      </c>
      <c r="EC70" s="99" t="s">
        <v>756</v>
      </c>
      <c r="ED70" s="100" t="s">
        <v>754</v>
      </c>
      <c r="EE70" s="101"/>
      <c r="EF70" s="101"/>
      <c r="EG70" s="101"/>
      <c r="EH70" s="101"/>
      <c r="EI70" s="101"/>
      <c r="EJ70" s="101"/>
      <c r="EK70" s="101">
        <v>51.1</v>
      </c>
      <c r="EL70" s="101"/>
      <c r="EM70" s="101"/>
      <c r="EN70" s="101"/>
      <c r="EO70">
        <f t="shared" ca="1" si="66"/>
        <v>51.1</v>
      </c>
      <c r="EQ70" s="20" t="s">
        <v>76</v>
      </c>
      <c r="ER70" s="20" t="e">
        <f t="shared" ca="1" si="62"/>
        <v>#N/A</v>
      </c>
      <c r="ES70" t="e">
        <f t="shared" ca="1" si="63"/>
        <v>#N/A</v>
      </c>
      <c r="EU70" s="20" t="s">
        <v>76</v>
      </c>
      <c r="EV70" s="109">
        <v>1679.6843874362933</v>
      </c>
    </row>
    <row r="71" spans="1:152" x14ac:dyDescent="0.3">
      <c r="A71" s="20" t="s">
        <v>122</v>
      </c>
      <c r="B71" s="20" t="s">
        <v>257</v>
      </c>
      <c r="C71" s="81">
        <v>2015</v>
      </c>
      <c r="D71" s="82">
        <v>274.76799999999997</v>
      </c>
      <c r="E71" s="82">
        <v>228.517</v>
      </c>
      <c r="F71" s="82">
        <v>189.78100000000001</v>
      </c>
      <c r="G71" s="82">
        <v>244.655</v>
      </c>
      <c r="H71" s="82">
        <v>301.53100000000001</v>
      </c>
      <c r="I71" s="82">
        <v>325.47699999999998</v>
      </c>
      <c r="J71" s="82">
        <v>295.33800000000002</v>
      </c>
      <c r="K71" s="82">
        <v>283.49400000000003</v>
      </c>
      <c r="L71" s="82">
        <v>267.46800000000002</v>
      </c>
      <c r="M71" s="82">
        <v>264.49299999999999</v>
      </c>
      <c r="N71" s="82">
        <v>291.24599999999998</v>
      </c>
      <c r="O71" s="82">
        <v>262.62099999999998</v>
      </c>
      <c r="P71" s="82">
        <v>209.423</v>
      </c>
      <c r="Q71" s="82">
        <v>147.428</v>
      </c>
      <c r="R71" s="82">
        <v>124.42</v>
      </c>
      <c r="S71" s="82">
        <v>143.47399999999999</v>
      </c>
      <c r="T71" s="82">
        <v>75.512</v>
      </c>
      <c r="U71" s="82">
        <v>54.935000000000002</v>
      </c>
      <c r="V71" s="82">
        <v>12.807</v>
      </c>
      <c r="W71" s="82">
        <v>2.032</v>
      </c>
      <c r="X71" s="82">
        <v>0.39200000000000002</v>
      </c>
      <c r="Y71" s="82">
        <f t="shared" si="36"/>
        <v>3999.8119999999999</v>
      </c>
      <c r="Z71" s="52">
        <f t="shared" si="37"/>
        <v>27.477</v>
      </c>
      <c r="AA71" s="52">
        <f t="shared" si="38"/>
        <v>27.477</v>
      </c>
      <c r="AB71" s="52">
        <f t="shared" si="39"/>
        <v>54.954000000000001</v>
      </c>
      <c r="AC71" s="52">
        <f t="shared" si="40"/>
        <v>164.86099999999999</v>
      </c>
      <c r="AD71" s="52">
        <f t="shared" si="41"/>
        <v>418.298</v>
      </c>
      <c r="AE71" s="52">
        <f t="shared" si="42"/>
        <v>1982.4559999999999</v>
      </c>
      <c r="AF71" s="52">
        <f t="shared" si="43"/>
        <v>763.29</v>
      </c>
      <c r="AG71" s="52">
        <f t="shared" si="44"/>
        <v>561</v>
      </c>
      <c r="AH71" s="52">
        <f t="shared" si="45"/>
        <v>3999.8130000000001</v>
      </c>
      <c r="AI71">
        <v>13.532</v>
      </c>
      <c r="AJ71" s="30">
        <f t="shared" si="46"/>
        <v>54125.469516000005</v>
      </c>
      <c r="AK71">
        <f t="shared" si="47"/>
        <v>54.953599999999994</v>
      </c>
      <c r="AM71" s="20" t="s">
        <v>122</v>
      </c>
      <c r="AN71" t="s">
        <v>354</v>
      </c>
      <c r="AO71" t="s">
        <v>355</v>
      </c>
      <c r="AP71" t="s">
        <v>689</v>
      </c>
      <c r="AQ71" s="55">
        <v>8525.9072933200605</v>
      </c>
      <c r="AR71" s="55">
        <v>2.2693416666666701</v>
      </c>
      <c r="AS71" t="s">
        <v>122</v>
      </c>
      <c r="AT71" t="s">
        <v>1217</v>
      </c>
      <c r="AU71" t="s">
        <v>1153</v>
      </c>
      <c r="AV71">
        <v>61.172969554343197</v>
      </c>
      <c r="AW71">
        <v>64.633112357609505</v>
      </c>
      <c r="AX71">
        <v>69.963463582202905</v>
      </c>
      <c r="AY71">
        <v>76.372858504115797</v>
      </c>
      <c r="AZ71">
        <v>83.433496207272299</v>
      </c>
      <c r="BA71">
        <v>91.776358333333306</v>
      </c>
      <c r="BB71">
        <v>93.3618083333333</v>
      </c>
      <c r="BC71">
        <v>100</v>
      </c>
      <c r="BD71">
        <v>108.542933333333</v>
      </c>
      <c r="BE71">
        <v>107.51865833333299</v>
      </c>
      <c r="BF71">
        <v>106.96810000000001</v>
      </c>
      <c r="BG71">
        <v>110.25075</v>
      </c>
      <c r="BH71">
        <v>114.664725</v>
      </c>
      <c r="BJ71" s="20" t="s">
        <v>122</v>
      </c>
      <c r="BK71" t="s">
        <v>689</v>
      </c>
      <c r="BL71">
        <v>2015</v>
      </c>
      <c r="BM71">
        <f>INDEX('Costs lists'!$C$5:$C$8,MATCH(Lists!BK71,'Costs lists'!$B$5:$B$8,0))</f>
        <v>3.2</v>
      </c>
      <c r="BN71">
        <f>INDEX('Costs lists'!$D$5:$D$8,MATCH(Lists!BK71,'Costs lists'!$B$5:$B$8,0))</f>
        <v>1.1200000000000001</v>
      </c>
      <c r="BO71">
        <f>INDEX('Costs lists'!$E$5:$E$8,MATCH(Lists!BK71,'Costs lists'!$B$5:$B$8,0))</f>
        <v>4.4400000000000004</v>
      </c>
      <c r="BW71" s="20" t="s">
        <v>122</v>
      </c>
      <c r="BX71" s="20">
        <v>2008</v>
      </c>
      <c r="BY71" s="52">
        <v>6.7907000000000002</v>
      </c>
      <c r="BZ71" s="52">
        <v>8.3838000000000008</v>
      </c>
      <c r="CA71" s="52">
        <v>9.5497000000000014</v>
      </c>
      <c r="CB71" s="52">
        <v>9.9590999999999994</v>
      </c>
      <c r="CC71" s="375">
        <f t="shared" si="65"/>
        <v>7.0185399999999998</v>
      </c>
      <c r="CD71" s="375">
        <v>43.13</v>
      </c>
      <c r="CE71" s="375">
        <v>44.99</v>
      </c>
      <c r="CF71" s="375">
        <v>58.18</v>
      </c>
      <c r="CG71" s="375">
        <f t="shared" si="64"/>
        <v>45.948333333333331</v>
      </c>
      <c r="CI71" s="20" t="s">
        <v>122</v>
      </c>
      <c r="CJ71" s="20">
        <v>2015</v>
      </c>
      <c r="CK71" s="59">
        <f t="shared" si="48"/>
        <v>8.48425195985023</v>
      </c>
      <c r="CL71" s="59">
        <f t="shared" si="49"/>
        <v>10.47465969355035</v>
      </c>
      <c r="CM71" s="59">
        <f t="shared" si="50"/>
        <v>11.931326805923064</v>
      </c>
      <c r="CN71" s="59">
        <f t="shared" si="51"/>
        <v>12.44282823469516</v>
      </c>
      <c r="CO71" s="59">
        <f t="shared" si="52"/>
        <v>8.7689136245581789</v>
      </c>
      <c r="CP71" s="59">
        <f t="shared" si="53"/>
        <v>53.886313197216843</v>
      </c>
      <c r="CQ71" s="59">
        <f t="shared" si="54"/>
        <v>56.210183879962578</v>
      </c>
      <c r="CR71" s="59">
        <f t="shared" si="55"/>
        <v>72.689675442014277</v>
      </c>
      <c r="CS71" s="59">
        <f t="shared" si="56"/>
        <v>57.407518685140701</v>
      </c>
      <c r="CW71" s="20" t="s">
        <v>122</v>
      </c>
      <c r="CX71">
        <v>2014</v>
      </c>
      <c r="CY71">
        <v>4.0347739999999996</v>
      </c>
      <c r="CZ71">
        <v>1.4006699323654175</v>
      </c>
      <c r="DB71">
        <v>41587.58203125</v>
      </c>
      <c r="DC71">
        <v>0.5359041690826416</v>
      </c>
      <c r="DE71">
        <f t="shared" si="57"/>
        <v>15911.642049012611</v>
      </c>
      <c r="DH71" t="e">
        <f t="shared" si="58"/>
        <v>#DIV/0!</v>
      </c>
      <c r="DI71" t="e">
        <f t="shared" si="31"/>
        <v>#DIV/0!</v>
      </c>
      <c r="DJ71" t="e">
        <f t="shared" si="32"/>
        <v>#DIV/0!</v>
      </c>
      <c r="DL71" s="20" t="s">
        <v>122</v>
      </c>
      <c r="DM71" s="99"/>
      <c r="DN71" s="100"/>
      <c r="DO71" s="101"/>
      <c r="DP71" s="101"/>
      <c r="DQ71" s="101"/>
      <c r="DR71" s="101"/>
      <c r="DS71" s="101"/>
      <c r="DT71" s="101"/>
      <c r="DU71" s="101"/>
      <c r="DV71" s="101"/>
      <c r="DW71" s="101"/>
      <c r="DX71" t="e">
        <f t="shared" ca="1" si="59"/>
        <v>#N/A</v>
      </c>
      <c r="DY71" t="e">
        <f t="shared" ca="1" si="60"/>
        <v>#N/A</v>
      </c>
      <c r="DZ71" t="e">
        <f t="shared" ca="1" si="61"/>
        <v>#N/A</v>
      </c>
      <c r="EB71" s="20" t="s">
        <v>122</v>
      </c>
      <c r="EC71" s="99" t="s">
        <v>813</v>
      </c>
      <c r="ED71" s="100" t="s">
        <v>754</v>
      </c>
      <c r="EE71" s="101"/>
      <c r="EF71" s="101"/>
      <c r="EG71" s="101"/>
      <c r="EH71" s="101">
        <v>52.9</v>
      </c>
      <c r="EI71" s="101">
        <v>53.8</v>
      </c>
      <c r="EJ71" s="101">
        <v>55.4</v>
      </c>
      <c r="EK71" s="101">
        <v>56.8</v>
      </c>
      <c r="EL71" s="101">
        <v>56.6</v>
      </c>
      <c r="EM71" s="101">
        <v>58.3</v>
      </c>
      <c r="EN71" s="101">
        <v>59.7</v>
      </c>
      <c r="EO71">
        <f t="shared" ca="1" si="66"/>
        <v>59.7</v>
      </c>
      <c r="EQ71" s="20" t="s">
        <v>122</v>
      </c>
      <c r="ER71" s="20" t="e">
        <f t="shared" ca="1" si="62"/>
        <v>#N/A</v>
      </c>
      <c r="ES71" t="e">
        <f t="shared" ca="1" si="63"/>
        <v>#N/A</v>
      </c>
      <c r="EU71" s="20" t="s">
        <v>122</v>
      </c>
      <c r="EV71" s="109">
        <v>9698.8951623356879</v>
      </c>
    </row>
    <row r="72" spans="1:152" x14ac:dyDescent="0.3">
      <c r="A72" s="20" t="s">
        <v>171</v>
      </c>
      <c r="B72" s="20" t="s">
        <v>257</v>
      </c>
      <c r="C72" s="81">
        <v>2015</v>
      </c>
      <c r="D72" s="82">
        <v>3384.4549999999999</v>
      </c>
      <c r="E72" s="82">
        <v>3392.547</v>
      </c>
      <c r="F72" s="82">
        <v>3620.3820000000001</v>
      </c>
      <c r="G72" s="82">
        <v>4023.866</v>
      </c>
      <c r="H72" s="82">
        <v>4396.6620000000003</v>
      </c>
      <c r="I72" s="82">
        <v>5098.375</v>
      </c>
      <c r="J72" s="82">
        <v>5171.1949999999997</v>
      </c>
      <c r="K72" s="82">
        <v>4734.7370000000001</v>
      </c>
      <c r="L72" s="82">
        <v>4878.3230000000003</v>
      </c>
      <c r="M72" s="82">
        <v>6748.8280000000004</v>
      </c>
      <c r="N72" s="82">
        <v>6910.3429999999998</v>
      </c>
      <c r="O72" s="82">
        <v>6060.2219999999998</v>
      </c>
      <c r="P72" s="82">
        <v>5129.8370000000004</v>
      </c>
      <c r="Q72" s="82">
        <v>4118.16</v>
      </c>
      <c r="R72" s="82">
        <v>4268.2790000000005</v>
      </c>
      <c r="S72" s="82">
        <v>4184.03</v>
      </c>
      <c r="T72" s="82">
        <v>2369.5169999999998</v>
      </c>
      <c r="U72" s="82">
        <v>1493.7170000000001</v>
      </c>
      <c r="V72" s="82">
        <v>598.49699999999996</v>
      </c>
      <c r="W72" s="82">
        <v>90.477000000000004</v>
      </c>
      <c r="X72" s="82">
        <v>16.096</v>
      </c>
      <c r="Y72" s="82">
        <f t="shared" ref="Y72:Y103" si="67">SUM(D72:X72)</f>
        <v>80688.545000000013</v>
      </c>
      <c r="Z72" s="52">
        <f t="shared" ref="Z72:Z103" si="68">ROUND(D72/10,3)</f>
        <v>338.44600000000003</v>
      </c>
      <c r="AA72" s="52">
        <f t="shared" ref="AA72:AA103" si="69">ROUND(D72/10,3)</f>
        <v>338.44600000000003</v>
      </c>
      <c r="AB72" s="52">
        <f t="shared" ref="AB72:AB103" si="70">ROUND(D72/5,3)</f>
        <v>676.89099999999996</v>
      </c>
      <c r="AC72" s="52">
        <f t="shared" ref="AC72:AC103" si="71">ROUND(D72/5*3,3)</f>
        <v>2030.673</v>
      </c>
      <c r="AD72" s="52">
        <f t="shared" ref="AD72:AD103" si="72">ROUND(E72+F72,3)</f>
        <v>7012.9290000000001</v>
      </c>
      <c r="AE72" s="52">
        <f t="shared" ref="AE72:AE103" si="73">ROUND(SUM(G72:M72),3)</f>
        <v>35051.985999999997</v>
      </c>
      <c r="AF72" s="52">
        <f t="shared" ref="AF72:AF103" si="74">ROUND(SUM(N72:P72),3)</f>
        <v>18100.401999999998</v>
      </c>
      <c r="AG72" s="52">
        <f t="shared" ref="AG72:AG103" si="75">ROUND(SUM(Q72:X72),3)</f>
        <v>17138.773000000001</v>
      </c>
      <c r="AH72" s="52">
        <f t="shared" ref="AH72:AH103" si="76">SUM(Z72:AG72)</f>
        <v>80688.546000000002</v>
      </c>
      <c r="AI72">
        <v>8.6</v>
      </c>
      <c r="AJ72" s="30">
        <f t="shared" ref="AJ72:AJ103" si="77">AH72*AI72</f>
        <v>693921.49560000002</v>
      </c>
      <c r="AK72">
        <f t="shared" ref="AK72:AK103" si="78">D72/5</f>
        <v>676.89099999999996</v>
      </c>
      <c r="AM72" s="20" t="s">
        <v>171</v>
      </c>
      <c r="AN72" t="s">
        <v>256</v>
      </c>
      <c r="AO72" t="s">
        <v>257</v>
      </c>
      <c r="AP72" t="s">
        <v>690</v>
      </c>
      <c r="AQ72" s="55">
        <v>37130.614314053702</v>
      </c>
      <c r="AR72" s="55">
        <v>0.90165896164127801</v>
      </c>
      <c r="AS72" t="s">
        <v>171</v>
      </c>
      <c r="AT72" t="s">
        <v>1218</v>
      </c>
      <c r="AU72" t="s">
        <v>1153</v>
      </c>
      <c r="AV72">
        <v>89.557463121926801</v>
      </c>
      <c r="AW72">
        <v>91.049254104508705</v>
      </c>
      <c r="AX72">
        <v>92.457704808733993</v>
      </c>
      <c r="AY72">
        <v>93.916159679973305</v>
      </c>
      <c r="AZ72">
        <v>96.074672889407495</v>
      </c>
      <c r="BA72">
        <v>98.5998833236103</v>
      </c>
      <c r="BB72">
        <v>98.908242353529403</v>
      </c>
      <c r="BC72">
        <v>100</v>
      </c>
      <c r="BD72">
        <v>102.075172931078</v>
      </c>
      <c r="BE72">
        <v>104.125343778649</v>
      </c>
      <c r="BF72">
        <v>105.692141011751</v>
      </c>
      <c r="BG72">
        <v>106.65055421285</v>
      </c>
      <c r="BH72">
        <v>106.900575047921</v>
      </c>
      <c r="BJ72" s="20" t="s">
        <v>171</v>
      </c>
      <c r="BK72" t="s">
        <v>690</v>
      </c>
      <c r="BL72">
        <v>2015</v>
      </c>
      <c r="BM72">
        <f>INDEX('Costs lists'!$C$5:$C$8,MATCH(Lists!BK72,'Costs lists'!$B$5:$B$8,0))</f>
        <v>3.55</v>
      </c>
      <c r="BN72">
        <f>INDEX('Costs lists'!$D$5:$D$8,MATCH(Lists!BK72,'Costs lists'!$B$5:$B$8,0))</f>
        <v>2.91</v>
      </c>
      <c r="BO72">
        <f>INDEX('Costs lists'!$E$5:$E$8,MATCH(Lists!BK72,'Costs lists'!$B$5:$B$8,0))</f>
        <v>7.59</v>
      </c>
      <c r="BW72" s="20" t="s">
        <v>171</v>
      </c>
      <c r="BX72" s="20">
        <v>2008</v>
      </c>
      <c r="BY72" s="52">
        <v>35.391199999999998</v>
      </c>
      <c r="BZ72" s="52">
        <v>43.697799999999994</v>
      </c>
      <c r="CA72" s="52">
        <v>49.798599999999993</v>
      </c>
      <c r="CB72" s="52">
        <v>51.889599999999994</v>
      </c>
      <c r="CC72" s="375">
        <f t="shared" si="65"/>
        <v>36.579174999999999</v>
      </c>
      <c r="CD72" s="375">
        <v>469.77</v>
      </c>
      <c r="CE72" s="375">
        <v>490.08</v>
      </c>
      <c r="CF72" s="375">
        <v>633.70000000000005</v>
      </c>
      <c r="CG72" s="375">
        <f t="shared" si="64"/>
        <v>500.47666666666663</v>
      </c>
      <c r="CI72" s="20" t="s">
        <v>171</v>
      </c>
      <c r="CJ72" s="20">
        <v>2015</v>
      </c>
      <c r="CK72" s="59">
        <f t="shared" ref="CK72:CK103" si="79">BY72*($BH72/$BA72)</f>
        <v>38.370629904488325</v>
      </c>
      <c r="CL72" s="59">
        <f t="shared" ref="CL72:CL103" si="80">BZ72*($BH72/$BA72)</f>
        <v>47.376526126278563</v>
      </c>
      <c r="CM72" s="59">
        <f t="shared" ref="CM72:CM103" si="81">CA72*($BH72/$BA72)</f>
        <v>53.990925720564782</v>
      </c>
      <c r="CN72" s="59">
        <f t="shared" ref="CN72:CN103" si="82">CB72*($BH72/$BA72)</f>
        <v>56.257957839574168</v>
      </c>
      <c r="CO72" s="59">
        <f t="shared" ref="CO72:CO103" si="83">CC72*($BH72/$BA72)</f>
        <v>39.658615309356897</v>
      </c>
      <c r="CP72" s="59">
        <f t="shared" ref="CP72:CP103" si="84">CD72*($BH72/$BA72)</f>
        <v>509.31787591919692</v>
      </c>
      <c r="CQ72" s="59">
        <f t="shared" ref="CQ72:CQ103" si="85">CE72*($BH72/$BA72)</f>
        <v>531.33768574085195</v>
      </c>
      <c r="CR72" s="59">
        <f t="shared" ref="CR72:CR103" si="86">CF72*($BH72/$BA72)</f>
        <v>687.04842363283126</v>
      </c>
      <c r="CS72" s="59">
        <f t="shared" ref="CS72:CS103" si="87">CG72*($BH72/$BA72)</f>
        <v>542.60960217507841</v>
      </c>
      <c r="CW72" s="20" t="s">
        <v>171</v>
      </c>
      <c r="CX72">
        <v>2014</v>
      </c>
      <c r="CY72">
        <v>80.646261999999993</v>
      </c>
      <c r="CZ72">
        <v>42.453529357910156</v>
      </c>
      <c r="DA72">
        <v>1371.1008959144426</v>
      </c>
      <c r="DB72">
        <v>3725049.25</v>
      </c>
      <c r="DC72">
        <v>0.62271749973297119</v>
      </c>
      <c r="DE72">
        <f t="shared" ref="DE72:DE103" si="88">DB72*DC72/CZ72</f>
        <v>54639.82360067244</v>
      </c>
      <c r="DH72">
        <f t="shared" ref="DH72:DH103" si="89">DE72/DA72</f>
        <v>39.851059658327287</v>
      </c>
      <c r="DI72">
        <f t="shared" si="31"/>
        <v>39.944482475374762</v>
      </c>
      <c r="DJ72">
        <f t="shared" si="32"/>
        <v>75.879985666333269</v>
      </c>
      <c r="DL72" s="20" t="s">
        <v>171</v>
      </c>
      <c r="DM72" s="99"/>
      <c r="DN72" s="100"/>
      <c r="DO72" s="101"/>
      <c r="DP72" s="101"/>
      <c r="DQ72" s="101"/>
      <c r="DR72" s="101"/>
      <c r="DS72" s="101"/>
      <c r="DT72" s="101"/>
      <c r="DU72" s="101"/>
      <c r="DV72" s="101"/>
      <c r="DW72" s="101"/>
      <c r="DX72" t="e">
        <f t="shared" ref="DX72:DX103" ca="1" si="90">OFFSET(DO72,0,MATCH(MAX(DO72:DW72)+1,DO72:DW72,1)-1)</f>
        <v>#N/A</v>
      </c>
      <c r="DY72" t="e">
        <f t="shared" ref="DY72:DY103" ca="1" si="91">DX72/5</f>
        <v>#N/A</v>
      </c>
      <c r="DZ72" t="e">
        <f t="shared" ref="DZ72:DZ103" ca="1" si="92">DY72*DI72</f>
        <v>#N/A</v>
      </c>
      <c r="EB72" s="20" t="s">
        <v>171</v>
      </c>
      <c r="EC72" s="99" t="s">
        <v>796</v>
      </c>
      <c r="ED72" s="100" t="s">
        <v>754</v>
      </c>
      <c r="EE72" s="101">
        <v>52.9</v>
      </c>
      <c r="EF72" s="101">
        <v>54</v>
      </c>
      <c r="EG72" s="101">
        <v>54.8</v>
      </c>
      <c r="EH72" s="101">
        <v>54.8</v>
      </c>
      <c r="EI72" s="101">
        <v>55.2</v>
      </c>
      <c r="EJ72" s="101">
        <v>56.6</v>
      </c>
      <c r="EK72" s="101">
        <v>56.8</v>
      </c>
      <c r="EL72" s="101">
        <v>57.2</v>
      </c>
      <c r="EM72" s="101">
        <v>57.4</v>
      </c>
      <c r="EN72" s="101">
        <v>57.4</v>
      </c>
      <c r="EO72">
        <f t="shared" ca="1" si="66"/>
        <v>57.4</v>
      </c>
      <c r="EQ72" s="20" t="s">
        <v>171</v>
      </c>
      <c r="ER72" s="20" t="e">
        <f t="shared" ref="ER72:ER103" ca="1" si="93">DZ72</f>
        <v>#N/A</v>
      </c>
      <c r="ES72" t="e">
        <f t="shared" ref="ES72:ES103" ca="1" si="94">DZ72*EO72/100</f>
        <v>#N/A</v>
      </c>
      <c r="EU72" s="20" t="s">
        <v>171</v>
      </c>
      <c r="EV72" s="109">
        <v>47376.532942066464</v>
      </c>
    </row>
    <row r="73" spans="1:152" x14ac:dyDescent="0.3">
      <c r="A73" s="20" t="s">
        <v>77</v>
      </c>
      <c r="B73" s="20" t="s">
        <v>632</v>
      </c>
      <c r="C73" s="81">
        <v>2015</v>
      </c>
      <c r="D73" s="82">
        <v>4055.9850000000001</v>
      </c>
      <c r="E73" s="82">
        <v>3494.337</v>
      </c>
      <c r="F73" s="82">
        <v>3089.4140000000002</v>
      </c>
      <c r="G73" s="82">
        <v>2770.4650000000001</v>
      </c>
      <c r="H73" s="82">
        <v>2562.683</v>
      </c>
      <c r="I73" s="82">
        <v>2252.1990000000001</v>
      </c>
      <c r="J73" s="82">
        <v>1972.5150000000001</v>
      </c>
      <c r="K73" s="82">
        <v>1663.1679999999999</v>
      </c>
      <c r="L73" s="82">
        <v>1374.5820000000001</v>
      </c>
      <c r="M73" s="82">
        <v>1134.165</v>
      </c>
      <c r="N73" s="82">
        <v>891.64099999999996</v>
      </c>
      <c r="O73" s="82">
        <v>704.90599999999995</v>
      </c>
      <c r="P73" s="82">
        <v>513.50300000000004</v>
      </c>
      <c r="Q73" s="82">
        <v>396.67700000000002</v>
      </c>
      <c r="R73" s="82">
        <v>251.10499999999999</v>
      </c>
      <c r="S73" s="82">
        <v>163.012</v>
      </c>
      <c r="T73" s="82">
        <v>84.629000000000005</v>
      </c>
      <c r="U73" s="82">
        <v>29.76</v>
      </c>
      <c r="V73" s="82">
        <v>4.8780000000000001</v>
      </c>
      <c r="W73" s="82">
        <v>0.26100000000000001</v>
      </c>
      <c r="X73" s="82">
        <v>8.0000000000000002E-3</v>
      </c>
      <c r="Y73" s="82">
        <f t="shared" si="67"/>
        <v>27409.893</v>
      </c>
      <c r="Z73" s="52">
        <f t="shared" si="68"/>
        <v>405.59899999999999</v>
      </c>
      <c r="AA73" s="52">
        <f t="shared" si="69"/>
        <v>405.59899999999999</v>
      </c>
      <c r="AB73" s="52">
        <f t="shared" si="70"/>
        <v>811.197</v>
      </c>
      <c r="AC73" s="52">
        <f t="shared" si="71"/>
        <v>2433.5909999999999</v>
      </c>
      <c r="AD73" s="52">
        <f t="shared" si="72"/>
        <v>6583.7510000000002</v>
      </c>
      <c r="AE73" s="52">
        <f t="shared" si="73"/>
        <v>13729.777</v>
      </c>
      <c r="AF73" s="52">
        <f t="shared" si="74"/>
        <v>2110.0500000000002</v>
      </c>
      <c r="AG73" s="52">
        <f t="shared" si="75"/>
        <v>930.33</v>
      </c>
      <c r="AH73" s="52">
        <f t="shared" si="76"/>
        <v>27409.894000000004</v>
      </c>
      <c r="AI73">
        <v>32.747</v>
      </c>
      <c r="AJ73" s="30">
        <f t="shared" si="77"/>
        <v>897591.79881800013</v>
      </c>
      <c r="AK73">
        <f t="shared" si="78"/>
        <v>811.197</v>
      </c>
      <c r="AM73" s="20" t="s">
        <v>77</v>
      </c>
      <c r="AN73" t="s">
        <v>356</v>
      </c>
      <c r="AO73" t="s">
        <v>357</v>
      </c>
      <c r="AP73" t="s">
        <v>688</v>
      </c>
      <c r="AQ73" s="55">
        <v>5062.0044375948492</v>
      </c>
      <c r="AR73" s="55"/>
      <c r="AS73" t="s">
        <v>77</v>
      </c>
      <c r="AT73" t="s">
        <v>1219</v>
      </c>
      <c r="AU73" t="s">
        <v>1153</v>
      </c>
      <c r="AV73">
        <v>40.823401519418901</v>
      </c>
      <c r="AW73">
        <v>45.977182079248699</v>
      </c>
      <c r="AX73">
        <v>52.928097856096898</v>
      </c>
      <c r="AY73">
        <v>58.705289697498003</v>
      </c>
      <c r="AZ73">
        <v>65.005968803713003</v>
      </c>
      <c r="BA73">
        <v>75.746348132334006</v>
      </c>
      <c r="BB73">
        <v>90.328061302833603</v>
      </c>
      <c r="BC73">
        <v>100</v>
      </c>
      <c r="BD73">
        <v>108.726836831234</v>
      </c>
      <c r="BE73">
        <v>118.687061317694</v>
      </c>
      <c r="BF73">
        <v>132.464651018989</v>
      </c>
      <c r="BG73">
        <v>152.987622038507</v>
      </c>
      <c r="BH73">
        <v>179.217462589717</v>
      </c>
      <c r="BJ73" s="20" t="s">
        <v>77</v>
      </c>
      <c r="BK73" t="s">
        <v>688</v>
      </c>
      <c r="BL73">
        <v>2015</v>
      </c>
      <c r="BM73">
        <f>INDEX('Costs lists'!$C$5:$C$8,MATCH(Lists!BK73,'Costs lists'!$B$5:$B$8,0))</f>
        <v>5.21</v>
      </c>
      <c r="BN73">
        <f>INDEX('Costs lists'!$D$5:$D$8,MATCH(Lists!BK73,'Costs lists'!$B$5:$B$8,0))</f>
        <v>5.16</v>
      </c>
      <c r="BO73">
        <f>INDEX('Costs lists'!$E$5:$E$8,MATCH(Lists!BK73,'Costs lists'!$B$5:$B$8,0))</f>
        <v>5.26</v>
      </c>
      <c r="BW73" s="20" t="s">
        <v>77</v>
      </c>
      <c r="BX73" s="20">
        <v>2008</v>
      </c>
      <c r="BY73" s="52">
        <v>1.3464</v>
      </c>
      <c r="BZ73" s="52">
        <v>1.6677</v>
      </c>
      <c r="CA73" s="52">
        <v>1.8972000000000002</v>
      </c>
      <c r="CB73" s="52">
        <v>1.9787999999999999</v>
      </c>
      <c r="CC73" s="375">
        <f t="shared" si="65"/>
        <v>1.3920450000000002</v>
      </c>
      <c r="CD73" s="375">
        <v>10.02</v>
      </c>
      <c r="CE73" s="375">
        <v>10.45</v>
      </c>
      <c r="CF73" s="375">
        <v>13.51</v>
      </c>
      <c r="CG73" s="375">
        <f t="shared" si="64"/>
        <v>10.673333333333334</v>
      </c>
      <c r="CI73" s="20" t="s">
        <v>77</v>
      </c>
      <c r="CJ73" s="20">
        <v>2015</v>
      </c>
      <c r="CK73" s="59">
        <f t="shared" si="79"/>
        <v>3.1856108918839277</v>
      </c>
      <c r="CL73" s="59">
        <f t="shared" si="80"/>
        <v>3.9458134910835008</v>
      </c>
      <c r="CM73" s="59">
        <f t="shared" si="81"/>
        <v>4.4888153476546258</v>
      </c>
      <c r="CN73" s="59">
        <f t="shared" si="82"/>
        <v>4.6818826744354691</v>
      </c>
      <c r="CO73" s="59">
        <f t="shared" si="83"/>
        <v>3.2936079278019625</v>
      </c>
      <c r="CP73" s="59">
        <f t="shared" si="84"/>
        <v>23.707532038530118</v>
      </c>
      <c r="CQ73" s="59">
        <f t="shared" si="85"/>
        <v>24.724921137987998</v>
      </c>
      <c r="CR73" s="59">
        <f t="shared" si="86"/>
        <v>31.96494589226965</v>
      </c>
      <c r="CS73" s="59">
        <f t="shared" si="87"/>
        <v>25.25333253072969</v>
      </c>
      <c r="CW73" s="20" t="s">
        <v>77</v>
      </c>
      <c r="CX73">
        <v>2014</v>
      </c>
      <c r="CY73">
        <v>26.786597999999998</v>
      </c>
      <c r="CZ73">
        <v>12.755378723144531</v>
      </c>
      <c r="DB73">
        <v>96647.0859375</v>
      </c>
      <c r="DE73">
        <f t="shared" si="88"/>
        <v>0</v>
      </c>
      <c r="DH73" t="e">
        <f t="shared" si="89"/>
        <v>#DIV/0!</v>
      </c>
      <c r="DI73" t="e">
        <f t="shared" ref="DI73:DI136" si="95">DH73*($BH73/$BG73)</f>
        <v>#DIV/0!</v>
      </c>
      <c r="DJ73" t="e">
        <f t="shared" ref="DJ73:DJ136" si="96">DI73/(CZ73/CY73)</f>
        <v>#DIV/0!</v>
      </c>
      <c r="DL73" s="20" t="s">
        <v>77</v>
      </c>
      <c r="DM73" s="99"/>
      <c r="DN73" s="100"/>
      <c r="DO73" s="101"/>
      <c r="DP73" s="101"/>
      <c r="DQ73" s="101"/>
      <c r="DR73" s="101"/>
      <c r="DS73" s="101"/>
      <c r="DT73" s="101"/>
      <c r="DU73" s="101"/>
      <c r="DV73" s="101"/>
      <c r="DW73" s="101"/>
      <c r="DX73" t="e">
        <f t="shared" ca="1" si="90"/>
        <v>#N/A</v>
      </c>
      <c r="DY73" t="e">
        <f t="shared" ca="1" si="91"/>
        <v>#N/A</v>
      </c>
      <c r="DZ73" t="e">
        <f t="shared" ca="1" si="92"/>
        <v>#N/A</v>
      </c>
      <c r="EB73" s="20" t="s">
        <v>77</v>
      </c>
      <c r="EC73" s="99" t="s">
        <v>814</v>
      </c>
      <c r="ED73" s="100" t="s">
        <v>754</v>
      </c>
      <c r="EE73" s="101"/>
      <c r="EF73" s="101"/>
      <c r="EG73" s="101"/>
      <c r="EH73" s="101"/>
      <c r="EI73" s="101"/>
      <c r="EJ73" s="101"/>
      <c r="EK73" s="101"/>
      <c r="EL73" s="101">
        <v>75.400000000000006</v>
      </c>
      <c r="EM73" s="101"/>
      <c r="EN73" s="101"/>
      <c r="EO73">
        <f t="shared" ca="1" si="66"/>
        <v>75.400000000000006</v>
      </c>
      <c r="EQ73" s="20" t="s">
        <v>77</v>
      </c>
      <c r="ER73" s="20" t="e">
        <f t="shared" ca="1" si="93"/>
        <v>#N/A</v>
      </c>
      <c r="ES73" t="e">
        <f t="shared" ca="1" si="94"/>
        <v>#N/A</v>
      </c>
      <c r="EU73" s="20" t="s">
        <v>77</v>
      </c>
      <c r="EV73" s="109">
        <v>4210.4982915913906</v>
      </c>
    </row>
    <row r="74" spans="1:152" x14ac:dyDescent="0.3">
      <c r="A74" s="20" t="s">
        <v>159</v>
      </c>
      <c r="B74" s="20" t="s">
        <v>257</v>
      </c>
      <c r="C74" s="81">
        <v>2015</v>
      </c>
      <c r="D74" s="82">
        <v>533.09699999999998</v>
      </c>
      <c r="E74" s="82">
        <v>537.298</v>
      </c>
      <c r="F74" s="82">
        <v>529.23400000000004</v>
      </c>
      <c r="G74" s="82">
        <v>510.702</v>
      </c>
      <c r="H74" s="82">
        <v>601.69399999999996</v>
      </c>
      <c r="I74" s="82">
        <v>588.55499999999995</v>
      </c>
      <c r="J74" s="82">
        <v>781.61599999999999</v>
      </c>
      <c r="K74" s="82">
        <v>796.18200000000002</v>
      </c>
      <c r="L74" s="82">
        <v>833.21100000000001</v>
      </c>
      <c r="M74" s="82">
        <v>816.63499999999999</v>
      </c>
      <c r="N74" s="82">
        <v>753.90099999999995</v>
      </c>
      <c r="O74" s="82">
        <v>711.26300000000003</v>
      </c>
      <c r="P74" s="82">
        <v>617.31799999999998</v>
      </c>
      <c r="Q74" s="82">
        <v>656.06200000000001</v>
      </c>
      <c r="R74" s="82">
        <v>474.81200000000001</v>
      </c>
      <c r="S74" s="82">
        <v>507.43599999999998</v>
      </c>
      <c r="T74" s="82">
        <v>402.142</v>
      </c>
      <c r="U74" s="82">
        <v>218.209</v>
      </c>
      <c r="V74" s="82">
        <v>67.605999999999995</v>
      </c>
      <c r="W74" s="82">
        <v>15.096</v>
      </c>
      <c r="X74" s="82">
        <v>2.548</v>
      </c>
      <c r="Y74" s="82">
        <f t="shared" si="67"/>
        <v>10954.617</v>
      </c>
      <c r="Z74" s="52">
        <f t="shared" si="68"/>
        <v>53.31</v>
      </c>
      <c r="AA74" s="52">
        <f t="shared" si="69"/>
        <v>53.31</v>
      </c>
      <c r="AB74" s="52">
        <f t="shared" si="70"/>
        <v>106.619</v>
      </c>
      <c r="AC74" s="52">
        <f t="shared" si="71"/>
        <v>319.858</v>
      </c>
      <c r="AD74" s="52">
        <f t="shared" si="72"/>
        <v>1066.5319999999999</v>
      </c>
      <c r="AE74" s="52">
        <f t="shared" si="73"/>
        <v>4928.5950000000003</v>
      </c>
      <c r="AF74" s="52">
        <f t="shared" si="74"/>
        <v>2082.482</v>
      </c>
      <c r="AG74" s="52">
        <f t="shared" si="75"/>
        <v>2343.9110000000001</v>
      </c>
      <c r="AH74" s="52">
        <f t="shared" si="76"/>
        <v>10954.617</v>
      </c>
      <c r="AI74">
        <v>8.5</v>
      </c>
      <c r="AJ74" s="30">
        <f t="shared" si="77"/>
        <v>93114.244500000001</v>
      </c>
      <c r="AK74">
        <f t="shared" si="78"/>
        <v>106.6194</v>
      </c>
      <c r="AM74" s="20" t="s">
        <v>159</v>
      </c>
      <c r="AN74" t="s">
        <v>256</v>
      </c>
      <c r="AO74" t="s">
        <v>257</v>
      </c>
      <c r="AP74" t="s">
        <v>690</v>
      </c>
      <c r="AQ74" s="55">
        <v>16236.885150685022</v>
      </c>
      <c r="AR74" s="55">
        <v>0.90165896164127801</v>
      </c>
      <c r="AS74" t="s">
        <v>159</v>
      </c>
      <c r="AT74" t="s">
        <v>1220</v>
      </c>
      <c r="AU74" t="s">
        <v>1153</v>
      </c>
      <c r="AV74">
        <v>80.077025689283204</v>
      </c>
      <c r="AW74">
        <v>82.398336922534995</v>
      </c>
      <c r="AX74">
        <v>85.319418158515603</v>
      </c>
      <c r="AY74">
        <v>88.046180664615306</v>
      </c>
      <c r="AZ74">
        <v>90.595118493343307</v>
      </c>
      <c r="BA74">
        <v>94.3573492760964</v>
      </c>
      <c r="BB74">
        <v>95.499142985518603</v>
      </c>
      <c r="BC74">
        <v>100</v>
      </c>
      <c r="BD74">
        <v>103.329870173635</v>
      </c>
      <c r="BE74">
        <v>104.881388627954</v>
      </c>
      <c r="BF74">
        <v>103.915145847258</v>
      </c>
      <c r="BG74">
        <v>102.551527232335</v>
      </c>
      <c r="BH74">
        <v>100.77133284508101</v>
      </c>
      <c r="BJ74" s="20" t="s">
        <v>159</v>
      </c>
      <c r="BK74" t="s">
        <v>690</v>
      </c>
      <c r="BL74">
        <v>2015</v>
      </c>
      <c r="BM74">
        <f>INDEX('Costs lists'!$C$5:$C$8,MATCH(Lists!BK74,'Costs lists'!$B$5:$B$8,0))</f>
        <v>3.55</v>
      </c>
      <c r="BN74">
        <f>INDEX('Costs lists'!$D$5:$D$8,MATCH(Lists!BK74,'Costs lists'!$B$5:$B$8,0))</f>
        <v>2.91</v>
      </c>
      <c r="BO74">
        <f>INDEX('Costs lists'!$E$5:$E$8,MATCH(Lists!BK74,'Costs lists'!$B$5:$B$8,0))</f>
        <v>7.59</v>
      </c>
      <c r="BW74" s="20" t="s">
        <v>159</v>
      </c>
      <c r="BX74" s="20">
        <v>2008</v>
      </c>
      <c r="BY74" s="52">
        <v>25.059999999999995</v>
      </c>
      <c r="BZ74" s="52">
        <v>30.94</v>
      </c>
      <c r="CA74" s="52">
        <v>35.258999999999993</v>
      </c>
      <c r="CB74" s="52">
        <v>36.743000000000002</v>
      </c>
      <c r="CC74" s="375">
        <f t="shared" si="65"/>
        <v>25.901049999999994</v>
      </c>
      <c r="CD74" s="375">
        <v>363.08</v>
      </c>
      <c r="CE74" s="375">
        <v>378.78</v>
      </c>
      <c r="CF74" s="375">
        <v>489.78</v>
      </c>
      <c r="CG74" s="375">
        <f t="shared" si="64"/>
        <v>386.81333333333328</v>
      </c>
      <c r="CI74" s="20" t="s">
        <v>159</v>
      </c>
      <c r="CJ74" s="20">
        <v>2015</v>
      </c>
      <c r="CK74" s="59">
        <f t="shared" si="79"/>
        <v>26.763464854321342</v>
      </c>
      <c r="CL74" s="59">
        <f t="shared" si="80"/>
        <v>33.043160518463786</v>
      </c>
      <c r="CM74" s="59">
        <f t="shared" si="81"/>
        <v>37.655746500339831</v>
      </c>
      <c r="CN74" s="59">
        <f t="shared" si="82"/>
        <v>39.240622072718651</v>
      </c>
      <c r="CO74" s="59">
        <f t="shared" si="83"/>
        <v>27.661685609138857</v>
      </c>
      <c r="CP74" s="59">
        <f t="shared" si="84"/>
        <v>387.76052750626474</v>
      </c>
      <c r="CQ74" s="59">
        <f t="shared" si="85"/>
        <v>404.52774211970626</v>
      </c>
      <c r="CR74" s="59">
        <f t="shared" si="86"/>
        <v>523.07301741219112</v>
      </c>
      <c r="CS74" s="59">
        <f t="shared" si="87"/>
        <v>413.10714492615938</v>
      </c>
      <c r="CW74" s="20" t="s">
        <v>159</v>
      </c>
      <c r="CX74">
        <v>2014</v>
      </c>
      <c r="CY74">
        <v>11.000776999999999</v>
      </c>
      <c r="CZ74">
        <v>3.9877212047576904</v>
      </c>
      <c r="DA74">
        <v>2041.6683734076107</v>
      </c>
      <c r="DB74">
        <v>268255.625</v>
      </c>
      <c r="DC74">
        <v>0.47965350747108459</v>
      </c>
      <c r="DE74">
        <f t="shared" si="88"/>
        <v>32266.486251993749</v>
      </c>
      <c r="DH74">
        <f t="shared" si="89"/>
        <v>15.803980054870486</v>
      </c>
      <c r="DI74">
        <f t="shared" si="95"/>
        <v>15.529638391228408</v>
      </c>
      <c r="DJ74">
        <f t="shared" si="96"/>
        <v>42.841031270871724</v>
      </c>
      <c r="DL74" s="20" t="s">
        <v>159</v>
      </c>
      <c r="DM74" s="99" t="s">
        <v>796</v>
      </c>
      <c r="DN74" s="100" t="s">
        <v>754</v>
      </c>
      <c r="DO74" s="101">
        <v>41.6</v>
      </c>
      <c r="DP74" s="101">
        <v>41.6</v>
      </c>
      <c r="DQ74" s="101">
        <v>41.3</v>
      </c>
      <c r="DR74" s="101">
        <v>41.3</v>
      </c>
      <c r="DS74" s="101">
        <v>41.2</v>
      </c>
      <c r="DT74" s="101">
        <v>41.1</v>
      </c>
      <c r="DU74" s="101">
        <v>41.2</v>
      </c>
      <c r="DV74" s="101">
        <v>40.9</v>
      </c>
      <c r="DW74" s="101">
        <v>40.9</v>
      </c>
      <c r="DX74">
        <f t="shared" ca="1" si="90"/>
        <v>40.9</v>
      </c>
      <c r="DY74">
        <f t="shared" ca="1" si="91"/>
        <v>8.18</v>
      </c>
      <c r="DZ74">
        <f t="shared" ca="1" si="92"/>
        <v>127.03244204024837</v>
      </c>
      <c r="EB74" s="20" t="s">
        <v>159</v>
      </c>
      <c r="EC74" s="99" t="s">
        <v>796</v>
      </c>
      <c r="ED74" s="100" t="s">
        <v>754</v>
      </c>
      <c r="EE74" s="101">
        <v>48.3</v>
      </c>
      <c r="EF74" s="101">
        <v>48.5</v>
      </c>
      <c r="EG74" s="101">
        <v>48.9</v>
      </c>
      <c r="EH74" s="101">
        <v>48.3</v>
      </c>
      <c r="EI74" s="101">
        <v>46.7</v>
      </c>
      <c r="EJ74" s="101">
        <v>43.3</v>
      </c>
      <c r="EK74" s="101">
        <v>39.5</v>
      </c>
      <c r="EL74" s="101">
        <v>37.700000000000003</v>
      </c>
      <c r="EM74" s="101">
        <v>38.1</v>
      </c>
      <c r="EN74" s="101">
        <v>39</v>
      </c>
      <c r="EO74">
        <f t="shared" ca="1" si="66"/>
        <v>39</v>
      </c>
      <c r="EQ74" s="20" t="s">
        <v>159</v>
      </c>
      <c r="ER74" s="20">
        <f t="shared" ca="1" si="93"/>
        <v>127.03244204024837</v>
      </c>
      <c r="ES74">
        <f t="shared" ca="1" si="94"/>
        <v>49.542652395696869</v>
      </c>
      <c r="EU74" s="20" t="s">
        <v>159</v>
      </c>
      <c r="EV74" s="109">
        <v>26630.789479797037</v>
      </c>
    </row>
    <row r="75" spans="1:152" x14ac:dyDescent="0.3">
      <c r="A75" s="20" t="s">
        <v>182</v>
      </c>
      <c r="B75" s="20" t="s">
        <v>633</v>
      </c>
      <c r="C75" s="81">
        <v>2015</v>
      </c>
      <c r="D75" s="82">
        <v>9.9350000000000005</v>
      </c>
      <c r="E75" s="82">
        <v>9.4589999999999996</v>
      </c>
      <c r="F75" s="82">
        <v>8.8970000000000002</v>
      </c>
      <c r="G75" s="82">
        <v>9.73</v>
      </c>
      <c r="H75" s="82">
        <v>10.317</v>
      </c>
      <c r="I75" s="82">
        <v>11.42</v>
      </c>
      <c r="J75" s="82">
        <v>9.3040000000000003</v>
      </c>
      <c r="K75" s="82">
        <v>6.8609999999999998</v>
      </c>
      <c r="L75" s="82">
        <v>5.5019999999999998</v>
      </c>
      <c r="M75" s="82">
        <v>4.5659999999999998</v>
      </c>
      <c r="N75" s="82">
        <v>5.6929999999999996</v>
      </c>
      <c r="O75" s="82">
        <v>4.282</v>
      </c>
      <c r="P75" s="82">
        <v>3.2109999999999999</v>
      </c>
      <c r="Q75" s="82">
        <v>2.282</v>
      </c>
      <c r="R75" s="82">
        <v>1.8520000000000001</v>
      </c>
      <c r="S75" s="82">
        <v>1.6160000000000001</v>
      </c>
      <c r="T75" s="82">
        <v>0.98699999999999999</v>
      </c>
      <c r="U75" s="82">
        <v>0.66900000000000004</v>
      </c>
      <c r="V75" s="82">
        <v>0.191</v>
      </c>
      <c r="W75" s="82">
        <v>4.8000000000000001E-2</v>
      </c>
      <c r="X75" s="82">
        <v>3.0000000000000001E-3</v>
      </c>
      <c r="Y75" s="82">
        <f t="shared" si="67"/>
        <v>106.82499999999999</v>
      </c>
      <c r="Z75" s="52">
        <f t="shared" si="68"/>
        <v>0.99399999999999999</v>
      </c>
      <c r="AA75" s="52">
        <f t="shared" si="69"/>
        <v>0.99399999999999999</v>
      </c>
      <c r="AB75" s="52">
        <f t="shared" si="70"/>
        <v>1.9870000000000001</v>
      </c>
      <c r="AC75" s="52">
        <f t="shared" si="71"/>
        <v>5.9610000000000003</v>
      </c>
      <c r="AD75" s="52">
        <f t="shared" si="72"/>
        <v>18.356000000000002</v>
      </c>
      <c r="AE75" s="52">
        <f t="shared" si="73"/>
        <v>57.7</v>
      </c>
      <c r="AF75" s="52">
        <f t="shared" si="74"/>
        <v>13.186</v>
      </c>
      <c r="AG75" s="52">
        <f t="shared" si="75"/>
        <v>7.6479999999999997</v>
      </c>
      <c r="AH75" s="52">
        <f t="shared" si="76"/>
        <v>106.82599999999999</v>
      </c>
      <c r="AI75">
        <v>19.204999999999998</v>
      </c>
      <c r="AJ75" s="30">
        <f t="shared" si="77"/>
        <v>2051.5933299999997</v>
      </c>
      <c r="AK75">
        <f t="shared" si="78"/>
        <v>1.9870000000000001</v>
      </c>
      <c r="AM75" s="20" t="s">
        <v>182</v>
      </c>
      <c r="AN75" t="s">
        <v>266</v>
      </c>
      <c r="AO75" t="s">
        <v>267</v>
      </c>
      <c r="AP75" t="s">
        <v>689</v>
      </c>
      <c r="AQ75" s="55">
        <v>24872.454949684063</v>
      </c>
      <c r="AR75" s="55">
        <v>2.7</v>
      </c>
      <c r="AS75" t="s">
        <v>182</v>
      </c>
      <c r="AT75" t="s">
        <v>1221</v>
      </c>
      <c r="AU75" t="s">
        <v>1153</v>
      </c>
      <c r="AV75">
        <v>78.336085867215303</v>
      </c>
      <c r="AW75">
        <v>80.079079424873896</v>
      </c>
      <c r="AX75">
        <v>82.901881831455199</v>
      </c>
      <c r="AY75">
        <v>86.430226788036194</v>
      </c>
      <c r="AZ75">
        <v>89.767013149052204</v>
      </c>
      <c r="BA75">
        <v>96.977329262616394</v>
      </c>
      <c r="BB75">
        <v>96.677663340842599</v>
      </c>
      <c r="BC75">
        <v>100</v>
      </c>
      <c r="BD75">
        <v>103.033472803347</v>
      </c>
      <c r="BE75">
        <v>105.51738010942999</v>
      </c>
      <c r="BF75">
        <v>105.47071129707101</v>
      </c>
      <c r="BG75">
        <v>104.472159639523</v>
      </c>
      <c r="BH75">
        <v>103.822819439974</v>
      </c>
      <c r="BJ75" s="20" t="s">
        <v>182</v>
      </c>
      <c r="BK75" t="s">
        <v>689</v>
      </c>
      <c r="BL75">
        <v>2015</v>
      </c>
      <c r="BM75">
        <f>INDEX('Costs lists'!$C$5:$C$8,MATCH(Lists!BK75,'Costs lists'!$B$5:$B$8,0))</f>
        <v>3.2</v>
      </c>
      <c r="BN75">
        <f>INDEX('Costs lists'!$D$5:$D$8,MATCH(Lists!BK75,'Costs lists'!$B$5:$B$8,0))</f>
        <v>1.1200000000000001</v>
      </c>
      <c r="BO75">
        <f>INDEX('Costs lists'!$E$5:$E$8,MATCH(Lists!BK75,'Costs lists'!$B$5:$B$8,0))</f>
        <v>4.4400000000000004</v>
      </c>
      <c r="BW75" s="20" t="s">
        <v>182</v>
      </c>
      <c r="BX75" s="20">
        <v>2008</v>
      </c>
      <c r="BY75" s="52">
        <v>25.1</v>
      </c>
      <c r="BZ75" s="52">
        <v>31</v>
      </c>
      <c r="CA75" s="52">
        <v>35.32</v>
      </c>
      <c r="CB75" s="52">
        <v>36.82</v>
      </c>
      <c r="CC75" s="375">
        <f t="shared" si="65"/>
        <v>25.943500000000004</v>
      </c>
      <c r="CD75" s="375">
        <v>85.66</v>
      </c>
      <c r="CE75" s="375">
        <v>89.36</v>
      </c>
      <c r="CF75" s="375">
        <v>115.55</v>
      </c>
      <c r="CG75" s="375">
        <f t="shared" si="64"/>
        <v>91.258333333333326</v>
      </c>
      <c r="CI75" s="20" t="s">
        <v>182</v>
      </c>
      <c r="CJ75" s="20">
        <v>2015</v>
      </c>
      <c r="CK75" s="59">
        <f t="shared" si="79"/>
        <v>26.87177289535763</v>
      </c>
      <c r="CL75" s="59">
        <f t="shared" si="80"/>
        <v>33.188245408609028</v>
      </c>
      <c r="CM75" s="59">
        <f t="shared" si="81"/>
        <v>37.813187994582925</v>
      </c>
      <c r="CN75" s="59">
        <f t="shared" si="82"/>
        <v>39.419070836934978</v>
      </c>
      <c r="CO75" s="59">
        <f t="shared" si="83"/>
        <v>27.77481434704027</v>
      </c>
      <c r="CP75" s="59">
        <f t="shared" si="84"/>
        <v>91.706616183917703</v>
      </c>
      <c r="CQ75" s="59">
        <f t="shared" si="85"/>
        <v>95.667793861719431</v>
      </c>
      <c r="CR75" s="59">
        <f t="shared" si="86"/>
        <v>123.70650828918622</v>
      </c>
      <c r="CS75" s="59">
        <f t="shared" si="87"/>
        <v>97.700127814429408</v>
      </c>
      <c r="CW75" s="20" t="s">
        <v>182</v>
      </c>
      <c r="CX75">
        <v>2014</v>
      </c>
      <c r="CY75">
        <v>0.106349</v>
      </c>
      <c r="DB75">
        <v>1121.628173828125</v>
      </c>
      <c r="DE75" t="e">
        <f t="shared" si="88"/>
        <v>#DIV/0!</v>
      </c>
      <c r="DH75" t="e">
        <f t="shared" si="89"/>
        <v>#DIV/0!</v>
      </c>
      <c r="DI75" t="e">
        <f t="shared" si="95"/>
        <v>#DIV/0!</v>
      </c>
      <c r="DJ75" t="e">
        <f t="shared" si="96"/>
        <v>#DIV/0!</v>
      </c>
      <c r="DL75" s="20" t="s">
        <v>182</v>
      </c>
      <c r="DM75" s="99"/>
      <c r="DN75" s="100"/>
      <c r="DO75" s="101"/>
      <c r="DP75" s="101"/>
      <c r="DQ75" s="101"/>
      <c r="DR75" s="101"/>
      <c r="DS75" s="101"/>
      <c r="DT75" s="101"/>
      <c r="DU75" s="101"/>
      <c r="DV75" s="101"/>
      <c r="DW75" s="101"/>
      <c r="DX75" t="e">
        <f t="shared" ca="1" si="90"/>
        <v>#N/A</v>
      </c>
      <c r="DY75" t="e">
        <f t="shared" ca="1" si="91"/>
        <v>#N/A</v>
      </c>
      <c r="DZ75" t="e">
        <f t="shared" ca="1" si="92"/>
        <v>#N/A</v>
      </c>
      <c r="EB75" s="20" t="s">
        <v>182</v>
      </c>
      <c r="EC75" s="99"/>
      <c r="ED75" s="100"/>
      <c r="EE75" s="101"/>
      <c r="EF75" s="101"/>
      <c r="EG75" s="101"/>
      <c r="EH75" s="101"/>
      <c r="EI75" s="101"/>
      <c r="EJ75" s="101"/>
      <c r="EK75" s="101"/>
      <c r="EL75" s="101"/>
      <c r="EM75" s="101"/>
      <c r="EN75" s="101"/>
      <c r="EQ75" s="20" t="s">
        <v>182</v>
      </c>
      <c r="ER75" s="20" t="e">
        <f t="shared" ca="1" si="93"/>
        <v>#N/A</v>
      </c>
      <c r="ES75" t="e">
        <f t="shared" ca="1" si="94"/>
        <v>#N/A</v>
      </c>
      <c r="EU75" s="20" t="s">
        <v>182</v>
      </c>
      <c r="EV75" s="109">
        <v>13558.545218318925</v>
      </c>
    </row>
    <row r="76" spans="1:152" x14ac:dyDescent="0.3">
      <c r="A76" s="20" t="s">
        <v>193</v>
      </c>
      <c r="B76" s="20" t="s">
        <v>633</v>
      </c>
      <c r="C76" s="81">
        <v>2015</v>
      </c>
      <c r="D76" s="82">
        <v>2089.433</v>
      </c>
      <c r="E76" s="82">
        <v>1972.2619999999999</v>
      </c>
      <c r="F76" s="82">
        <v>1923.5350000000001</v>
      </c>
      <c r="G76" s="82">
        <v>1797.7619999999999</v>
      </c>
      <c r="H76" s="82">
        <v>1586.15</v>
      </c>
      <c r="I76" s="82">
        <v>1350.751</v>
      </c>
      <c r="J76" s="82">
        <v>1201.8869999999999</v>
      </c>
      <c r="K76" s="82">
        <v>977.726</v>
      </c>
      <c r="L76" s="82">
        <v>777.97400000000005</v>
      </c>
      <c r="M76" s="82">
        <v>615.88</v>
      </c>
      <c r="N76" s="82">
        <v>498.24700000000001</v>
      </c>
      <c r="O76" s="82">
        <v>405.98599999999999</v>
      </c>
      <c r="P76" s="82">
        <v>353.24</v>
      </c>
      <c r="Q76" s="82">
        <v>284.84399999999999</v>
      </c>
      <c r="R76" s="82">
        <v>199.833</v>
      </c>
      <c r="S76" s="82">
        <v>146.41200000000001</v>
      </c>
      <c r="T76" s="82">
        <v>96.856999999999999</v>
      </c>
      <c r="U76" s="82">
        <v>45.978000000000002</v>
      </c>
      <c r="V76" s="82">
        <v>14.707000000000001</v>
      </c>
      <c r="W76" s="82">
        <v>2.992</v>
      </c>
      <c r="X76" s="82">
        <v>0.441</v>
      </c>
      <c r="Y76" s="82">
        <f t="shared" si="67"/>
        <v>16342.897000000001</v>
      </c>
      <c r="Z76" s="52">
        <f t="shared" si="68"/>
        <v>208.94300000000001</v>
      </c>
      <c r="AA76" s="52">
        <f t="shared" si="69"/>
        <v>208.94300000000001</v>
      </c>
      <c r="AB76" s="52">
        <f t="shared" si="70"/>
        <v>417.887</v>
      </c>
      <c r="AC76" s="52">
        <f t="shared" si="71"/>
        <v>1253.6600000000001</v>
      </c>
      <c r="AD76" s="52">
        <f t="shared" si="72"/>
        <v>3895.797</v>
      </c>
      <c r="AE76" s="52">
        <f t="shared" si="73"/>
        <v>8308.1299999999992</v>
      </c>
      <c r="AF76" s="52">
        <f t="shared" si="74"/>
        <v>1257.473</v>
      </c>
      <c r="AG76" s="52">
        <f t="shared" si="75"/>
        <v>792.06399999999996</v>
      </c>
      <c r="AH76" s="52">
        <f t="shared" si="76"/>
        <v>16342.896999999999</v>
      </c>
      <c r="AI76">
        <v>27.111999999999998</v>
      </c>
      <c r="AJ76" s="30">
        <f t="shared" si="77"/>
        <v>443088.62346399995</v>
      </c>
      <c r="AK76">
        <f t="shared" si="78"/>
        <v>417.88659999999999</v>
      </c>
      <c r="AM76" s="20" t="s">
        <v>193</v>
      </c>
      <c r="AN76" t="s">
        <v>358</v>
      </c>
      <c r="AO76" t="s">
        <v>359</v>
      </c>
      <c r="AP76" t="s">
        <v>688</v>
      </c>
      <c r="AQ76" s="55">
        <v>29880.441698922783</v>
      </c>
      <c r="AR76" s="55">
        <v>7.6548150000000001</v>
      </c>
      <c r="AS76" t="s">
        <v>193</v>
      </c>
      <c r="AT76" t="s">
        <v>1222</v>
      </c>
      <c r="AU76" t="s">
        <v>1153</v>
      </c>
      <c r="AV76">
        <v>63.532976181537997</v>
      </c>
      <c r="AW76">
        <v>68.347900592259606</v>
      </c>
      <c r="AX76">
        <v>74.573471541950298</v>
      </c>
      <c r="AY76">
        <v>79.466127258513893</v>
      </c>
      <c r="AZ76">
        <v>84.887002530683702</v>
      </c>
      <c r="BA76">
        <v>94.526567765357498</v>
      </c>
      <c r="BB76">
        <v>96.283913594586906</v>
      </c>
      <c r="BC76">
        <v>100</v>
      </c>
      <c r="BD76">
        <v>106.215341763122</v>
      </c>
      <c r="BE76">
        <v>110.232937320074</v>
      </c>
      <c r="BF76">
        <v>115.020763096886</v>
      </c>
      <c r="BG76">
        <v>118.952588805761</v>
      </c>
      <c r="BH76">
        <v>121.794033475717</v>
      </c>
      <c r="BJ76" s="20" t="s">
        <v>193</v>
      </c>
      <c r="BK76" t="s">
        <v>688</v>
      </c>
      <c r="BL76">
        <v>2015</v>
      </c>
      <c r="BM76">
        <f>INDEX('Costs lists'!$C$5:$C$8,MATCH(Lists!BK76,'Costs lists'!$B$5:$B$8,0))</f>
        <v>5.21</v>
      </c>
      <c r="BN76">
        <f>INDEX('Costs lists'!$D$5:$D$8,MATCH(Lists!BK76,'Costs lists'!$B$5:$B$8,0))</f>
        <v>5.16</v>
      </c>
      <c r="BO76">
        <f>INDEX('Costs lists'!$E$5:$E$8,MATCH(Lists!BK76,'Costs lists'!$B$5:$B$8,0))</f>
        <v>5.26</v>
      </c>
      <c r="BW76" s="20" t="s">
        <v>193</v>
      </c>
      <c r="BX76" s="20">
        <v>2008</v>
      </c>
      <c r="BY76" s="52">
        <v>33.176799999999993</v>
      </c>
      <c r="BZ76" s="52">
        <v>40.9512</v>
      </c>
      <c r="CA76" s="52">
        <v>46.691599999999994</v>
      </c>
      <c r="CB76" s="52">
        <v>48.635199999999998</v>
      </c>
      <c r="CC76" s="375">
        <f t="shared" si="65"/>
        <v>34.289849999999994</v>
      </c>
      <c r="CD76" s="375">
        <v>40.880000000000003</v>
      </c>
      <c r="CE76" s="375">
        <v>42.65</v>
      </c>
      <c r="CF76" s="375">
        <v>55.15</v>
      </c>
      <c r="CG76" s="375">
        <f t="shared" si="64"/>
        <v>43.553333333333327</v>
      </c>
      <c r="CI76" s="20" t="s">
        <v>193</v>
      </c>
      <c r="CJ76" s="20">
        <v>2015</v>
      </c>
      <c r="CK76" s="59">
        <f t="shared" si="79"/>
        <v>42.747096243327618</v>
      </c>
      <c r="CL76" s="59">
        <f t="shared" si="80"/>
        <v>52.764126970646906</v>
      </c>
      <c r="CM76" s="59">
        <f t="shared" si="81"/>
        <v>60.160422914655904</v>
      </c>
      <c r="CN76" s="59">
        <f t="shared" si="82"/>
        <v>62.664680596485731</v>
      </c>
      <c r="CO76" s="59">
        <f t="shared" si="83"/>
        <v>44.181220555305742</v>
      </c>
      <c r="CP76" s="59">
        <f t="shared" si="84"/>
        <v>52.672388368595932</v>
      </c>
      <c r="CQ76" s="59">
        <f t="shared" si="85"/>
        <v>54.952968784750887</v>
      </c>
      <c r="CR76" s="59">
        <f t="shared" si="86"/>
        <v>71.058762684150324</v>
      </c>
      <c r="CS76" s="59">
        <f t="shared" si="87"/>
        <v>56.116880823880813</v>
      </c>
      <c r="CW76" s="20" t="s">
        <v>193</v>
      </c>
      <c r="CX76">
        <v>2014</v>
      </c>
      <c r="CY76">
        <v>16.015494</v>
      </c>
      <c r="CZ76">
        <v>5.011289119720459</v>
      </c>
      <c r="DB76">
        <v>110100.03125</v>
      </c>
      <c r="DC76">
        <v>0.41636925935745239</v>
      </c>
      <c r="DE76">
        <f t="shared" si="88"/>
        <v>9147.7995724485463</v>
      </c>
      <c r="DH76" t="e">
        <f t="shared" si="89"/>
        <v>#DIV/0!</v>
      </c>
      <c r="DI76" t="e">
        <f t="shared" si="95"/>
        <v>#DIV/0!</v>
      </c>
      <c r="DJ76" t="e">
        <f t="shared" si="96"/>
        <v>#DIV/0!</v>
      </c>
      <c r="DL76" s="20" t="s">
        <v>193</v>
      </c>
      <c r="DM76" s="99" t="s">
        <v>769</v>
      </c>
      <c r="DN76" s="100" t="s">
        <v>847</v>
      </c>
      <c r="DO76" s="101"/>
      <c r="DP76" s="101"/>
      <c r="DQ76" s="101"/>
      <c r="DR76" s="101"/>
      <c r="DS76" s="101">
        <v>29.9</v>
      </c>
      <c r="DT76" s="101">
        <v>29.9</v>
      </c>
      <c r="DU76" s="101">
        <v>40.700000000000003</v>
      </c>
      <c r="DV76" s="101">
        <v>43.3</v>
      </c>
      <c r="DW76" s="101">
        <v>42</v>
      </c>
      <c r="DX76">
        <f t="shared" ca="1" si="90"/>
        <v>42</v>
      </c>
      <c r="DY76">
        <f t="shared" ca="1" si="91"/>
        <v>8.4</v>
      </c>
      <c r="DZ76" t="e">
        <f t="shared" ca="1" si="92"/>
        <v>#DIV/0!</v>
      </c>
      <c r="EB76" s="20" t="s">
        <v>193</v>
      </c>
      <c r="EC76" s="99" t="s">
        <v>769</v>
      </c>
      <c r="ED76" s="100" t="s">
        <v>754</v>
      </c>
      <c r="EE76" s="101">
        <v>57.6</v>
      </c>
      <c r="EF76" s="101"/>
      <c r="EG76" s="101"/>
      <c r="EH76" s="101"/>
      <c r="EI76" s="101">
        <v>39.4</v>
      </c>
      <c r="EJ76" s="101">
        <v>59.2</v>
      </c>
      <c r="EK76" s="101">
        <v>63.5</v>
      </c>
      <c r="EL76" s="101">
        <v>50.6</v>
      </c>
      <c r="EM76" s="101">
        <v>51.6</v>
      </c>
      <c r="EN76" s="101">
        <v>51.4</v>
      </c>
      <c r="EO76">
        <f ca="1">OFFSET(EE76,0,MATCH(MAX(EE76:EN76)+1,EE76:EN76,1)-1)</f>
        <v>51.4</v>
      </c>
      <c r="EQ76" s="20" t="s">
        <v>193</v>
      </c>
      <c r="ER76" s="20" t="e">
        <f t="shared" ca="1" si="93"/>
        <v>#DIV/0!</v>
      </c>
      <c r="ES76" t="e">
        <f t="shared" ca="1" si="94"/>
        <v>#DIV/0!</v>
      </c>
      <c r="EU76" s="20" t="s">
        <v>193</v>
      </c>
      <c r="EV76" s="109">
        <v>7722.4302174432651</v>
      </c>
    </row>
    <row r="77" spans="1:152" x14ac:dyDescent="0.3">
      <c r="A77" s="20" t="s">
        <v>78</v>
      </c>
      <c r="B77" s="20" t="s">
        <v>632</v>
      </c>
      <c r="C77" s="81">
        <v>2015</v>
      </c>
      <c r="D77" s="82">
        <v>2045.6420000000001</v>
      </c>
      <c r="E77" s="82">
        <v>1767.7149999999999</v>
      </c>
      <c r="F77" s="82">
        <v>1549.328</v>
      </c>
      <c r="G77" s="82">
        <v>1349.4079999999999</v>
      </c>
      <c r="H77" s="82">
        <v>1154.306</v>
      </c>
      <c r="I77" s="82">
        <v>968.96400000000006</v>
      </c>
      <c r="J77" s="82">
        <v>802.971</v>
      </c>
      <c r="K77" s="82">
        <v>656.94</v>
      </c>
      <c r="L77" s="82">
        <v>533.67399999999998</v>
      </c>
      <c r="M77" s="82">
        <v>441.70499999999998</v>
      </c>
      <c r="N77" s="82">
        <v>377.48599999999999</v>
      </c>
      <c r="O77" s="82">
        <v>317.73099999999999</v>
      </c>
      <c r="P77" s="82">
        <v>256.46600000000001</v>
      </c>
      <c r="Q77" s="82">
        <v>167.405</v>
      </c>
      <c r="R77" s="82">
        <v>116.36499999999999</v>
      </c>
      <c r="S77" s="82">
        <v>66.084999999999994</v>
      </c>
      <c r="T77" s="82">
        <v>27.677</v>
      </c>
      <c r="U77" s="82">
        <v>7.5209999999999999</v>
      </c>
      <c r="V77" s="82">
        <v>1.113</v>
      </c>
      <c r="W77" s="82">
        <v>8.5000000000000006E-2</v>
      </c>
      <c r="X77" s="82">
        <v>3.0000000000000001E-3</v>
      </c>
      <c r="Y77" s="82">
        <f t="shared" si="67"/>
        <v>12608.59</v>
      </c>
      <c r="Z77" s="52">
        <f t="shared" si="68"/>
        <v>204.56399999999999</v>
      </c>
      <c r="AA77" s="52">
        <f t="shared" si="69"/>
        <v>204.56399999999999</v>
      </c>
      <c r="AB77" s="52">
        <f t="shared" si="70"/>
        <v>409.12799999999999</v>
      </c>
      <c r="AC77" s="52">
        <f t="shared" si="71"/>
        <v>1227.385</v>
      </c>
      <c r="AD77" s="52">
        <f t="shared" si="72"/>
        <v>3317.0430000000001</v>
      </c>
      <c r="AE77" s="52">
        <f t="shared" si="73"/>
        <v>5907.9679999999998</v>
      </c>
      <c r="AF77" s="52">
        <f t="shared" si="74"/>
        <v>951.68299999999999</v>
      </c>
      <c r="AG77" s="52">
        <f t="shared" si="75"/>
        <v>386.25400000000002</v>
      </c>
      <c r="AH77" s="52">
        <f t="shared" si="76"/>
        <v>12608.589</v>
      </c>
      <c r="AI77">
        <v>36.875</v>
      </c>
      <c r="AJ77" s="30">
        <f t="shared" si="77"/>
        <v>464941.71937499999</v>
      </c>
      <c r="AK77">
        <f t="shared" si="78"/>
        <v>409.1284</v>
      </c>
      <c r="AM77" s="20" t="s">
        <v>78</v>
      </c>
      <c r="AN77" t="s">
        <v>360</v>
      </c>
      <c r="AO77" t="s">
        <v>361</v>
      </c>
      <c r="AP77" t="s">
        <v>691</v>
      </c>
      <c r="AQ77" s="55">
        <v>3977209.1883390611</v>
      </c>
      <c r="AR77" s="55">
        <v>7485.51674166667</v>
      </c>
      <c r="AS77" t="s">
        <v>78</v>
      </c>
      <c r="AT77" t="s">
        <v>1223</v>
      </c>
      <c r="AU77" t="s">
        <v>1153</v>
      </c>
      <c r="AW77">
        <v>32.149255575461801</v>
      </c>
      <c r="AX77">
        <v>42.235538806861598</v>
      </c>
      <c r="AY77">
        <v>56.889273285146601</v>
      </c>
      <c r="AZ77">
        <v>69.885298902411407</v>
      </c>
      <c r="BA77">
        <v>82.733057391734107</v>
      </c>
      <c r="BB77">
        <v>86.608595374889205</v>
      </c>
      <c r="BC77">
        <v>100</v>
      </c>
      <c r="BD77">
        <v>121.350466423673</v>
      </c>
      <c r="BE77">
        <v>139.825537940705</v>
      </c>
      <c r="BF77">
        <v>156.448590432652</v>
      </c>
      <c r="BG77">
        <v>171.64597104672501</v>
      </c>
      <c r="BH77">
        <v>185.638498656313</v>
      </c>
      <c r="BJ77" s="20" t="s">
        <v>78</v>
      </c>
      <c r="BK77" t="s">
        <v>691</v>
      </c>
      <c r="BL77">
        <v>2015</v>
      </c>
      <c r="BM77">
        <f>INDEX('Costs lists'!$C$5:$C$8,MATCH(Lists!BK77,'Costs lists'!$B$5:$B$8,0))</f>
        <v>4.2</v>
      </c>
      <c r="BN77">
        <f>INDEX('Costs lists'!$D$5:$D$8,MATCH(Lists!BK77,'Costs lists'!$B$5:$B$8,0))</f>
        <v>4.2</v>
      </c>
      <c r="BO77">
        <f>INDEX('Costs lists'!$E$5:$E$8,MATCH(Lists!BK77,'Costs lists'!$B$5:$B$8,0))</f>
        <v>4.2</v>
      </c>
      <c r="BW77" s="20" t="s">
        <v>78</v>
      </c>
      <c r="BX77" s="20">
        <v>2008</v>
      </c>
      <c r="BY77" s="52">
        <v>3998.1487999999999</v>
      </c>
      <c r="BZ77" s="52">
        <v>4942.4351999999999</v>
      </c>
      <c r="CA77" s="52">
        <v>5645.6271999999999</v>
      </c>
      <c r="CB77" s="52">
        <v>5866.6303999999991</v>
      </c>
      <c r="CC77" s="375">
        <f t="shared" si="65"/>
        <v>4133.2621200000003</v>
      </c>
      <c r="CD77" s="375">
        <v>6.79</v>
      </c>
      <c r="CE77" s="375">
        <v>7.09</v>
      </c>
      <c r="CF77" s="375">
        <v>9.16</v>
      </c>
      <c r="CG77" s="375">
        <f t="shared" si="64"/>
        <v>7.2349999999999994</v>
      </c>
      <c r="CI77" s="20" t="s">
        <v>78</v>
      </c>
      <c r="CJ77" s="20">
        <v>2015</v>
      </c>
      <c r="CK77" s="59">
        <f t="shared" si="79"/>
        <v>8971.1460453133695</v>
      </c>
      <c r="CL77" s="59">
        <f t="shared" si="80"/>
        <v>11089.959432899945</v>
      </c>
      <c r="CM77" s="59">
        <f t="shared" si="81"/>
        <v>12667.79918961335</v>
      </c>
      <c r="CN77" s="59">
        <f t="shared" si="82"/>
        <v>13163.691684580419</v>
      </c>
      <c r="CO77" s="59">
        <f t="shared" si="83"/>
        <v>9274.3166842818755</v>
      </c>
      <c r="CP77" s="59">
        <f t="shared" si="84"/>
        <v>15.235571434379276</v>
      </c>
      <c r="CQ77" s="59">
        <f t="shared" si="85"/>
        <v>15.908718920434325</v>
      </c>
      <c r="CR77" s="59">
        <f t="shared" si="86"/>
        <v>20.553436574214164</v>
      </c>
      <c r="CS77" s="59">
        <f t="shared" si="87"/>
        <v>16.234073538694265</v>
      </c>
      <c r="CW77" s="20" t="s">
        <v>78</v>
      </c>
      <c r="CX77">
        <v>2014</v>
      </c>
      <c r="CY77">
        <v>12.275527</v>
      </c>
      <c r="CZ77">
        <v>5.6856870651245117</v>
      </c>
      <c r="DB77">
        <v>19311.08984375</v>
      </c>
      <c r="DC77">
        <v>0.38386476039886475</v>
      </c>
      <c r="DE77">
        <f t="shared" si="88"/>
        <v>1303.7732803449162</v>
      </c>
      <c r="DH77" t="e">
        <f t="shared" si="89"/>
        <v>#DIV/0!</v>
      </c>
      <c r="DI77" t="e">
        <f t="shared" si="95"/>
        <v>#DIV/0!</v>
      </c>
      <c r="DJ77" t="e">
        <f t="shared" si="96"/>
        <v>#DIV/0!</v>
      </c>
      <c r="DL77" s="20" t="s">
        <v>78</v>
      </c>
      <c r="DM77" s="99"/>
      <c r="DN77" s="100"/>
      <c r="DO77" s="101"/>
      <c r="DP77" s="101"/>
      <c r="DQ77" s="101"/>
      <c r="DR77" s="101"/>
      <c r="DS77" s="101"/>
      <c r="DT77" s="101"/>
      <c r="DU77" s="101"/>
      <c r="DV77" s="101"/>
      <c r="DW77" s="101"/>
      <c r="DX77" t="e">
        <f t="shared" ca="1" si="90"/>
        <v>#N/A</v>
      </c>
      <c r="DY77" t="e">
        <f t="shared" ca="1" si="91"/>
        <v>#N/A</v>
      </c>
      <c r="DZ77" t="e">
        <f t="shared" ca="1" si="92"/>
        <v>#N/A</v>
      </c>
      <c r="EB77" s="20" t="s">
        <v>78</v>
      </c>
      <c r="EC77" s="99"/>
      <c r="ED77" s="100"/>
      <c r="EE77" s="101"/>
      <c r="EF77" s="101"/>
      <c r="EG77" s="101"/>
      <c r="EH77" s="101"/>
      <c r="EI77" s="101"/>
      <c r="EJ77" s="101"/>
      <c r="EK77" s="101"/>
      <c r="EL77" s="101"/>
      <c r="EM77" s="101"/>
      <c r="EN77" s="101"/>
      <c r="EQ77" s="20" t="s">
        <v>78</v>
      </c>
      <c r="ER77" s="20" t="e">
        <f t="shared" ca="1" si="93"/>
        <v>#N/A</v>
      </c>
      <c r="ES77" t="e">
        <f t="shared" ca="1" si="94"/>
        <v>#N/A</v>
      </c>
      <c r="EU77" s="20" t="s">
        <v>78</v>
      </c>
      <c r="EV77" s="109">
        <v>1208.9860933125606</v>
      </c>
    </row>
    <row r="78" spans="1:152" x14ac:dyDescent="0.3">
      <c r="A78" s="20" t="s">
        <v>79</v>
      </c>
      <c r="B78" s="20" t="s">
        <v>632</v>
      </c>
      <c r="C78" s="81">
        <v>2015</v>
      </c>
      <c r="D78" s="82">
        <v>288.79500000000002</v>
      </c>
      <c r="E78" s="82">
        <v>246.715</v>
      </c>
      <c r="F78" s="82">
        <v>216.84399999999999</v>
      </c>
      <c r="G78" s="82">
        <v>193.00299999999999</v>
      </c>
      <c r="H78" s="82">
        <v>172.642</v>
      </c>
      <c r="I78" s="82">
        <v>149.90299999999999</v>
      </c>
      <c r="J78" s="82">
        <v>128.55099999999999</v>
      </c>
      <c r="K78" s="82">
        <v>101.042</v>
      </c>
      <c r="L78" s="82">
        <v>81.747</v>
      </c>
      <c r="M78" s="82">
        <v>66.28</v>
      </c>
      <c r="N78" s="82">
        <v>54.88</v>
      </c>
      <c r="O78" s="82">
        <v>46.173999999999999</v>
      </c>
      <c r="P78" s="82">
        <v>39.313000000000002</v>
      </c>
      <c r="Q78" s="82">
        <v>26.163</v>
      </c>
      <c r="R78" s="82">
        <v>17.765000000000001</v>
      </c>
      <c r="S78" s="82">
        <v>9.1479999999999997</v>
      </c>
      <c r="T78" s="82">
        <v>3.9910000000000001</v>
      </c>
      <c r="U78" s="82">
        <v>1.155</v>
      </c>
      <c r="V78" s="82">
        <v>0.19900000000000001</v>
      </c>
      <c r="W78" s="82">
        <v>1.4999999999999999E-2</v>
      </c>
      <c r="X78" s="82">
        <v>0</v>
      </c>
      <c r="Y78" s="82">
        <f t="shared" si="67"/>
        <v>1844.3250000000003</v>
      </c>
      <c r="Z78" s="52">
        <f t="shared" si="68"/>
        <v>28.88</v>
      </c>
      <c r="AA78" s="52">
        <f t="shared" si="69"/>
        <v>28.88</v>
      </c>
      <c r="AB78" s="52">
        <f t="shared" si="70"/>
        <v>57.759</v>
      </c>
      <c r="AC78" s="52">
        <f t="shared" si="71"/>
        <v>173.27699999999999</v>
      </c>
      <c r="AD78" s="52">
        <f t="shared" si="72"/>
        <v>463.55900000000003</v>
      </c>
      <c r="AE78" s="52">
        <f t="shared" si="73"/>
        <v>893.16800000000001</v>
      </c>
      <c r="AF78" s="52">
        <f t="shared" si="74"/>
        <v>140.36699999999999</v>
      </c>
      <c r="AG78" s="52">
        <f t="shared" si="75"/>
        <v>58.436</v>
      </c>
      <c r="AH78" s="52">
        <f t="shared" si="76"/>
        <v>1844.326</v>
      </c>
      <c r="AI78">
        <v>37.097000000000001</v>
      </c>
      <c r="AJ78" s="30">
        <f t="shared" si="77"/>
        <v>68418.961622000003</v>
      </c>
      <c r="AK78">
        <f t="shared" si="78"/>
        <v>57.759</v>
      </c>
      <c r="AM78" s="20" t="s">
        <v>79</v>
      </c>
      <c r="AN78" t="s">
        <v>290</v>
      </c>
      <c r="AO78" t="s">
        <v>291</v>
      </c>
      <c r="AP78" t="s">
        <v>691</v>
      </c>
      <c r="AQ78" s="55">
        <v>338893.72386574326</v>
      </c>
      <c r="AR78" s="55">
        <v>591.44950750132796</v>
      </c>
      <c r="AS78" t="s">
        <v>79</v>
      </c>
      <c r="AT78" t="s">
        <v>1224</v>
      </c>
      <c r="AU78" t="s">
        <v>1153</v>
      </c>
      <c r="AV78">
        <v>80.755691488052506</v>
      </c>
      <c r="AW78">
        <v>81.469008688891705</v>
      </c>
      <c r="AX78">
        <v>84.181274297244798</v>
      </c>
      <c r="AY78">
        <v>85.826796961406998</v>
      </c>
      <c r="AZ78">
        <v>89.789795860247807</v>
      </c>
      <c r="BA78">
        <v>99.181874175419495</v>
      </c>
      <c r="BB78">
        <v>97.543987347285693</v>
      </c>
      <c r="BC78">
        <v>100</v>
      </c>
      <c r="BD78">
        <v>105.046102263202</v>
      </c>
      <c r="BE78">
        <v>107.284157585918</v>
      </c>
      <c r="BF78">
        <v>108.57921207040999</v>
      </c>
      <c r="BG78">
        <v>106.94048616932101</v>
      </c>
      <c r="BH78">
        <v>108.44258172673899</v>
      </c>
      <c r="BJ78" s="20" t="s">
        <v>79</v>
      </c>
      <c r="BK78" t="s">
        <v>691</v>
      </c>
      <c r="BL78">
        <v>2015</v>
      </c>
      <c r="BM78">
        <f>INDEX('Costs lists'!$C$5:$C$8,MATCH(Lists!BK78,'Costs lists'!$B$5:$B$8,0))</f>
        <v>4.2</v>
      </c>
      <c r="BN78">
        <f>INDEX('Costs lists'!$D$5:$D$8,MATCH(Lists!BK78,'Costs lists'!$B$5:$B$8,0))</f>
        <v>4.2</v>
      </c>
      <c r="BO78">
        <f>INDEX('Costs lists'!$E$5:$E$8,MATCH(Lists!BK78,'Costs lists'!$B$5:$B$8,0))</f>
        <v>4.2</v>
      </c>
      <c r="BW78" s="20" t="s">
        <v>79</v>
      </c>
      <c r="BX78" s="20">
        <v>2008</v>
      </c>
      <c r="BY78" s="52">
        <v>269.2527</v>
      </c>
      <c r="BZ78" s="52">
        <v>332.32089999999999</v>
      </c>
      <c r="CA78" s="52">
        <v>378.4092</v>
      </c>
      <c r="CB78" s="52">
        <v>395.38909999999998</v>
      </c>
      <c r="CC78" s="375">
        <f t="shared" si="65"/>
        <v>278.28843250000006</v>
      </c>
      <c r="CD78" s="375">
        <v>3.04</v>
      </c>
      <c r="CE78" s="375">
        <v>3.17</v>
      </c>
      <c r="CF78" s="375">
        <v>4.09</v>
      </c>
      <c r="CG78" s="375">
        <f t="shared" si="64"/>
        <v>3.2366666666666664</v>
      </c>
      <c r="CI78" s="20" t="s">
        <v>79</v>
      </c>
      <c r="CJ78" s="20">
        <v>2015</v>
      </c>
      <c r="CK78" s="59">
        <f t="shared" si="79"/>
        <v>294.3930851039662</v>
      </c>
      <c r="CL78" s="59">
        <f t="shared" si="80"/>
        <v>363.35002395714741</v>
      </c>
      <c r="CM78" s="59">
        <f t="shared" si="81"/>
        <v>413.74163311908757</v>
      </c>
      <c r="CN78" s="59">
        <f t="shared" si="82"/>
        <v>432.30696281032868</v>
      </c>
      <c r="CO78" s="59">
        <f t="shared" si="83"/>
        <v>304.27249268966239</v>
      </c>
      <c r="CP78" s="59">
        <f t="shared" si="84"/>
        <v>3.3238477412336334</v>
      </c>
      <c r="CQ78" s="59">
        <f t="shared" si="85"/>
        <v>3.4659859670100719</v>
      </c>
      <c r="CR78" s="59">
        <f t="shared" si="86"/>
        <v>4.4718872571202501</v>
      </c>
      <c r="CS78" s="59">
        <f t="shared" si="87"/>
        <v>3.5388773648441423</v>
      </c>
      <c r="CW78" s="20" t="s">
        <v>79</v>
      </c>
      <c r="CX78">
        <v>2014</v>
      </c>
      <c r="CY78">
        <v>1.8005129999999998</v>
      </c>
      <c r="CZ78">
        <v>0.71296799182891846</v>
      </c>
      <c r="DB78">
        <v>2262.511474609375</v>
      </c>
      <c r="DE78">
        <f t="shared" si="88"/>
        <v>0</v>
      </c>
      <c r="DH78" t="e">
        <f t="shared" si="89"/>
        <v>#DIV/0!</v>
      </c>
      <c r="DI78" t="e">
        <f t="shared" si="95"/>
        <v>#DIV/0!</v>
      </c>
      <c r="DJ78" t="e">
        <f t="shared" si="96"/>
        <v>#DIV/0!</v>
      </c>
      <c r="DL78" s="20" t="s">
        <v>79</v>
      </c>
      <c r="DM78" s="99"/>
      <c r="DN78" s="100"/>
      <c r="DO78" s="101"/>
      <c r="DP78" s="101"/>
      <c r="DQ78" s="101"/>
      <c r="DR78" s="101"/>
      <c r="DS78" s="101"/>
      <c r="DT78" s="101"/>
      <c r="DU78" s="101"/>
      <c r="DV78" s="101"/>
      <c r="DW78" s="101"/>
      <c r="DX78" t="e">
        <f t="shared" ca="1" si="90"/>
        <v>#N/A</v>
      </c>
      <c r="DY78" t="e">
        <f t="shared" ca="1" si="91"/>
        <v>#N/A</v>
      </c>
      <c r="DZ78" t="e">
        <f t="shared" ca="1" si="92"/>
        <v>#N/A</v>
      </c>
      <c r="EB78" s="20" t="s">
        <v>79</v>
      </c>
      <c r="EC78" s="99"/>
      <c r="ED78" s="100"/>
      <c r="EE78" s="101"/>
      <c r="EF78" s="101"/>
      <c r="EG78" s="101"/>
      <c r="EH78" s="101"/>
      <c r="EI78" s="101"/>
      <c r="EJ78" s="101"/>
      <c r="EK78" s="101"/>
      <c r="EL78" s="101"/>
      <c r="EM78" s="101"/>
      <c r="EN78" s="101"/>
      <c r="EQ78" s="20" t="s">
        <v>79</v>
      </c>
      <c r="ER78" s="20" t="e">
        <f t="shared" ca="1" si="93"/>
        <v>#N/A</v>
      </c>
      <c r="ES78" t="e">
        <f t="shared" ca="1" si="94"/>
        <v>#N/A</v>
      </c>
      <c r="EU78" s="20" t="s">
        <v>79</v>
      </c>
      <c r="EV78" s="109">
        <v>1455.8036341106917</v>
      </c>
    </row>
    <row r="79" spans="1:152" x14ac:dyDescent="0.3">
      <c r="A79" s="20" t="s">
        <v>204</v>
      </c>
      <c r="B79" s="20" t="s">
        <v>633</v>
      </c>
      <c r="C79" s="81">
        <v>2015</v>
      </c>
      <c r="D79" s="82">
        <v>67.137</v>
      </c>
      <c r="E79" s="82">
        <v>64.159000000000006</v>
      </c>
      <c r="F79" s="82">
        <v>89.677999999999997</v>
      </c>
      <c r="G79" s="82">
        <v>95.167000000000002</v>
      </c>
      <c r="H79" s="82">
        <v>72.257000000000005</v>
      </c>
      <c r="I79" s="82">
        <v>42.326999999999998</v>
      </c>
      <c r="J79" s="82">
        <v>39.905000000000001</v>
      </c>
      <c r="K79" s="82">
        <v>42.395000000000003</v>
      </c>
      <c r="L79" s="82">
        <v>48.598999999999997</v>
      </c>
      <c r="M79" s="82">
        <v>54.101999999999997</v>
      </c>
      <c r="N79" s="82">
        <v>48.244</v>
      </c>
      <c r="O79" s="82">
        <v>39.405999999999999</v>
      </c>
      <c r="P79" s="82">
        <v>25.305</v>
      </c>
      <c r="Q79" s="82">
        <v>17.324999999999999</v>
      </c>
      <c r="R79" s="82">
        <v>9.9789999999999992</v>
      </c>
      <c r="S79" s="82">
        <v>6.9029999999999996</v>
      </c>
      <c r="T79" s="82">
        <v>2.5009999999999999</v>
      </c>
      <c r="U79" s="82">
        <v>1.3169999999999999</v>
      </c>
      <c r="V79" s="82">
        <v>0.313</v>
      </c>
      <c r="W79" s="82">
        <v>6.5000000000000002E-2</v>
      </c>
      <c r="X79" s="82">
        <v>1E-3</v>
      </c>
      <c r="Y79" s="82">
        <f t="shared" si="67"/>
        <v>767.08500000000004</v>
      </c>
      <c r="Z79" s="52">
        <f t="shared" si="68"/>
        <v>6.7140000000000004</v>
      </c>
      <c r="AA79" s="52">
        <f t="shared" si="69"/>
        <v>6.7140000000000004</v>
      </c>
      <c r="AB79" s="52">
        <f t="shared" si="70"/>
        <v>13.427</v>
      </c>
      <c r="AC79" s="52">
        <f t="shared" si="71"/>
        <v>40.281999999999996</v>
      </c>
      <c r="AD79" s="52">
        <f t="shared" si="72"/>
        <v>153.83699999999999</v>
      </c>
      <c r="AE79" s="52">
        <f t="shared" si="73"/>
        <v>394.75200000000001</v>
      </c>
      <c r="AF79" s="52">
        <f t="shared" si="74"/>
        <v>112.955</v>
      </c>
      <c r="AG79" s="52">
        <f t="shared" si="75"/>
        <v>38.404000000000003</v>
      </c>
      <c r="AH79" s="52">
        <f t="shared" si="76"/>
        <v>767.08500000000004</v>
      </c>
      <c r="AI79">
        <v>19.065000000000001</v>
      </c>
      <c r="AJ79" s="30">
        <f t="shared" si="77"/>
        <v>14624.475525000002</v>
      </c>
      <c r="AK79">
        <f t="shared" si="78"/>
        <v>13.4274</v>
      </c>
      <c r="AM79" s="20" t="s">
        <v>204</v>
      </c>
      <c r="AN79" t="s">
        <v>362</v>
      </c>
      <c r="AO79" t="s">
        <v>363</v>
      </c>
      <c r="AP79" t="s">
        <v>689</v>
      </c>
      <c r="AQ79" s="55">
        <v>852297.98522979848</v>
      </c>
      <c r="AR79" s="55">
        <v>206.5</v>
      </c>
      <c r="AS79" t="s">
        <v>204</v>
      </c>
      <c r="AT79" t="s">
        <v>1225</v>
      </c>
      <c r="AU79" t="s">
        <v>1153</v>
      </c>
      <c r="AV79">
        <v>65.730596770826594</v>
      </c>
      <c r="AW79">
        <v>68.799207479708301</v>
      </c>
      <c r="AX79">
        <v>73.563926204138696</v>
      </c>
      <c r="AY79">
        <v>78.403382546792699</v>
      </c>
      <c r="AZ79">
        <v>88.050469061665396</v>
      </c>
      <c r="BA79">
        <v>95.182964200659001</v>
      </c>
      <c r="BB79">
        <v>97.955985110689994</v>
      </c>
      <c r="BC79">
        <v>100</v>
      </c>
      <c r="BD79">
        <v>104.977735637069</v>
      </c>
      <c r="BE79">
        <v>107.48873506171201</v>
      </c>
      <c r="BF79">
        <v>109.458413026207</v>
      </c>
      <c r="BG79">
        <v>110.46627295410801</v>
      </c>
      <c r="BH79">
        <v>109.408672369882</v>
      </c>
      <c r="BJ79" s="20" t="s">
        <v>204</v>
      </c>
      <c r="BK79" t="s">
        <v>689</v>
      </c>
      <c r="BL79">
        <v>2015</v>
      </c>
      <c r="BM79">
        <f>INDEX('Costs lists'!$C$5:$C$8,MATCH(Lists!BK79,'Costs lists'!$B$5:$B$8,0))</f>
        <v>3.2</v>
      </c>
      <c r="BN79">
        <f>INDEX('Costs lists'!$D$5:$D$8,MATCH(Lists!BK79,'Costs lists'!$B$5:$B$8,0))</f>
        <v>1.1200000000000001</v>
      </c>
      <c r="BO79">
        <f>INDEX('Costs lists'!$E$5:$E$8,MATCH(Lists!BK79,'Costs lists'!$B$5:$B$8,0))</f>
        <v>4.4400000000000004</v>
      </c>
      <c r="BW79" s="20" t="s">
        <v>204</v>
      </c>
      <c r="BX79" s="20">
        <v>2008</v>
      </c>
      <c r="BY79" s="52">
        <v>504.75749999999999</v>
      </c>
      <c r="BZ79" s="52">
        <v>623.64250000000004</v>
      </c>
      <c r="CA79" s="52">
        <v>710.28750000000002</v>
      </c>
      <c r="CB79" s="52">
        <v>740.51249999999993</v>
      </c>
      <c r="CC79" s="375">
        <f t="shared" si="65"/>
        <v>521.73387500000001</v>
      </c>
      <c r="CD79" s="375">
        <v>24.18</v>
      </c>
      <c r="CE79" s="375">
        <v>25.23</v>
      </c>
      <c r="CF79" s="375">
        <v>32.619999999999997</v>
      </c>
      <c r="CG79" s="375">
        <f t="shared" si="64"/>
        <v>25.761666666666663</v>
      </c>
      <c r="CI79" s="20" t="s">
        <v>204</v>
      </c>
      <c r="CJ79" s="20">
        <v>2015</v>
      </c>
      <c r="CK79" s="59">
        <f t="shared" si="79"/>
        <v>580.19676532997028</v>
      </c>
      <c r="CL79" s="59">
        <f t="shared" si="80"/>
        <v>716.84989568712888</v>
      </c>
      <c r="CM79" s="59">
        <f t="shared" si="81"/>
        <v>816.44455001522761</v>
      </c>
      <c r="CN79" s="59">
        <f t="shared" si="82"/>
        <v>851.18687129247121</v>
      </c>
      <c r="CO79" s="59">
        <f t="shared" si="83"/>
        <v>599.71036911402211</v>
      </c>
      <c r="CP79" s="59">
        <f t="shared" si="84"/>
        <v>27.793857021794981</v>
      </c>
      <c r="CQ79" s="59">
        <f t="shared" si="85"/>
        <v>29.000786296934962</v>
      </c>
      <c r="CR79" s="59">
        <f t="shared" si="86"/>
        <v>37.495269481015391</v>
      </c>
      <c r="CS79" s="59">
        <f t="shared" si="87"/>
        <v>29.611913977521709</v>
      </c>
      <c r="CW79" s="20" t="s">
        <v>204</v>
      </c>
      <c r="DE79" t="e">
        <f t="shared" si="88"/>
        <v>#DIV/0!</v>
      </c>
      <c r="DH79" t="e">
        <f t="shared" si="89"/>
        <v>#DIV/0!</v>
      </c>
      <c r="DI79" t="e">
        <f t="shared" si="95"/>
        <v>#DIV/0!</v>
      </c>
      <c r="DJ79" t="e">
        <f t="shared" si="96"/>
        <v>#DIV/0!</v>
      </c>
      <c r="DL79" s="20" t="s">
        <v>204</v>
      </c>
      <c r="DM79" s="99"/>
      <c r="DN79" s="100"/>
      <c r="DO79" s="101"/>
      <c r="DP79" s="101"/>
      <c r="DQ79" s="101"/>
      <c r="DR79" s="101"/>
      <c r="DS79" s="101"/>
      <c r="DT79" s="101"/>
      <c r="DU79" s="101"/>
      <c r="DV79" s="101"/>
      <c r="DW79" s="101"/>
      <c r="DX79" t="e">
        <f t="shared" ca="1" si="90"/>
        <v>#N/A</v>
      </c>
      <c r="DY79" t="e">
        <f t="shared" ca="1" si="91"/>
        <v>#N/A</v>
      </c>
      <c r="DZ79" t="e">
        <f t="shared" ca="1" si="92"/>
        <v>#N/A</v>
      </c>
      <c r="EB79" s="20" t="s">
        <v>204</v>
      </c>
      <c r="EC79" s="99"/>
      <c r="ED79" s="100"/>
      <c r="EE79" s="101"/>
      <c r="EF79" s="101"/>
      <c r="EG79" s="101"/>
      <c r="EH79" s="101"/>
      <c r="EI79" s="101"/>
      <c r="EJ79" s="101"/>
      <c r="EK79" s="101"/>
      <c r="EL79" s="101"/>
      <c r="EM79" s="101"/>
      <c r="EN79" s="101"/>
      <c r="EQ79" s="20" t="s">
        <v>204</v>
      </c>
      <c r="ER79" s="20" t="e">
        <f t="shared" ca="1" si="93"/>
        <v>#N/A</v>
      </c>
      <c r="ES79" t="e">
        <f t="shared" ca="1" si="94"/>
        <v>#N/A</v>
      </c>
      <c r="EU79" s="20" t="s">
        <v>204</v>
      </c>
      <c r="EV79" s="109">
        <v>7521.7287579456197</v>
      </c>
    </row>
    <row r="80" spans="1:152" x14ac:dyDescent="0.3">
      <c r="A80" s="20" t="s">
        <v>183</v>
      </c>
      <c r="B80" s="20" t="s">
        <v>633</v>
      </c>
      <c r="C80" s="81">
        <v>2015</v>
      </c>
      <c r="D80" s="82">
        <v>1237.5429999999999</v>
      </c>
      <c r="E80" s="82">
        <v>1212.462</v>
      </c>
      <c r="F80" s="82">
        <v>1164.056</v>
      </c>
      <c r="G80" s="82">
        <v>1120.5630000000001</v>
      </c>
      <c r="H80" s="82">
        <v>1042.682</v>
      </c>
      <c r="I80" s="82">
        <v>964.79499999999996</v>
      </c>
      <c r="J80" s="82">
        <v>867.62800000000004</v>
      </c>
      <c r="K80" s="82">
        <v>657.11400000000003</v>
      </c>
      <c r="L80" s="82">
        <v>512.60599999999999</v>
      </c>
      <c r="M80" s="82">
        <v>459.07600000000002</v>
      </c>
      <c r="N80" s="82">
        <v>398.33699999999999</v>
      </c>
      <c r="O80" s="82">
        <v>318.94499999999999</v>
      </c>
      <c r="P80" s="82">
        <v>259.24599999999998</v>
      </c>
      <c r="Q80" s="82">
        <v>179.61699999999999</v>
      </c>
      <c r="R80" s="82">
        <v>144.57</v>
      </c>
      <c r="S80" s="82">
        <v>94.724000000000004</v>
      </c>
      <c r="T80" s="82">
        <v>49.412999999999997</v>
      </c>
      <c r="U80" s="82">
        <v>19.914999999999999</v>
      </c>
      <c r="V80" s="82">
        <v>6.2069999999999999</v>
      </c>
      <c r="W80" s="82">
        <v>1.367</v>
      </c>
      <c r="X80" s="82">
        <v>0.20100000000000001</v>
      </c>
      <c r="Y80" s="82">
        <f t="shared" si="67"/>
        <v>10711.066999999997</v>
      </c>
      <c r="Z80" s="52">
        <f t="shared" si="68"/>
        <v>123.754</v>
      </c>
      <c r="AA80" s="52">
        <f t="shared" si="69"/>
        <v>123.754</v>
      </c>
      <c r="AB80" s="52">
        <f t="shared" si="70"/>
        <v>247.50899999999999</v>
      </c>
      <c r="AC80" s="52">
        <f t="shared" si="71"/>
        <v>742.52599999999995</v>
      </c>
      <c r="AD80" s="52">
        <f t="shared" si="72"/>
        <v>2376.518</v>
      </c>
      <c r="AE80" s="52">
        <f t="shared" si="73"/>
        <v>5624.4639999999999</v>
      </c>
      <c r="AF80" s="52">
        <f t="shared" si="74"/>
        <v>976.52800000000002</v>
      </c>
      <c r="AG80" s="52">
        <f t="shared" si="75"/>
        <v>496.01400000000001</v>
      </c>
      <c r="AH80" s="52">
        <f t="shared" si="76"/>
        <v>10711.066999999999</v>
      </c>
      <c r="AI80">
        <v>24.951000000000001</v>
      </c>
      <c r="AJ80" s="30">
        <f t="shared" si="77"/>
        <v>267251.83271699998</v>
      </c>
      <c r="AK80">
        <f t="shared" si="78"/>
        <v>247.50859999999997</v>
      </c>
      <c r="AM80" s="20" t="s">
        <v>183</v>
      </c>
      <c r="AN80" t="s">
        <v>364</v>
      </c>
      <c r="AO80" t="s">
        <v>365</v>
      </c>
      <c r="AP80" t="s">
        <v>691</v>
      </c>
      <c r="AQ80" s="55">
        <v>39736.377337570571</v>
      </c>
      <c r="AR80" s="55">
        <v>50.706426673943902</v>
      </c>
      <c r="AS80" t="s">
        <v>183</v>
      </c>
      <c r="AT80" t="s">
        <v>1226</v>
      </c>
      <c r="AU80" t="s">
        <v>1153</v>
      </c>
      <c r="AV80">
        <v>46.966742251059898</v>
      </c>
      <c r="AW80">
        <v>57.680659880163397</v>
      </c>
      <c r="AX80">
        <v>66.753046792774498</v>
      </c>
      <c r="AY80">
        <v>75.474807700753999</v>
      </c>
      <c r="AZ80">
        <v>81.911891513185097</v>
      </c>
      <c r="BA80">
        <v>94.624351790153099</v>
      </c>
      <c r="BB80">
        <v>94.610502306799106</v>
      </c>
      <c r="BC80">
        <v>100</v>
      </c>
      <c r="BD80">
        <v>108.411071041314</v>
      </c>
      <c r="BE80">
        <v>115.21892366387</v>
      </c>
      <c r="BF80">
        <v>121.963231930985</v>
      </c>
      <c r="BG80">
        <v>127.53228474446701</v>
      </c>
      <c r="BH80">
        <v>139.031257191219</v>
      </c>
      <c r="BJ80" s="20" t="s">
        <v>183</v>
      </c>
      <c r="BK80" t="s">
        <v>691</v>
      </c>
      <c r="BL80">
        <v>2015</v>
      </c>
      <c r="BM80">
        <f>INDEX('Costs lists'!$C$5:$C$8,MATCH(Lists!BK80,'Costs lists'!$B$5:$B$8,0))</f>
        <v>4.2</v>
      </c>
      <c r="BN80">
        <f>INDEX('Costs lists'!$D$5:$D$8,MATCH(Lists!BK80,'Costs lists'!$B$5:$B$8,0))</f>
        <v>4.2</v>
      </c>
      <c r="BO80">
        <f>INDEX('Costs lists'!$E$5:$E$8,MATCH(Lists!BK80,'Costs lists'!$B$5:$B$8,0))</f>
        <v>4.2</v>
      </c>
      <c r="BW80" s="20" t="s">
        <v>183</v>
      </c>
      <c r="BX80" s="20">
        <v>2008</v>
      </c>
      <c r="BY80" s="52">
        <v>47.380299999999998</v>
      </c>
      <c r="BZ80" s="52">
        <v>58.715299999999999</v>
      </c>
      <c r="CA80" s="52">
        <v>66.876500000000007</v>
      </c>
      <c r="CB80" s="52">
        <v>69.596900000000005</v>
      </c>
      <c r="CC80" s="375">
        <f t="shared" si="65"/>
        <v>48.989869999999996</v>
      </c>
      <c r="CD80" s="375">
        <v>7.27</v>
      </c>
      <c r="CE80" s="375">
        <v>7.58</v>
      </c>
      <c r="CF80" s="375">
        <v>9.8000000000000007</v>
      </c>
      <c r="CG80" s="375">
        <f t="shared" ref="CG80:CG111" si="97">CD80*(2/3)+CE80*(1/6)+CF80*(1/6)</f>
        <v>7.7433333333333323</v>
      </c>
      <c r="CI80" s="20" t="s">
        <v>183</v>
      </c>
      <c r="CJ80" s="20">
        <v>2015</v>
      </c>
      <c r="CK80" s="59">
        <f t="shared" si="79"/>
        <v>69.615723124907177</v>
      </c>
      <c r="CL80" s="59">
        <f t="shared" si="80"/>
        <v>86.270202341392149</v>
      </c>
      <c r="CM80" s="59">
        <f t="shared" si="81"/>
        <v>98.261427377261342</v>
      </c>
      <c r="CN80" s="59">
        <f t="shared" si="82"/>
        <v>102.25850238921774</v>
      </c>
      <c r="CO80" s="59">
        <f t="shared" si="83"/>
        <v>71.980659173648036</v>
      </c>
      <c r="CP80" s="59">
        <f t="shared" si="84"/>
        <v>10.681787728614534</v>
      </c>
      <c r="CQ80" s="59">
        <f t="shared" si="85"/>
        <v>11.137269736299611</v>
      </c>
      <c r="CR80" s="59">
        <f t="shared" si="86"/>
        <v>14.399108630044353</v>
      </c>
      <c r="CS80" s="59">
        <f t="shared" si="87"/>
        <v>11.377254880133682</v>
      </c>
      <c r="CW80" s="20" t="s">
        <v>183</v>
      </c>
      <c r="CX80">
        <v>2014</v>
      </c>
      <c r="CY80">
        <v>10.572028999999999</v>
      </c>
      <c r="CZ80">
        <v>4.2844357490539551</v>
      </c>
      <c r="DB80">
        <v>17441.189453125</v>
      </c>
      <c r="DE80">
        <f t="shared" si="88"/>
        <v>0</v>
      </c>
      <c r="DH80" t="e">
        <f t="shared" si="89"/>
        <v>#DIV/0!</v>
      </c>
      <c r="DI80" t="e">
        <f t="shared" si="95"/>
        <v>#DIV/0!</v>
      </c>
      <c r="DJ80" t="e">
        <f t="shared" si="96"/>
        <v>#DIV/0!</v>
      </c>
      <c r="DL80" s="20" t="s">
        <v>183</v>
      </c>
      <c r="DM80" s="99"/>
      <c r="DN80" s="100"/>
      <c r="DO80" s="101"/>
      <c r="DP80" s="101"/>
      <c r="DQ80" s="101"/>
      <c r="DR80" s="101"/>
      <c r="DS80" s="101"/>
      <c r="DT80" s="101"/>
      <c r="DU80" s="101"/>
      <c r="DV80" s="101"/>
      <c r="DW80" s="101"/>
      <c r="DX80" t="e">
        <f t="shared" ca="1" si="90"/>
        <v>#N/A</v>
      </c>
      <c r="DY80" t="e">
        <f t="shared" ca="1" si="91"/>
        <v>#N/A</v>
      </c>
      <c r="DZ80" t="e">
        <f t="shared" ca="1" si="92"/>
        <v>#N/A</v>
      </c>
      <c r="EB80" s="20" t="s">
        <v>183</v>
      </c>
      <c r="EC80" s="99"/>
      <c r="ED80" s="100"/>
      <c r="EE80" s="101"/>
      <c r="EF80" s="101"/>
      <c r="EG80" s="101"/>
      <c r="EH80" s="101"/>
      <c r="EI80" s="101"/>
      <c r="EJ80" s="101"/>
      <c r="EK80" s="101"/>
      <c r="EL80" s="101"/>
      <c r="EM80" s="101"/>
      <c r="EN80" s="101"/>
      <c r="EQ80" s="20" t="s">
        <v>183</v>
      </c>
      <c r="ER80" s="20" t="e">
        <f t="shared" ca="1" si="93"/>
        <v>#N/A</v>
      </c>
      <c r="ES80" t="e">
        <f t="shared" ca="1" si="94"/>
        <v>#N/A</v>
      </c>
      <c r="EU80" s="20" t="s">
        <v>183</v>
      </c>
      <c r="EV80" s="109">
        <v>1757.4356781290994</v>
      </c>
    </row>
    <row r="81" spans="1:152" x14ac:dyDescent="0.3">
      <c r="A81" s="20" t="s">
        <v>194</v>
      </c>
      <c r="B81" s="20" t="s">
        <v>633</v>
      </c>
      <c r="C81" s="81">
        <v>2015</v>
      </c>
      <c r="D81" s="82">
        <v>815.92899999999997</v>
      </c>
      <c r="E81" s="82">
        <v>857.17100000000005</v>
      </c>
      <c r="F81" s="82">
        <v>891.76499999999999</v>
      </c>
      <c r="G81" s="82">
        <v>901.15599999999995</v>
      </c>
      <c r="H81" s="82">
        <v>843.26400000000001</v>
      </c>
      <c r="I81" s="82">
        <v>737.38499999999999</v>
      </c>
      <c r="J81" s="82">
        <v>631.41399999999999</v>
      </c>
      <c r="K81" s="82">
        <v>518.43600000000004</v>
      </c>
      <c r="L81" s="82">
        <v>416.36799999999999</v>
      </c>
      <c r="M81" s="82">
        <v>354.31599999999997</v>
      </c>
      <c r="N81" s="82">
        <v>290.04599999999999</v>
      </c>
      <c r="O81" s="82">
        <v>236.483</v>
      </c>
      <c r="P81" s="82">
        <v>189.423</v>
      </c>
      <c r="Q81" s="82">
        <v>134.35499999999999</v>
      </c>
      <c r="R81" s="82">
        <v>97.200999999999993</v>
      </c>
      <c r="S81" s="82">
        <v>72.021000000000001</v>
      </c>
      <c r="T81" s="82">
        <v>48.716999999999999</v>
      </c>
      <c r="U81" s="82">
        <v>26.18</v>
      </c>
      <c r="V81" s="82">
        <v>10.712999999999999</v>
      </c>
      <c r="W81" s="82">
        <v>2.367</v>
      </c>
      <c r="X81" s="82">
        <v>0.35</v>
      </c>
      <c r="Y81" s="82">
        <f t="shared" si="67"/>
        <v>8075.0599999999995</v>
      </c>
      <c r="Z81" s="52">
        <f t="shared" si="68"/>
        <v>81.593000000000004</v>
      </c>
      <c r="AA81" s="52">
        <f t="shared" si="69"/>
        <v>81.593000000000004</v>
      </c>
      <c r="AB81" s="52">
        <f t="shared" si="70"/>
        <v>163.18600000000001</v>
      </c>
      <c r="AC81" s="52">
        <f t="shared" si="71"/>
        <v>489.55700000000002</v>
      </c>
      <c r="AD81" s="52">
        <f t="shared" si="72"/>
        <v>1748.9359999999999</v>
      </c>
      <c r="AE81" s="52">
        <f t="shared" si="73"/>
        <v>4402.3389999999999</v>
      </c>
      <c r="AF81" s="52">
        <f t="shared" si="74"/>
        <v>715.952</v>
      </c>
      <c r="AG81" s="52">
        <f t="shared" si="75"/>
        <v>391.904</v>
      </c>
      <c r="AH81" s="52">
        <f t="shared" si="76"/>
        <v>8075.0599999999995</v>
      </c>
      <c r="AI81">
        <v>21.202999999999999</v>
      </c>
      <c r="AJ81" s="30">
        <f t="shared" si="77"/>
        <v>171215.49717999998</v>
      </c>
      <c r="AK81">
        <f t="shared" si="78"/>
        <v>163.1858</v>
      </c>
      <c r="AM81" s="20" t="s">
        <v>194</v>
      </c>
      <c r="AN81" t="s">
        <v>366</v>
      </c>
      <c r="AO81" t="s">
        <v>367</v>
      </c>
      <c r="AP81" t="s">
        <v>688</v>
      </c>
      <c r="AQ81" s="55">
        <v>55885.504256315122</v>
      </c>
      <c r="AR81" s="55"/>
      <c r="AS81" t="s">
        <v>194</v>
      </c>
      <c r="AT81" t="s">
        <v>1227</v>
      </c>
      <c r="AU81" t="s">
        <v>1153</v>
      </c>
      <c r="AV81">
        <v>61.189737379853099</v>
      </c>
      <c r="AW81">
        <v>66.154544766517702</v>
      </c>
      <c r="AX81">
        <v>71.982138802694195</v>
      </c>
      <c r="AY81">
        <v>75.997124044501504</v>
      </c>
      <c r="AZ81">
        <v>81.268447740861106</v>
      </c>
      <c r="BA81">
        <v>90.538106410353294</v>
      </c>
      <c r="BB81">
        <v>95.510482100960999</v>
      </c>
      <c r="BC81">
        <v>100</v>
      </c>
      <c r="BD81">
        <v>106.762279573147</v>
      </c>
      <c r="BE81">
        <v>112.30984636343</v>
      </c>
      <c r="BF81">
        <v>118.10716718383399</v>
      </c>
      <c r="BG81">
        <v>125.34624990539599</v>
      </c>
      <c r="BH81">
        <v>129.30447286763001</v>
      </c>
      <c r="BJ81" s="20" t="s">
        <v>194</v>
      </c>
      <c r="BK81" t="s">
        <v>688</v>
      </c>
      <c r="BL81">
        <v>2015</v>
      </c>
      <c r="BM81">
        <f>INDEX('Costs lists'!$C$5:$C$8,MATCH(Lists!BK81,'Costs lists'!$B$5:$B$8,0))</f>
        <v>5.21</v>
      </c>
      <c r="BN81">
        <f>INDEX('Costs lists'!$D$5:$D$8,MATCH(Lists!BK81,'Costs lists'!$B$5:$B$8,0))</f>
        <v>5.16</v>
      </c>
      <c r="BO81">
        <f>INDEX('Costs lists'!$E$5:$E$8,MATCH(Lists!BK81,'Costs lists'!$B$5:$B$8,0))</f>
        <v>5.26</v>
      </c>
      <c r="BW81" s="20" t="s">
        <v>194</v>
      </c>
      <c r="BX81" s="20">
        <v>2008</v>
      </c>
      <c r="BY81" s="52">
        <v>57.286200000000001</v>
      </c>
      <c r="BZ81" s="52">
        <v>70.732799999999997</v>
      </c>
      <c r="CA81" s="52">
        <v>80.679600000000008</v>
      </c>
      <c r="CB81" s="52">
        <v>83.995199999999997</v>
      </c>
      <c r="CC81" s="375">
        <f t="shared" si="65"/>
        <v>59.211089999999999</v>
      </c>
      <c r="CD81" s="375">
        <v>32.57</v>
      </c>
      <c r="CE81" s="375">
        <v>33.979999999999997</v>
      </c>
      <c r="CF81" s="375">
        <v>43.93</v>
      </c>
      <c r="CG81" s="375">
        <f t="shared" si="97"/>
        <v>34.698333333333331</v>
      </c>
      <c r="CI81" s="20" t="s">
        <v>194</v>
      </c>
      <c r="CJ81" s="20">
        <v>2015</v>
      </c>
      <c r="CK81" s="59">
        <f t="shared" si="79"/>
        <v>81.814853295215073</v>
      </c>
      <c r="CL81" s="59">
        <f t="shared" si="80"/>
        <v>101.01898284682504</v>
      </c>
      <c r="CM81" s="59">
        <f t="shared" si="81"/>
        <v>115.22477730965983</v>
      </c>
      <c r="CN81" s="59">
        <f t="shared" si="82"/>
        <v>119.96004213060473</v>
      </c>
      <c r="CO81" s="59">
        <f t="shared" si="83"/>
        <v>84.563937594041434</v>
      </c>
      <c r="CP81" s="59">
        <f t="shared" si="84"/>
        <v>46.515736282475622</v>
      </c>
      <c r="CQ81" s="59">
        <f t="shared" si="85"/>
        <v>48.529466345671523</v>
      </c>
      <c r="CR81" s="59">
        <f t="shared" si="86"/>
        <v>62.739830976025608</v>
      </c>
      <c r="CS81" s="59">
        <f t="shared" si="87"/>
        <v>49.555373741933266</v>
      </c>
      <c r="CW81" s="20" t="s">
        <v>194</v>
      </c>
      <c r="CX81">
        <v>2014</v>
      </c>
      <c r="CY81">
        <v>7.9616799999999994</v>
      </c>
      <c r="CZ81">
        <v>3.3812010288238525</v>
      </c>
      <c r="DB81">
        <v>34377.6015625</v>
      </c>
      <c r="DC81">
        <v>0.6182180643081665</v>
      </c>
      <c r="DE81">
        <f t="shared" si="88"/>
        <v>6285.593229255267</v>
      </c>
      <c r="DH81" t="e">
        <f t="shared" si="89"/>
        <v>#DIV/0!</v>
      </c>
      <c r="DI81" t="e">
        <f t="shared" si="95"/>
        <v>#DIV/0!</v>
      </c>
      <c r="DJ81" t="e">
        <f t="shared" si="96"/>
        <v>#DIV/0!</v>
      </c>
      <c r="DL81" s="20" t="s">
        <v>194</v>
      </c>
      <c r="DM81" s="99"/>
      <c r="DN81" s="100"/>
      <c r="DO81" s="101"/>
      <c r="DP81" s="101"/>
      <c r="DQ81" s="101"/>
      <c r="DR81" s="101"/>
      <c r="DS81" s="101"/>
      <c r="DT81" s="101"/>
      <c r="DU81" s="101"/>
      <c r="DV81" s="101"/>
      <c r="DW81" s="101"/>
      <c r="DX81" t="e">
        <f t="shared" ca="1" si="90"/>
        <v>#N/A</v>
      </c>
      <c r="DY81" t="e">
        <f t="shared" ca="1" si="91"/>
        <v>#N/A</v>
      </c>
      <c r="DZ81" t="e">
        <f t="shared" ca="1" si="92"/>
        <v>#N/A</v>
      </c>
      <c r="EB81" s="20" t="s">
        <v>194</v>
      </c>
      <c r="EC81" s="99" t="s">
        <v>815</v>
      </c>
      <c r="ED81" s="100" t="s">
        <v>754</v>
      </c>
      <c r="EE81" s="101">
        <v>49.1</v>
      </c>
      <c r="EF81" s="101"/>
      <c r="EG81" s="101"/>
      <c r="EH81" s="101">
        <v>51.5</v>
      </c>
      <c r="EI81" s="101">
        <v>51.5</v>
      </c>
      <c r="EJ81" s="101">
        <v>49.7</v>
      </c>
      <c r="EK81" s="101"/>
      <c r="EL81" s="101">
        <v>51.6</v>
      </c>
      <c r="EM81" s="101"/>
      <c r="EN81" s="101">
        <v>54</v>
      </c>
      <c r="EO81">
        <f t="shared" ref="EO81:EO86" ca="1" si="98">OFFSET(EE81,0,MATCH(MAX(EE81:EN81)+1,EE81:EN81,1)-1)</f>
        <v>54</v>
      </c>
      <c r="EQ81" s="20" t="s">
        <v>194</v>
      </c>
      <c r="ER81" s="20" t="e">
        <f t="shared" ca="1" si="93"/>
        <v>#N/A</v>
      </c>
      <c r="ES81" t="e">
        <f t="shared" ca="1" si="94"/>
        <v>#N/A</v>
      </c>
      <c r="EU81" s="20" t="s">
        <v>194</v>
      </c>
      <c r="EV81" s="109">
        <v>5095.204056043578</v>
      </c>
    </row>
    <row r="82" spans="1:152" x14ac:dyDescent="0.3">
      <c r="A82" s="20" t="s">
        <v>139</v>
      </c>
      <c r="B82" s="20" t="s">
        <v>257</v>
      </c>
      <c r="C82" s="81">
        <v>2015</v>
      </c>
      <c r="D82" s="82">
        <v>463.33199999999999</v>
      </c>
      <c r="E82" s="82">
        <v>490.65</v>
      </c>
      <c r="F82" s="82">
        <v>480.78199999999998</v>
      </c>
      <c r="G82" s="82">
        <v>498.58499999999998</v>
      </c>
      <c r="H82" s="82">
        <v>605.67600000000004</v>
      </c>
      <c r="I82" s="82">
        <v>651.01700000000005</v>
      </c>
      <c r="J82" s="82">
        <v>686.12099999999998</v>
      </c>
      <c r="K82" s="82">
        <v>860.72799999999995</v>
      </c>
      <c r="L82" s="82">
        <v>754.06100000000004</v>
      </c>
      <c r="M82" s="82">
        <v>670.81</v>
      </c>
      <c r="N82" s="82">
        <v>570.52200000000005</v>
      </c>
      <c r="O82" s="82">
        <v>667.48299999999995</v>
      </c>
      <c r="P82" s="82">
        <v>699.298</v>
      </c>
      <c r="Q82" s="82">
        <v>536.69500000000005</v>
      </c>
      <c r="R82" s="82">
        <v>458.40300000000002</v>
      </c>
      <c r="S82" s="82">
        <v>330.23200000000003</v>
      </c>
      <c r="T82" s="82">
        <v>240.77799999999999</v>
      </c>
      <c r="U82" s="82">
        <v>130.40299999999999</v>
      </c>
      <c r="V82" s="82">
        <v>51.618000000000002</v>
      </c>
      <c r="W82" s="82">
        <v>6.5410000000000004</v>
      </c>
      <c r="X82" s="82">
        <v>1.288</v>
      </c>
      <c r="Y82" s="82">
        <f t="shared" si="67"/>
        <v>9855.023000000001</v>
      </c>
      <c r="Z82" s="52">
        <f t="shared" si="68"/>
        <v>46.332999999999998</v>
      </c>
      <c r="AA82" s="52">
        <f t="shared" si="69"/>
        <v>46.332999999999998</v>
      </c>
      <c r="AB82" s="52">
        <f t="shared" si="70"/>
        <v>92.665999999999997</v>
      </c>
      <c r="AC82" s="52">
        <f t="shared" si="71"/>
        <v>277.99900000000002</v>
      </c>
      <c r="AD82" s="52">
        <f t="shared" si="72"/>
        <v>971.43200000000002</v>
      </c>
      <c r="AE82" s="52">
        <f t="shared" si="73"/>
        <v>4726.9979999999996</v>
      </c>
      <c r="AF82" s="52">
        <f t="shared" si="74"/>
        <v>1937.3030000000001</v>
      </c>
      <c r="AG82" s="52">
        <f t="shared" si="75"/>
        <v>1755.9580000000001</v>
      </c>
      <c r="AH82" s="52">
        <f t="shared" si="76"/>
        <v>9855.021999999999</v>
      </c>
      <c r="AI82">
        <v>9.5</v>
      </c>
      <c r="AJ82" s="30">
        <f t="shared" si="77"/>
        <v>93622.708999999988</v>
      </c>
      <c r="AK82">
        <f t="shared" si="78"/>
        <v>92.666399999999996</v>
      </c>
      <c r="AM82" s="20" t="s">
        <v>139</v>
      </c>
      <c r="AN82" t="s">
        <v>368</v>
      </c>
      <c r="AO82" t="s">
        <v>369</v>
      </c>
      <c r="AP82" t="s">
        <v>690</v>
      </c>
      <c r="AQ82" s="55">
        <v>3454121.2317998079</v>
      </c>
      <c r="AR82" s="55">
        <v>279.33249999999998</v>
      </c>
      <c r="AS82" t="s">
        <v>139</v>
      </c>
      <c r="AT82" t="s">
        <v>1228</v>
      </c>
      <c r="AU82" t="s">
        <v>1153</v>
      </c>
      <c r="AV82">
        <v>69.580642465725106</v>
      </c>
      <c r="AW82">
        <v>74.298182035905896</v>
      </c>
      <c r="AX82">
        <v>76.936368060852999</v>
      </c>
      <c r="AY82">
        <v>79.920200742867195</v>
      </c>
      <c r="AZ82">
        <v>86.261875764941095</v>
      </c>
      <c r="BA82">
        <v>91.494656712048197</v>
      </c>
      <c r="BB82">
        <v>95.345840509081199</v>
      </c>
      <c r="BC82">
        <v>100</v>
      </c>
      <c r="BD82">
        <v>103.92073531494999</v>
      </c>
      <c r="BE82">
        <v>109.81058806863101</v>
      </c>
      <c r="BF82">
        <v>111.700540819813</v>
      </c>
      <c r="BG82">
        <v>111.452213694658</v>
      </c>
      <c r="BH82">
        <v>111.373882319609</v>
      </c>
      <c r="BJ82" s="20" t="s">
        <v>139</v>
      </c>
      <c r="BK82" t="s">
        <v>690</v>
      </c>
      <c r="BL82">
        <v>2015</v>
      </c>
      <c r="BM82">
        <f>INDEX('Costs lists'!$C$5:$C$8,MATCH(Lists!BK82,'Costs lists'!$B$5:$B$8,0))</f>
        <v>3.55</v>
      </c>
      <c r="BN82">
        <f>INDEX('Costs lists'!$D$5:$D$8,MATCH(Lists!BK82,'Costs lists'!$B$5:$B$8,0))</f>
        <v>2.91</v>
      </c>
      <c r="BO82">
        <f>INDEX('Costs lists'!$E$5:$E$8,MATCH(Lists!BK82,'Costs lists'!$B$5:$B$8,0))</f>
        <v>7.59</v>
      </c>
      <c r="BW82" s="20" t="s">
        <v>139</v>
      </c>
      <c r="BX82" s="20">
        <v>2008</v>
      </c>
      <c r="BY82" s="52">
        <v>3363.9965999999999</v>
      </c>
      <c r="BZ82" s="52">
        <v>4152.8927999999996</v>
      </c>
      <c r="CA82" s="52">
        <v>4733.3772000000008</v>
      </c>
      <c r="CB82" s="52">
        <v>4931.5601999999999</v>
      </c>
      <c r="CC82" s="375">
        <f t="shared" si="65"/>
        <v>3476.8650149999999</v>
      </c>
      <c r="CD82" s="375">
        <v>237.46</v>
      </c>
      <c r="CE82" s="375">
        <v>247.73</v>
      </c>
      <c r="CF82" s="375">
        <v>320.33</v>
      </c>
      <c r="CG82" s="375">
        <f t="shared" si="97"/>
        <v>252.98333333333332</v>
      </c>
      <c r="CI82" s="20" t="s">
        <v>139</v>
      </c>
      <c r="CJ82" s="20">
        <v>2015</v>
      </c>
      <c r="CK82" s="59">
        <f t="shared" si="79"/>
        <v>4094.898816125386</v>
      </c>
      <c r="CL82" s="59">
        <f t="shared" si="80"/>
        <v>5055.2000588275378</v>
      </c>
      <c r="CM82" s="59">
        <f t="shared" si="81"/>
        <v>5761.8074562129159</v>
      </c>
      <c r="CN82" s="59">
        <f t="shared" si="82"/>
        <v>6003.0500698577016</v>
      </c>
      <c r="CO82" s="59">
        <f t="shared" si="83"/>
        <v>4232.2903756059895</v>
      </c>
      <c r="CP82" s="59">
        <f t="shared" si="84"/>
        <v>289.05340536822604</v>
      </c>
      <c r="CQ82" s="59">
        <f t="shared" si="85"/>
        <v>301.55478864596409</v>
      </c>
      <c r="CR82" s="59">
        <f t="shared" si="86"/>
        <v>389.92873469891288</v>
      </c>
      <c r="CS82" s="59">
        <f t="shared" si="87"/>
        <v>307.94952413629687</v>
      </c>
      <c r="CW82" s="20" t="s">
        <v>139</v>
      </c>
      <c r="CX82">
        <v>2014</v>
      </c>
      <c r="CY82">
        <v>9.8895400000000002</v>
      </c>
      <c r="CZ82">
        <v>4.15802001953125</v>
      </c>
      <c r="DA82">
        <v>1859.8332078475755</v>
      </c>
      <c r="DB82">
        <v>223793.75</v>
      </c>
      <c r="DC82">
        <v>0.60148066282272339</v>
      </c>
      <c r="DE82">
        <f t="shared" si="88"/>
        <v>32373.00745385966</v>
      </c>
      <c r="DH82">
        <f t="shared" si="89"/>
        <v>17.406403605044577</v>
      </c>
      <c r="DI82">
        <f t="shared" si="95"/>
        <v>17.394169953654067</v>
      </c>
      <c r="DJ82">
        <f t="shared" si="96"/>
        <v>41.370733838566892</v>
      </c>
      <c r="DL82" s="20" t="s">
        <v>139</v>
      </c>
      <c r="DM82" s="99" t="s">
        <v>796</v>
      </c>
      <c r="DN82" s="100" t="s">
        <v>754</v>
      </c>
      <c r="DO82" s="101">
        <v>40.1</v>
      </c>
      <c r="DP82" s="101">
        <v>40.1</v>
      </c>
      <c r="DQ82" s="101">
        <v>39.799999999999997</v>
      </c>
      <c r="DR82" s="101">
        <v>39.799999999999997</v>
      </c>
      <c r="DS82" s="101">
        <v>39.4</v>
      </c>
      <c r="DT82" s="101">
        <v>38.799999999999997</v>
      </c>
      <c r="DU82" s="101">
        <v>38.799999999999997</v>
      </c>
      <c r="DV82" s="101">
        <v>38.5</v>
      </c>
      <c r="DW82" s="101">
        <v>38.5</v>
      </c>
      <c r="DX82">
        <f t="shared" ca="1" si="90"/>
        <v>38.5</v>
      </c>
      <c r="DY82">
        <f t="shared" ca="1" si="91"/>
        <v>7.7</v>
      </c>
      <c r="DZ82">
        <f t="shared" ca="1" si="92"/>
        <v>133.93510864313632</v>
      </c>
      <c r="EB82" s="20" t="s">
        <v>139</v>
      </c>
      <c r="EC82" s="99" t="s">
        <v>796</v>
      </c>
      <c r="ED82" s="100" t="s">
        <v>754</v>
      </c>
      <c r="EE82" s="101">
        <v>46.9</v>
      </c>
      <c r="EF82" s="101">
        <v>46.6</v>
      </c>
      <c r="EG82" s="101">
        <v>46</v>
      </c>
      <c r="EH82" s="101">
        <v>44.8</v>
      </c>
      <c r="EI82" s="101">
        <v>44.7</v>
      </c>
      <c r="EJ82" s="101">
        <v>45.1</v>
      </c>
      <c r="EK82" s="101">
        <v>46</v>
      </c>
      <c r="EL82" s="101">
        <v>46.9</v>
      </c>
      <c r="EM82" s="101">
        <v>49.5</v>
      </c>
      <c r="EN82" s="101">
        <v>51</v>
      </c>
      <c r="EO82">
        <f t="shared" ca="1" si="98"/>
        <v>51</v>
      </c>
      <c r="EQ82" s="20" t="s">
        <v>139</v>
      </c>
      <c r="ER82" s="20">
        <f t="shared" ca="1" si="93"/>
        <v>133.93510864313632</v>
      </c>
      <c r="ES82">
        <f t="shared" ca="1" si="94"/>
        <v>68.306905407999523</v>
      </c>
      <c r="EU82" s="20" t="s">
        <v>139</v>
      </c>
      <c r="EV82" s="109">
        <v>25799.417797012404</v>
      </c>
    </row>
    <row r="83" spans="1:152" x14ac:dyDescent="0.3">
      <c r="A83" s="20" t="s">
        <v>149</v>
      </c>
      <c r="B83" s="20" t="s">
        <v>257</v>
      </c>
      <c r="C83" s="81">
        <v>2015</v>
      </c>
      <c r="D83" s="82">
        <v>23.010999999999999</v>
      </c>
      <c r="E83" s="82">
        <v>23.015000000000001</v>
      </c>
      <c r="F83" s="82">
        <v>20.911999999999999</v>
      </c>
      <c r="G83" s="82">
        <v>22.001000000000001</v>
      </c>
      <c r="H83" s="82">
        <v>25.402000000000001</v>
      </c>
      <c r="I83" s="82">
        <v>22.388000000000002</v>
      </c>
      <c r="J83" s="82">
        <v>23.914000000000001</v>
      </c>
      <c r="K83" s="82">
        <v>21.007000000000001</v>
      </c>
      <c r="L83" s="82">
        <v>21.041</v>
      </c>
      <c r="M83" s="82">
        <v>21.035</v>
      </c>
      <c r="N83" s="82">
        <v>21.754999999999999</v>
      </c>
      <c r="O83" s="82">
        <v>20.832999999999998</v>
      </c>
      <c r="P83" s="82">
        <v>17.934000000000001</v>
      </c>
      <c r="Q83" s="82">
        <v>15.045</v>
      </c>
      <c r="R83" s="82">
        <v>10.339</v>
      </c>
      <c r="S83" s="82">
        <v>7.492</v>
      </c>
      <c r="T83" s="82">
        <v>6.4219999999999997</v>
      </c>
      <c r="U83" s="82">
        <v>3.931</v>
      </c>
      <c r="V83" s="82">
        <v>1.5589999999999999</v>
      </c>
      <c r="W83" s="82">
        <v>0.36299999999999999</v>
      </c>
      <c r="X83" s="82">
        <v>2.5999999999999999E-2</v>
      </c>
      <c r="Y83" s="82">
        <f t="shared" si="67"/>
        <v>329.42500000000007</v>
      </c>
      <c r="Z83" s="52">
        <f t="shared" si="68"/>
        <v>2.3010000000000002</v>
      </c>
      <c r="AA83" s="52">
        <f t="shared" si="69"/>
        <v>2.3010000000000002</v>
      </c>
      <c r="AB83" s="52">
        <f t="shared" si="70"/>
        <v>4.6020000000000003</v>
      </c>
      <c r="AC83" s="52">
        <f t="shared" si="71"/>
        <v>13.807</v>
      </c>
      <c r="AD83" s="52">
        <f t="shared" si="72"/>
        <v>43.927</v>
      </c>
      <c r="AE83" s="52">
        <f t="shared" si="73"/>
        <v>156.78800000000001</v>
      </c>
      <c r="AF83" s="52">
        <f t="shared" si="74"/>
        <v>60.521999999999998</v>
      </c>
      <c r="AG83" s="52">
        <f t="shared" si="75"/>
        <v>45.177</v>
      </c>
      <c r="AH83" s="52">
        <f t="shared" si="76"/>
        <v>329.42500000000001</v>
      </c>
      <c r="AI83">
        <v>13.4</v>
      </c>
      <c r="AJ83" s="30">
        <f t="shared" si="77"/>
        <v>4414.2950000000001</v>
      </c>
      <c r="AK83">
        <f t="shared" si="78"/>
        <v>4.6021999999999998</v>
      </c>
      <c r="AM83" s="20" t="s">
        <v>149</v>
      </c>
      <c r="AN83" t="s">
        <v>370</v>
      </c>
      <c r="AO83" t="s">
        <v>371</v>
      </c>
      <c r="AP83" t="s">
        <v>690</v>
      </c>
      <c r="AQ83" s="55">
        <v>6691180.8714840617</v>
      </c>
      <c r="AR83" s="55">
        <v>131.91870843143201</v>
      </c>
      <c r="AS83" t="s">
        <v>149</v>
      </c>
      <c r="AT83" t="s">
        <v>1229</v>
      </c>
      <c r="AU83" t="s">
        <v>1153</v>
      </c>
      <c r="AV83">
        <v>62.528879882752697</v>
      </c>
      <c r="AW83">
        <v>64.4990705390275</v>
      </c>
      <c r="AX83">
        <v>67.079033360588696</v>
      </c>
      <c r="AY83">
        <v>71.557111686583994</v>
      </c>
      <c r="AZ83">
        <v>75.180526138198502</v>
      </c>
      <c r="BA83">
        <v>84.712055451188505</v>
      </c>
      <c r="BB83">
        <v>94.882425341710999</v>
      </c>
      <c r="BC83">
        <v>100</v>
      </c>
      <c r="BD83">
        <v>103.990412644944</v>
      </c>
      <c r="BE83">
        <v>109.393016777871</v>
      </c>
      <c r="BF83">
        <v>113.642547127032</v>
      </c>
      <c r="BG83">
        <v>115.95517263716999</v>
      </c>
      <c r="BH83">
        <v>117.84673187795499</v>
      </c>
      <c r="BJ83" s="20" t="s">
        <v>149</v>
      </c>
      <c r="BK83" t="s">
        <v>690</v>
      </c>
      <c r="BL83">
        <v>2015</v>
      </c>
      <c r="BM83">
        <f>INDEX('Costs lists'!$C$5:$C$8,MATCH(Lists!BK83,'Costs lists'!$B$5:$B$8,0))</f>
        <v>3.55</v>
      </c>
      <c r="BN83">
        <f>INDEX('Costs lists'!$D$5:$D$8,MATCH(Lists!BK83,'Costs lists'!$B$5:$B$8,0))</f>
        <v>2.91</v>
      </c>
      <c r="BO83">
        <f>INDEX('Costs lists'!$E$5:$E$8,MATCH(Lists!BK83,'Costs lists'!$B$5:$B$8,0))</f>
        <v>7.59</v>
      </c>
      <c r="BW83" s="20" t="s">
        <v>149</v>
      </c>
      <c r="BX83" s="20">
        <v>2008</v>
      </c>
      <c r="BY83" s="52">
        <v>5367.9132</v>
      </c>
      <c r="BZ83" s="52">
        <v>6628.1436000000003</v>
      </c>
      <c r="CA83" s="52">
        <v>7553.0286000000006</v>
      </c>
      <c r="CB83" s="52">
        <v>7870.4730000000009</v>
      </c>
      <c r="CC83" s="375">
        <f t="shared" si="65"/>
        <v>5548.1165999999994</v>
      </c>
      <c r="CD83" s="375">
        <v>497.27</v>
      </c>
      <c r="CE83" s="375">
        <v>518.77</v>
      </c>
      <c r="CF83" s="375">
        <v>670.79</v>
      </c>
      <c r="CG83" s="375">
        <f t="shared" si="97"/>
        <v>529.77333333333331</v>
      </c>
      <c r="CI83" s="20" t="s">
        <v>149</v>
      </c>
      <c r="CJ83" s="20">
        <v>2015</v>
      </c>
      <c r="CK83" s="59">
        <f t="shared" si="79"/>
        <v>7467.5443094287493</v>
      </c>
      <c r="CL83" s="59">
        <f t="shared" si="80"/>
        <v>9220.7072242257163</v>
      </c>
      <c r="CM83" s="59">
        <f t="shared" si="81"/>
        <v>10507.356143702658</v>
      </c>
      <c r="CN83" s="59">
        <f t="shared" si="82"/>
        <v>10948.967256710228</v>
      </c>
      <c r="CO83" s="59">
        <f t="shared" si="83"/>
        <v>7718.2333247074812</v>
      </c>
      <c r="CP83" s="59">
        <f t="shared" si="84"/>
        <v>691.77455379674063</v>
      </c>
      <c r="CQ83" s="59">
        <f t="shared" si="85"/>
        <v>721.68416609313874</v>
      </c>
      <c r="CR83" s="59">
        <f t="shared" si="86"/>
        <v>933.16599220004343</v>
      </c>
      <c r="CS83" s="59">
        <f t="shared" si="87"/>
        <v>736.99139558002412</v>
      </c>
      <c r="CW83" s="20" t="s">
        <v>149</v>
      </c>
      <c r="CX83">
        <v>2014</v>
      </c>
      <c r="CY83">
        <v>0.327318</v>
      </c>
      <c r="CZ83">
        <v>0.18325315415859222</v>
      </c>
      <c r="DA83">
        <v>1864</v>
      </c>
      <c r="DB83">
        <v>12894.1484375</v>
      </c>
      <c r="DC83">
        <v>0.74636822938919067</v>
      </c>
      <c r="DE83">
        <f t="shared" si="88"/>
        <v>52516.327934249872</v>
      </c>
      <c r="DH83">
        <f t="shared" si="89"/>
        <v>28.173995672880832</v>
      </c>
      <c r="DI83">
        <f t="shared" si="95"/>
        <v>28.633593814583662</v>
      </c>
      <c r="DJ83">
        <f t="shared" si="96"/>
        <v>51.14395276433202</v>
      </c>
      <c r="DL83" s="20" t="s">
        <v>149</v>
      </c>
      <c r="DM83" s="99" t="s">
        <v>796</v>
      </c>
      <c r="DN83" s="100" t="s">
        <v>754</v>
      </c>
      <c r="DO83" s="101">
        <v>42</v>
      </c>
      <c r="DP83" s="101">
        <v>41.6</v>
      </c>
      <c r="DQ83" s="101">
        <v>39.700000000000003</v>
      </c>
      <c r="DR83" s="101">
        <v>39.5</v>
      </c>
      <c r="DS83" s="101">
        <v>40</v>
      </c>
      <c r="DT83" s="101">
        <v>39.799999999999997</v>
      </c>
      <c r="DU83" s="101">
        <v>39.799999999999997</v>
      </c>
      <c r="DV83" s="101">
        <v>39.9</v>
      </c>
      <c r="DW83" s="101">
        <v>40.200000000000003</v>
      </c>
      <c r="DX83">
        <f t="shared" ca="1" si="90"/>
        <v>40.200000000000003</v>
      </c>
      <c r="DY83">
        <f t="shared" ca="1" si="91"/>
        <v>8.0400000000000009</v>
      </c>
      <c r="DZ83">
        <f t="shared" ca="1" si="92"/>
        <v>230.21409426925268</v>
      </c>
      <c r="EB83" s="20" t="s">
        <v>149</v>
      </c>
      <c r="EC83" s="99" t="s">
        <v>796</v>
      </c>
      <c r="ED83" s="100" t="s">
        <v>754</v>
      </c>
      <c r="EE83" s="101">
        <v>80.099999999999994</v>
      </c>
      <c r="EF83" s="101">
        <v>80.8</v>
      </c>
      <c r="EG83" s="101">
        <v>79.5</v>
      </c>
      <c r="EH83" s="101">
        <v>74.5</v>
      </c>
      <c r="EI83" s="101">
        <v>74.3</v>
      </c>
      <c r="EJ83" s="101">
        <v>74.2</v>
      </c>
      <c r="EK83" s="101">
        <v>75.099999999999994</v>
      </c>
      <c r="EL83" s="101">
        <v>76.400000000000006</v>
      </c>
      <c r="EM83" s="101">
        <v>78.099999999999994</v>
      </c>
      <c r="EN83" s="101">
        <v>79.7</v>
      </c>
      <c r="EO83">
        <f t="shared" ca="1" si="98"/>
        <v>79.7</v>
      </c>
      <c r="EQ83" s="20" t="s">
        <v>149</v>
      </c>
      <c r="ER83" s="20">
        <f t="shared" ca="1" si="93"/>
        <v>230.21409426925268</v>
      </c>
      <c r="ES83">
        <f t="shared" ca="1" si="94"/>
        <v>183.48063313259442</v>
      </c>
      <c r="EU83" s="20" t="s">
        <v>149</v>
      </c>
      <c r="EV83" s="109">
        <v>46546.977134015389</v>
      </c>
    </row>
    <row r="84" spans="1:152" x14ac:dyDescent="0.3">
      <c r="A84" s="20" t="s">
        <v>101</v>
      </c>
      <c r="B84" s="20" t="s">
        <v>635</v>
      </c>
      <c r="C84" s="81">
        <v>2015</v>
      </c>
      <c r="D84" s="82">
        <v>123711.48699999999</v>
      </c>
      <c r="E84" s="82">
        <v>126965.226</v>
      </c>
      <c r="F84" s="82">
        <v>126750.182</v>
      </c>
      <c r="G84" s="82">
        <v>123347.962</v>
      </c>
      <c r="H84" s="82">
        <v>118192.145</v>
      </c>
      <c r="I84" s="82">
        <v>112815.306</v>
      </c>
      <c r="J84" s="82">
        <v>104214.861</v>
      </c>
      <c r="K84" s="82">
        <v>91289.316999999995</v>
      </c>
      <c r="L84" s="82">
        <v>81019.498000000007</v>
      </c>
      <c r="M84" s="82">
        <v>71118.676000000007</v>
      </c>
      <c r="N84" s="82">
        <v>62295.828999999998</v>
      </c>
      <c r="O84" s="82">
        <v>52777.22</v>
      </c>
      <c r="P84" s="82">
        <v>42922.775999999998</v>
      </c>
      <c r="Q84" s="82">
        <v>29038.531999999999</v>
      </c>
      <c r="R84" s="82">
        <v>20109.264999999999</v>
      </c>
      <c r="S84" s="82">
        <v>13195.17</v>
      </c>
      <c r="T84" s="82">
        <v>7111.8879999999999</v>
      </c>
      <c r="U84" s="82">
        <v>3016.3119999999999</v>
      </c>
      <c r="V84" s="82">
        <v>934.05499999999995</v>
      </c>
      <c r="W84" s="82">
        <v>197.554</v>
      </c>
      <c r="X84" s="82">
        <v>27.265999999999998</v>
      </c>
      <c r="Y84" s="82">
        <f t="shared" si="67"/>
        <v>1311050.5269999998</v>
      </c>
      <c r="Z84" s="52">
        <f t="shared" si="68"/>
        <v>12371.148999999999</v>
      </c>
      <c r="AA84" s="52">
        <f t="shared" si="69"/>
        <v>12371.148999999999</v>
      </c>
      <c r="AB84" s="52">
        <f t="shared" si="70"/>
        <v>24742.296999999999</v>
      </c>
      <c r="AC84" s="52">
        <f t="shared" si="71"/>
        <v>74226.892000000007</v>
      </c>
      <c r="AD84" s="52">
        <f t="shared" si="72"/>
        <v>253715.408</v>
      </c>
      <c r="AE84" s="52">
        <f t="shared" si="73"/>
        <v>701997.76500000001</v>
      </c>
      <c r="AF84" s="52">
        <f t="shared" si="74"/>
        <v>157995.82500000001</v>
      </c>
      <c r="AG84" s="52">
        <f t="shared" si="75"/>
        <v>73630.042000000001</v>
      </c>
      <c r="AH84" s="52">
        <f t="shared" si="76"/>
        <v>1311050.527</v>
      </c>
      <c r="AI84">
        <v>19.952000000000002</v>
      </c>
      <c r="AJ84" s="30">
        <f t="shared" si="77"/>
        <v>26158080.114704002</v>
      </c>
      <c r="AK84">
        <f t="shared" si="78"/>
        <v>24742.297399999999</v>
      </c>
      <c r="AM84" s="20" t="s">
        <v>101</v>
      </c>
      <c r="AN84" t="s">
        <v>372</v>
      </c>
      <c r="AO84" t="s">
        <v>373</v>
      </c>
      <c r="AP84" t="s">
        <v>688</v>
      </c>
      <c r="AQ84" s="55">
        <v>104308.19192981416</v>
      </c>
      <c r="AR84" s="55">
        <v>64.151944463278596</v>
      </c>
      <c r="AS84" t="s">
        <v>101</v>
      </c>
      <c r="AT84" t="s">
        <v>1230</v>
      </c>
      <c r="AU84" t="s">
        <v>1153</v>
      </c>
      <c r="AV84">
        <v>60.854219609109698</v>
      </c>
      <c r="AW84">
        <v>63.146743186715</v>
      </c>
      <c r="AX84">
        <v>65.828177014092503</v>
      </c>
      <c r="AY84">
        <v>69.873662370145098</v>
      </c>
      <c r="AZ84">
        <v>74.324612389330198</v>
      </c>
      <c r="BA84">
        <v>80.532067588500297</v>
      </c>
      <c r="BB84">
        <v>89.291855557292493</v>
      </c>
      <c r="BC84">
        <v>100</v>
      </c>
      <c r="BD84">
        <v>108.857845296801</v>
      </c>
      <c r="BE84">
        <v>118.99517292670301</v>
      </c>
      <c r="BF84">
        <v>131.97474194816701</v>
      </c>
      <c r="BG84">
        <v>140.750402613912</v>
      </c>
      <c r="BH84">
        <v>147.656987488661</v>
      </c>
      <c r="BJ84" s="20" t="s">
        <v>101</v>
      </c>
      <c r="BK84" t="s">
        <v>688</v>
      </c>
      <c r="BL84">
        <v>2015</v>
      </c>
      <c r="BM84">
        <f>INDEX('Costs lists'!$C$5:$C$8,MATCH(Lists!BK84,'Costs lists'!$B$5:$B$8,0))</f>
        <v>5.21</v>
      </c>
      <c r="BN84">
        <f>INDEX('Costs lists'!$D$5:$D$8,MATCH(Lists!BK84,'Costs lists'!$B$5:$B$8,0))</f>
        <v>5.16</v>
      </c>
      <c r="BO84">
        <f>INDEX('Costs lists'!$E$5:$E$8,MATCH(Lists!BK84,'Costs lists'!$B$5:$B$8,0))</f>
        <v>5.26</v>
      </c>
      <c r="BW84" s="20" t="s">
        <v>101</v>
      </c>
      <c r="BX84" s="20">
        <v>2008</v>
      </c>
      <c r="BY84" s="52">
        <v>77.585299999999989</v>
      </c>
      <c r="BZ84" s="52">
        <v>95.812200000000004</v>
      </c>
      <c r="CA84" s="52">
        <v>109.20009999999999</v>
      </c>
      <c r="CB84" s="52">
        <v>113.7165</v>
      </c>
      <c r="CC84" s="375">
        <f t="shared" ref="CC84:CC115" si="99">BY84*(9/10)+BZ84*(0.5/10)+CA84*(0.25/10)+CB84*(0.25/10)</f>
        <v>80.190294999999992</v>
      </c>
      <c r="CD84" s="375">
        <v>22.84</v>
      </c>
      <c r="CE84" s="375">
        <v>23.83</v>
      </c>
      <c r="CF84" s="375">
        <v>30.81</v>
      </c>
      <c r="CG84" s="375">
        <f t="shared" si="97"/>
        <v>24.333333333333336</v>
      </c>
      <c r="CI84" s="20" t="s">
        <v>101</v>
      </c>
      <c r="CJ84" s="20">
        <v>2015</v>
      </c>
      <c r="CK84" s="59">
        <f t="shared" si="79"/>
        <v>142.25403636650063</v>
      </c>
      <c r="CL84" s="59">
        <f t="shared" si="80"/>
        <v>175.67338378732097</v>
      </c>
      <c r="CM84" s="59">
        <f t="shared" si="81"/>
        <v>200.22033808756953</v>
      </c>
      <c r="CN84" s="59">
        <f t="shared" si="82"/>
        <v>208.5012383334365</v>
      </c>
      <c r="CO84" s="59">
        <f t="shared" si="83"/>
        <v>147.03034132974179</v>
      </c>
      <c r="CP84" s="59">
        <f t="shared" si="84"/>
        <v>41.877548847666695</v>
      </c>
      <c r="CQ84" s="59">
        <f t="shared" si="85"/>
        <v>43.692731569172388</v>
      </c>
      <c r="CR84" s="59">
        <f t="shared" si="86"/>
        <v>56.490686514737781</v>
      </c>
      <c r="CS84" s="59">
        <f t="shared" si="87"/>
        <v>44.61560224576283</v>
      </c>
      <c r="CW84" s="20" t="s">
        <v>101</v>
      </c>
      <c r="CX84">
        <v>2014</v>
      </c>
      <c r="CY84">
        <v>1295.291543</v>
      </c>
      <c r="CZ84">
        <v>510.27877807617188</v>
      </c>
      <c r="DA84">
        <v>2162.3033736941093</v>
      </c>
      <c r="DB84">
        <v>6976560</v>
      </c>
      <c r="DC84">
        <v>0.49542528390884399</v>
      </c>
      <c r="DE84">
        <f t="shared" si="88"/>
        <v>6773.4821968064207</v>
      </c>
      <c r="DH84">
        <f t="shared" si="89"/>
        <v>3.1325309293831927</v>
      </c>
      <c r="DI84">
        <f t="shared" si="95"/>
        <v>3.286243390127678</v>
      </c>
      <c r="DJ84">
        <f t="shared" si="96"/>
        <v>8.3417995306805022</v>
      </c>
      <c r="DL84" s="20" t="s">
        <v>101</v>
      </c>
      <c r="DM84" s="99"/>
      <c r="DN84" s="100"/>
      <c r="DO84" s="101"/>
      <c r="DP84" s="101"/>
      <c r="DQ84" s="101"/>
      <c r="DR84" s="101"/>
      <c r="DS84" s="101"/>
      <c r="DT84" s="101"/>
      <c r="DU84" s="101"/>
      <c r="DV84" s="101"/>
      <c r="DW84" s="101"/>
      <c r="DX84" t="e">
        <f t="shared" ca="1" si="90"/>
        <v>#N/A</v>
      </c>
      <c r="DY84" t="e">
        <f t="shared" ca="1" si="91"/>
        <v>#N/A</v>
      </c>
      <c r="DZ84" t="e">
        <f t="shared" ca="1" si="92"/>
        <v>#N/A</v>
      </c>
      <c r="EB84" s="20" t="s">
        <v>101</v>
      </c>
      <c r="EC84" s="99" t="s">
        <v>770</v>
      </c>
      <c r="ED84" s="100" t="s">
        <v>754</v>
      </c>
      <c r="EE84" s="101"/>
      <c r="EF84" s="101"/>
      <c r="EG84" s="101"/>
      <c r="EH84" s="101"/>
      <c r="EI84" s="101">
        <v>52.9</v>
      </c>
      <c r="EJ84" s="101"/>
      <c r="EK84" s="101">
        <v>51.5</v>
      </c>
      <c r="EL84" s="101"/>
      <c r="EM84" s="101">
        <v>49.9</v>
      </c>
      <c r="EN84" s="101"/>
      <c r="EO84">
        <f t="shared" ca="1" si="98"/>
        <v>49.9</v>
      </c>
      <c r="EQ84" s="20" t="s">
        <v>101</v>
      </c>
      <c r="ER84" s="20" t="e">
        <f t="shared" ca="1" si="93"/>
        <v>#N/A</v>
      </c>
      <c r="ES84" t="e">
        <f t="shared" ca="1" si="94"/>
        <v>#N/A</v>
      </c>
      <c r="EU84" s="20" t="s">
        <v>101</v>
      </c>
      <c r="EV84" s="109">
        <v>6100.6631903969646</v>
      </c>
    </row>
    <row r="85" spans="1:152" x14ac:dyDescent="0.3">
      <c r="A85" s="20" t="s">
        <v>109</v>
      </c>
      <c r="B85" s="20" t="s">
        <v>635</v>
      </c>
      <c r="C85" s="81">
        <v>2015</v>
      </c>
      <c r="D85" s="82">
        <v>24863.562000000002</v>
      </c>
      <c r="E85" s="82">
        <v>22923.743999999999</v>
      </c>
      <c r="F85" s="82">
        <v>23538.262999999999</v>
      </c>
      <c r="G85" s="82">
        <v>22937.393</v>
      </c>
      <c r="H85" s="82">
        <v>21007.800999999999</v>
      </c>
      <c r="I85" s="82">
        <v>19976.437999999998</v>
      </c>
      <c r="J85" s="82">
        <v>21409.010999999999</v>
      </c>
      <c r="K85" s="82">
        <v>19882.401999999998</v>
      </c>
      <c r="L85" s="82">
        <v>18495.482</v>
      </c>
      <c r="M85" s="82">
        <v>16407.329000000002</v>
      </c>
      <c r="N85" s="82">
        <v>13780.731</v>
      </c>
      <c r="O85" s="82">
        <v>11147.222</v>
      </c>
      <c r="P85" s="82">
        <v>7868.7830000000004</v>
      </c>
      <c r="Q85" s="82">
        <v>5343.0820000000003</v>
      </c>
      <c r="R85" s="82">
        <v>3794.136</v>
      </c>
      <c r="S85" s="82">
        <v>2459.538</v>
      </c>
      <c r="T85" s="82">
        <v>1142.0250000000001</v>
      </c>
      <c r="U85" s="82">
        <v>477.47</v>
      </c>
      <c r="V85" s="82">
        <v>97.832999999999998</v>
      </c>
      <c r="W85" s="82">
        <v>10.936999999999999</v>
      </c>
      <c r="X85" s="82">
        <v>0.63300000000000001</v>
      </c>
      <c r="Y85" s="82">
        <f t="shared" si="67"/>
        <v>257563.81499999997</v>
      </c>
      <c r="Z85" s="52">
        <f t="shared" si="68"/>
        <v>2486.3560000000002</v>
      </c>
      <c r="AA85" s="52">
        <f t="shared" si="69"/>
        <v>2486.3560000000002</v>
      </c>
      <c r="AB85" s="52">
        <f t="shared" si="70"/>
        <v>4972.7120000000004</v>
      </c>
      <c r="AC85" s="52">
        <f t="shared" si="71"/>
        <v>14918.137000000001</v>
      </c>
      <c r="AD85" s="52">
        <f t="shared" si="72"/>
        <v>46462.006999999998</v>
      </c>
      <c r="AE85" s="52">
        <f t="shared" si="73"/>
        <v>140115.856</v>
      </c>
      <c r="AF85" s="52">
        <f t="shared" si="74"/>
        <v>32796.735999999997</v>
      </c>
      <c r="AG85" s="52">
        <f t="shared" si="75"/>
        <v>13325.654</v>
      </c>
      <c r="AH85" s="52">
        <f t="shared" si="76"/>
        <v>257563.81400000001</v>
      </c>
      <c r="AI85">
        <v>19.954999999999998</v>
      </c>
      <c r="AJ85" s="30">
        <f t="shared" si="77"/>
        <v>5139685.9083699994</v>
      </c>
      <c r="AK85">
        <f t="shared" si="78"/>
        <v>4972.7124000000003</v>
      </c>
      <c r="AM85" s="20" t="s">
        <v>109</v>
      </c>
      <c r="AN85" t="s">
        <v>374</v>
      </c>
      <c r="AO85" t="s">
        <v>375</v>
      </c>
      <c r="AP85" t="s">
        <v>688</v>
      </c>
      <c r="AQ85" s="55">
        <v>44807496.736294262</v>
      </c>
      <c r="AR85" s="55">
        <v>13389.412936507901</v>
      </c>
      <c r="AS85" t="s">
        <v>109</v>
      </c>
      <c r="AT85" t="s">
        <v>1231</v>
      </c>
      <c r="AU85" t="s">
        <v>1153</v>
      </c>
      <c r="AV85">
        <v>58.530102312114202</v>
      </c>
      <c r="AW85">
        <v>62.184441498061098</v>
      </c>
      <c r="AX85">
        <v>68.683932344419802</v>
      </c>
      <c r="AY85">
        <v>77.687994268551407</v>
      </c>
      <c r="AZ85">
        <v>82.665812460389603</v>
      </c>
      <c r="BA85">
        <v>90.747706042820496</v>
      </c>
      <c r="BB85">
        <v>95.115868948224104</v>
      </c>
      <c r="BC85">
        <v>99.997933371910406</v>
      </c>
      <c r="BD85">
        <v>105.355322256207</v>
      </c>
      <c r="BE85">
        <v>109.864015871704</v>
      </c>
      <c r="BF85">
        <v>116.910020139645</v>
      </c>
      <c r="BG85">
        <v>124.386328722286</v>
      </c>
      <c r="BH85">
        <v>132.30118148948301</v>
      </c>
      <c r="BJ85" s="20" t="s">
        <v>109</v>
      </c>
      <c r="BK85" t="s">
        <v>688</v>
      </c>
      <c r="BL85">
        <v>2015</v>
      </c>
      <c r="BM85">
        <f>INDEX('Costs lists'!$C$5:$C$8,MATCH(Lists!BK85,'Costs lists'!$B$5:$B$8,0))</f>
        <v>5.21</v>
      </c>
      <c r="BN85">
        <f>INDEX('Costs lists'!$D$5:$D$8,MATCH(Lists!BK85,'Costs lists'!$B$5:$B$8,0))</f>
        <v>5.16</v>
      </c>
      <c r="BO85">
        <f>INDEX('Costs lists'!$E$5:$E$8,MATCH(Lists!BK85,'Costs lists'!$B$5:$B$8,0))</f>
        <v>5.26</v>
      </c>
      <c r="BW85" s="20" t="s">
        <v>109</v>
      </c>
      <c r="BX85" s="20">
        <v>2008</v>
      </c>
      <c r="BY85" s="52">
        <v>34351.829299999998</v>
      </c>
      <c r="BZ85" s="52">
        <v>42408.993699999999</v>
      </c>
      <c r="CA85" s="52">
        <v>48288.546099999992</v>
      </c>
      <c r="CB85" s="52">
        <v>50357.277499999997</v>
      </c>
      <c r="CC85" s="375">
        <f t="shared" si="99"/>
        <v>35503.241645000002</v>
      </c>
      <c r="CD85" s="375">
        <v>33.17</v>
      </c>
      <c r="CE85" s="375">
        <v>34.6</v>
      </c>
      <c r="CF85" s="375">
        <v>44.74</v>
      </c>
      <c r="CG85" s="375">
        <f t="shared" si="97"/>
        <v>35.336666666666666</v>
      </c>
      <c r="CI85" s="20" t="s">
        <v>109</v>
      </c>
      <c r="CJ85" s="20">
        <v>2015</v>
      </c>
      <c r="CK85" s="59">
        <f t="shared" si="79"/>
        <v>50081.570112312511</v>
      </c>
      <c r="CL85" s="59">
        <f t="shared" si="80"/>
        <v>61828.119045152846</v>
      </c>
      <c r="CM85" s="59">
        <f t="shared" si="81"/>
        <v>70399.925023171454</v>
      </c>
      <c r="CN85" s="59">
        <f t="shared" si="82"/>
        <v>73415.930830252095</v>
      </c>
      <c r="CO85" s="59">
        <f t="shared" si="83"/>
        <v>51760.215449674499</v>
      </c>
      <c r="CP85" s="59">
        <f t="shared" si="84"/>
        <v>48.358579862453091</v>
      </c>
      <c r="CQ85" s="59">
        <f t="shared" si="85"/>
        <v>50.44337845163934</v>
      </c>
      <c r="CR85" s="59">
        <f t="shared" si="86"/>
        <v>65.226495720414576</v>
      </c>
      <c r="CS85" s="59">
        <f t="shared" si="87"/>
        <v>51.517365603644379</v>
      </c>
      <c r="CW85" s="20" t="s">
        <v>109</v>
      </c>
      <c r="CX85">
        <v>2014</v>
      </c>
      <c r="CY85">
        <v>254.45477799999998</v>
      </c>
      <c r="CZ85">
        <v>113.02394104003906</v>
      </c>
      <c r="DA85">
        <v>2026.5000323755612</v>
      </c>
      <c r="DB85">
        <v>2453519.25</v>
      </c>
      <c r="DC85">
        <v>0.45657920837402344</v>
      </c>
      <c r="DE85">
        <f t="shared" si="88"/>
        <v>9911.4034299917439</v>
      </c>
      <c r="DH85">
        <f t="shared" si="89"/>
        <v>4.8908972472964232</v>
      </c>
      <c r="DI85">
        <f t="shared" si="95"/>
        <v>5.202110963542272</v>
      </c>
      <c r="DJ85">
        <f t="shared" si="96"/>
        <v>11.71169557687419</v>
      </c>
      <c r="DL85" s="20" t="s">
        <v>109</v>
      </c>
      <c r="DM85" s="99" t="s">
        <v>771</v>
      </c>
      <c r="DN85" s="100" t="s">
        <v>754</v>
      </c>
      <c r="DO85" s="101"/>
      <c r="DP85" s="101"/>
      <c r="DQ85" s="101">
        <v>39.6</v>
      </c>
      <c r="DR85" s="101">
        <v>40.1</v>
      </c>
      <c r="DS85" s="101"/>
      <c r="DT85" s="101"/>
      <c r="DU85" s="101">
        <v>37</v>
      </c>
      <c r="DV85" s="101"/>
      <c r="DW85" s="101">
        <v>41</v>
      </c>
      <c r="DX85">
        <f t="shared" ca="1" si="90"/>
        <v>41</v>
      </c>
      <c r="DY85">
        <f t="shared" ca="1" si="91"/>
        <v>8.1999999999999993</v>
      </c>
      <c r="DZ85">
        <f t="shared" ca="1" si="92"/>
        <v>42.657309901046624</v>
      </c>
      <c r="EB85" s="20" t="s">
        <v>109</v>
      </c>
      <c r="EC85" s="99" t="s">
        <v>771</v>
      </c>
      <c r="ED85" s="100" t="s">
        <v>754</v>
      </c>
      <c r="EE85" s="101">
        <v>60.7</v>
      </c>
      <c r="EF85" s="101">
        <v>60.9</v>
      </c>
      <c r="EG85" s="101">
        <v>61.5</v>
      </c>
      <c r="EH85" s="101">
        <v>61.9</v>
      </c>
      <c r="EI85" s="101">
        <v>62.9</v>
      </c>
      <c r="EJ85" s="101">
        <v>63.8</v>
      </c>
      <c r="EK85" s="101">
        <v>63.7</v>
      </c>
      <c r="EL85" s="101">
        <v>62.7</v>
      </c>
      <c r="EM85" s="101">
        <v>63.9</v>
      </c>
      <c r="EN85" s="101">
        <v>61.7</v>
      </c>
      <c r="EO85">
        <f t="shared" ca="1" si="98"/>
        <v>61.7</v>
      </c>
      <c r="EQ85" s="20" t="s">
        <v>109</v>
      </c>
      <c r="ER85" s="20">
        <f t="shared" ca="1" si="93"/>
        <v>42.657309901046624</v>
      </c>
      <c r="ES85">
        <f t="shared" ca="1" si="94"/>
        <v>26.319560208945767</v>
      </c>
      <c r="EU85" s="20" t="s">
        <v>109</v>
      </c>
      <c r="EV85" s="109">
        <v>11057.560719817731</v>
      </c>
    </row>
    <row r="86" spans="1:152" x14ac:dyDescent="0.3">
      <c r="A86" s="20" t="s">
        <v>102</v>
      </c>
      <c r="B86" s="20" t="s">
        <v>631</v>
      </c>
      <c r="C86" s="81">
        <v>2015</v>
      </c>
      <c r="D86" s="82">
        <v>6855.3190000000004</v>
      </c>
      <c r="E86" s="82">
        <v>6395.3710000000001</v>
      </c>
      <c r="F86" s="82">
        <v>5426.5910000000003</v>
      </c>
      <c r="G86" s="82">
        <v>5478.6869999999999</v>
      </c>
      <c r="H86" s="82">
        <v>7086.8729999999996</v>
      </c>
      <c r="I86" s="82">
        <v>9158.4500000000007</v>
      </c>
      <c r="J86" s="82">
        <v>9045.7970000000005</v>
      </c>
      <c r="K86" s="82">
        <v>6738.3530000000001</v>
      </c>
      <c r="L86" s="82">
        <v>5029.8739999999998</v>
      </c>
      <c r="M86" s="82">
        <v>4454.7190000000001</v>
      </c>
      <c r="N86" s="82">
        <v>3813.33</v>
      </c>
      <c r="O86" s="82">
        <v>3124.346</v>
      </c>
      <c r="P86" s="82">
        <v>2497.7510000000002</v>
      </c>
      <c r="Q86" s="82">
        <v>1475.617</v>
      </c>
      <c r="R86" s="82">
        <v>1009.742</v>
      </c>
      <c r="S86" s="82">
        <v>785.21500000000003</v>
      </c>
      <c r="T86" s="82">
        <v>477.21100000000001</v>
      </c>
      <c r="U86" s="82">
        <v>194.31</v>
      </c>
      <c r="V86" s="82">
        <v>54.054000000000002</v>
      </c>
      <c r="W86" s="82">
        <v>7.17</v>
      </c>
      <c r="X86" s="82">
        <v>0.49199999999999999</v>
      </c>
      <c r="Y86" s="82">
        <f t="shared" si="67"/>
        <v>79109.271999999997</v>
      </c>
      <c r="Z86" s="52">
        <f t="shared" si="68"/>
        <v>685.53200000000004</v>
      </c>
      <c r="AA86" s="52">
        <f t="shared" si="69"/>
        <v>685.53200000000004</v>
      </c>
      <c r="AB86" s="52">
        <f t="shared" si="70"/>
        <v>1371.0640000000001</v>
      </c>
      <c r="AC86" s="52">
        <f t="shared" si="71"/>
        <v>4113.1909999999998</v>
      </c>
      <c r="AD86" s="52">
        <f t="shared" si="72"/>
        <v>11821.962</v>
      </c>
      <c r="AE86" s="52">
        <f t="shared" si="73"/>
        <v>46992.752999999997</v>
      </c>
      <c r="AF86" s="52">
        <f t="shared" si="74"/>
        <v>9435.4269999999997</v>
      </c>
      <c r="AG86" s="52">
        <f t="shared" si="75"/>
        <v>4003.8110000000001</v>
      </c>
      <c r="AH86" s="52">
        <f t="shared" si="76"/>
        <v>79109.271999999997</v>
      </c>
      <c r="AI86">
        <v>17.544</v>
      </c>
      <c r="AJ86" s="30">
        <f t="shared" si="77"/>
        <v>1387893.067968</v>
      </c>
      <c r="AK86">
        <f t="shared" si="78"/>
        <v>1371.0638000000001</v>
      </c>
      <c r="AM86" s="20" t="s">
        <v>102</v>
      </c>
      <c r="AN86" t="s">
        <v>376</v>
      </c>
      <c r="AO86" t="s">
        <v>377</v>
      </c>
      <c r="AP86" t="s">
        <v>689</v>
      </c>
      <c r="AQ86" s="55"/>
      <c r="AR86" s="55">
        <v>29011.491377053</v>
      </c>
      <c r="AS86" t="s">
        <v>1125</v>
      </c>
      <c r="AT86" t="s">
        <v>1232</v>
      </c>
      <c r="AU86" t="s">
        <v>1153</v>
      </c>
      <c r="AV86">
        <v>37.304179878886202</v>
      </c>
      <c r="AW86">
        <v>42.810839636077603</v>
      </c>
      <c r="AX86">
        <v>48.561670244825002</v>
      </c>
      <c r="AY86">
        <v>54.359716211608003</v>
      </c>
      <c r="AZ86">
        <v>63.716679360243802</v>
      </c>
      <c r="BA86">
        <v>79.996191926885103</v>
      </c>
      <c r="BB86">
        <v>90.795887281036102</v>
      </c>
      <c r="BC86">
        <v>100</v>
      </c>
      <c r="BD86">
        <v>120.628332063976</v>
      </c>
      <c r="BE86">
        <v>153.62909367859899</v>
      </c>
      <c r="BF86">
        <v>213.95364817849</v>
      </c>
      <c r="BG86">
        <v>250.82932684040199</v>
      </c>
      <c r="BH86">
        <v>285.20749209945097</v>
      </c>
      <c r="BJ86" s="20" t="s">
        <v>102</v>
      </c>
      <c r="BK86" t="s">
        <v>689</v>
      </c>
      <c r="BL86">
        <v>2015</v>
      </c>
      <c r="BM86">
        <f>INDEX('Costs lists'!$C$5:$C$8,MATCH(Lists!BK86,'Costs lists'!$B$5:$B$8,0))</f>
        <v>3.2</v>
      </c>
      <c r="BN86">
        <f>INDEX('Costs lists'!$D$5:$D$8,MATCH(Lists!BK86,'Costs lists'!$B$5:$B$8,0))</f>
        <v>1.1200000000000001</v>
      </c>
      <c r="BO86">
        <f>INDEX('Costs lists'!$E$5:$E$8,MATCH(Lists!BK86,'Costs lists'!$B$5:$B$8,0))</f>
        <v>4.4400000000000004</v>
      </c>
      <c r="BW86" s="20" t="s">
        <v>102</v>
      </c>
      <c r="BX86" s="20">
        <v>2008</v>
      </c>
      <c r="BY86" s="52">
        <v>59576.409400000004</v>
      </c>
      <c r="BZ86" s="52">
        <v>73580.5818</v>
      </c>
      <c r="CA86" s="52">
        <v>83829.445399999997</v>
      </c>
      <c r="CB86" s="52">
        <v>87389.165200000003</v>
      </c>
      <c r="CC86" s="375">
        <f t="shared" si="99"/>
        <v>61578.262815000002</v>
      </c>
      <c r="CD86" s="375">
        <v>111.84</v>
      </c>
      <c r="CE86" s="375">
        <v>116.68</v>
      </c>
      <c r="CF86" s="375">
        <v>150.87</v>
      </c>
      <c r="CG86" s="375">
        <f t="shared" si="97"/>
        <v>119.15166666666666</v>
      </c>
      <c r="CI86" s="20" t="s">
        <v>102</v>
      </c>
      <c r="CJ86" s="20">
        <v>2015</v>
      </c>
      <c r="CK86" s="59">
        <f t="shared" si="79"/>
        <v>212405.58961599285</v>
      </c>
      <c r="CL86" s="59">
        <f t="shared" si="80"/>
        <v>262334.15237536607</v>
      </c>
      <c r="CM86" s="59">
        <f t="shared" si="81"/>
        <v>298874.05026071746</v>
      </c>
      <c r="CN86" s="59">
        <f t="shared" si="82"/>
        <v>311565.38883921737</v>
      </c>
      <c r="CO86" s="59">
        <f t="shared" si="83"/>
        <v>219542.72425066025</v>
      </c>
      <c r="CP86" s="59">
        <f t="shared" si="84"/>
        <v>398.73905429843916</v>
      </c>
      <c r="CQ86" s="59">
        <f t="shared" si="85"/>
        <v>415.99492896586088</v>
      </c>
      <c r="CR86" s="59">
        <f t="shared" si="86"/>
        <v>537.89128327973458</v>
      </c>
      <c r="CS86" s="59">
        <f t="shared" si="87"/>
        <v>424.8070715732253</v>
      </c>
      <c r="CW86" s="20" t="s">
        <v>102</v>
      </c>
      <c r="CX86">
        <v>2014</v>
      </c>
      <c r="CY86">
        <v>78.143643999999995</v>
      </c>
      <c r="CZ86">
        <v>23.413135528564453</v>
      </c>
      <c r="DB86">
        <v>1198513.625</v>
      </c>
      <c r="DC86">
        <v>0.26226893067359924</v>
      </c>
      <c r="DE86">
        <f t="shared" si="88"/>
        <v>13425.492986319465</v>
      </c>
      <c r="DH86" t="e">
        <f t="shared" si="89"/>
        <v>#DIV/0!</v>
      </c>
      <c r="DI86" t="e">
        <f t="shared" si="95"/>
        <v>#DIV/0!</v>
      </c>
      <c r="DJ86" t="e">
        <f t="shared" si="96"/>
        <v>#DIV/0!</v>
      </c>
      <c r="DL86" s="20" t="s">
        <v>102</v>
      </c>
      <c r="DM86" s="99"/>
      <c r="DN86" s="100"/>
      <c r="DO86" s="101"/>
      <c r="DP86" s="101"/>
      <c r="DQ86" s="101"/>
      <c r="DR86" s="101"/>
      <c r="DS86" s="101"/>
      <c r="DT86" s="101"/>
      <c r="DU86" s="101"/>
      <c r="DV86" s="101"/>
      <c r="DW86" s="101"/>
      <c r="DX86" t="e">
        <f t="shared" ca="1" si="90"/>
        <v>#N/A</v>
      </c>
      <c r="DY86" t="e">
        <f t="shared" ca="1" si="91"/>
        <v>#N/A</v>
      </c>
      <c r="DZ86" t="e">
        <f t="shared" ca="1" si="92"/>
        <v>#N/A</v>
      </c>
      <c r="EB86" s="20" t="s">
        <v>102</v>
      </c>
      <c r="EC86" s="99" t="s">
        <v>760</v>
      </c>
      <c r="ED86" s="100" t="s">
        <v>754</v>
      </c>
      <c r="EE86" s="101"/>
      <c r="EF86" s="101">
        <v>35.6</v>
      </c>
      <c r="EG86" s="101">
        <v>34.1</v>
      </c>
      <c r="EH86" s="101">
        <v>34.200000000000003</v>
      </c>
      <c r="EI86" s="101">
        <v>33.1</v>
      </c>
      <c r="EJ86" s="101"/>
      <c r="EK86" s="101"/>
      <c r="EL86" s="101"/>
      <c r="EM86" s="101">
        <v>33.299999999999997</v>
      </c>
      <c r="EN86" s="101">
        <v>34</v>
      </c>
      <c r="EO86">
        <f t="shared" ca="1" si="98"/>
        <v>34</v>
      </c>
      <c r="EQ86" s="20" t="s">
        <v>102</v>
      </c>
      <c r="ER86" s="20" t="e">
        <f t="shared" ca="1" si="93"/>
        <v>#N/A</v>
      </c>
      <c r="ES86" t="e">
        <f t="shared" ca="1" si="94"/>
        <v>#N/A</v>
      </c>
      <c r="EU86" s="20" t="s">
        <v>102</v>
      </c>
      <c r="EV86" s="109"/>
    </row>
    <row r="87" spans="1:152" x14ac:dyDescent="0.3">
      <c r="A87" s="20" t="s">
        <v>123</v>
      </c>
      <c r="B87" s="20" t="s">
        <v>631</v>
      </c>
      <c r="C87" s="81">
        <v>2015</v>
      </c>
      <c r="D87" s="82">
        <v>5727.4449999999997</v>
      </c>
      <c r="E87" s="82">
        <v>4974.4189999999999</v>
      </c>
      <c r="F87" s="82">
        <v>4225.4480000000003</v>
      </c>
      <c r="G87" s="82">
        <v>3814.1239999999998</v>
      </c>
      <c r="H87" s="82">
        <v>3308.72</v>
      </c>
      <c r="I87" s="82">
        <v>2892.723</v>
      </c>
      <c r="J87" s="82">
        <v>2490.0219999999999</v>
      </c>
      <c r="K87" s="82">
        <v>2175.4740000000002</v>
      </c>
      <c r="L87" s="82">
        <v>1827.0070000000001</v>
      </c>
      <c r="M87" s="82">
        <v>1466.4110000000001</v>
      </c>
      <c r="N87" s="82">
        <v>978.49099999999999</v>
      </c>
      <c r="O87" s="82">
        <v>726.54100000000005</v>
      </c>
      <c r="P87" s="82">
        <v>703.38499999999999</v>
      </c>
      <c r="Q87" s="82">
        <v>404.565</v>
      </c>
      <c r="R87" s="82">
        <v>332.23899999999998</v>
      </c>
      <c r="S87" s="82">
        <v>212.25800000000001</v>
      </c>
      <c r="T87" s="82">
        <v>110.78</v>
      </c>
      <c r="U87" s="82">
        <v>41.097999999999999</v>
      </c>
      <c r="V87" s="82">
        <v>10.456</v>
      </c>
      <c r="W87" s="82">
        <v>1.65</v>
      </c>
      <c r="X87" s="82">
        <v>0.13900000000000001</v>
      </c>
      <c r="Y87" s="82">
        <f t="shared" si="67"/>
        <v>36423.395000000011</v>
      </c>
      <c r="Z87" s="52">
        <f t="shared" si="68"/>
        <v>572.745</v>
      </c>
      <c r="AA87" s="52">
        <f t="shared" si="69"/>
        <v>572.745</v>
      </c>
      <c r="AB87" s="52">
        <f t="shared" si="70"/>
        <v>1145.489</v>
      </c>
      <c r="AC87" s="52">
        <f t="shared" si="71"/>
        <v>3436.4670000000001</v>
      </c>
      <c r="AD87" s="52">
        <f t="shared" si="72"/>
        <v>9199.8670000000002</v>
      </c>
      <c r="AE87" s="52">
        <f t="shared" si="73"/>
        <v>17974.481</v>
      </c>
      <c r="AF87" s="52">
        <f t="shared" si="74"/>
        <v>2408.4169999999999</v>
      </c>
      <c r="AG87" s="52">
        <f t="shared" si="75"/>
        <v>1113.1849999999999</v>
      </c>
      <c r="AH87" s="52">
        <f t="shared" si="76"/>
        <v>36423.396000000001</v>
      </c>
      <c r="AI87">
        <v>34.594000000000001</v>
      </c>
      <c r="AJ87" s="30">
        <f t="shared" si="77"/>
        <v>1260030.961224</v>
      </c>
      <c r="AK87">
        <f t="shared" si="78"/>
        <v>1145.489</v>
      </c>
      <c r="AM87" s="20" t="s">
        <v>123</v>
      </c>
      <c r="AN87" t="s">
        <v>378</v>
      </c>
      <c r="AO87" t="s">
        <v>379</v>
      </c>
      <c r="AP87" t="s">
        <v>689</v>
      </c>
      <c r="AQ87" s="55">
        <v>5771016.1285075154</v>
      </c>
      <c r="AR87" s="55">
        <v>1167.3333333333301</v>
      </c>
      <c r="AS87" t="s">
        <v>123</v>
      </c>
      <c r="AT87" t="s">
        <v>1233</v>
      </c>
      <c r="AU87" t="s">
        <v>1153</v>
      </c>
      <c r="AV87">
        <v>33.689808145451003</v>
      </c>
      <c r="AW87">
        <v>42.773222825237603</v>
      </c>
      <c r="AX87">
        <v>58.581983954280403</v>
      </c>
      <c r="AY87">
        <v>89.765738105762097</v>
      </c>
      <c r="AZ87">
        <v>80.728579085367002</v>
      </c>
      <c r="BA87">
        <v>90.951120244213001</v>
      </c>
      <c r="BB87">
        <v>97.202750517390697</v>
      </c>
      <c r="BC87">
        <v>100</v>
      </c>
      <c r="BD87">
        <v>105.80145537085301</v>
      </c>
      <c r="BE87">
        <v>112.243807997863</v>
      </c>
      <c r="BF87">
        <v>114.353428132719</v>
      </c>
      <c r="BG87">
        <v>116.910341144268</v>
      </c>
      <c r="BH87">
        <v>118.539288337005</v>
      </c>
      <c r="BJ87" s="20" t="s">
        <v>123</v>
      </c>
      <c r="BK87" t="s">
        <v>689</v>
      </c>
      <c r="BL87">
        <v>2015</v>
      </c>
      <c r="BM87">
        <f>INDEX('Costs lists'!$C$5:$C$8,MATCH(Lists!BK87,'Costs lists'!$B$5:$B$8,0))</f>
        <v>3.2</v>
      </c>
      <c r="BN87">
        <f>INDEX('Costs lists'!$D$5:$D$8,MATCH(Lists!BK87,'Costs lists'!$B$5:$B$8,0))</f>
        <v>1.1200000000000001</v>
      </c>
      <c r="BO87">
        <f>INDEX('Costs lists'!$E$5:$E$8,MATCH(Lists!BK87,'Costs lists'!$B$5:$B$8,0))</f>
        <v>4.4400000000000004</v>
      </c>
      <c r="BW87" s="20" t="s">
        <v>123</v>
      </c>
      <c r="BX87" s="20">
        <v>2008</v>
      </c>
      <c r="BY87" s="52">
        <v>6469.7014999999992</v>
      </c>
      <c r="BZ87" s="52">
        <v>7993.4069</v>
      </c>
      <c r="CA87" s="52">
        <v>9105.9537</v>
      </c>
      <c r="CB87" s="52">
        <v>9492.9264999999996</v>
      </c>
      <c r="CC87" s="375">
        <f t="shared" si="99"/>
        <v>6687.3736999999983</v>
      </c>
      <c r="CD87" s="375">
        <v>26.47</v>
      </c>
      <c r="CE87" s="375">
        <v>27.62</v>
      </c>
      <c r="CF87" s="375">
        <v>35.71</v>
      </c>
      <c r="CG87" s="375">
        <f t="shared" si="97"/>
        <v>28.201666666666668</v>
      </c>
      <c r="CI87" s="20" t="s">
        <v>123</v>
      </c>
      <c r="CJ87" s="20">
        <v>2015</v>
      </c>
      <c r="CK87" s="59">
        <f t="shared" si="79"/>
        <v>8432.1535513098916</v>
      </c>
      <c r="CL87" s="59">
        <f t="shared" si="80"/>
        <v>10418.043920403437</v>
      </c>
      <c r="CM87" s="59">
        <f t="shared" si="81"/>
        <v>11868.059110535232</v>
      </c>
      <c r="CN87" s="59">
        <f t="shared" si="82"/>
        <v>12372.412220146291</v>
      </c>
      <c r="CO87" s="59">
        <f t="shared" si="83"/>
        <v>8715.8521754661124</v>
      </c>
      <c r="CP87" s="59">
        <f t="shared" si="84"/>
        <v>34.49913485238428</v>
      </c>
      <c r="CQ87" s="59">
        <f t="shared" si="85"/>
        <v>35.997963907172419</v>
      </c>
      <c r="CR87" s="59">
        <f t="shared" si="86"/>
        <v>46.541900475203732</v>
      </c>
      <c r="CS87" s="59">
        <f t="shared" si="87"/>
        <v>36.756067298652212</v>
      </c>
      <c r="CW87" s="20" t="s">
        <v>123</v>
      </c>
      <c r="CX87">
        <v>2014</v>
      </c>
      <c r="CY87">
        <v>35.273292999999995</v>
      </c>
      <c r="CZ87">
        <v>7.5854573249816895</v>
      </c>
      <c r="DB87">
        <v>420564.09375</v>
      </c>
      <c r="DC87">
        <v>0.296306312084198</v>
      </c>
      <c r="DE87">
        <f t="shared" si="88"/>
        <v>16428.250832509457</v>
      </c>
      <c r="DH87" t="e">
        <f t="shared" si="89"/>
        <v>#DIV/0!</v>
      </c>
      <c r="DI87" t="e">
        <f t="shared" si="95"/>
        <v>#DIV/0!</v>
      </c>
      <c r="DJ87" t="e">
        <f t="shared" si="96"/>
        <v>#DIV/0!</v>
      </c>
      <c r="DL87" s="20" t="s">
        <v>123</v>
      </c>
      <c r="DM87" s="99"/>
      <c r="DN87" s="100"/>
      <c r="DO87" s="101"/>
      <c r="DP87" s="101"/>
      <c r="DQ87" s="101"/>
      <c r="DR87" s="101"/>
      <c r="DS87" s="101"/>
      <c r="DT87" s="101"/>
      <c r="DU87" s="101"/>
      <c r="DV87" s="101"/>
      <c r="DW87" s="101"/>
      <c r="DX87" t="e">
        <f t="shared" ca="1" si="90"/>
        <v>#N/A</v>
      </c>
      <c r="DY87" t="e">
        <f t="shared" ca="1" si="91"/>
        <v>#N/A</v>
      </c>
      <c r="DZ87" t="e">
        <f t="shared" ca="1" si="92"/>
        <v>#N/A</v>
      </c>
      <c r="EB87" s="20" t="s">
        <v>123</v>
      </c>
      <c r="EC87" s="99"/>
      <c r="ED87" s="100"/>
      <c r="EE87" s="101"/>
      <c r="EF87" s="101"/>
      <c r="EG87" s="101"/>
      <c r="EH87" s="101"/>
      <c r="EI87" s="101"/>
      <c r="EJ87" s="101"/>
      <c r="EK87" s="101"/>
      <c r="EL87" s="101"/>
      <c r="EM87" s="101"/>
      <c r="EN87" s="101"/>
      <c r="EQ87" s="20" t="s">
        <v>123</v>
      </c>
      <c r="ER87" s="20" t="e">
        <f t="shared" ca="1" si="93"/>
        <v>#N/A</v>
      </c>
      <c r="ES87" t="e">
        <f t="shared" ca="1" si="94"/>
        <v>#N/A</v>
      </c>
      <c r="EU87" s="20" t="s">
        <v>123</v>
      </c>
      <c r="EV87" s="109">
        <v>15394.768748985463</v>
      </c>
    </row>
    <row r="88" spans="1:152" x14ac:dyDescent="0.3">
      <c r="A88" s="20" t="s">
        <v>150</v>
      </c>
      <c r="B88" s="20" t="s">
        <v>257</v>
      </c>
      <c r="C88" s="81">
        <v>2015</v>
      </c>
      <c r="D88" s="82">
        <v>353.46800000000002</v>
      </c>
      <c r="E88" s="82">
        <v>355.21100000000001</v>
      </c>
      <c r="F88" s="82">
        <v>312.495</v>
      </c>
      <c r="G88" s="82">
        <v>269.45100000000002</v>
      </c>
      <c r="H88" s="82">
        <v>253.464</v>
      </c>
      <c r="I88" s="82">
        <v>294.54700000000003</v>
      </c>
      <c r="J88" s="82">
        <v>363.72899999999998</v>
      </c>
      <c r="K88" s="82">
        <v>382.84100000000001</v>
      </c>
      <c r="L88" s="82">
        <v>369.16199999999998</v>
      </c>
      <c r="M88" s="82">
        <v>309.90199999999999</v>
      </c>
      <c r="N88" s="82">
        <v>303.27999999999997</v>
      </c>
      <c r="O88" s="82">
        <v>260.12900000000002</v>
      </c>
      <c r="P88" s="82">
        <v>244.745</v>
      </c>
      <c r="Q88" s="82">
        <v>213.65700000000001</v>
      </c>
      <c r="R88" s="82">
        <v>154.69499999999999</v>
      </c>
      <c r="S88" s="82">
        <v>113.532</v>
      </c>
      <c r="T88" s="82">
        <v>72.033000000000001</v>
      </c>
      <c r="U88" s="82">
        <v>38.994999999999997</v>
      </c>
      <c r="V88" s="82">
        <v>18.238</v>
      </c>
      <c r="W88" s="82">
        <v>4.3460000000000001</v>
      </c>
      <c r="X88" s="82">
        <v>0.54500000000000004</v>
      </c>
      <c r="Y88" s="82">
        <f t="shared" si="67"/>
        <v>4688.4649999999992</v>
      </c>
      <c r="Z88" s="52">
        <f t="shared" si="68"/>
        <v>35.347000000000001</v>
      </c>
      <c r="AA88" s="52">
        <f t="shared" si="69"/>
        <v>35.347000000000001</v>
      </c>
      <c r="AB88" s="52">
        <f t="shared" si="70"/>
        <v>70.694000000000003</v>
      </c>
      <c r="AC88" s="52">
        <f t="shared" si="71"/>
        <v>212.08099999999999</v>
      </c>
      <c r="AD88" s="52">
        <f t="shared" si="72"/>
        <v>667.70600000000002</v>
      </c>
      <c r="AE88" s="52">
        <f t="shared" si="73"/>
        <v>2243.096</v>
      </c>
      <c r="AF88" s="52">
        <f t="shared" si="74"/>
        <v>808.154</v>
      </c>
      <c r="AG88" s="52">
        <f t="shared" si="75"/>
        <v>616.04100000000005</v>
      </c>
      <c r="AH88" s="52">
        <f t="shared" si="76"/>
        <v>4688.4659999999994</v>
      </c>
      <c r="AI88">
        <v>14.4</v>
      </c>
      <c r="AJ88" s="30">
        <f t="shared" si="77"/>
        <v>67513.910399999993</v>
      </c>
      <c r="AK88">
        <f t="shared" si="78"/>
        <v>70.693600000000004</v>
      </c>
      <c r="AM88" s="20" t="s">
        <v>150</v>
      </c>
      <c r="AN88" t="s">
        <v>256</v>
      </c>
      <c r="AO88" t="s">
        <v>257</v>
      </c>
      <c r="AP88" t="s">
        <v>690</v>
      </c>
      <c r="AQ88" s="55">
        <v>55088.181250457608</v>
      </c>
      <c r="AR88" s="55">
        <v>0.90165896164127801</v>
      </c>
      <c r="AS88" t="s">
        <v>150</v>
      </c>
      <c r="AT88" t="s">
        <v>1234</v>
      </c>
      <c r="AU88" t="s">
        <v>1153</v>
      </c>
      <c r="AV88">
        <v>89.011089687388804</v>
      </c>
      <c r="AW88">
        <v>90.964770420513204</v>
      </c>
      <c r="AX88">
        <v>93.176616107657694</v>
      </c>
      <c r="AY88">
        <v>96.846744913455794</v>
      </c>
      <c r="AZ88">
        <v>101.57279314888</v>
      </c>
      <c r="BA88">
        <v>105.690052700922</v>
      </c>
      <c r="BB88">
        <v>100.95520421607399</v>
      </c>
      <c r="BC88">
        <v>100</v>
      </c>
      <c r="BD88">
        <v>102.57887045474099</v>
      </c>
      <c r="BE88">
        <v>104.31530989426599</v>
      </c>
      <c r="BF88">
        <v>104.839680220063</v>
      </c>
      <c r="BG88">
        <v>105.04598985644201</v>
      </c>
      <c r="BH88">
        <v>104.736525401874</v>
      </c>
      <c r="BJ88" s="20" t="s">
        <v>150</v>
      </c>
      <c r="BK88" t="s">
        <v>690</v>
      </c>
      <c r="BL88">
        <v>2015</v>
      </c>
      <c r="BM88">
        <f>INDEX('Costs lists'!$C$5:$C$8,MATCH(Lists!BK88,'Costs lists'!$B$5:$B$8,0))</f>
        <v>3.55</v>
      </c>
      <c r="BN88">
        <f>INDEX('Costs lists'!$D$5:$D$8,MATCH(Lists!BK88,'Costs lists'!$B$5:$B$8,0))</f>
        <v>2.91</v>
      </c>
      <c r="BO88">
        <f>INDEX('Costs lists'!$E$5:$E$8,MATCH(Lists!BK88,'Costs lists'!$B$5:$B$8,0))</f>
        <v>7.59</v>
      </c>
      <c r="BW88" s="20" t="s">
        <v>150</v>
      </c>
      <c r="BX88" s="20">
        <v>2008</v>
      </c>
      <c r="BY88" s="52">
        <v>46.623999999999995</v>
      </c>
      <c r="BZ88" s="52">
        <v>57.565599999999996</v>
      </c>
      <c r="CA88" s="52">
        <v>65.602599999999995</v>
      </c>
      <c r="CB88" s="52">
        <v>68.366200000000006</v>
      </c>
      <c r="CC88" s="375">
        <f t="shared" si="99"/>
        <v>48.189099999999996</v>
      </c>
      <c r="CD88" s="375">
        <v>568.99</v>
      </c>
      <c r="CE88" s="375">
        <v>593.59</v>
      </c>
      <c r="CF88" s="375">
        <v>767.54</v>
      </c>
      <c r="CG88" s="375">
        <f t="shared" si="97"/>
        <v>606.18166666666662</v>
      </c>
      <c r="CI88" s="20" t="s">
        <v>150</v>
      </c>
      <c r="CJ88" s="20">
        <v>2015</v>
      </c>
      <c r="CK88" s="59">
        <f t="shared" si="79"/>
        <v>46.203361958342306</v>
      </c>
      <c r="CL88" s="59">
        <f t="shared" si="80"/>
        <v>57.046247708243612</v>
      </c>
      <c r="CM88" s="59">
        <f t="shared" si="81"/>
        <v>65.010738529691736</v>
      </c>
      <c r="CN88" s="59">
        <f t="shared" si="82"/>
        <v>67.749405548996705</v>
      </c>
      <c r="CO88" s="59">
        <f t="shared" si="83"/>
        <v>47.754341749887466</v>
      </c>
      <c r="CP88" s="59">
        <f t="shared" si="84"/>
        <v>563.85661720738665</v>
      </c>
      <c r="CQ88" s="59">
        <f t="shared" si="85"/>
        <v>588.23467795239389</v>
      </c>
      <c r="CR88" s="59">
        <f t="shared" si="86"/>
        <v>760.61531480580936</v>
      </c>
      <c r="CS88" s="59">
        <f t="shared" si="87"/>
        <v>600.71274359795825</v>
      </c>
      <c r="CW88" s="20" t="s">
        <v>150</v>
      </c>
      <c r="CX88">
        <v>2014</v>
      </c>
      <c r="CY88">
        <v>4.6751639999999997</v>
      </c>
      <c r="CZ88">
        <v>1.8519502878189087</v>
      </c>
      <c r="DA88">
        <v>1821.2554456273049</v>
      </c>
      <c r="DB88">
        <v>239482.609375</v>
      </c>
      <c r="DC88">
        <v>0.48507651686668396</v>
      </c>
      <c r="DE88">
        <f t="shared" si="88"/>
        <v>62727.056319952906</v>
      </c>
      <c r="DH88">
        <f t="shared" si="89"/>
        <v>34.441657522867409</v>
      </c>
      <c r="DI88">
        <f t="shared" si="95"/>
        <v>34.340192738021287</v>
      </c>
      <c r="DJ88">
        <f t="shared" si="96"/>
        <v>86.690249677780443</v>
      </c>
      <c r="DL88" s="20" t="s">
        <v>150</v>
      </c>
      <c r="DM88" s="99" t="s">
        <v>816</v>
      </c>
      <c r="DN88" s="100" t="s">
        <v>754</v>
      </c>
      <c r="DO88" s="101">
        <v>37.1</v>
      </c>
      <c r="DP88" s="101">
        <v>36.5</v>
      </c>
      <c r="DQ88" s="101">
        <v>35.4</v>
      </c>
      <c r="DR88" s="101">
        <v>35.200000000000003</v>
      </c>
      <c r="DS88" s="101">
        <v>35.1</v>
      </c>
      <c r="DT88" s="101">
        <v>35.200000000000003</v>
      </c>
      <c r="DU88" s="101">
        <v>35.5</v>
      </c>
      <c r="DV88" s="101">
        <v>35.6</v>
      </c>
      <c r="DW88" s="101">
        <v>35.6</v>
      </c>
      <c r="DX88">
        <f t="shared" ca="1" si="90"/>
        <v>35.6</v>
      </c>
      <c r="DY88">
        <f t="shared" ca="1" si="91"/>
        <v>7.12</v>
      </c>
      <c r="DZ88">
        <f t="shared" ca="1" si="92"/>
        <v>244.50217229471156</v>
      </c>
      <c r="EB88" s="20" t="s">
        <v>150</v>
      </c>
      <c r="EC88" s="99" t="s">
        <v>816</v>
      </c>
      <c r="ED88" s="100" t="s">
        <v>754</v>
      </c>
      <c r="EE88" s="101">
        <v>60.4</v>
      </c>
      <c r="EF88" s="101">
        <v>61.1</v>
      </c>
      <c r="EG88" s="101">
        <v>59.5</v>
      </c>
      <c r="EH88" s="101">
        <v>54.5</v>
      </c>
      <c r="EI88" s="101">
        <v>52.3</v>
      </c>
      <c r="EJ88" s="101">
        <v>51.4</v>
      </c>
      <c r="EK88" s="101">
        <v>51.1</v>
      </c>
      <c r="EL88" s="101">
        <v>52.4</v>
      </c>
      <c r="EM88" s="101">
        <v>53.2</v>
      </c>
      <c r="EN88" s="101">
        <v>54.4</v>
      </c>
      <c r="EO88">
        <f t="shared" ref="EO88:EO94" ca="1" si="100">OFFSET(EE88,0,MATCH(MAX(EE88:EN88)+1,EE88:EN88,1)-1)</f>
        <v>54.4</v>
      </c>
      <c r="EQ88" s="20" t="s">
        <v>150</v>
      </c>
      <c r="ER88" s="20">
        <f t="shared" ca="1" si="93"/>
        <v>244.50217229471156</v>
      </c>
      <c r="ES88">
        <f t="shared" ca="1" si="94"/>
        <v>133.00918172832309</v>
      </c>
      <c r="EU88" s="20" t="s">
        <v>150</v>
      </c>
      <c r="EV88" s="109">
        <v>65144.113700031827</v>
      </c>
    </row>
    <row r="89" spans="1:152" x14ac:dyDescent="0.3">
      <c r="A89" s="20" t="s">
        <v>124</v>
      </c>
      <c r="B89" s="20" t="s">
        <v>257</v>
      </c>
      <c r="C89" s="81">
        <v>2015</v>
      </c>
      <c r="D89" s="82">
        <v>831.851</v>
      </c>
      <c r="E89" s="82">
        <v>740.53399999999999</v>
      </c>
      <c r="F89" s="82">
        <v>672.11500000000001</v>
      </c>
      <c r="G89" s="82">
        <v>624.18700000000001</v>
      </c>
      <c r="H89" s="82">
        <v>570.96400000000006</v>
      </c>
      <c r="I89" s="82">
        <v>563.66300000000001</v>
      </c>
      <c r="J89" s="82">
        <v>558.95399999999995</v>
      </c>
      <c r="K89" s="82">
        <v>547.20100000000002</v>
      </c>
      <c r="L89" s="82">
        <v>502.09399999999999</v>
      </c>
      <c r="M89" s="82">
        <v>424.71600000000001</v>
      </c>
      <c r="N89" s="82">
        <v>387.65600000000001</v>
      </c>
      <c r="O89" s="82">
        <v>362.58699999999999</v>
      </c>
      <c r="P89" s="82">
        <v>371.19600000000003</v>
      </c>
      <c r="Q89" s="82">
        <v>310.92599999999999</v>
      </c>
      <c r="R89" s="82">
        <v>194.25899999999999</v>
      </c>
      <c r="S89" s="82">
        <v>155.446</v>
      </c>
      <c r="T89" s="82">
        <v>125.86199999999999</v>
      </c>
      <c r="U89" s="82">
        <v>78.546000000000006</v>
      </c>
      <c r="V89" s="82">
        <v>32.517000000000003</v>
      </c>
      <c r="W89" s="82">
        <v>7.4889999999999999</v>
      </c>
      <c r="X89" s="82">
        <v>1.2729999999999999</v>
      </c>
      <c r="Y89" s="82">
        <f t="shared" si="67"/>
        <v>8064.036000000001</v>
      </c>
      <c r="Z89" s="52">
        <f t="shared" si="68"/>
        <v>83.185000000000002</v>
      </c>
      <c r="AA89" s="52">
        <f t="shared" si="69"/>
        <v>83.185000000000002</v>
      </c>
      <c r="AB89" s="52">
        <f t="shared" si="70"/>
        <v>166.37</v>
      </c>
      <c r="AC89" s="52">
        <f t="shared" si="71"/>
        <v>499.11099999999999</v>
      </c>
      <c r="AD89" s="52">
        <f t="shared" si="72"/>
        <v>1412.6489999999999</v>
      </c>
      <c r="AE89" s="52">
        <f t="shared" si="73"/>
        <v>3791.779</v>
      </c>
      <c r="AF89" s="52">
        <f t="shared" si="74"/>
        <v>1121.4390000000001</v>
      </c>
      <c r="AG89" s="52">
        <f t="shared" si="75"/>
        <v>906.31799999999998</v>
      </c>
      <c r="AH89" s="52">
        <f t="shared" si="76"/>
        <v>8064.036000000001</v>
      </c>
      <c r="AI89">
        <v>21.3</v>
      </c>
      <c r="AJ89" s="30">
        <f t="shared" si="77"/>
        <v>171763.96680000002</v>
      </c>
      <c r="AK89">
        <f t="shared" si="78"/>
        <v>166.37020000000001</v>
      </c>
      <c r="AM89" s="20" t="s">
        <v>124</v>
      </c>
      <c r="AN89" t="s">
        <v>380</v>
      </c>
      <c r="AO89" t="s">
        <v>381</v>
      </c>
      <c r="AP89" t="s">
        <v>690</v>
      </c>
      <c r="AQ89" s="55">
        <v>138872.92514409136</v>
      </c>
      <c r="AR89" s="55">
        <v>3.88683333333333</v>
      </c>
      <c r="AS89" t="s">
        <v>124</v>
      </c>
      <c r="AT89" t="s">
        <v>1235</v>
      </c>
      <c r="AU89" t="s">
        <v>1153</v>
      </c>
      <c r="AV89">
        <v>86.998922140211207</v>
      </c>
      <c r="AW89">
        <v>86.639006030084204</v>
      </c>
      <c r="AX89">
        <v>87.788359256837893</v>
      </c>
      <c r="AY89">
        <v>89.644368894889695</v>
      </c>
      <c r="AZ89">
        <v>90.101646631801003</v>
      </c>
      <c r="BA89">
        <v>94.244044954409503</v>
      </c>
      <c r="BB89">
        <v>97.377659449143593</v>
      </c>
      <c r="BC89">
        <v>100</v>
      </c>
      <c r="BD89">
        <v>103.45919549329599</v>
      </c>
      <c r="BE89">
        <v>105.22587688230701</v>
      </c>
      <c r="BF89">
        <v>106.831490262419</v>
      </c>
      <c r="BG89">
        <v>107.339961166343</v>
      </c>
      <c r="BH89">
        <v>106.66036794336399</v>
      </c>
      <c r="BJ89" s="20" t="s">
        <v>124</v>
      </c>
      <c r="BK89" t="s">
        <v>690</v>
      </c>
      <c r="BL89">
        <v>2015</v>
      </c>
      <c r="BM89">
        <f>INDEX('Costs lists'!$C$5:$C$8,MATCH(Lists!BK89,'Costs lists'!$B$5:$B$8,0))</f>
        <v>3.55</v>
      </c>
      <c r="BN89">
        <f>INDEX('Costs lists'!$D$5:$D$8,MATCH(Lists!BK89,'Costs lists'!$B$5:$B$8,0))</f>
        <v>2.91</v>
      </c>
      <c r="BO89">
        <f>INDEX('Costs lists'!$E$5:$E$8,MATCH(Lists!BK89,'Costs lists'!$B$5:$B$8,0))</f>
        <v>7.59</v>
      </c>
      <c r="BW89" s="20" t="s">
        <v>124</v>
      </c>
      <c r="BX89" s="20">
        <v>2008</v>
      </c>
      <c r="BY89" s="52">
        <v>120.5163</v>
      </c>
      <c r="BZ89" s="52">
        <v>148.80549999999999</v>
      </c>
      <c r="CA89" s="52">
        <v>169.5916</v>
      </c>
      <c r="CB89" s="52">
        <v>176.69979999999998</v>
      </c>
      <c r="CC89" s="375">
        <f t="shared" si="99"/>
        <v>124.56223</v>
      </c>
      <c r="CD89" s="375">
        <v>332.29</v>
      </c>
      <c r="CE89" s="375">
        <v>346.66</v>
      </c>
      <c r="CF89" s="375">
        <v>448.24</v>
      </c>
      <c r="CG89" s="375">
        <f t="shared" si="97"/>
        <v>354.01</v>
      </c>
      <c r="CI89" s="20" t="s">
        <v>124</v>
      </c>
      <c r="CJ89" s="20">
        <v>2015</v>
      </c>
      <c r="CK89" s="59">
        <f t="shared" si="79"/>
        <v>136.39390061611959</v>
      </c>
      <c r="CL89" s="59">
        <f t="shared" si="80"/>
        <v>168.41010368001659</v>
      </c>
      <c r="CM89" s="59">
        <f t="shared" si="81"/>
        <v>191.93469958610336</v>
      </c>
      <c r="CN89" s="59">
        <f t="shared" si="82"/>
        <v>199.97938005139727</v>
      </c>
      <c r="CO89" s="59">
        <f t="shared" si="83"/>
        <v>140.97286772944599</v>
      </c>
      <c r="CP89" s="59">
        <f t="shared" si="84"/>
        <v>376.06804420423117</v>
      </c>
      <c r="CQ89" s="59">
        <f t="shared" si="85"/>
        <v>392.33124139708923</v>
      </c>
      <c r="CR89" s="59">
        <f t="shared" si="86"/>
        <v>507.29405078125905</v>
      </c>
      <c r="CS89" s="59">
        <f t="shared" si="87"/>
        <v>400.64957816587878</v>
      </c>
      <c r="CW89" s="20" t="s">
        <v>124</v>
      </c>
      <c r="CX89">
        <v>2014</v>
      </c>
      <c r="CY89">
        <v>7.9394830000000001</v>
      </c>
      <c r="CZ89">
        <v>3.9271962642669678</v>
      </c>
      <c r="DA89">
        <v>1880.2771218765406</v>
      </c>
      <c r="DB89">
        <v>248048.3125</v>
      </c>
      <c r="DC89">
        <v>0.53604698181152344</v>
      </c>
      <c r="DE89">
        <f t="shared" si="88"/>
        <v>33857.627760777395</v>
      </c>
      <c r="DH89">
        <f t="shared" si="89"/>
        <v>18.006722183050897</v>
      </c>
      <c r="DI89">
        <f t="shared" si="95"/>
        <v>17.892717610749038</v>
      </c>
      <c r="DJ89">
        <f t="shared" si="96"/>
        <v>36.17311632395807</v>
      </c>
      <c r="DL89" s="20" t="s">
        <v>124</v>
      </c>
      <c r="DM89" s="99" t="s">
        <v>760</v>
      </c>
      <c r="DN89" s="100" t="s">
        <v>754</v>
      </c>
      <c r="DO89" s="101"/>
      <c r="DP89" s="101"/>
      <c r="DQ89" s="101">
        <v>39</v>
      </c>
      <c r="DR89" s="101">
        <v>39</v>
      </c>
      <c r="DS89" s="101">
        <v>39</v>
      </c>
      <c r="DT89" s="101">
        <v>39</v>
      </c>
      <c r="DU89" s="101">
        <v>39</v>
      </c>
      <c r="DV89" s="101">
        <v>36</v>
      </c>
      <c r="DW89" s="101">
        <v>36</v>
      </c>
      <c r="DX89">
        <f t="shared" ca="1" si="90"/>
        <v>36</v>
      </c>
      <c r="DY89">
        <f t="shared" ca="1" si="91"/>
        <v>7.2</v>
      </c>
      <c r="DZ89">
        <f t="shared" ca="1" si="92"/>
        <v>128.82756679739308</v>
      </c>
      <c r="EB89" s="20" t="s">
        <v>124</v>
      </c>
      <c r="EC89" s="99" t="s">
        <v>760</v>
      </c>
      <c r="ED89" s="100" t="s">
        <v>754</v>
      </c>
      <c r="EE89" s="101">
        <v>50.9</v>
      </c>
      <c r="EF89" s="101">
        <v>52.2</v>
      </c>
      <c r="EG89" s="101">
        <v>53.1</v>
      </c>
      <c r="EH89" s="101">
        <v>52.7</v>
      </c>
      <c r="EI89" s="101">
        <v>53.6</v>
      </c>
      <c r="EJ89" s="101">
        <v>54.2</v>
      </c>
      <c r="EK89" s="101">
        <v>59.2</v>
      </c>
      <c r="EL89" s="101">
        <v>59.7</v>
      </c>
      <c r="EM89" s="101">
        <v>60.4</v>
      </c>
      <c r="EN89" s="101">
        <v>60.7</v>
      </c>
      <c r="EO89">
        <f t="shared" ca="1" si="100"/>
        <v>60.7</v>
      </c>
      <c r="EQ89" s="20" t="s">
        <v>124</v>
      </c>
      <c r="ER89" s="20">
        <f t="shared" ca="1" si="93"/>
        <v>128.82756679739308</v>
      </c>
      <c r="ES89">
        <f t="shared" ca="1" si="94"/>
        <v>78.198333046017595</v>
      </c>
      <c r="EU89" s="20" t="s">
        <v>124</v>
      </c>
      <c r="EV89" s="109">
        <v>35831.343223489217</v>
      </c>
    </row>
    <row r="90" spans="1:152" x14ac:dyDescent="0.3">
      <c r="A90" s="20" t="s">
        <v>160</v>
      </c>
      <c r="B90" s="20" t="s">
        <v>257</v>
      </c>
      <c r="C90" s="81">
        <v>2015</v>
      </c>
      <c r="D90" s="82">
        <v>2570.3180000000002</v>
      </c>
      <c r="E90" s="82">
        <v>2816.96</v>
      </c>
      <c r="F90" s="82">
        <v>2811.2130000000002</v>
      </c>
      <c r="G90" s="82">
        <v>2800.2719999999999</v>
      </c>
      <c r="H90" s="82">
        <v>2931.4780000000001</v>
      </c>
      <c r="I90" s="82">
        <v>3087.9859999999999</v>
      </c>
      <c r="J90" s="82">
        <v>3380.6260000000002</v>
      </c>
      <c r="K90" s="82">
        <v>3971.3670000000002</v>
      </c>
      <c r="L90" s="82">
        <v>4678.3040000000001</v>
      </c>
      <c r="M90" s="82">
        <v>4853.3450000000003</v>
      </c>
      <c r="N90" s="82">
        <v>4698.348</v>
      </c>
      <c r="O90" s="82">
        <v>4089.5320000000002</v>
      </c>
      <c r="P90" s="82">
        <v>3707.3490000000002</v>
      </c>
      <c r="Q90" s="82">
        <v>3641.7</v>
      </c>
      <c r="R90" s="82">
        <v>2924.4380000000001</v>
      </c>
      <c r="S90" s="82">
        <v>2739.8539999999998</v>
      </c>
      <c r="T90" s="82">
        <v>2030.655</v>
      </c>
      <c r="U90" s="82">
        <v>1303.271</v>
      </c>
      <c r="V90" s="82">
        <v>611.45500000000004</v>
      </c>
      <c r="W90" s="82">
        <v>124.622</v>
      </c>
      <c r="X90" s="82">
        <v>24.591999999999999</v>
      </c>
      <c r="Y90" s="82">
        <f t="shared" si="67"/>
        <v>59797.684999999998</v>
      </c>
      <c r="Z90" s="52">
        <f t="shared" si="68"/>
        <v>257.03199999999998</v>
      </c>
      <c r="AA90" s="52">
        <f t="shared" si="69"/>
        <v>257.03199999999998</v>
      </c>
      <c r="AB90" s="52">
        <f t="shared" si="70"/>
        <v>514.06399999999996</v>
      </c>
      <c r="AC90" s="52">
        <f t="shared" si="71"/>
        <v>1542.191</v>
      </c>
      <c r="AD90" s="52">
        <f t="shared" si="72"/>
        <v>5628.1729999999998</v>
      </c>
      <c r="AE90" s="52">
        <f t="shared" si="73"/>
        <v>25703.378000000001</v>
      </c>
      <c r="AF90" s="52">
        <f t="shared" si="74"/>
        <v>12495.228999999999</v>
      </c>
      <c r="AG90" s="52">
        <f t="shared" si="75"/>
        <v>13400.587</v>
      </c>
      <c r="AH90" s="52">
        <f t="shared" si="76"/>
        <v>59797.686000000002</v>
      </c>
      <c r="AI90">
        <v>8.3000000000000007</v>
      </c>
      <c r="AJ90" s="30">
        <f t="shared" si="77"/>
        <v>496320.79380000004</v>
      </c>
      <c r="AK90">
        <f t="shared" si="78"/>
        <v>514.06360000000006</v>
      </c>
      <c r="AM90" s="20" t="s">
        <v>160</v>
      </c>
      <c r="AN90" t="s">
        <v>256</v>
      </c>
      <c r="AO90" t="s">
        <v>257</v>
      </c>
      <c r="AP90" t="s">
        <v>690</v>
      </c>
      <c r="AQ90" s="55">
        <v>27044.756673005373</v>
      </c>
      <c r="AR90" s="55">
        <v>0.90165896164127801</v>
      </c>
      <c r="AS90" t="s">
        <v>160</v>
      </c>
      <c r="AT90" t="s">
        <v>1236</v>
      </c>
      <c r="AU90" t="s">
        <v>1153</v>
      </c>
      <c r="AV90">
        <v>87.267727689359504</v>
      </c>
      <c r="AW90">
        <v>89.200899925006496</v>
      </c>
      <c r="AX90">
        <v>90.984084659611995</v>
      </c>
      <c r="AY90">
        <v>92.867261061578503</v>
      </c>
      <c r="AZ90">
        <v>94.558786767769703</v>
      </c>
      <c r="BA90">
        <v>97.750187484376596</v>
      </c>
      <c r="BB90">
        <v>98.483459711691097</v>
      </c>
      <c r="BC90">
        <v>100</v>
      </c>
      <c r="BD90">
        <v>102.74143821348299</v>
      </c>
      <c r="BE90">
        <v>105.866177818515</v>
      </c>
      <c r="BF90">
        <v>107.157736855263</v>
      </c>
      <c r="BG90">
        <v>107.416048662612</v>
      </c>
      <c r="BH90">
        <v>107.457711857346</v>
      </c>
      <c r="BJ90" s="20" t="s">
        <v>160</v>
      </c>
      <c r="BK90" t="s">
        <v>690</v>
      </c>
      <c r="BL90">
        <v>2015</v>
      </c>
      <c r="BM90">
        <f>INDEX('Costs lists'!$C$5:$C$8,MATCH(Lists!BK90,'Costs lists'!$B$5:$B$8,0))</f>
        <v>3.55</v>
      </c>
      <c r="BN90">
        <f>INDEX('Costs lists'!$D$5:$D$8,MATCH(Lists!BK90,'Costs lists'!$B$5:$B$8,0))</f>
        <v>2.91</v>
      </c>
      <c r="BO90">
        <f>INDEX('Costs lists'!$E$5:$E$8,MATCH(Lists!BK90,'Costs lists'!$B$5:$B$8,0))</f>
        <v>7.59</v>
      </c>
      <c r="BW90" s="20" t="s">
        <v>160</v>
      </c>
      <c r="BX90" s="20">
        <v>2008</v>
      </c>
      <c r="BY90" s="52">
        <v>30.951999999999998</v>
      </c>
      <c r="BZ90" s="52">
        <v>38.216000000000001</v>
      </c>
      <c r="CA90" s="52">
        <v>43.552</v>
      </c>
      <c r="CB90" s="52">
        <v>45.384</v>
      </c>
      <c r="CC90" s="375">
        <f t="shared" si="99"/>
        <v>31.991</v>
      </c>
      <c r="CD90" s="375">
        <v>404.03</v>
      </c>
      <c r="CE90" s="375">
        <v>421.5</v>
      </c>
      <c r="CF90" s="375">
        <v>545.02</v>
      </c>
      <c r="CG90" s="375">
        <f t="shared" si="97"/>
        <v>430.43999999999994</v>
      </c>
      <c r="CI90" s="20" t="s">
        <v>160</v>
      </c>
      <c r="CJ90" s="20">
        <v>2015</v>
      </c>
      <c r="CK90" s="59">
        <f t="shared" si="79"/>
        <v>34.025828318131587</v>
      </c>
      <c r="CL90" s="59">
        <f t="shared" si="80"/>
        <v>42.011212684340812</v>
      </c>
      <c r="CM90" s="59">
        <f t="shared" si="81"/>
        <v>47.877128292558382</v>
      </c>
      <c r="CN90" s="59">
        <f t="shared" si="82"/>
        <v>49.891063336459169</v>
      </c>
      <c r="CO90" s="59">
        <f t="shared" si="83"/>
        <v>35.168010911260907</v>
      </c>
      <c r="CP90" s="59">
        <f t="shared" si="84"/>
        <v>444.1540260847346</v>
      </c>
      <c r="CQ90" s="59">
        <f t="shared" si="85"/>
        <v>463.35896343022955</v>
      </c>
      <c r="CR90" s="59">
        <f t="shared" si="86"/>
        <v>599.14567556048326</v>
      </c>
      <c r="CS90" s="59">
        <f t="shared" si="87"/>
        <v>473.18679055494181</v>
      </c>
      <c r="CW90" s="20" t="s">
        <v>160</v>
      </c>
      <c r="CX90">
        <v>2014</v>
      </c>
      <c r="CY90">
        <v>59.788666999999997</v>
      </c>
      <c r="CZ90">
        <v>23.584444046020508</v>
      </c>
      <c r="DA90">
        <v>1733.9158368661474</v>
      </c>
      <c r="DB90">
        <v>2087830.875</v>
      </c>
      <c r="DC90">
        <v>0.539695143699646</v>
      </c>
      <c r="DE90">
        <f t="shared" si="88"/>
        <v>47776.923717386104</v>
      </c>
      <c r="DH90">
        <f t="shared" si="89"/>
        <v>27.554349929542933</v>
      </c>
      <c r="DI90">
        <f t="shared" si="95"/>
        <v>27.565037366487196</v>
      </c>
      <c r="DJ90">
        <f t="shared" si="96"/>
        <v>69.879825733078746</v>
      </c>
      <c r="DL90" s="20" t="s">
        <v>160</v>
      </c>
      <c r="DM90" s="99" t="s">
        <v>796</v>
      </c>
      <c r="DN90" s="100" t="s">
        <v>754</v>
      </c>
      <c r="DO90" s="101">
        <v>38.1</v>
      </c>
      <c r="DP90" s="101">
        <v>37.799999999999997</v>
      </c>
      <c r="DQ90" s="101">
        <v>37.4</v>
      </c>
      <c r="DR90" s="101">
        <v>37.5</v>
      </c>
      <c r="DS90" s="101">
        <v>37.200000000000003</v>
      </c>
      <c r="DT90" s="101">
        <v>36.5</v>
      </c>
      <c r="DU90" s="101">
        <v>36.4</v>
      </c>
      <c r="DV90" s="101">
        <v>36.299999999999997</v>
      </c>
      <c r="DW90" s="101">
        <v>36.4</v>
      </c>
      <c r="DX90">
        <f t="shared" ca="1" si="90"/>
        <v>36.4</v>
      </c>
      <c r="DY90">
        <f t="shared" ca="1" si="91"/>
        <v>7.2799999999999994</v>
      </c>
      <c r="DZ90">
        <f t="shared" ca="1" si="92"/>
        <v>200.67347202802677</v>
      </c>
      <c r="EB90" s="20" t="s">
        <v>160</v>
      </c>
      <c r="EC90" s="99" t="s">
        <v>796</v>
      </c>
      <c r="ED90" s="100" t="s">
        <v>754</v>
      </c>
      <c r="EE90" s="101">
        <v>45.8</v>
      </c>
      <c r="EF90" s="101">
        <v>45.8</v>
      </c>
      <c r="EG90" s="101">
        <v>45.8</v>
      </c>
      <c r="EH90" s="101">
        <v>44.7</v>
      </c>
      <c r="EI90" s="101">
        <v>44.2</v>
      </c>
      <c r="EJ90" s="101">
        <v>44.1</v>
      </c>
      <c r="EK90" s="101">
        <v>43.8</v>
      </c>
      <c r="EL90" s="101">
        <v>42.9</v>
      </c>
      <c r="EM90" s="101">
        <v>42.8</v>
      </c>
      <c r="EN90" s="101">
        <v>43.1</v>
      </c>
      <c r="EO90">
        <f t="shared" ca="1" si="100"/>
        <v>43.1</v>
      </c>
      <c r="EQ90" s="20" t="s">
        <v>160</v>
      </c>
      <c r="ER90" s="20">
        <f t="shared" ca="1" si="93"/>
        <v>200.67347202802677</v>
      </c>
      <c r="ES90">
        <f t="shared" ca="1" si="94"/>
        <v>86.490266444079538</v>
      </c>
      <c r="EU90" s="20" t="s">
        <v>160</v>
      </c>
      <c r="EV90" s="109">
        <v>36029.663739299227</v>
      </c>
    </row>
    <row r="91" spans="1:152" x14ac:dyDescent="0.3">
      <c r="A91" s="20" t="s">
        <v>184</v>
      </c>
      <c r="B91" s="20" t="s">
        <v>633</v>
      </c>
      <c r="C91" s="81">
        <v>2015</v>
      </c>
      <c r="D91" s="82">
        <v>203.732</v>
      </c>
      <c r="E91" s="82">
        <v>217.86199999999999</v>
      </c>
      <c r="F91" s="82">
        <v>237.02799999999999</v>
      </c>
      <c r="G91" s="82">
        <v>272.98599999999999</v>
      </c>
      <c r="H91" s="82">
        <v>265.233</v>
      </c>
      <c r="I91" s="82">
        <v>242.67599999999999</v>
      </c>
      <c r="J91" s="82">
        <v>207.114</v>
      </c>
      <c r="K91" s="82">
        <v>177.142</v>
      </c>
      <c r="L91" s="82">
        <v>171.483</v>
      </c>
      <c r="M91" s="82">
        <v>164.47399999999999</v>
      </c>
      <c r="N91" s="82">
        <v>150.53800000000001</v>
      </c>
      <c r="O91" s="82">
        <v>126.13800000000001</v>
      </c>
      <c r="P91" s="82">
        <v>101.649</v>
      </c>
      <c r="Q91" s="82">
        <v>78.22</v>
      </c>
      <c r="R91" s="82">
        <v>60.326000000000001</v>
      </c>
      <c r="S91" s="82">
        <v>47.927999999999997</v>
      </c>
      <c r="T91" s="82">
        <v>35.462000000000003</v>
      </c>
      <c r="U91" s="82">
        <v>21.465</v>
      </c>
      <c r="V91" s="82">
        <v>8.7200000000000006</v>
      </c>
      <c r="W91" s="82">
        <v>2.6659999999999999</v>
      </c>
      <c r="X91" s="82">
        <v>0.49299999999999999</v>
      </c>
      <c r="Y91" s="82">
        <f t="shared" si="67"/>
        <v>2793.3349999999996</v>
      </c>
      <c r="Z91" s="52">
        <f t="shared" si="68"/>
        <v>20.373000000000001</v>
      </c>
      <c r="AA91" s="52">
        <f t="shared" si="69"/>
        <v>20.373000000000001</v>
      </c>
      <c r="AB91" s="52">
        <f t="shared" si="70"/>
        <v>40.746000000000002</v>
      </c>
      <c r="AC91" s="52">
        <f t="shared" si="71"/>
        <v>122.239</v>
      </c>
      <c r="AD91" s="52">
        <f t="shared" si="72"/>
        <v>454.89</v>
      </c>
      <c r="AE91" s="52">
        <f t="shared" si="73"/>
        <v>1501.1079999999999</v>
      </c>
      <c r="AF91" s="52">
        <f t="shared" si="74"/>
        <v>378.32499999999999</v>
      </c>
      <c r="AG91" s="52">
        <f t="shared" si="75"/>
        <v>255.28</v>
      </c>
      <c r="AH91" s="52">
        <f t="shared" si="76"/>
        <v>2793.3339999999998</v>
      </c>
      <c r="AI91">
        <v>13.54</v>
      </c>
      <c r="AJ91" s="30">
        <f t="shared" si="77"/>
        <v>37821.742359999997</v>
      </c>
      <c r="AK91">
        <f t="shared" si="78"/>
        <v>40.746400000000001</v>
      </c>
      <c r="AM91" s="20" t="s">
        <v>184</v>
      </c>
      <c r="AN91" t="s">
        <v>382</v>
      </c>
      <c r="AO91" t="s">
        <v>383</v>
      </c>
      <c r="AP91" t="s">
        <v>689</v>
      </c>
      <c r="AQ91" s="55">
        <v>596846.7799243558</v>
      </c>
      <c r="AR91" s="55">
        <v>116.89759018162501</v>
      </c>
      <c r="AS91" t="s">
        <v>184</v>
      </c>
      <c r="AT91" t="s">
        <v>1237</v>
      </c>
      <c r="AU91" t="s">
        <v>1153</v>
      </c>
      <c r="AV91">
        <v>42.717119249316099</v>
      </c>
      <c r="AW91">
        <v>48.537616090952604</v>
      </c>
      <c r="AX91">
        <v>55.961950815888997</v>
      </c>
      <c r="AY91">
        <v>60.770188268243302</v>
      </c>
      <c r="AZ91">
        <v>66.4177169233961</v>
      </c>
      <c r="BA91">
        <v>81.043514340542501</v>
      </c>
      <c r="BB91">
        <v>88.8024480058086</v>
      </c>
      <c r="BC91">
        <v>100</v>
      </c>
      <c r="BD91">
        <v>107.52969244333801</v>
      </c>
      <c r="BE91">
        <v>114.947357502204</v>
      </c>
      <c r="BF91">
        <v>125.688501633733</v>
      </c>
      <c r="BG91">
        <v>136.108085680204</v>
      </c>
      <c r="BH91">
        <v>141.113012810539</v>
      </c>
      <c r="BJ91" s="20" t="s">
        <v>184</v>
      </c>
      <c r="BK91" t="s">
        <v>689</v>
      </c>
      <c r="BL91">
        <v>2015</v>
      </c>
      <c r="BM91">
        <f>INDEX('Costs lists'!$C$5:$C$8,MATCH(Lists!BK91,'Costs lists'!$B$5:$B$8,0))</f>
        <v>3.2</v>
      </c>
      <c r="BN91">
        <f>INDEX('Costs lists'!$D$5:$D$8,MATCH(Lists!BK91,'Costs lists'!$B$5:$B$8,0))</f>
        <v>1.1200000000000001</v>
      </c>
      <c r="BO91">
        <f>INDEX('Costs lists'!$E$5:$E$8,MATCH(Lists!BK91,'Costs lists'!$B$5:$B$8,0))</f>
        <v>4.4400000000000004</v>
      </c>
      <c r="BW91" s="20" t="s">
        <v>184</v>
      </c>
      <c r="BX91" s="20">
        <v>2008</v>
      </c>
      <c r="BY91" s="52">
        <v>566.78399999999999</v>
      </c>
      <c r="BZ91" s="52">
        <v>699.904</v>
      </c>
      <c r="CA91" s="52">
        <v>797.69600000000003</v>
      </c>
      <c r="CB91" s="52">
        <v>831.48799999999994</v>
      </c>
      <c r="CC91" s="375">
        <f t="shared" si="99"/>
        <v>585.83039999999994</v>
      </c>
      <c r="CD91" s="375">
        <v>72.06</v>
      </c>
      <c r="CE91" s="375">
        <v>75.180000000000007</v>
      </c>
      <c r="CF91" s="375">
        <v>97.21</v>
      </c>
      <c r="CG91" s="375">
        <f t="shared" si="97"/>
        <v>76.771666666666661</v>
      </c>
      <c r="CI91" s="20" t="s">
        <v>184</v>
      </c>
      <c r="CJ91" s="20">
        <v>2015</v>
      </c>
      <c r="CK91" s="59">
        <f t="shared" si="79"/>
        <v>986.8846199923214</v>
      </c>
      <c r="CL91" s="59">
        <f t="shared" si="80"/>
        <v>1218.6732389607075</v>
      </c>
      <c r="CM91" s="59">
        <f t="shared" si="81"/>
        <v>1388.9487244336376</v>
      </c>
      <c r="CN91" s="59">
        <f t="shared" si="82"/>
        <v>1447.787373864074</v>
      </c>
      <c r="CO91" s="59">
        <f t="shared" si="83"/>
        <v>1020.0482223985673</v>
      </c>
      <c r="CP91" s="59">
        <f t="shared" si="84"/>
        <v>125.4709125815949</v>
      </c>
      <c r="CQ91" s="59">
        <f t="shared" si="85"/>
        <v>130.90345833866647</v>
      </c>
      <c r="CR91" s="59">
        <f t="shared" si="86"/>
        <v>169.26210674516847</v>
      </c>
      <c r="CS91" s="59">
        <f t="shared" si="87"/>
        <v>133.67486923503574</v>
      </c>
      <c r="CW91" s="20" t="s">
        <v>184</v>
      </c>
      <c r="CX91">
        <v>2014</v>
      </c>
      <c r="CY91">
        <v>2.7833009999999998</v>
      </c>
      <c r="CZ91">
        <v>1.0723404884338379</v>
      </c>
      <c r="DA91">
        <v>1867.8849102873348</v>
      </c>
      <c r="DB91">
        <v>20034.494140625</v>
      </c>
      <c r="DC91">
        <v>0.60558807849884033</v>
      </c>
      <c r="DE91">
        <f t="shared" si="88"/>
        <v>11314.177671345045</v>
      </c>
      <c r="DH91">
        <f t="shared" si="89"/>
        <v>6.0572134873152317</v>
      </c>
      <c r="DI91">
        <f t="shared" si="95"/>
        <v>6.2799475884187084</v>
      </c>
      <c r="DJ91">
        <f t="shared" si="96"/>
        <v>16.299845609971864</v>
      </c>
      <c r="DL91" s="20" t="s">
        <v>184</v>
      </c>
      <c r="DM91" s="99"/>
      <c r="DN91" s="100"/>
      <c r="DO91" s="101"/>
      <c r="DP91" s="101"/>
      <c r="DQ91" s="101"/>
      <c r="DR91" s="101"/>
      <c r="DS91" s="101"/>
      <c r="DT91" s="101"/>
      <c r="DU91" s="101"/>
      <c r="DV91" s="101"/>
      <c r="DW91" s="101"/>
      <c r="DX91" t="e">
        <f t="shared" ca="1" si="90"/>
        <v>#N/A</v>
      </c>
      <c r="DY91" t="e">
        <f t="shared" ca="1" si="91"/>
        <v>#N/A</v>
      </c>
      <c r="DZ91" t="e">
        <f t="shared" ca="1" si="92"/>
        <v>#N/A</v>
      </c>
      <c r="EB91" s="20" t="s">
        <v>184</v>
      </c>
      <c r="EC91" s="99" t="s">
        <v>760</v>
      </c>
      <c r="ED91" s="100" t="s">
        <v>754</v>
      </c>
      <c r="EE91" s="101"/>
      <c r="EF91" s="101"/>
      <c r="EG91" s="101">
        <v>58.8</v>
      </c>
      <c r="EH91" s="101">
        <v>56.3</v>
      </c>
      <c r="EI91" s="101">
        <v>54.6</v>
      </c>
      <c r="EJ91" s="101"/>
      <c r="EK91" s="101">
        <v>53.3</v>
      </c>
      <c r="EL91" s="101">
        <v>53.4</v>
      </c>
      <c r="EM91" s="101">
        <v>54.2</v>
      </c>
      <c r="EN91" s="101">
        <v>54.6</v>
      </c>
      <c r="EO91">
        <f t="shared" ca="1" si="100"/>
        <v>54.6</v>
      </c>
      <c r="EQ91" s="20" t="s">
        <v>184</v>
      </c>
      <c r="ER91" s="20" t="e">
        <f t="shared" ca="1" si="93"/>
        <v>#N/A</v>
      </c>
      <c r="ES91" t="e">
        <f t="shared" ca="1" si="94"/>
        <v>#N/A</v>
      </c>
      <c r="EU91" s="20" t="s">
        <v>184</v>
      </c>
      <c r="EV91" s="109">
        <v>9092.2740174883311</v>
      </c>
    </row>
    <row r="92" spans="1:152" x14ac:dyDescent="0.3">
      <c r="A92" s="20" t="s">
        <v>90</v>
      </c>
      <c r="B92" s="20" t="s">
        <v>634</v>
      </c>
      <c r="C92" s="81">
        <v>2015</v>
      </c>
      <c r="D92" s="82">
        <v>5269.0379999999996</v>
      </c>
      <c r="E92" s="82">
        <v>5398.973</v>
      </c>
      <c r="F92" s="82">
        <v>5603.6379999999999</v>
      </c>
      <c r="G92" s="82">
        <v>5960.7839999999997</v>
      </c>
      <c r="H92" s="82">
        <v>6111.768</v>
      </c>
      <c r="I92" s="82">
        <v>6843.4210000000003</v>
      </c>
      <c r="J92" s="82">
        <v>7455.6869999999999</v>
      </c>
      <c r="K92" s="82">
        <v>8345.7530000000006</v>
      </c>
      <c r="L92" s="82">
        <v>9689.8649999999998</v>
      </c>
      <c r="M92" s="82">
        <v>8623.0939999999991</v>
      </c>
      <c r="N92" s="82">
        <v>7863.3739999999998</v>
      </c>
      <c r="O92" s="82">
        <v>7535.3339999999998</v>
      </c>
      <c r="P92" s="82">
        <v>8530.7489999999998</v>
      </c>
      <c r="Q92" s="82">
        <v>9452.518</v>
      </c>
      <c r="R92" s="82">
        <v>7770.41</v>
      </c>
      <c r="S92" s="82">
        <v>6297.5320000000002</v>
      </c>
      <c r="T92" s="82">
        <v>4940.3249999999998</v>
      </c>
      <c r="U92" s="82">
        <v>3115.732</v>
      </c>
      <c r="V92" s="82">
        <v>1338.7739999999999</v>
      </c>
      <c r="W92" s="82">
        <v>366.08199999999999</v>
      </c>
      <c r="X92" s="82">
        <v>60.63</v>
      </c>
      <c r="Y92" s="82">
        <f t="shared" si="67"/>
        <v>126573.481</v>
      </c>
      <c r="Z92" s="52">
        <f t="shared" si="68"/>
        <v>526.904</v>
      </c>
      <c r="AA92" s="52">
        <f t="shared" si="69"/>
        <v>526.904</v>
      </c>
      <c r="AB92" s="52">
        <f t="shared" si="70"/>
        <v>1053.808</v>
      </c>
      <c r="AC92" s="52">
        <f t="shared" si="71"/>
        <v>3161.4229999999998</v>
      </c>
      <c r="AD92" s="52">
        <f t="shared" si="72"/>
        <v>11002.611000000001</v>
      </c>
      <c r="AE92" s="52">
        <f t="shared" si="73"/>
        <v>53030.372000000003</v>
      </c>
      <c r="AF92" s="52">
        <f t="shared" si="74"/>
        <v>23929.456999999999</v>
      </c>
      <c r="AG92" s="52">
        <f t="shared" si="75"/>
        <v>33342.002999999997</v>
      </c>
      <c r="AH92" s="52">
        <f t="shared" si="76"/>
        <v>126573.48199999999</v>
      </c>
      <c r="AI92">
        <v>8</v>
      </c>
      <c r="AJ92" s="30">
        <f t="shared" si="77"/>
        <v>1012587.8559999999</v>
      </c>
      <c r="AK92">
        <f t="shared" si="78"/>
        <v>1053.8075999999999</v>
      </c>
      <c r="AM92" s="20" t="s">
        <v>90</v>
      </c>
      <c r="AN92" t="s">
        <v>384</v>
      </c>
      <c r="AO92" t="s">
        <v>385</v>
      </c>
      <c r="AP92" t="s">
        <v>690</v>
      </c>
      <c r="AQ92" s="55">
        <v>4178887.7232233859</v>
      </c>
      <c r="AR92" s="55">
        <v>121.044025684011</v>
      </c>
      <c r="AS92" t="s">
        <v>90</v>
      </c>
      <c r="AT92" t="s">
        <v>1238</v>
      </c>
      <c r="AU92" t="s">
        <v>1153</v>
      </c>
      <c r="AV92">
        <v>100.69930069930101</v>
      </c>
      <c r="AW92">
        <v>100.69066735733399</v>
      </c>
      <c r="AX92">
        <v>100.405767072434</v>
      </c>
      <c r="AY92">
        <v>100.65613398946699</v>
      </c>
      <c r="AZ92">
        <v>100.71656738323399</v>
      </c>
      <c r="BA92">
        <v>102.10653543986901</v>
      </c>
      <c r="BB92">
        <v>100.72520072520101</v>
      </c>
      <c r="BC92">
        <v>100</v>
      </c>
      <c r="BD92">
        <v>99.732366399033097</v>
      </c>
      <c r="BE92">
        <v>99.680566347232997</v>
      </c>
      <c r="BF92">
        <v>100.0259000259</v>
      </c>
      <c r="BG92">
        <v>102.788569455236</v>
      </c>
      <c r="BH92">
        <v>103.60010360010401</v>
      </c>
      <c r="BJ92" s="20" t="s">
        <v>90</v>
      </c>
      <c r="BK92" t="s">
        <v>690</v>
      </c>
      <c r="BL92">
        <v>2015</v>
      </c>
      <c r="BM92">
        <f>INDEX('Costs lists'!$C$5:$C$8,MATCH(Lists!BK92,'Costs lists'!$B$5:$B$8,0))</f>
        <v>3.55</v>
      </c>
      <c r="BN92">
        <f>INDEX('Costs lists'!$D$5:$D$8,MATCH(Lists!BK92,'Costs lists'!$B$5:$B$8,0))</f>
        <v>2.91</v>
      </c>
      <c r="BO92">
        <f>INDEX('Costs lists'!$E$5:$E$8,MATCH(Lists!BK92,'Costs lists'!$B$5:$B$8,0))</f>
        <v>7.59</v>
      </c>
      <c r="BW92" s="20" t="s">
        <v>90</v>
      </c>
      <c r="BX92" s="20">
        <v>2008</v>
      </c>
      <c r="BY92" s="52">
        <v>4694.0733</v>
      </c>
      <c r="BZ92" s="52">
        <v>5795.3256000000001</v>
      </c>
      <c r="CA92" s="52">
        <v>6605.1732000000002</v>
      </c>
      <c r="CB92" s="52">
        <v>6882.5343000000003</v>
      </c>
      <c r="CC92" s="375">
        <f t="shared" si="99"/>
        <v>4851.6249374999998</v>
      </c>
      <c r="CD92" s="375">
        <v>424.63</v>
      </c>
      <c r="CE92" s="375">
        <v>442.99</v>
      </c>
      <c r="CF92" s="375">
        <v>572.79999999999995</v>
      </c>
      <c r="CG92" s="375">
        <f t="shared" si="97"/>
        <v>452.38499999999993</v>
      </c>
      <c r="CI92" s="20" t="s">
        <v>90</v>
      </c>
      <c r="CJ92" s="20">
        <v>2015</v>
      </c>
      <c r="CK92" s="59">
        <f t="shared" si="79"/>
        <v>4762.736078464538</v>
      </c>
      <c r="CL92" s="59">
        <f t="shared" si="80"/>
        <v>5880.0969983935165</v>
      </c>
      <c r="CM92" s="59">
        <f t="shared" si="81"/>
        <v>6701.7906823370367</v>
      </c>
      <c r="CN92" s="59">
        <f t="shared" si="82"/>
        <v>6983.2088949015088</v>
      </c>
      <c r="CO92" s="59">
        <f t="shared" si="83"/>
        <v>4922.5923099687234</v>
      </c>
      <c r="CP92" s="59">
        <f t="shared" si="84"/>
        <v>430.8412953411692</v>
      </c>
      <c r="CQ92" s="59">
        <f t="shared" si="85"/>
        <v>449.46985710662119</v>
      </c>
      <c r="CR92" s="59">
        <f t="shared" si="86"/>
        <v>581.1786590005928</v>
      </c>
      <c r="CS92" s="59">
        <f t="shared" si="87"/>
        <v>459.00228291198175</v>
      </c>
      <c r="CW92" s="20" t="s">
        <v>90</v>
      </c>
      <c r="CX92">
        <v>2014</v>
      </c>
      <c r="CY92">
        <v>126.79456399999999</v>
      </c>
      <c r="CZ92">
        <v>64.985366821289063</v>
      </c>
      <c r="DA92">
        <v>1729</v>
      </c>
      <c r="DB92">
        <v>4472119.5</v>
      </c>
      <c r="DC92">
        <v>0.60279303789138794</v>
      </c>
      <c r="DE92">
        <f t="shared" si="88"/>
        <v>41482.608025152964</v>
      </c>
      <c r="DH92">
        <f t="shared" si="89"/>
        <v>23.992254496907439</v>
      </c>
      <c r="DI92">
        <f t="shared" si="95"/>
        <v>24.181677638408427</v>
      </c>
      <c r="DJ92">
        <f t="shared" si="96"/>
        <v>47.181472120983656</v>
      </c>
      <c r="DL92" s="20" t="s">
        <v>90</v>
      </c>
      <c r="DM92" s="99" t="s">
        <v>817</v>
      </c>
      <c r="DN92" s="100" t="s">
        <v>754</v>
      </c>
      <c r="DO92" s="101"/>
      <c r="DP92" s="101"/>
      <c r="DQ92" s="101"/>
      <c r="DR92" s="101"/>
      <c r="DS92" s="101"/>
      <c r="DT92" s="101">
        <v>40.1</v>
      </c>
      <c r="DU92" s="101">
        <v>39.5</v>
      </c>
      <c r="DV92" s="101">
        <v>39.1</v>
      </c>
      <c r="DW92" s="101">
        <v>39</v>
      </c>
      <c r="DX92">
        <f t="shared" ca="1" si="90"/>
        <v>39</v>
      </c>
      <c r="DY92">
        <f t="shared" ca="1" si="91"/>
        <v>7.8</v>
      </c>
      <c r="DZ92">
        <f t="shared" ca="1" si="92"/>
        <v>188.61708557958573</v>
      </c>
      <c r="EB92" s="20" t="s">
        <v>90</v>
      </c>
      <c r="EC92" s="99" t="s">
        <v>817</v>
      </c>
      <c r="ED92" s="100" t="s">
        <v>754</v>
      </c>
      <c r="EE92" s="101">
        <v>57.9</v>
      </c>
      <c r="EF92" s="101">
        <v>58.1</v>
      </c>
      <c r="EG92" s="101">
        <v>57.8</v>
      </c>
      <c r="EH92" s="101">
        <v>56.8</v>
      </c>
      <c r="EI92" s="101">
        <v>56.6</v>
      </c>
      <c r="EJ92" s="101">
        <v>56.6</v>
      </c>
      <c r="EK92" s="101">
        <v>56.5</v>
      </c>
      <c r="EL92" s="101">
        <v>56.9</v>
      </c>
      <c r="EM92" s="101">
        <v>57.3</v>
      </c>
      <c r="EN92" s="101">
        <v>57.6</v>
      </c>
      <c r="EO92">
        <f t="shared" ca="1" si="100"/>
        <v>57.6</v>
      </c>
      <c r="EQ92" s="20" t="s">
        <v>90</v>
      </c>
      <c r="ER92" s="20">
        <f t="shared" ca="1" si="93"/>
        <v>188.61708557958573</v>
      </c>
      <c r="ES92">
        <f t="shared" ca="1" si="94"/>
        <v>108.64344129384139</v>
      </c>
      <c r="EU92" s="20" t="s">
        <v>90</v>
      </c>
      <c r="EV92" s="109">
        <v>37321.60198715797</v>
      </c>
    </row>
    <row r="93" spans="1:152" x14ac:dyDescent="0.3">
      <c r="A93" s="20" t="s">
        <v>125</v>
      </c>
      <c r="B93" s="20" t="s">
        <v>631</v>
      </c>
      <c r="C93" s="81">
        <v>2015</v>
      </c>
      <c r="D93" s="82">
        <v>980.40499999999997</v>
      </c>
      <c r="E93" s="82">
        <v>896.01900000000001</v>
      </c>
      <c r="F93" s="82">
        <v>821.57100000000003</v>
      </c>
      <c r="G93" s="82">
        <v>755.57100000000003</v>
      </c>
      <c r="H93" s="82">
        <v>686.07100000000003</v>
      </c>
      <c r="I93" s="82">
        <v>635.27599999999995</v>
      </c>
      <c r="J93" s="82">
        <v>609.44200000000001</v>
      </c>
      <c r="K93" s="82">
        <v>520.84500000000003</v>
      </c>
      <c r="L93" s="82">
        <v>457.98099999999999</v>
      </c>
      <c r="M93" s="82">
        <v>364.07299999999998</v>
      </c>
      <c r="N93" s="82">
        <v>270.86599999999999</v>
      </c>
      <c r="O93" s="82">
        <v>182.666</v>
      </c>
      <c r="P93" s="82">
        <v>126.239</v>
      </c>
      <c r="Q93" s="82">
        <v>104.36799999999999</v>
      </c>
      <c r="R93" s="82">
        <v>85.62</v>
      </c>
      <c r="S93" s="82">
        <v>56.731999999999999</v>
      </c>
      <c r="T93" s="82">
        <v>28.242999999999999</v>
      </c>
      <c r="U93" s="82">
        <v>10.032999999999999</v>
      </c>
      <c r="V93" s="82">
        <v>2.2200000000000002</v>
      </c>
      <c r="W93" s="82">
        <v>0.27900000000000003</v>
      </c>
      <c r="X93" s="82">
        <v>2.7E-2</v>
      </c>
      <c r="Y93" s="82">
        <f t="shared" si="67"/>
        <v>7594.5470000000014</v>
      </c>
      <c r="Z93" s="52">
        <f t="shared" si="68"/>
        <v>98.040999999999997</v>
      </c>
      <c r="AA93" s="52">
        <f t="shared" si="69"/>
        <v>98.040999999999997</v>
      </c>
      <c r="AB93" s="52">
        <f t="shared" si="70"/>
        <v>196.08099999999999</v>
      </c>
      <c r="AC93" s="52">
        <f t="shared" si="71"/>
        <v>588.24300000000005</v>
      </c>
      <c r="AD93" s="52">
        <f t="shared" si="72"/>
        <v>1717.59</v>
      </c>
      <c r="AE93" s="52">
        <f t="shared" si="73"/>
        <v>4029.259</v>
      </c>
      <c r="AF93" s="52">
        <f t="shared" si="74"/>
        <v>579.77099999999996</v>
      </c>
      <c r="AG93" s="52">
        <f t="shared" si="75"/>
        <v>287.52199999999999</v>
      </c>
      <c r="AH93" s="52">
        <f t="shared" si="76"/>
        <v>7594.5479999999998</v>
      </c>
      <c r="AI93">
        <v>27.052</v>
      </c>
      <c r="AJ93" s="30">
        <f t="shared" si="77"/>
        <v>205447.71249599999</v>
      </c>
      <c r="AK93">
        <f t="shared" si="78"/>
        <v>196.08099999999999</v>
      </c>
      <c r="AM93" s="20" t="s">
        <v>125</v>
      </c>
      <c r="AN93" t="s">
        <v>386</v>
      </c>
      <c r="AO93" t="s">
        <v>387</v>
      </c>
      <c r="AP93" t="s">
        <v>689</v>
      </c>
      <c r="AQ93" s="55">
        <v>3507.4325433761883</v>
      </c>
      <c r="AR93" s="55">
        <v>0.71</v>
      </c>
      <c r="AS93" t="s">
        <v>125</v>
      </c>
      <c r="AT93" t="s">
        <v>1239</v>
      </c>
      <c r="AU93" t="s">
        <v>1153</v>
      </c>
      <c r="AV93">
        <v>69.644480861655893</v>
      </c>
      <c r="AW93">
        <v>71.985836527082697</v>
      </c>
      <c r="AX93">
        <v>74.500795149165498</v>
      </c>
      <c r="AY93">
        <v>79.158379736292503</v>
      </c>
      <c r="AZ93">
        <v>83.422502359156397</v>
      </c>
      <c r="BA93">
        <v>95.875659187439794</v>
      </c>
      <c r="BB93">
        <v>95.225451435491294</v>
      </c>
      <c r="BC93">
        <v>100</v>
      </c>
      <c r="BD93">
        <v>104.158333333333</v>
      </c>
      <c r="BE93">
        <v>108.866666666667</v>
      </c>
      <c r="BF93">
        <v>114.125</v>
      </c>
      <c r="BG93">
        <v>117.425</v>
      </c>
      <c r="BH93">
        <v>116.4</v>
      </c>
      <c r="BJ93" s="20" t="s">
        <v>125</v>
      </c>
      <c r="BK93" t="s">
        <v>689</v>
      </c>
      <c r="BL93">
        <v>2015</v>
      </c>
      <c r="BM93">
        <f>INDEX('Costs lists'!$C$5:$C$8,MATCH(Lists!BK93,'Costs lists'!$B$5:$B$8,0))</f>
        <v>3.2</v>
      </c>
      <c r="BN93">
        <f>INDEX('Costs lists'!$D$5:$D$8,MATCH(Lists!BK93,'Costs lists'!$B$5:$B$8,0))</f>
        <v>1.1200000000000001</v>
      </c>
      <c r="BO93">
        <f>INDEX('Costs lists'!$E$5:$E$8,MATCH(Lists!BK93,'Costs lists'!$B$5:$B$8,0))</f>
        <v>4.4400000000000004</v>
      </c>
      <c r="BW93" s="20" t="s">
        <v>125</v>
      </c>
      <c r="BX93" s="20">
        <v>2008</v>
      </c>
      <c r="BY93" s="52">
        <v>3.7646999999999995</v>
      </c>
      <c r="BZ93" s="52">
        <v>4.6482999999999999</v>
      </c>
      <c r="CA93" s="52">
        <v>5.2968999999999999</v>
      </c>
      <c r="CB93" s="52">
        <v>5.5225</v>
      </c>
      <c r="CC93" s="375">
        <f t="shared" si="99"/>
        <v>3.89113</v>
      </c>
      <c r="CD93" s="375">
        <v>46.14</v>
      </c>
      <c r="CE93" s="375">
        <v>48.13</v>
      </c>
      <c r="CF93" s="375">
        <v>62.24</v>
      </c>
      <c r="CG93" s="375">
        <f t="shared" si="97"/>
        <v>49.155000000000001</v>
      </c>
      <c r="CI93" s="20" t="s">
        <v>125</v>
      </c>
      <c r="CJ93" s="20">
        <v>2015</v>
      </c>
      <c r="CK93" s="59">
        <f t="shared" si="79"/>
        <v>4.5706186921049907</v>
      </c>
      <c r="CL93" s="59">
        <f t="shared" si="80"/>
        <v>5.643373141687686</v>
      </c>
      <c r="CM93" s="59">
        <f t="shared" si="81"/>
        <v>6.4308205568068981</v>
      </c>
      <c r="CN93" s="59">
        <f t="shared" si="82"/>
        <v>6.7047153098918413</v>
      </c>
      <c r="CO93" s="59">
        <f t="shared" si="83"/>
        <v>4.7241138766463449</v>
      </c>
      <c r="CP93" s="59">
        <f t="shared" si="84"/>
        <v>56.017304553808884</v>
      </c>
      <c r="CQ93" s="59">
        <f t="shared" si="85"/>
        <v>58.4333088030954</v>
      </c>
      <c r="CR93" s="59">
        <f t="shared" si="86"/>
        <v>75.56387159577514</v>
      </c>
      <c r="CS93" s="59">
        <f t="shared" si="87"/>
        <v>59.677733102351013</v>
      </c>
      <c r="CW93" s="20" t="s">
        <v>125</v>
      </c>
      <c r="CX93">
        <v>2014</v>
      </c>
      <c r="CY93">
        <v>7.4160829999999995</v>
      </c>
      <c r="CZ93">
        <v>1.8033535480499268</v>
      </c>
      <c r="DB93">
        <v>87072.9375</v>
      </c>
      <c r="DC93">
        <v>0.48345249891281128</v>
      </c>
      <c r="DE93">
        <f t="shared" si="88"/>
        <v>23342.970804352</v>
      </c>
      <c r="DH93" t="e">
        <f t="shared" si="89"/>
        <v>#DIV/0!</v>
      </c>
      <c r="DI93" t="e">
        <f t="shared" si="95"/>
        <v>#DIV/0!</v>
      </c>
      <c r="DJ93" t="e">
        <f t="shared" si="96"/>
        <v>#DIV/0!</v>
      </c>
      <c r="DL93" s="20" t="s">
        <v>125</v>
      </c>
      <c r="DM93" s="99"/>
      <c r="DN93" s="100"/>
      <c r="DO93" s="101"/>
      <c r="DP93" s="101"/>
      <c r="DQ93" s="101"/>
      <c r="DR93" s="101"/>
      <c r="DS93" s="101"/>
      <c r="DT93" s="101"/>
      <c r="DU93" s="101"/>
      <c r="DV93" s="101"/>
      <c r="DW93" s="101"/>
      <c r="DX93" t="e">
        <f t="shared" ca="1" si="90"/>
        <v>#N/A</v>
      </c>
      <c r="DY93" t="e">
        <f t="shared" ca="1" si="91"/>
        <v>#N/A</v>
      </c>
      <c r="DZ93" t="e">
        <f t="shared" ca="1" si="92"/>
        <v>#N/A</v>
      </c>
      <c r="EB93" s="20" t="s">
        <v>125</v>
      </c>
      <c r="EC93" s="99" t="s">
        <v>818</v>
      </c>
      <c r="ED93" s="100" t="s">
        <v>754</v>
      </c>
      <c r="EE93" s="101"/>
      <c r="EF93" s="101"/>
      <c r="EG93" s="101"/>
      <c r="EH93" s="101">
        <v>35</v>
      </c>
      <c r="EI93" s="101">
        <v>34.5</v>
      </c>
      <c r="EJ93" s="101"/>
      <c r="EK93" s="101"/>
      <c r="EL93" s="101">
        <v>32.4</v>
      </c>
      <c r="EM93" s="101">
        <v>32.1</v>
      </c>
      <c r="EN93" s="101"/>
      <c r="EO93">
        <f t="shared" ca="1" si="100"/>
        <v>32.1</v>
      </c>
      <c r="EQ93" s="20" t="s">
        <v>125</v>
      </c>
      <c r="ER93" s="20" t="e">
        <f t="shared" ca="1" si="93"/>
        <v>#N/A</v>
      </c>
      <c r="ES93" t="e">
        <f t="shared" ca="1" si="94"/>
        <v>#N/A</v>
      </c>
      <c r="EU93" s="20" t="s">
        <v>125</v>
      </c>
      <c r="EV93" s="109">
        <v>10902.47325085768</v>
      </c>
    </row>
    <row r="94" spans="1:152" x14ac:dyDescent="0.3">
      <c r="A94" s="20" t="s">
        <v>93</v>
      </c>
      <c r="B94" s="20" t="s">
        <v>257</v>
      </c>
      <c r="C94" s="81">
        <v>2015</v>
      </c>
      <c r="D94" s="82">
        <v>1948.4480000000001</v>
      </c>
      <c r="E94" s="82">
        <v>1618.9839999999999</v>
      </c>
      <c r="F94" s="82">
        <v>1141.57</v>
      </c>
      <c r="G94" s="82">
        <v>1132.587</v>
      </c>
      <c r="H94" s="82">
        <v>1506.7090000000001</v>
      </c>
      <c r="I94" s="82">
        <v>1688.126</v>
      </c>
      <c r="J94" s="82">
        <v>1362.4549999999999</v>
      </c>
      <c r="K94" s="82">
        <v>1211.4190000000001</v>
      </c>
      <c r="L94" s="82">
        <v>1137.6210000000001</v>
      </c>
      <c r="M94" s="82">
        <v>1009.98</v>
      </c>
      <c r="N94" s="82">
        <v>1115.3320000000001</v>
      </c>
      <c r="O94" s="82">
        <v>870.27800000000002</v>
      </c>
      <c r="P94" s="82">
        <v>694.52800000000002</v>
      </c>
      <c r="Q94" s="82">
        <v>373.041</v>
      </c>
      <c r="R94" s="82">
        <v>298.98599999999999</v>
      </c>
      <c r="S94" s="82">
        <v>321.47000000000003</v>
      </c>
      <c r="T94" s="82">
        <v>117.20099999999999</v>
      </c>
      <c r="U94" s="82">
        <v>61.113999999999997</v>
      </c>
      <c r="V94" s="82">
        <v>13.4</v>
      </c>
      <c r="W94" s="82">
        <v>1.677</v>
      </c>
      <c r="X94" s="82">
        <v>0.3</v>
      </c>
      <c r="Y94" s="82">
        <f t="shared" si="67"/>
        <v>17625.226000000002</v>
      </c>
      <c r="Z94" s="52">
        <f t="shared" si="68"/>
        <v>194.845</v>
      </c>
      <c r="AA94" s="52">
        <f t="shared" si="69"/>
        <v>194.845</v>
      </c>
      <c r="AB94" s="52">
        <f t="shared" si="70"/>
        <v>389.69</v>
      </c>
      <c r="AC94" s="52">
        <f t="shared" si="71"/>
        <v>1169.069</v>
      </c>
      <c r="AD94" s="52">
        <f t="shared" si="72"/>
        <v>2760.5540000000001</v>
      </c>
      <c r="AE94" s="52">
        <f t="shared" si="73"/>
        <v>9048.8970000000008</v>
      </c>
      <c r="AF94" s="52">
        <f t="shared" si="74"/>
        <v>2680.1379999999999</v>
      </c>
      <c r="AG94" s="52">
        <f t="shared" si="75"/>
        <v>1187.1890000000001</v>
      </c>
      <c r="AH94" s="52">
        <f t="shared" si="76"/>
        <v>17625.226999999999</v>
      </c>
      <c r="AI94">
        <v>23.13</v>
      </c>
      <c r="AJ94" s="30">
        <f t="shared" si="77"/>
        <v>407671.50050999998</v>
      </c>
      <c r="AK94">
        <f t="shared" si="78"/>
        <v>389.68960000000004</v>
      </c>
      <c r="AM94" s="20" t="s">
        <v>93</v>
      </c>
      <c r="AN94" t="s">
        <v>388</v>
      </c>
      <c r="AO94" t="s">
        <v>389</v>
      </c>
      <c r="AP94" t="s">
        <v>689</v>
      </c>
      <c r="AQ94" s="55">
        <v>2330360.2356709018</v>
      </c>
      <c r="AR94" s="55">
        <v>221.72833333333301</v>
      </c>
      <c r="AS94" t="s">
        <v>93</v>
      </c>
      <c r="AT94" t="s">
        <v>1240</v>
      </c>
      <c r="AU94" t="s">
        <v>1153</v>
      </c>
      <c r="AV94">
        <v>53.693923081146998</v>
      </c>
      <c r="AW94">
        <v>57.389168071619103</v>
      </c>
      <c r="AX94">
        <v>61.739266604706501</v>
      </c>
      <c r="AY94">
        <v>67.043173558559701</v>
      </c>
      <c r="AZ94">
        <v>74.262832180560693</v>
      </c>
      <c r="BA94">
        <v>87.000343696424494</v>
      </c>
      <c r="BB94">
        <v>93.356897214432095</v>
      </c>
      <c r="BC94">
        <v>100</v>
      </c>
      <c r="BD94">
        <v>108.348569185684</v>
      </c>
      <c r="BE94">
        <v>113.889199594072</v>
      </c>
      <c r="BF94">
        <v>120.53657316361399</v>
      </c>
      <c r="BG94">
        <v>128.634589689514</v>
      </c>
      <c r="BH94">
        <v>137.18388572195599</v>
      </c>
      <c r="BJ94" s="20" t="s">
        <v>93</v>
      </c>
      <c r="BK94" t="s">
        <v>689</v>
      </c>
      <c r="BL94">
        <v>2015</v>
      </c>
      <c r="BM94">
        <f>INDEX('Costs lists'!$C$5:$C$8,MATCH(Lists!BK94,'Costs lists'!$B$5:$B$8,0))</f>
        <v>3.2</v>
      </c>
      <c r="BN94">
        <f>INDEX('Costs lists'!$D$5:$D$8,MATCH(Lists!BK94,'Costs lists'!$B$5:$B$8,0))</f>
        <v>1.1200000000000001</v>
      </c>
      <c r="BO94">
        <f>INDEX('Costs lists'!$E$5:$E$8,MATCH(Lists!BK94,'Costs lists'!$B$5:$B$8,0))</f>
        <v>4.4400000000000004</v>
      </c>
      <c r="BW94" s="20" t="s">
        <v>93</v>
      </c>
      <c r="BX94" s="20">
        <v>2008</v>
      </c>
      <c r="BY94" s="52">
        <v>1414.4928</v>
      </c>
      <c r="BZ94" s="52">
        <v>1745.5635</v>
      </c>
      <c r="CA94" s="52">
        <v>1990.0325999999998</v>
      </c>
      <c r="CB94" s="52">
        <v>2073.0257999999999</v>
      </c>
      <c r="CC94" s="375">
        <f t="shared" si="99"/>
        <v>1461.8981549999999</v>
      </c>
      <c r="CD94" s="375">
        <v>116.34</v>
      </c>
      <c r="CE94" s="375">
        <v>121.38</v>
      </c>
      <c r="CF94" s="375">
        <v>156.94</v>
      </c>
      <c r="CG94" s="375">
        <f t="shared" si="97"/>
        <v>123.94666666666666</v>
      </c>
      <c r="CI94" s="20" t="s">
        <v>93</v>
      </c>
      <c r="CJ94" s="20">
        <v>2015</v>
      </c>
      <c r="CK94" s="59">
        <f t="shared" si="79"/>
        <v>2230.4005982645831</v>
      </c>
      <c r="CL94" s="59">
        <f t="shared" si="80"/>
        <v>2752.4395138022755</v>
      </c>
      <c r="CM94" s="59">
        <f t="shared" si="81"/>
        <v>3137.923290670708</v>
      </c>
      <c r="CN94" s="59">
        <f t="shared" si="82"/>
        <v>3268.7886318954156</v>
      </c>
      <c r="CO94" s="59">
        <f t="shared" si="83"/>
        <v>2305.1503121923915</v>
      </c>
      <c r="CP94" s="59">
        <f t="shared" si="84"/>
        <v>183.44724384747778</v>
      </c>
      <c r="CQ94" s="59">
        <f t="shared" si="85"/>
        <v>191.39441686614106</v>
      </c>
      <c r="CR94" s="59">
        <f t="shared" si="86"/>
        <v>247.46613760893212</v>
      </c>
      <c r="CS94" s="59">
        <f t="shared" si="87"/>
        <v>195.4415883108307</v>
      </c>
      <c r="CW94" s="20" t="s">
        <v>93</v>
      </c>
      <c r="CX94">
        <v>2014</v>
      </c>
      <c r="CY94">
        <v>17.371620999999998</v>
      </c>
      <c r="CZ94">
        <v>8.5467185974121094</v>
      </c>
      <c r="DB94">
        <v>401613.375</v>
      </c>
      <c r="DC94">
        <v>0.41554531455039978</v>
      </c>
      <c r="DE94">
        <f t="shared" si="88"/>
        <v>19526.623503499392</v>
      </c>
      <c r="DH94" t="e">
        <f t="shared" si="89"/>
        <v>#DIV/0!</v>
      </c>
      <c r="DI94" t="e">
        <f t="shared" si="95"/>
        <v>#DIV/0!</v>
      </c>
      <c r="DJ94" t="e">
        <f t="shared" si="96"/>
        <v>#DIV/0!</v>
      </c>
      <c r="DL94" s="20" t="s">
        <v>93</v>
      </c>
      <c r="DM94" s="99" t="s">
        <v>819</v>
      </c>
      <c r="DN94" s="100" t="s">
        <v>847</v>
      </c>
      <c r="DO94" s="101"/>
      <c r="DP94" s="101"/>
      <c r="DQ94" s="101"/>
      <c r="DR94" s="101"/>
      <c r="DS94" s="101">
        <v>37</v>
      </c>
      <c r="DT94" s="101">
        <v>38</v>
      </c>
      <c r="DU94" s="101">
        <v>39</v>
      </c>
      <c r="DV94" s="101"/>
      <c r="DW94" s="101">
        <v>38</v>
      </c>
      <c r="DX94">
        <f t="shared" ca="1" si="90"/>
        <v>38</v>
      </c>
      <c r="DY94">
        <f t="shared" ca="1" si="91"/>
        <v>7.6</v>
      </c>
      <c r="DZ94" t="e">
        <f t="shared" ca="1" si="92"/>
        <v>#DIV/0!</v>
      </c>
      <c r="EB94" s="20" t="s">
        <v>93</v>
      </c>
      <c r="EC94" s="99" t="s">
        <v>819</v>
      </c>
      <c r="ED94" s="100" t="s">
        <v>754</v>
      </c>
      <c r="EE94" s="101">
        <v>64.2</v>
      </c>
      <c r="EF94" s="101">
        <v>65.3</v>
      </c>
      <c r="EG94" s="101">
        <v>66.400000000000006</v>
      </c>
      <c r="EH94" s="101">
        <v>66.099999999999994</v>
      </c>
      <c r="EI94" s="101">
        <v>67.099999999999994</v>
      </c>
      <c r="EJ94" s="101">
        <v>67.8</v>
      </c>
      <c r="EK94" s="101">
        <v>68</v>
      </c>
      <c r="EL94" s="101">
        <v>68</v>
      </c>
      <c r="EM94" s="101">
        <v>68</v>
      </c>
      <c r="EN94" s="101">
        <v>0.1</v>
      </c>
      <c r="EO94">
        <f t="shared" ca="1" si="100"/>
        <v>0.1</v>
      </c>
      <c r="EQ94" s="20" t="s">
        <v>93</v>
      </c>
      <c r="ER94" s="20" t="e">
        <f t="shared" ca="1" si="93"/>
        <v>#DIV/0!</v>
      </c>
      <c r="ES94" t="e">
        <f t="shared" ca="1" si="94"/>
        <v>#DIV/0!</v>
      </c>
      <c r="EU94" s="20" t="s">
        <v>93</v>
      </c>
      <c r="EV94" s="109">
        <v>25044.878009275701</v>
      </c>
    </row>
    <row r="95" spans="1:152" x14ac:dyDescent="0.3">
      <c r="A95" s="20" t="s">
        <v>39</v>
      </c>
      <c r="B95" s="20" t="s">
        <v>632</v>
      </c>
      <c r="C95" s="81">
        <v>2015</v>
      </c>
      <c r="D95" s="82">
        <v>7166.4889999999996</v>
      </c>
      <c r="E95" s="82">
        <v>6486.9949999999999</v>
      </c>
      <c r="F95" s="82">
        <v>5645.7659999999996</v>
      </c>
      <c r="G95" s="82">
        <v>4745.817</v>
      </c>
      <c r="H95" s="82">
        <v>4214.5069999999996</v>
      </c>
      <c r="I95" s="82">
        <v>4019.6869999999999</v>
      </c>
      <c r="J95" s="82">
        <v>3439.27</v>
      </c>
      <c r="K95" s="82">
        <v>2662.8020000000001</v>
      </c>
      <c r="L95" s="82">
        <v>1951.232</v>
      </c>
      <c r="M95" s="82">
        <v>1448.865</v>
      </c>
      <c r="N95" s="82">
        <v>1182.5550000000001</v>
      </c>
      <c r="O95" s="82">
        <v>996.68299999999999</v>
      </c>
      <c r="P95" s="82">
        <v>799.1</v>
      </c>
      <c r="Q95" s="82">
        <v>544.08100000000002</v>
      </c>
      <c r="R95" s="82">
        <v>327.89400000000001</v>
      </c>
      <c r="S95" s="82">
        <v>225.006</v>
      </c>
      <c r="T95" s="82">
        <v>129.91399999999999</v>
      </c>
      <c r="U95" s="82">
        <v>49.515000000000001</v>
      </c>
      <c r="V95" s="82">
        <v>12.167</v>
      </c>
      <c r="W95" s="82">
        <v>1.8029999999999999</v>
      </c>
      <c r="X95" s="82">
        <v>0.154</v>
      </c>
      <c r="Y95" s="82">
        <f t="shared" si="67"/>
        <v>46050.301999999996</v>
      </c>
      <c r="Z95" s="52">
        <f t="shared" si="68"/>
        <v>716.649</v>
      </c>
      <c r="AA95" s="52">
        <f t="shared" si="69"/>
        <v>716.649</v>
      </c>
      <c r="AB95" s="52">
        <f t="shared" si="70"/>
        <v>1433.298</v>
      </c>
      <c r="AC95" s="52">
        <f t="shared" si="71"/>
        <v>4299.893</v>
      </c>
      <c r="AD95" s="52">
        <f t="shared" si="72"/>
        <v>12132.761</v>
      </c>
      <c r="AE95" s="52">
        <f t="shared" si="73"/>
        <v>22482.18</v>
      </c>
      <c r="AF95" s="52">
        <f t="shared" si="74"/>
        <v>2978.3380000000002</v>
      </c>
      <c r="AG95" s="52">
        <f t="shared" si="75"/>
        <v>1290.5340000000001</v>
      </c>
      <c r="AH95" s="52">
        <f t="shared" si="76"/>
        <v>46050.302000000003</v>
      </c>
      <c r="AI95">
        <v>34.636000000000003</v>
      </c>
      <c r="AJ95" s="30">
        <f t="shared" si="77"/>
        <v>1594998.2600720003</v>
      </c>
      <c r="AK95">
        <f t="shared" si="78"/>
        <v>1433.2977999999998</v>
      </c>
      <c r="AM95" s="20" t="s">
        <v>39</v>
      </c>
      <c r="AN95" t="s">
        <v>390</v>
      </c>
      <c r="AO95" t="s">
        <v>391</v>
      </c>
      <c r="AP95" t="s">
        <v>688</v>
      </c>
      <c r="AQ95" s="55">
        <v>135164.56417593092</v>
      </c>
      <c r="AR95" s="55">
        <v>98.178453326527105</v>
      </c>
      <c r="AS95" t="s">
        <v>39</v>
      </c>
      <c r="AT95" t="s">
        <v>1241</v>
      </c>
      <c r="AU95" t="s">
        <v>1153</v>
      </c>
      <c r="AV95">
        <v>45.094134653551698</v>
      </c>
      <c r="AW95">
        <v>50.335892894049202</v>
      </c>
      <c r="AX95">
        <v>55.526921962465103</v>
      </c>
      <c r="AY95">
        <v>63.552635676898198</v>
      </c>
      <c r="AZ95">
        <v>69.7546612757899</v>
      </c>
      <c r="BA95">
        <v>88.058156495553604</v>
      </c>
      <c r="BB95">
        <v>96.189557552658897</v>
      </c>
      <c r="BC95">
        <v>100</v>
      </c>
      <c r="BD95">
        <v>114.021549898838</v>
      </c>
      <c r="BE95">
        <v>124.714942204238</v>
      </c>
      <c r="BF95">
        <v>131.84648441788499</v>
      </c>
      <c r="BG95">
        <v>140.91422387427701</v>
      </c>
      <c r="BH95">
        <v>150.18977712950399</v>
      </c>
      <c r="BJ95" s="20" t="s">
        <v>39</v>
      </c>
      <c r="BK95" t="s">
        <v>688</v>
      </c>
      <c r="BL95">
        <v>2015</v>
      </c>
      <c r="BM95">
        <f>INDEX('Costs lists'!$C$5:$C$8,MATCH(Lists!BK95,'Costs lists'!$B$5:$B$8,0))</f>
        <v>5.21</v>
      </c>
      <c r="BN95">
        <f>INDEX('Costs lists'!$D$5:$D$8,MATCH(Lists!BK95,'Costs lists'!$B$5:$B$8,0))</f>
        <v>5.16</v>
      </c>
      <c r="BO95">
        <f>INDEX('Costs lists'!$E$5:$E$8,MATCH(Lists!BK95,'Costs lists'!$B$5:$B$8,0))</f>
        <v>5.26</v>
      </c>
      <c r="BW95" s="20" t="s">
        <v>39</v>
      </c>
      <c r="BX95" s="20">
        <v>2008</v>
      </c>
      <c r="BY95" s="52">
        <v>96.93859999999998</v>
      </c>
      <c r="BZ95" s="52">
        <v>119.6041</v>
      </c>
      <c r="CA95" s="52">
        <v>136.3417</v>
      </c>
      <c r="CB95" s="52">
        <v>142.2696</v>
      </c>
      <c r="CC95" s="375">
        <f t="shared" si="99"/>
        <v>100.19022749999998</v>
      </c>
      <c r="CD95" s="375">
        <v>10.74</v>
      </c>
      <c r="CE95" s="375">
        <v>11.2</v>
      </c>
      <c r="CF95" s="375">
        <v>14.49</v>
      </c>
      <c r="CG95" s="375">
        <f t="shared" si="97"/>
        <v>11.441666666666666</v>
      </c>
      <c r="CI95" s="20" t="s">
        <v>39</v>
      </c>
      <c r="CJ95" s="20">
        <v>2015</v>
      </c>
      <c r="CK95" s="59">
        <f t="shared" si="79"/>
        <v>165.33603823492808</v>
      </c>
      <c r="CL95" s="59">
        <f t="shared" si="80"/>
        <v>203.99374501647608</v>
      </c>
      <c r="CM95" s="59">
        <f t="shared" si="81"/>
        <v>232.54097463977303</v>
      </c>
      <c r="CN95" s="59">
        <f t="shared" si="82"/>
        <v>242.651451798024</v>
      </c>
      <c r="CO95" s="59">
        <f t="shared" si="83"/>
        <v>170.88193232320401</v>
      </c>
      <c r="CP95" s="59">
        <f t="shared" si="84"/>
        <v>18.317873897942906</v>
      </c>
      <c r="CQ95" s="59">
        <f t="shared" si="85"/>
        <v>19.102438329325931</v>
      </c>
      <c r="CR95" s="59">
        <f t="shared" si="86"/>
        <v>24.713779588565426</v>
      </c>
      <c r="CS95" s="59">
        <f t="shared" si="87"/>
        <v>19.514618918277161</v>
      </c>
      <c r="CW95" s="20" t="s">
        <v>39</v>
      </c>
      <c r="CX95">
        <v>2014</v>
      </c>
      <c r="CY95">
        <v>44.863582999999998</v>
      </c>
      <c r="CZ95">
        <v>17.03790283203125</v>
      </c>
      <c r="DB95">
        <v>132619.71875</v>
      </c>
      <c r="DC95">
        <v>0.42773333191871643</v>
      </c>
      <c r="DE95">
        <f t="shared" si="88"/>
        <v>3329.3929856446857</v>
      </c>
      <c r="DH95" t="e">
        <f t="shared" si="89"/>
        <v>#DIV/0!</v>
      </c>
      <c r="DI95" t="e">
        <f t="shared" si="95"/>
        <v>#DIV/0!</v>
      </c>
      <c r="DJ95" t="e">
        <f t="shared" si="96"/>
        <v>#DIV/0!</v>
      </c>
      <c r="DL95" s="20" t="s">
        <v>39</v>
      </c>
      <c r="DX95" t="e">
        <f t="shared" ca="1" si="90"/>
        <v>#N/A</v>
      </c>
      <c r="DY95" t="e">
        <f t="shared" ca="1" si="91"/>
        <v>#N/A</v>
      </c>
      <c r="DZ95" t="e">
        <f t="shared" ca="1" si="92"/>
        <v>#N/A</v>
      </c>
      <c r="EB95" s="20" t="s">
        <v>39</v>
      </c>
      <c r="EC95" s="99"/>
      <c r="ED95" s="100"/>
      <c r="EE95" s="101"/>
      <c r="EF95" s="101"/>
      <c r="EG95" s="101"/>
      <c r="EH95" s="101"/>
      <c r="EI95" s="101"/>
      <c r="EJ95" s="101"/>
      <c r="EK95" s="101"/>
      <c r="EL95" s="101"/>
      <c r="EM95" s="101"/>
      <c r="EN95" s="101"/>
      <c r="EQ95" s="20" t="s">
        <v>39</v>
      </c>
      <c r="ER95" s="20" t="e">
        <f t="shared" ca="1" si="93"/>
        <v>#N/A</v>
      </c>
      <c r="ES95" t="e">
        <f t="shared" ca="1" si="94"/>
        <v>#N/A</v>
      </c>
      <c r="EU95" s="20" t="s">
        <v>39</v>
      </c>
      <c r="EV95" s="109">
        <v>3088.7942291491331</v>
      </c>
    </row>
    <row r="96" spans="1:152" x14ac:dyDescent="0.3">
      <c r="A96" s="20" t="s">
        <v>219</v>
      </c>
      <c r="B96" s="20" t="s">
        <v>634</v>
      </c>
      <c r="C96" s="81">
        <v>2015</v>
      </c>
      <c r="D96" s="82">
        <v>14.757</v>
      </c>
      <c r="E96" s="82">
        <v>13.727</v>
      </c>
      <c r="F96" s="82">
        <v>10.804</v>
      </c>
      <c r="G96" s="82">
        <v>11.868</v>
      </c>
      <c r="H96" s="82">
        <v>10.416</v>
      </c>
      <c r="I96" s="82">
        <v>9.8279999999999994</v>
      </c>
      <c r="J96" s="82">
        <v>7.9909999999999997</v>
      </c>
      <c r="K96" s="82">
        <v>6.4020000000000001</v>
      </c>
      <c r="L96" s="82">
        <v>5.4089999999999998</v>
      </c>
      <c r="M96" s="82">
        <v>5.8280000000000003</v>
      </c>
      <c r="N96" s="82">
        <v>4.9790000000000001</v>
      </c>
      <c r="O96" s="82">
        <v>3.593</v>
      </c>
      <c r="P96" s="82">
        <v>2.657</v>
      </c>
      <c r="Q96" s="82">
        <v>1.679</v>
      </c>
      <c r="R96" s="82">
        <v>1.2070000000000001</v>
      </c>
      <c r="S96" s="82">
        <v>0.78100000000000003</v>
      </c>
      <c r="T96" s="82">
        <v>0.34899999999999998</v>
      </c>
      <c r="U96" s="82">
        <v>0.11799999999999999</v>
      </c>
      <c r="V96" s="82">
        <v>2.5999999999999999E-2</v>
      </c>
      <c r="W96" s="82">
        <v>4.0000000000000001E-3</v>
      </c>
      <c r="X96" s="82">
        <v>0</v>
      </c>
      <c r="Y96" s="82">
        <f t="shared" si="67"/>
        <v>112.42300000000002</v>
      </c>
      <c r="Z96" s="52">
        <f t="shared" si="68"/>
        <v>1.476</v>
      </c>
      <c r="AA96" s="52">
        <f t="shared" si="69"/>
        <v>1.476</v>
      </c>
      <c r="AB96" s="52">
        <f t="shared" si="70"/>
        <v>2.9510000000000001</v>
      </c>
      <c r="AC96" s="52">
        <f t="shared" si="71"/>
        <v>8.8539999999999992</v>
      </c>
      <c r="AD96" s="52">
        <f t="shared" si="72"/>
        <v>24.530999999999999</v>
      </c>
      <c r="AE96" s="52">
        <f t="shared" si="73"/>
        <v>57.741999999999997</v>
      </c>
      <c r="AF96" s="52">
        <f t="shared" si="74"/>
        <v>11.228999999999999</v>
      </c>
      <c r="AG96" s="52">
        <f t="shared" si="75"/>
        <v>4.1639999999999997</v>
      </c>
      <c r="AH96" s="52">
        <f t="shared" si="76"/>
        <v>112.423</v>
      </c>
      <c r="AI96">
        <v>28.8</v>
      </c>
      <c r="AJ96" s="30">
        <f t="shared" si="77"/>
        <v>3237.7824000000001</v>
      </c>
      <c r="AK96">
        <f t="shared" si="78"/>
        <v>2.9514</v>
      </c>
      <c r="AM96" s="20" t="s">
        <v>219</v>
      </c>
      <c r="AN96" t="s">
        <v>274</v>
      </c>
      <c r="AO96" t="s">
        <v>275</v>
      </c>
      <c r="AP96" t="s">
        <v>688</v>
      </c>
      <c r="AQ96" s="55">
        <v>1895.8602777011822</v>
      </c>
      <c r="AR96" s="55">
        <v>1.33109026245502</v>
      </c>
      <c r="AS96" t="s">
        <v>219</v>
      </c>
      <c r="AT96" t="s">
        <v>1242</v>
      </c>
      <c r="AU96" t="s">
        <v>1153</v>
      </c>
      <c r="BJ96" s="20" t="s">
        <v>219</v>
      </c>
      <c r="BK96" t="s">
        <v>688</v>
      </c>
      <c r="BL96">
        <v>2015</v>
      </c>
      <c r="BM96">
        <f>INDEX('Costs lists'!$C$5:$C$8,MATCH(Lists!BK96,'Costs lists'!$B$5:$B$8,0))</f>
        <v>5.21</v>
      </c>
      <c r="BN96">
        <f>INDEX('Costs lists'!$D$5:$D$8,MATCH(Lists!BK96,'Costs lists'!$B$5:$B$8,0))</f>
        <v>5.16</v>
      </c>
      <c r="BO96">
        <f>INDEX('Costs lists'!$E$5:$E$8,MATCH(Lists!BK96,'Costs lists'!$B$5:$B$8,0))</f>
        <v>5.26</v>
      </c>
      <c r="BW96" s="20" t="s">
        <v>219</v>
      </c>
      <c r="BX96" s="20">
        <v>2008</v>
      </c>
      <c r="BY96" s="52">
        <v>2.7608000000000001</v>
      </c>
      <c r="BZ96" s="52">
        <v>3.4068000000000001</v>
      </c>
      <c r="CA96" s="52">
        <v>3.8828000000000005</v>
      </c>
      <c r="CB96" s="52">
        <v>4.0460000000000003</v>
      </c>
      <c r="CC96" s="375">
        <f t="shared" si="99"/>
        <v>2.8532800000000003</v>
      </c>
      <c r="CD96" s="375">
        <v>18.079999999999998</v>
      </c>
      <c r="CE96" s="375">
        <v>18.86</v>
      </c>
      <c r="CF96" s="375">
        <v>24.39</v>
      </c>
      <c r="CG96" s="375">
        <f t="shared" si="97"/>
        <v>19.261666666666663</v>
      </c>
      <c r="CI96" s="20" t="s">
        <v>219</v>
      </c>
      <c r="CJ96" s="20">
        <v>2015</v>
      </c>
      <c r="CK96" s="59" t="e">
        <f t="shared" si="79"/>
        <v>#DIV/0!</v>
      </c>
      <c r="CL96" s="59" t="e">
        <f t="shared" si="80"/>
        <v>#DIV/0!</v>
      </c>
      <c r="CM96" s="59" t="e">
        <f t="shared" si="81"/>
        <v>#DIV/0!</v>
      </c>
      <c r="CN96" s="59" t="e">
        <f t="shared" si="82"/>
        <v>#DIV/0!</v>
      </c>
      <c r="CO96" s="59" t="e">
        <f t="shared" si="83"/>
        <v>#DIV/0!</v>
      </c>
      <c r="CP96" s="59" t="e">
        <f t="shared" si="84"/>
        <v>#DIV/0!</v>
      </c>
      <c r="CQ96" s="59" t="e">
        <f t="shared" si="85"/>
        <v>#DIV/0!</v>
      </c>
      <c r="CR96" s="59" t="e">
        <f t="shared" si="86"/>
        <v>#DIV/0!</v>
      </c>
      <c r="CS96" s="59" t="e">
        <f t="shared" si="87"/>
        <v>#DIV/0!</v>
      </c>
      <c r="CW96" s="20" t="s">
        <v>219</v>
      </c>
      <c r="DE96" t="e">
        <f t="shared" si="88"/>
        <v>#DIV/0!</v>
      </c>
      <c r="DH96" t="e">
        <f t="shared" si="89"/>
        <v>#DIV/0!</v>
      </c>
      <c r="DI96" t="e">
        <f t="shared" si="95"/>
        <v>#DIV/0!</v>
      </c>
      <c r="DJ96" t="e">
        <f t="shared" si="96"/>
        <v>#DIV/0!</v>
      </c>
      <c r="DL96" s="20" t="s">
        <v>219</v>
      </c>
      <c r="DX96" t="e">
        <f t="shared" ca="1" si="90"/>
        <v>#N/A</v>
      </c>
      <c r="DY96" t="e">
        <f t="shared" ca="1" si="91"/>
        <v>#N/A</v>
      </c>
      <c r="DZ96" t="e">
        <f t="shared" ca="1" si="92"/>
        <v>#N/A</v>
      </c>
      <c r="EB96" s="20" t="s">
        <v>219</v>
      </c>
      <c r="EC96" s="99"/>
      <c r="ED96" s="100"/>
      <c r="EE96" s="101"/>
      <c r="EF96" s="101"/>
      <c r="EG96" s="101"/>
      <c r="EH96" s="101"/>
      <c r="EI96" s="101"/>
      <c r="EJ96" s="101"/>
      <c r="EK96" s="101"/>
      <c r="EL96" s="101"/>
      <c r="EM96" s="101"/>
      <c r="EN96" s="101"/>
      <c r="EQ96" s="20" t="s">
        <v>219</v>
      </c>
      <c r="ER96" s="20" t="e">
        <f t="shared" ca="1" si="93"/>
        <v>#N/A</v>
      </c>
      <c r="ES96" t="e">
        <f t="shared" ca="1" si="94"/>
        <v>#N/A</v>
      </c>
      <c r="EU96" s="20" t="s">
        <v>219</v>
      </c>
      <c r="EV96" s="109">
        <v>1994.7676008582398</v>
      </c>
    </row>
    <row r="97" spans="1:152" x14ac:dyDescent="0.3">
      <c r="A97" s="20" t="s">
        <v>126</v>
      </c>
      <c r="B97" s="20" t="s">
        <v>631</v>
      </c>
      <c r="C97" s="81">
        <v>2015</v>
      </c>
      <c r="D97" s="82">
        <v>347.875</v>
      </c>
      <c r="E97" s="82">
        <v>298.13499999999999</v>
      </c>
      <c r="F97" s="82">
        <v>222.87</v>
      </c>
      <c r="G97" s="82">
        <v>222.524</v>
      </c>
      <c r="H97" s="82">
        <v>299.68299999999999</v>
      </c>
      <c r="I97" s="82">
        <v>449.40199999999999</v>
      </c>
      <c r="J97" s="82">
        <v>548.36199999999997</v>
      </c>
      <c r="K97" s="82">
        <v>463.60199999999998</v>
      </c>
      <c r="L97" s="82">
        <v>355.38900000000001</v>
      </c>
      <c r="M97" s="82">
        <v>263.82600000000002</v>
      </c>
      <c r="N97" s="82">
        <v>167.63300000000001</v>
      </c>
      <c r="O97" s="82">
        <v>119.459</v>
      </c>
      <c r="P97" s="82">
        <v>56.676000000000002</v>
      </c>
      <c r="Q97" s="82">
        <v>37.506</v>
      </c>
      <c r="R97" s="82">
        <v>18.587</v>
      </c>
      <c r="S97" s="82">
        <v>12.206</v>
      </c>
      <c r="T97" s="82">
        <v>6.6440000000000001</v>
      </c>
      <c r="U97" s="82">
        <v>1.488</v>
      </c>
      <c r="V97" s="82">
        <v>0.23400000000000001</v>
      </c>
      <c r="W97" s="82">
        <v>1.4E-2</v>
      </c>
      <c r="X97" s="82">
        <v>0</v>
      </c>
      <c r="Y97" s="82">
        <f t="shared" si="67"/>
        <v>3892.1149999999993</v>
      </c>
      <c r="Z97" s="52">
        <f t="shared" si="68"/>
        <v>34.787999999999997</v>
      </c>
      <c r="AA97" s="52">
        <f t="shared" si="69"/>
        <v>34.787999999999997</v>
      </c>
      <c r="AB97" s="52">
        <f t="shared" si="70"/>
        <v>69.575000000000003</v>
      </c>
      <c r="AC97" s="52">
        <f t="shared" si="71"/>
        <v>208.72499999999999</v>
      </c>
      <c r="AD97" s="52">
        <f t="shared" si="72"/>
        <v>521.005</v>
      </c>
      <c r="AE97" s="52">
        <f t="shared" si="73"/>
        <v>2602.788</v>
      </c>
      <c r="AF97" s="52">
        <f t="shared" si="74"/>
        <v>343.76799999999997</v>
      </c>
      <c r="AG97" s="52">
        <f t="shared" si="75"/>
        <v>76.679000000000002</v>
      </c>
      <c r="AH97" s="52">
        <f t="shared" si="76"/>
        <v>3892.116</v>
      </c>
      <c r="AI97">
        <v>20.064</v>
      </c>
      <c r="AJ97" s="30">
        <f t="shared" si="77"/>
        <v>78091.415424000006</v>
      </c>
      <c r="AK97">
        <f t="shared" si="78"/>
        <v>69.575000000000003</v>
      </c>
      <c r="AM97" s="20" t="s">
        <v>126</v>
      </c>
      <c r="AN97" t="s">
        <v>392</v>
      </c>
      <c r="AO97" t="s">
        <v>393</v>
      </c>
      <c r="AP97" t="s">
        <v>690</v>
      </c>
      <c r="AQ97" s="55">
        <v>8816.5431905275145</v>
      </c>
      <c r="AR97" s="55">
        <v>0.30085202500000002</v>
      </c>
      <c r="AS97" t="s">
        <v>126</v>
      </c>
      <c r="AT97" t="s">
        <v>1244</v>
      </c>
      <c r="AU97" t="s">
        <v>1153</v>
      </c>
      <c r="AV97">
        <v>72.169383923901293</v>
      </c>
      <c r="AW97">
        <v>73.070465185832006</v>
      </c>
      <c r="AX97">
        <v>76.097756901960494</v>
      </c>
      <c r="AY97">
        <v>78.424075521211805</v>
      </c>
      <c r="AZ97">
        <v>82.7255967203686</v>
      </c>
      <c r="BA97">
        <v>91.480206540447497</v>
      </c>
      <c r="BB97">
        <v>95.697074010327</v>
      </c>
      <c r="BC97">
        <v>100</v>
      </c>
      <c r="BD97">
        <v>104.90533562822699</v>
      </c>
      <c r="BE97">
        <v>108.261617900172</v>
      </c>
      <c r="BF97">
        <v>111.18760757315</v>
      </c>
      <c r="BG97">
        <v>114.421944922547</v>
      </c>
      <c r="BH97">
        <v>118.165490533563</v>
      </c>
      <c r="BJ97" s="20" t="s">
        <v>126</v>
      </c>
      <c r="BK97" t="s">
        <v>690</v>
      </c>
      <c r="BL97">
        <v>2015</v>
      </c>
      <c r="BM97">
        <f>INDEX('Costs lists'!$C$5:$C$8,MATCH(Lists!BK97,'Costs lists'!$B$5:$B$8,0))</f>
        <v>3.55</v>
      </c>
      <c r="BN97">
        <f>INDEX('Costs lists'!$D$5:$D$8,MATCH(Lists!BK97,'Costs lists'!$B$5:$B$8,0))</f>
        <v>2.91</v>
      </c>
      <c r="BO97">
        <f>INDEX('Costs lists'!$E$5:$E$8,MATCH(Lists!BK97,'Costs lists'!$B$5:$B$8,0))</f>
        <v>7.59</v>
      </c>
      <c r="BW97" s="20" t="s">
        <v>126</v>
      </c>
      <c r="BX97" s="20">
        <v>2008</v>
      </c>
      <c r="BY97" s="52">
        <v>15.610699999999998</v>
      </c>
      <c r="BZ97" s="52">
        <v>19.273399999999995</v>
      </c>
      <c r="CA97" s="52">
        <v>21.964599999999997</v>
      </c>
      <c r="CB97" s="52">
        <v>22.889700000000001</v>
      </c>
      <c r="CC97" s="375">
        <f t="shared" si="99"/>
        <v>16.134657499999999</v>
      </c>
      <c r="CD97" s="375">
        <v>636.9</v>
      </c>
      <c r="CE97" s="375">
        <v>664.44</v>
      </c>
      <c r="CF97" s="375">
        <v>859.15</v>
      </c>
      <c r="CG97" s="375">
        <f t="shared" si="97"/>
        <v>678.53166666666652</v>
      </c>
      <c r="CI97" s="20" t="s">
        <v>126</v>
      </c>
      <c r="CJ97" s="20">
        <v>2015</v>
      </c>
      <c r="CK97" s="59">
        <f t="shared" si="79"/>
        <v>20.164427834524961</v>
      </c>
      <c r="CL97" s="59">
        <f t="shared" si="80"/>
        <v>24.895557753715934</v>
      </c>
      <c r="CM97" s="59">
        <f t="shared" si="81"/>
        <v>28.371795730762038</v>
      </c>
      <c r="CN97" s="59">
        <f t="shared" si="82"/>
        <v>29.566752535371641</v>
      </c>
      <c r="CO97" s="59">
        <f t="shared" si="83"/>
        <v>20.841226645411606</v>
      </c>
      <c r="CP97" s="59">
        <f t="shared" si="84"/>
        <v>822.68726500470495</v>
      </c>
      <c r="CQ97" s="59">
        <f t="shared" si="85"/>
        <v>858.26083586077289</v>
      </c>
      <c r="CR97" s="59">
        <f t="shared" si="86"/>
        <v>1109.7688235653827</v>
      </c>
      <c r="CS97" s="59">
        <f t="shared" si="87"/>
        <v>876.46311990749575</v>
      </c>
      <c r="CW97" s="20" t="s">
        <v>126</v>
      </c>
      <c r="CX97">
        <v>2014</v>
      </c>
      <c r="CY97">
        <v>3.7531209999999997</v>
      </c>
      <c r="CZ97">
        <v>1.8796588182449341</v>
      </c>
      <c r="DB97">
        <v>253080.765625</v>
      </c>
      <c r="DC97">
        <v>0.2453470379114151</v>
      </c>
      <c r="DE97">
        <f t="shared" si="88"/>
        <v>33033.982335381297</v>
      </c>
      <c r="DH97" t="e">
        <f t="shared" si="89"/>
        <v>#DIV/0!</v>
      </c>
      <c r="DI97" t="e">
        <f t="shared" si="95"/>
        <v>#DIV/0!</v>
      </c>
      <c r="DJ97" t="e">
        <f t="shared" si="96"/>
        <v>#DIV/0!</v>
      </c>
      <c r="DL97" s="20" t="s">
        <v>126</v>
      </c>
      <c r="DX97" t="e">
        <f t="shared" ca="1" si="90"/>
        <v>#N/A</v>
      </c>
      <c r="DY97" t="e">
        <f t="shared" ca="1" si="91"/>
        <v>#N/A</v>
      </c>
      <c r="DZ97" t="e">
        <f t="shared" ca="1" si="92"/>
        <v>#N/A</v>
      </c>
      <c r="EB97" s="20" t="s">
        <v>126</v>
      </c>
      <c r="EC97" s="99" t="s">
        <v>784</v>
      </c>
      <c r="ED97" s="100" t="s">
        <v>754</v>
      </c>
      <c r="EE97" s="101"/>
      <c r="EF97" s="101"/>
      <c r="EG97" s="101">
        <v>75.900000000000006</v>
      </c>
      <c r="EH97" s="101">
        <v>75.2</v>
      </c>
      <c r="EI97" s="101">
        <v>75.5</v>
      </c>
      <c r="EJ97" s="101"/>
      <c r="EK97" s="101"/>
      <c r="EL97" s="101"/>
      <c r="EM97" s="101"/>
      <c r="EN97" s="101"/>
      <c r="EO97">
        <f ca="1">OFFSET(EE97,0,MATCH(MAX(EE97:EN97)+1,EE97:EN97,1)-1)</f>
        <v>75.5</v>
      </c>
      <c r="EQ97" s="20" t="s">
        <v>126</v>
      </c>
      <c r="ER97" s="20" t="e">
        <f t="shared" ca="1" si="93"/>
        <v>#N/A</v>
      </c>
      <c r="ES97" t="e">
        <f t="shared" ca="1" si="94"/>
        <v>#N/A</v>
      </c>
      <c r="EU97" s="20" t="s">
        <v>126</v>
      </c>
      <c r="EV97" s="109">
        <v>74645.482463610359</v>
      </c>
    </row>
    <row r="98" spans="1:152" x14ac:dyDescent="0.3">
      <c r="A98" s="20" t="s">
        <v>94</v>
      </c>
      <c r="B98" s="20" t="s">
        <v>257</v>
      </c>
      <c r="C98" s="81">
        <v>2015</v>
      </c>
      <c r="D98" s="82">
        <v>780.36800000000005</v>
      </c>
      <c r="E98" s="82">
        <v>601.89</v>
      </c>
      <c r="F98" s="82">
        <v>482.988</v>
      </c>
      <c r="G98" s="82">
        <v>520.26199999999994</v>
      </c>
      <c r="H98" s="82">
        <v>569.68700000000001</v>
      </c>
      <c r="I98" s="82">
        <v>588.64400000000001</v>
      </c>
      <c r="J98" s="82">
        <v>439.01799999999997</v>
      </c>
      <c r="K98" s="82">
        <v>361.11700000000002</v>
      </c>
      <c r="L98" s="82">
        <v>335.54700000000003</v>
      </c>
      <c r="M98" s="82">
        <v>299.70600000000002</v>
      </c>
      <c r="N98" s="82">
        <v>307.59100000000001</v>
      </c>
      <c r="O98" s="82">
        <v>233.27699999999999</v>
      </c>
      <c r="P98" s="82">
        <v>168.79400000000001</v>
      </c>
      <c r="Q98" s="82">
        <v>81.924999999999997</v>
      </c>
      <c r="R98" s="82">
        <v>54.094999999999999</v>
      </c>
      <c r="S98" s="82">
        <v>59.692999999999998</v>
      </c>
      <c r="T98" s="82">
        <v>38.526000000000003</v>
      </c>
      <c r="U98" s="82">
        <v>13.037000000000001</v>
      </c>
      <c r="V98" s="82">
        <v>3.43</v>
      </c>
      <c r="W98" s="82">
        <v>0.33300000000000002</v>
      </c>
      <c r="X98" s="82">
        <v>3.4000000000000002E-2</v>
      </c>
      <c r="Y98" s="82">
        <f t="shared" si="67"/>
        <v>5939.9620000000014</v>
      </c>
      <c r="Z98" s="52">
        <f t="shared" si="68"/>
        <v>78.037000000000006</v>
      </c>
      <c r="AA98" s="52">
        <f t="shared" si="69"/>
        <v>78.037000000000006</v>
      </c>
      <c r="AB98" s="52">
        <f t="shared" si="70"/>
        <v>156.07400000000001</v>
      </c>
      <c r="AC98" s="52">
        <f t="shared" si="71"/>
        <v>468.221</v>
      </c>
      <c r="AD98" s="52">
        <f t="shared" si="72"/>
        <v>1084.8779999999999</v>
      </c>
      <c r="AE98" s="52">
        <f t="shared" si="73"/>
        <v>3113.9810000000002</v>
      </c>
      <c r="AF98" s="52">
        <f t="shared" si="74"/>
        <v>709.66200000000003</v>
      </c>
      <c r="AG98" s="52">
        <f t="shared" si="75"/>
        <v>251.07300000000001</v>
      </c>
      <c r="AH98" s="52">
        <f t="shared" si="76"/>
        <v>5939.9630000000006</v>
      </c>
      <c r="AI98">
        <v>27.7</v>
      </c>
      <c r="AJ98" s="30">
        <f t="shared" si="77"/>
        <v>164536.97510000001</v>
      </c>
      <c r="AK98">
        <f t="shared" si="78"/>
        <v>156.0736</v>
      </c>
      <c r="AM98" s="20" t="s">
        <v>94</v>
      </c>
      <c r="AN98" t="s">
        <v>394</v>
      </c>
      <c r="AO98" t="s">
        <v>395</v>
      </c>
      <c r="AP98" t="s">
        <v>688</v>
      </c>
      <c r="AQ98" s="55">
        <v>71116.7721465863</v>
      </c>
      <c r="AR98" s="55">
        <v>64.462108272529406</v>
      </c>
      <c r="AS98" t="s">
        <v>1127</v>
      </c>
      <c r="AT98" t="s">
        <v>1245</v>
      </c>
      <c r="AU98" t="s">
        <v>1153</v>
      </c>
      <c r="AV98">
        <v>55.065972770028601</v>
      </c>
      <c r="AW98">
        <v>57.3296323418529</v>
      </c>
      <c r="AX98">
        <v>59.826252603282299</v>
      </c>
      <c r="AY98">
        <v>63.153311281189602</v>
      </c>
      <c r="AZ98">
        <v>69.579313121126006</v>
      </c>
      <c r="BA98">
        <v>86.643088248892695</v>
      </c>
      <c r="BB98">
        <v>92.620273828765306</v>
      </c>
      <c r="BC98">
        <v>100</v>
      </c>
      <c r="BD98">
        <v>116.495884722496</v>
      </c>
      <c r="BE98">
        <v>119.626160955218</v>
      </c>
      <c r="BF98">
        <v>127.52930601176099</v>
      </c>
      <c r="BG98">
        <v>137.137679303802</v>
      </c>
      <c r="BH98">
        <v>146.056179223269</v>
      </c>
      <c r="BJ98" s="20" t="s">
        <v>94</v>
      </c>
      <c r="BK98" t="s">
        <v>688</v>
      </c>
      <c r="BL98">
        <v>2015</v>
      </c>
      <c r="BM98">
        <f>INDEX('Costs lists'!$C$5:$C$8,MATCH(Lists!BK98,'Costs lists'!$B$5:$B$8,0))</f>
        <v>5.21</v>
      </c>
      <c r="BN98">
        <f>INDEX('Costs lists'!$D$5:$D$8,MATCH(Lists!BK98,'Costs lists'!$B$5:$B$8,0))</f>
        <v>5.16</v>
      </c>
      <c r="BO98">
        <f>INDEX('Costs lists'!$E$5:$E$8,MATCH(Lists!BK98,'Costs lists'!$B$5:$B$8,0))</f>
        <v>5.26</v>
      </c>
      <c r="BW98" s="20" t="s">
        <v>94</v>
      </c>
      <c r="BX98" s="20">
        <v>2008</v>
      </c>
      <c r="BY98" s="52">
        <v>59.495999999999995</v>
      </c>
      <c r="BZ98" s="52">
        <v>73.485599999999991</v>
      </c>
      <c r="CA98" s="52">
        <v>83.776799999999994</v>
      </c>
      <c r="CB98" s="52">
        <v>87.153599999999983</v>
      </c>
      <c r="CC98" s="375">
        <f t="shared" si="99"/>
        <v>61.493940000000002</v>
      </c>
      <c r="CD98" s="375">
        <v>15.91</v>
      </c>
      <c r="CE98" s="375">
        <v>16.59</v>
      </c>
      <c r="CF98" s="375">
        <v>21.46</v>
      </c>
      <c r="CG98" s="375">
        <f t="shared" si="97"/>
        <v>16.948333333333334</v>
      </c>
      <c r="CI98" s="20" t="s">
        <v>94</v>
      </c>
      <c r="CJ98" s="20">
        <v>2015</v>
      </c>
      <c r="CK98" s="59">
        <f t="shared" si="79"/>
        <v>100.29372930596881</v>
      </c>
      <c r="CL98" s="59">
        <f t="shared" si="80"/>
        <v>123.87630889953445</v>
      </c>
      <c r="CM98" s="59">
        <f t="shared" si="81"/>
        <v>141.22441342813448</v>
      </c>
      <c r="CN98" s="59">
        <f t="shared" si="82"/>
        <v>146.91676022658132</v>
      </c>
      <c r="CO98" s="59">
        <f t="shared" si="83"/>
        <v>103.66170116171656</v>
      </c>
      <c r="CP98" s="59">
        <f t="shared" si="84"/>
        <v>26.819840548237931</v>
      </c>
      <c r="CQ98" s="59">
        <f t="shared" si="85"/>
        <v>27.966131659036286</v>
      </c>
      <c r="CR98" s="59">
        <f t="shared" si="86"/>
        <v>36.175598879018608</v>
      </c>
      <c r="CS98" s="59">
        <f t="shared" si="87"/>
        <v>28.570182121834439</v>
      </c>
      <c r="CW98" s="20" t="s">
        <v>94</v>
      </c>
      <c r="CX98">
        <v>2014</v>
      </c>
      <c r="CY98">
        <v>5.8436170000000001</v>
      </c>
      <c r="CZ98">
        <v>2.3185799121856689</v>
      </c>
      <c r="DB98">
        <v>32719.66015625</v>
      </c>
      <c r="DC98">
        <v>0.56301587820053101</v>
      </c>
      <c r="DE98">
        <f t="shared" si="88"/>
        <v>7945.2461830087796</v>
      </c>
      <c r="DH98" t="e">
        <f t="shared" si="89"/>
        <v>#DIV/0!</v>
      </c>
      <c r="DI98" t="e">
        <f t="shared" si="95"/>
        <v>#DIV/0!</v>
      </c>
      <c r="DJ98" t="e">
        <f t="shared" si="96"/>
        <v>#DIV/0!</v>
      </c>
      <c r="DL98" s="20" t="s">
        <v>94</v>
      </c>
      <c r="DM98" s="99" t="s">
        <v>818</v>
      </c>
      <c r="DN98" s="100" t="s">
        <v>847</v>
      </c>
      <c r="DO98" s="101"/>
      <c r="DP98" s="101"/>
      <c r="DQ98" s="101">
        <v>34.1</v>
      </c>
      <c r="DR98" s="101">
        <v>34.299999999999997</v>
      </c>
      <c r="DS98" s="101">
        <v>34.5</v>
      </c>
      <c r="DT98" s="101">
        <v>34.5</v>
      </c>
      <c r="DU98" s="101">
        <v>34.6</v>
      </c>
      <c r="DV98" s="101">
        <v>34.9</v>
      </c>
      <c r="DW98" s="101">
        <v>35.700000000000003</v>
      </c>
      <c r="DX98">
        <f t="shared" ca="1" si="90"/>
        <v>35.700000000000003</v>
      </c>
      <c r="DY98">
        <f t="shared" ca="1" si="91"/>
        <v>7.1400000000000006</v>
      </c>
      <c r="DZ98" t="e">
        <f t="shared" ca="1" si="92"/>
        <v>#DIV/0!</v>
      </c>
      <c r="EB98" s="20" t="s">
        <v>94</v>
      </c>
      <c r="EC98" s="99" t="s">
        <v>818</v>
      </c>
      <c r="ED98" s="100" t="s">
        <v>754</v>
      </c>
      <c r="EE98" s="101">
        <v>60.1</v>
      </c>
      <c r="EF98" s="101">
        <v>59.5</v>
      </c>
      <c r="EG98" s="101">
        <v>59.6</v>
      </c>
      <c r="EH98" s="101">
        <v>58.5</v>
      </c>
      <c r="EI98" s="101">
        <v>58.7</v>
      </c>
      <c r="EJ98" s="101">
        <v>59.3</v>
      </c>
      <c r="EK98" s="101">
        <v>58.8</v>
      </c>
      <c r="EL98" s="101">
        <v>57.2</v>
      </c>
      <c r="EM98" s="101">
        <v>57.3</v>
      </c>
      <c r="EN98" s="101">
        <v>57.7</v>
      </c>
      <c r="EO98">
        <f ca="1">OFFSET(EE98,0,MATCH(MAX(EE98:EN98)+1,EE98:EN98,1)-1)</f>
        <v>57.7</v>
      </c>
      <c r="EQ98" s="20" t="s">
        <v>94</v>
      </c>
      <c r="ER98" s="20" t="e">
        <f t="shared" ca="1" si="93"/>
        <v>#DIV/0!</v>
      </c>
      <c r="ES98" t="e">
        <f t="shared" ca="1" si="94"/>
        <v>#DIV/0!</v>
      </c>
      <c r="EU98" s="20" t="s">
        <v>94</v>
      </c>
      <c r="EV98" s="109">
        <v>3433.6225218395875</v>
      </c>
    </row>
    <row r="99" spans="1:152" x14ac:dyDescent="0.3">
      <c r="A99" s="20" t="s">
        <v>110</v>
      </c>
      <c r="B99" s="20" t="s">
        <v>634</v>
      </c>
      <c r="C99" s="81">
        <v>2015</v>
      </c>
      <c r="D99" s="82">
        <v>838.8</v>
      </c>
      <c r="E99" s="82">
        <v>795.654</v>
      </c>
      <c r="F99" s="82">
        <v>730.58299999999997</v>
      </c>
      <c r="G99" s="82">
        <v>753.32899999999995</v>
      </c>
      <c r="H99" s="82">
        <v>756.803</v>
      </c>
      <c r="I99" s="82">
        <v>627.92499999999995</v>
      </c>
      <c r="J99" s="82">
        <v>482.68900000000002</v>
      </c>
      <c r="K99" s="82">
        <v>385.23399999999998</v>
      </c>
      <c r="L99" s="82">
        <v>325.72500000000002</v>
      </c>
      <c r="M99" s="82">
        <v>273.68099999999998</v>
      </c>
      <c r="N99" s="82">
        <v>234.27500000000001</v>
      </c>
      <c r="O99" s="82">
        <v>189.928</v>
      </c>
      <c r="P99" s="82">
        <v>148.19999999999999</v>
      </c>
      <c r="Q99" s="82">
        <v>104.376</v>
      </c>
      <c r="R99" s="82">
        <v>72.28</v>
      </c>
      <c r="S99" s="82">
        <v>47.393000000000001</v>
      </c>
      <c r="T99" s="82">
        <v>24.149000000000001</v>
      </c>
      <c r="U99" s="82">
        <v>8.827</v>
      </c>
      <c r="V99" s="82">
        <v>1.921</v>
      </c>
      <c r="W99" s="82">
        <v>0.23499999999999999</v>
      </c>
      <c r="X99" s="82">
        <v>1.6E-2</v>
      </c>
      <c r="Y99" s="82">
        <f t="shared" si="67"/>
        <v>6802.0230000000001</v>
      </c>
      <c r="Z99" s="52">
        <f t="shared" si="68"/>
        <v>83.88</v>
      </c>
      <c r="AA99" s="52">
        <f t="shared" si="69"/>
        <v>83.88</v>
      </c>
      <c r="AB99" s="52">
        <f t="shared" si="70"/>
        <v>167.76</v>
      </c>
      <c r="AC99" s="52">
        <f t="shared" si="71"/>
        <v>503.28</v>
      </c>
      <c r="AD99" s="52">
        <f t="shared" si="72"/>
        <v>1526.2370000000001</v>
      </c>
      <c r="AE99" s="52">
        <f t="shared" si="73"/>
        <v>3605.386</v>
      </c>
      <c r="AF99" s="52">
        <f t="shared" si="74"/>
        <v>572.40300000000002</v>
      </c>
      <c r="AG99" s="52">
        <f t="shared" si="75"/>
        <v>259.197</v>
      </c>
      <c r="AH99" s="52">
        <f t="shared" si="76"/>
        <v>6802.023000000001</v>
      </c>
      <c r="AI99">
        <v>26.666</v>
      </c>
      <c r="AJ99" s="30">
        <f t="shared" si="77"/>
        <v>181382.74531800003</v>
      </c>
      <c r="AK99">
        <f t="shared" si="78"/>
        <v>167.76</v>
      </c>
      <c r="AM99" s="20" t="s">
        <v>110</v>
      </c>
      <c r="AN99" t="s">
        <v>396</v>
      </c>
      <c r="AO99" t="s">
        <v>397</v>
      </c>
      <c r="AP99" t="s">
        <v>688</v>
      </c>
      <c r="AQ99" s="55">
        <v>14816489.009475563</v>
      </c>
      <c r="AR99" s="55">
        <v>8147.9058333333296</v>
      </c>
      <c r="AS99" t="s">
        <v>1128</v>
      </c>
      <c r="AT99" t="s">
        <v>1246</v>
      </c>
      <c r="AU99" t="s">
        <v>1153</v>
      </c>
      <c r="AV99">
        <v>66.317012895976404</v>
      </c>
      <c r="AW99">
        <v>73.255275673464197</v>
      </c>
      <c r="AX99">
        <v>78.5043220891082</v>
      </c>
      <c r="AY99">
        <v>83.844334749380394</v>
      </c>
      <c r="AZ99">
        <v>87.636025093576905</v>
      </c>
      <c r="BA99">
        <v>94.322044763087504</v>
      </c>
      <c r="BB99">
        <v>94.355335132689206</v>
      </c>
      <c r="BC99">
        <v>100</v>
      </c>
      <c r="BD99">
        <v>107.57692405309599</v>
      </c>
      <c r="BE99">
        <v>112.156411536281</v>
      </c>
      <c r="BF99">
        <v>119.29509902623499</v>
      </c>
      <c r="BG99">
        <v>124.228221419446</v>
      </c>
      <c r="BH99">
        <v>125.81365639884601</v>
      </c>
      <c r="BJ99" s="20" t="s">
        <v>110</v>
      </c>
      <c r="BK99" t="s">
        <v>688</v>
      </c>
      <c r="BL99">
        <v>2015</v>
      </c>
      <c r="BM99">
        <f>INDEX('Costs lists'!$C$5:$C$8,MATCH(Lists!BK99,'Costs lists'!$B$5:$B$8,0))</f>
        <v>5.21</v>
      </c>
      <c r="BN99">
        <f>INDEX('Costs lists'!$D$5:$D$8,MATCH(Lists!BK99,'Costs lists'!$B$5:$B$8,0))</f>
        <v>5.16</v>
      </c>
      <c r="BO99">
        <f>INDEX('Costs lists'!$E$5:$E$8,MATCH(Lists!BK99,'Costs lists'!$B$5:$B$8,0))</f>
        <v>5.26</v>
      </c>
      <c r="BW99" s="20" t="s">
        <v>110</v>
      </c>
      <c r="BX99" s="20">
        <v>2008</v>
      </c>
      <c r="BY99" s="52">
        <v>12847.084800000001</v>
      </c>
      <c r="BZ99" s="52">
        <v>15859.2544</v>
      </c>
      <c r="CA99" s="52">
        <v>18073.017599999999</v>
      </c>
      <c r="CB99" s="52">
        <v>18835.132799999999</v>
      </c>
      <c r="CC99" s="375">
        <f t="shared" si="99"/>
        <v>13278.042800000001</v>
      </c>
      <c r="CD99" s="375">
        <v>14.97</v>
      </c>
      <c r="CE99" s="375">
        <v>15.61</v>
      </c>
      <c r="CF99" s="375">
        <v>20.190000000000001</v>
      </c>
      <c r="CG99" s="375">
        <f t="shared" si="97"/>
        <v>15.946666666666667</v>
      </c>
      <c r="CI99" s="20" t="s">
        <v>110</v>
      </c>
      <c r="CJ99" s="20">
        <v>2015</v>
      </c>
      <c r="CK99" s="59">
        <f t="shared" si="79"/>
        <v>17136.383300572634</v>
      </c>
      <c r="CL99" s="59">
        <f t="shared" si="80"/>
        <v>21154.235882345314</v>
      </c>
      <c r="CM99" s="59">
        <f t="shared" si="81"/>
        <v>24107.115490636079</v>
      </c>
      <c r="CN99" s="59">
        <f t="shared" si="82"/>
        <v>25123.680601686996</v>
      </c>
      <c r="CO99" s="59">
        <f t="shared" si="83"/>
        <v>17711.226666940714</v>
      </c>
      <c r="CP99" s="59">
        <f t="shared" si="84"/>
        <v>19.968083187990814</v>
      </c>
      <c r="CQ99" s="59">
        <f t="shared" si="85"/>
        <v>20.821762095159425</v>
      </c>
      <c r="CR99" s="59">
        <f t="shared" si="86"/>
        <v>26.930901774584807</v>
      </c>
      <c r="CS99" s="59">
        <f t="shared" si="87"/>
        <v>21.270832770284581</v>
      </c>
      <c r="CW99" s="20" t="s">
        <v>110</v>
      </c>
      <c r="CX99">
        <v>2014</v>
      </c>
      <c r="CY99">
        <v>6.6892999999999994</v>
      </c>
      <c r="CZ99">
        <v>3.299468994140625</v>
      </c>
      <c r="DB99">
        <v>37900.55078125</v>
      </c>
      <c r="DC99">
        <v>0.46892496943473816</v>
      </c>
      <c r="DE99">
        <f t="shared" si="88"/>
        <v>5386.4772326149414</v>
      </c>
      <c r="DH99" t="e">
        <f t="shared" si="89"/>
        <v>#DIV/0!</v>
      </c>
      <c r="DI99" t="e">
        <f t="shared" si="95"/>
        <v>#DIV/0!</v>
      </c>
      <c r="DJ99" t="e">
        <f t="shared" si="96"/>
        <v>#DIV/0!</v>
      </c>
      <c r="DL99" s="20" t="s">
        <v>110</v>
      </c>
      <c r="DM99" s="99"/>
      <c r="DN99" s="100"/>
      <c r="DO99" s="101"/>
      <c r="DP99" s="101"/>
      <c r="DQ99" s="101"/>
      <c r="DR99" s="101"/>
      <c r="DS99" s="101"/>
      <c r="DT99" s="101"/>
      <c r="DU99" s="101"/>
      <c r="DV99" s="101"/>
      <c r="DW99" s="101"/>
      <c r="DX99" t="e">
        <f t="shared" ca="1" si="90"/>
        <v>#N/A</v>
      </c>
      <c r="DY99" t="e">
        <f t="shared" ca="1" si="91"/>
        <v>#N/A</v>
      </c>
      <c r="DZ99" t="e">
        <f t="shared" ca="1" si="92"/>
        <v>#N/A</v>
      </c>
      <c r="EB99" s="20" t="s">
        <v>110</v>
      </c>
      <c r="EC99" s="99"/>
      <c r="ED99" s="100"/>
      <c r="EE99" s="101"/>
      <c r="EF99" s="101"/>
      <c r="EG99" s="101"/>
      <c r="EH99" s="101"/>
      <c r="EI99" s="101"/>
      <c r="EJ99" s="101"/>
      <c r="EK99" s="101"/>
      <c r="EL99" s="101"/>
      <c r="EM99" s="101"/>
      <c r="EN99" s="101"/>
      <c r="EQ99" s="20" t="s">
        <v>110</v>
      </c>
      <c r="ER99" s="20" t="e">
        <f t="shared" ca="1" si="93"/>
        <v>#N/A</v>
      </c>
      <c r="ES99" t="e">
        <f t="shared" ca="1" si="94"/>
        <v>#N/A</v>
      </c>
      <c r="EU99" s="20" t="s">
        <v>110</v>
      </c>
      <c r="EV99" s="109">
        <v>5691.2578186349992</v>
      </c>
    </row>
    <row r="100" spans="1:152" x14ac:dyDescent="0.3">
      <c r="A100" s="20" t="s">
        <v>151</v>
      </c>
      <c r="B100" s="20" t="s">
        <v>257</v>
      </c>
      <c r="C100" s="81">
        <v>2015</v>
      </c>
      <c r="D100" s="82">
        <v>95.102999999999994</v>
      </c>
      <c r="E100" s="82">
        <v>107.068</v>
      </c>
      <c r="F100" s="82">
        <v>91.87</v>
      </c>
      <c r="G100" s="82">
        <v>79.649000000000001</v>
      </c>
      <c r="H100" s="82">
        <v>125.45399999999999</v>
      </c>
      <c r="I100" s="82">
        <v>146.78800000000001</v>
      </c>
      <c r="J100" s="82">
        <v>133.083</v>
      </c>
      <c r="K100" s="82">
        <v>127.126</v>
      </c>
      <c r="L100" s="82">
        <v>137.22999999999999</v>
      </c>
      <c r="M100" s="82">
        <v>129.726</v>
      </c>
      <c r="N100" s="82">
        <v>148.90299999999999</v>
      </c>
      <c r="O100" s="82">
        <v>142.92599999999999</v>
      </c>
      <c r="P100" s="82">
        <v>123.934</v>
      </c>
      <c r="Q100" s="82">
        <v>95.051000000000002</v>
      </c>
      <c r="R100" s="82">
        <v>101.67700000000001</v>
      </c>
      <c r="S100" s="82">
        <v>85.566999999999993</v>
      </c>
      <c r="T100" s="82">
        <v>57.128</v>
      </c>
      <c r="U100" s="82">
        <v>31.172000000000001</v>
      </c>
      <c r="V100" s="82">
        <v>9.548</v>
      </c>
      <c r="W100" s="82">
        <v>1.325</v>
      </c>
      <c r="X100" s="82">
        <v>0.17499999999999999</v>
      </c>
      <c r="Y100" s="82">
        <f t="shared" si="67"/>
        <v>1970.5029999999995</v>
      </c>
      <c r="Z100" s="52">
        <f t="shared" si="68"/>
        <v>9.51</v>
      </c>
      <c r="AA100" s="52">
        <f t="shared" si="69"/>
        <v>9.51</v>
      </c>
      <c r="AB100" s="52">
        <f t="shared" si="70"/>
        <v>19.021000000000001</v>
      </c>
      <c r="AC100" s="52">
        <f t="shared" si="71"/>
        <v>57.061999999999998</v>
      </c>
      <c r="AD100" s="52">
        <f t="shared" si="72"/>
        <v>198.93799999999999</v>
      </c>
      <c r="AE100" s="52">
        <f t="shared" si="73"/>
        <v>879.05600000000004</v>
      </c>
      <c r="AF100" s="52">
        <f t="shared" si="74"/>
        <v>415.76299999999998</v>
      </c>
      <c r="AG100" s="52">
        <f t="shared" si="75"/>
        <v>381.64299999999997</v>
      </c>
      <c r="AH100" s="52">
        <f t="shared" si="76"/>
        <v>1970.5029999999999</v>
      </c>
      <c r="AI100">
        <v>10.9</v>
      </c>
      <c r="AJ100" s="30">
        <f t="shared" si="77"/>
        <v>21478.4827</v>
      </c>
      <c r="AK100">
        <f t="shared" si="78"/>
        <v>19.020599999999998</v>
      </c>
      <c r="AM100" s="20" t="s">
        <v>151</v>
      </c>
      <c r="AN100" t="s">
        <v>256</v>
      </c>
      <c r="AO100" t="s">
        <v>257</v>
      </c>
      <c r="AP100" t="s">
        <v>690</v>
      </c>
      <c r="AQ100" s="55">
        <v>12312.577274545431</v>
      </c>
      <c r="AR100" s="55">
        <v>0.90165896164127801</v>
      </c>
      <c r="AS100" t="s">
        <v>151</v>
      </c>
      <c r="AT100" t="s">
        <v>1247</v>
      </c>
      <c r="AU100" t="s">
        <v>1153</v>
      </c>
      <c r="AV100">
        <v>63.648388648388703</v>
      </c>
      <c r="AW100">
        <v>67.604617604617602</v>
      </c>
      <c r="AX100">
        <v>72.150072150072106</v>
      </c>
      <c r="AY100">
        <v>76.839826839826799</v>
      </c>
      <c r="AZ100">
        <v>84.632034632034603</v>
      </c>
      <c r="BA100">
        <v>97.691197691197701</v>
      </c>
      <c r="BB100">
        <v>101.08225108225101</v>
      </c>
      <c r="BC100">
        <v>100</v>
      </c>
      <c r="BD100">
        <v>104.401154401154</v>
      </c>
      <c r="BE100">
        <v>106.709956709957</v>
      </c>
      <c r="BF100">
        <v>106.709956709957</v>
      </c>
      <c r="BG100">
        <v>107.38335738335699</v>
      </c>
      <c r="BH100">
        <v>107.575757575758</v>
      </c>
      <c r="BJ100" s="20" t="s">
        <v>151</v>
      </c>
      <c r="BK100" t="s">
        <v>690</v>
      </c>
      <c r="BL100">
        <v>2015</v>
      </c>
      <c r="BM100">
        <f>INDEX('Costs lists'!$C$5:$C$8,MATCH(Lists!BK100,'Costs lists'!$B$5:$B$8,0))</f>
        <v>3.55</v>
      </c>
      <c r="BN100">
        <f>INDEX('Costs lists'!$D$5:$D$8,MATCH(Lists!BK100,'Costs lists'!$B$5:$B$8,0))</f>
        <v>2.91</v>
      </c>
      <c r="BO100">
        <f>INDEX('Costs lists'!$E$5:$E$8,MATCH(Lists!BK100,'Costs lists'!$B$5:$B$8,0))</f>
        <v>7.59</v>
      </c>
      <c r="BW100" s="20" t="s">
        <v>151</v>
      </c>
      <c r="BX100" s="20">
        <v>2008</v>
      </c>
      <c r="BY100" s="52">
        <v>9.1806000000000001</v>
      </c>
      <c r="BZ100" s="52">
        <v>11.337300000000001</v>
      </c>
      <c r="CA100" s="52">
        <v>12.9168</v>
      </c>
      <c r="CB100" s="52">
        <v>13.462800000000001</v>
      </c>
      <c r="CC100" s="375">
        <f t="shared" si="99"/>
        <v>9.4888949999999994</v>
      </c>
      <c r="CD100" s="375">
        <v>203.76</v>
      </c>
      <c r="CE100" s="375">
        <v>212.57</v>
      </c>
      <c r="CF100" s="375">
        <v>274.86</v>
      </c>
      <c r="CG100" s="375">
        <f t="shared" si="97"/>
        <v>217.07833333333332</v>
      </c>
      <c r="CI100" s="20" t="s">
        <v>151</v>
      </c>
      <c r="CJ100" s="20">
        <v>2015</v>
      </c>
      <c r="CK100" s="59">
        <f t="shared" si="79"/>
        <v>10.109508567208312</v>
      </c>
      <c r="CL100" s="59">
        <f t="shared" si="80"/>
        <v>12.484427104874495</v>
      </c>
      <c r="CM100" s="59">
        <f t="shared" si="81"/>
        <v>14.223743574593852</v>
      </c>
      <c r="CN100" s="59">
        <f t="shared" si="82"/>
        <v>14.824988774003014</v>
      </c>
      <c r="CO100" s="59">
        <f t="shared" si="83"/>
        <v>10.448997374446126</v>
      </c>
      <c r="CP100" s="59">
        <f t="shared" si="84"/>
        <v>224.37677991137457</v>
      </c>
      <c r="CQ100" s="59">
        <f t="shared" si="85"/>
        <v>234.0781905465297</v>
      </c>
      <c r="CR100" s="59">
        <f t="shared" si="86"/>
        <v>302.67079763663338</v>
      </c>
      <c r="CS100" s="59">
        <f t="shared" si="87"/>
        <v>239.04268463811022</v>
      </c>
      <c r="CW100" s="20" t="s">
        <v>151</v>
      </c>
      <c r="CX100">
        <v>2014</v>
      </c>
      <c r="CY100">
        <v>1.9893539999999998</v>
      </c>
      <c r="CZ100">
        <v>0.80544775724411011</v>
      </c>
      <c r="DA100">
        <v>1938.4757537387495</v>
      </c>
      <c r="DB100">
        <v>44107.53515625</v>
      </c>
      <c r="DC100">
        <v>0.57849818468093872</v>
      </c>
      <c r="DE100">
        <f t="shared" si="88"/>
        <v>31679.433941124054</v>
      </c>
      <c r="DH100">
        <f t="shared" si="89"/>
        <v>16.342445284664379</v>
      </c>
      <c r="DI100">
        <f t="shared" si="95"/>
        <v>16.371726261658303</v>
      </c>
      <c r="DJ100">
        <f t="shared" si="96"/>
        <v>40.436091394645395</v>
      </c>
      <c r="DL100" s="20" t="s">
        <v>151</v>
      </c>
      <c r="DM100" s="99" t="s">
        <v>796</v>
      </c>
      <c r="DN100" s="100" t="s">
        <v>754</v>
      </c>
      <c r="DO100" s="101">
        <v>41.6</v>
      </c>
      <c r="DP100" s="101">
        <v>40.4</v>
      </c>
      <c r="DQ100" s="101">
        <v>39.6</v>
      </c>
      <c r="DR100" s="101">
        <v>39.1</v>
      </c>
      <c r="DS100" s="101">
        <v>39.299999999999997</v>
      </c>
      <c r="DT100" s="101">
        <v>39.200000000000003</v>
      </c>
      <c r="DU100" s="101">
        <v>39.1</v>
      </c>
      <c r="DV100" s="101">
        <v>39.299999999999997</v>
      </c>
      <c r="DW100" s="101">
        <v>39.200000000000003</v>
      </c>
      <c r="DX100">
        <f t="shared" ca="1" si="90"/>
        <v>39.200000000000003</v>
      </c>
      <c r="DY100">
        <f t="shared" ca="1" si="91"/>
        <v>7.8400000000000007</v>
      </c>
      <c r="DZ100">
        <f t="shared" ca="1" si="92"/>
        <v>128.3543338914011</v>
      </c>
      <c r="EB100" s="20" t="s">
        <v>151</v>
      </c>
      <c r="EC100" s="99" t="s">
        <v>796</v>
      </c>
      <c r="ED100" s="100" t="s">
        <v>754</v>
      </c>
      <c r="EE100" s="101">
        <v>54.9</v>
      </c>
      <c r="EF100" s="101">
        <v>56.6</v>
      </c>
      <c r="EG100" s="101">
        <v>56.8</v>
      </c>
      <c r="EH100" s="101">
        <v>49.6</v>
      </c>
      <c r="EI100" s="101">
        <v>47.4</v>
      </c>
      <c r="EJ100" s="101">
        <v>49</v>
      </c>
      <c r="EK100" s="101">
        <v>50.7</v>
      </c>
      <c r="EL100" s="101">
        <v>52.4</v>
      </c>
      <c r="EM100" s="101">
        <v>52.8</v>
      </c>
      <c r="EN100" s="101">
        <v>54.1</v>
      </c>
      <c r="EO100">
        <f t="shared" ref="EO100:EO116" ca="1" si="101">OFFSET(EE100,0,MATCH(MAX(EE100:EN100)+1,EE100:EN100,1)-1)</f>
        <v>54.1</v>
      </c>
      <c r="EQ100" s="20" t="s">
        <v>151</v>
      </c>
      <c r="ER100" s="20">
        <f t="shared" ca="1" si="93"/>
        <v>128.3543338914011</v>
      </c>
      <c r="ES100">
        <f t="shared" ca="1" si="94"/>
        <v>69.439694635248003</v>
      </c>
      <c r="EU100" s="20" t="s">
        <v>151</v>
      </c>
      <c r="EV100" s="109">
        <v>24257.012798100193</v>
      </c>
    </row>
    <row r="101" spans="1:152" x14ac:dyDescent="0.3">
      <c r="A101" s="20" t="s">
        <v>127</v>
      </c>
      <c r="B101" s="20" t="s">
        <v>631</v>
      </c>
      <c r="C101" s="81">
        <v>2015</v>
      </c>
      <c r="D101" s="82">
        <v>461.13299999999998</v>
      </c>
      <c r="E101" s="82">
        <v>438.53899999999999</v>
      </c>
      <c r="F101" s="82">
        <v>504.09899999999999</v>
      </c>
      <c r="G101" s="82">
        <v>556.95600000000002</v>
      </c>
      <c r="H101" s="82">
        <v>582.60799999999995</v>
      </c>
      <c r="I101" s="82">
        <v>543.56899999999996</v>
      </c>
      <c r="J101" s="82">
        <v>480.81599999999997</v>
      </c>
      <c r="K101" s="82">
        <v>392.214</v>
      </c>
      <c r="L101" s="82">
        <v>335.74400000000003</v>
      </c>
      <c r="M101" s="82">
        <v>331.05399999999997</v>
      </c>
      <c r="N101" s="82">
        <v>309.733</v>
      </c>
      <c r="O101" s="82">
        <v>243.96600000000001</v>
      </c>
      <c r="P101" s="82">
        <v>194.315</v>
      </c>
      <c r="Q101" s="82">
        <v>158.66300000000001</v>
      </c>
      <c r="R101" s="82">
        <v>129.34899999999999</v>
      </c>
      <c r="S101" s="82">
        <v>99.887</v>
      </c>
      <c r="T101" s="82">
        <v>58.844999999999999</v>
      </c>
      <c r="U101" s="82">
        <v>21.702000000000002</v>
      </c>
      <c r="V101" s="82">
        <v>6.3979999999999997</v>
      </c>
      <c r="W101" s="82">
        <v>1.05</v>
      </c>
      <c r="X101" s="82">
        <v>0.10299999999999999</v>
      </c>
      <c r="Y101" s="82">
        <f t="shared" si="67"/>
        <v>5850.7430000000004</v>
      </c>
      <c r="Z101" s="52">
        <f t="shared" si="68"/>
        <v>46.113</v>
      </c>
      <c r="AA101" s="52">
        <f t="shared" si="69"/>
        <v>46.113</v>
      </c>
      <c r="AB101" s="52">
        <f t="shared" si="70"/>
        <v>92.227000000000004</v>
      </c>
      <c r="AC101" s="52">
        <f t="shared" si="71"/>
        <v>276.68</v>
      </c>
      <c r="AD101" s="52">
        <f t="shared" si="72"/>
        <v>942.63800000000003</v>
      </c>
      <c r="AE101" s="52">
        <f t="shared" si="73"/>
        <v>3222.9609999999998</v>
      </c>
      <c r="AF101" s="52">
        <f t="shared" si="74"/>
        <v>748.01400000000001</v>
      </c>
      <c r="AG101" s="52">
        <f t="shared" si="75"/>
        <v>475.99700000000001</v>
      </c>
      <c r="AH101" s="52">
        <f t="shared" si="76"/>
        <v>5850.7430000000004</v>
      </c>
      <c r="AI101">
        <v>15.192</v>
      </c>
      <c r="AJ101" s="30">
        <f t="shared" si="77"/>
        <v>88884.487656000012</v>
      </c>
      <c r="AK101">
        <f t="shared" si="78"/>
        <v>92.226599999999991</v>
      </c>
      <c r="AM101" s="20" t="s">
        <v>127</v>
      </c>
      <c r="AN101" t="s">
        <v>398</v>
      </c>
      <c r="AO101" t="s">
        <v>399</v>
      </c>
      <c r="AP101" t="s">
        <v>689</v>
      </c>
      <c r="AQ101" s="55">
        <v>12131824.966504253</v>
      </c>
      <c r="AR101" s="55">
        <v>1507.5</v>
      </c>
      <c r="AS101" t="s">
        <v>127</v>
      </c>
      <c r="AT101" t="s">
        <v>1248</v>
      </c>
      <c r="AU101" t="s">
        <v>1153</v>
      </c>
      <c r="BA101">
        <v>95.034561755702299</v>
      </c>
      <c r="BB101">
        <v>96.163239208903207</v>
      </c>
      <c r="BC101">
        <v>100</v>
      </c>
      <c r="BE101">
        <v>111.88192236175701</v>
      </c>
      <c r="BF101">
        <v>118.084464524887</v>
      </c>
      <c r="BG101">
        <v>118.969765732406</v>
      </c>
      <c r="BH101">
        <v>114.509717704225</v>
      </c>
      <c r="BJ101" s="20" t="s">
        <v>127</v>
      </c>
      <c r="BK101" t="s">
        <v>689</v>
      </c>
      <c r="BL101">
        <v>2015</v>
      </c>
      <c r="BM101">
        <f>INDEX('Costs lists'!$C$5:$C$8,MATCH(Lists!BK101,'Costs lists'!$B$5:$B$8,0))</f>
        <v>3.2</v>
      </c>
      <c r="BN101">
        <f>INDEX('Costs lists'!$D$5:$D$8,MATCH(Lists!BK101,'Costs lists'!$B$5:$B$8,0))</f>
        <v>1.1200000000000001</v>
      </c>
      <c r="BO101">
        <f>INDEX('Costs lists'!$E$5:$E$8,MATCH(Lists!BK101,'Costs lists'!$B$5:$B$8,0))</f>
        <v>4.4400000000000004</v>
      </c>
      <c r="BW101" s="20" t="s">
        <v>127</v>
      </c>
      <c r="BX101" s="20">
        <v>2008</v>
      </c>
      <c r="BY101" s="52">
        <v>14606.1993</v>
      </c>
      <c r="BZ101" s="52">
        <v>18038.701299999997</v>
      </c>
      <c r="CA101" s="52">
        <v>20558.880400000002</v>
      </c>
      <c r="CB101" s="52">
        <v>21417.0059</v>
      </c>
      <c r="CC101" s="375">
        <f t="shared" si="99"/>
        <v>15096.911592500001</v>
      </c>
      <c r="CD101" s="375">
        <v>121.46</v>
      </c>
      <c r="CE101" s="375">
        <v>126.71</v>
      </c>
      <c r="CF101" s="375">
        <v>163.84</v>
      </c>
      <c r="CG101" s="375">
        <f t="shared" si="97"/>
        <v>129.39833333333334</v>
      </c>
      <c r="CI101" s="20" t="s">
        <v>127</v>
      </c>
      <c r="CJ101" s="20">
        <v>2015</v>
      </c>
      <c r="CK101" s="59">
        <f t="shared" si="79"/>
        <v>17599.405181392252</v>
      </c>
      <c r="CL101" s="59">
        <f t="shared" si="80"/>
        <v>21735.319818948868</v>
      </c>
      <c r="CM101" s="59">
        <f t="shared" si="81"/>
        <v>24771.951881786499</v>
      </c>
      <c r="CN101" s="59">
        <f t="shared" si="82"/>
        <v>25805.93054117565</v>
      </c>
      <c r="CO101" s="59">
        <f t="shared" si="83"/>
        <v>18190.677714774523</v>
      </c>
      <c r="CP101" s="59">
        <f t="shared" si="84"/>
        <v>146.3504440427499</v>
      </c>
      <c r="CQ101" s="59">
        <f t="shared" si="85"/>
        <v>152.67631125190877</v>
      </c>
      <c r="CR101" s="59">
        <f t="shared" si="86"/>
        <v>197.41525400925525</v>
      </c>
      <c r="CS101" s="59">
        <f t="shared" si="87"/>
        <v>155.9155569053606</v>
      </c>
      <c r="CW101" s="20" t="s">
        <v>127</v>
      </c>
      <c r="CX101">
        <v>2014</v>
      </c>
      <c r="CY101">
        <v>5.6120959999999993</v>
      </c>
      <c r="CZ101">
        <v>1.8656090497970581</v>
      </c>
      <c r="DB101">
        <v>78672.3515625</v>
      </c>
      <c r="DC101">
        <v>0.44453153014183044</v>
      </c>
      <c r="DE101">
        <f t="shared" si="88"/>
        <v>18745.803588237555</v>
      </c>
      <c r="DH101" t="e">
        <f t="shared" si="89"/>
        <v>#DIV/0!</v>
      </c>
      <c r="DI101" t="e">
        <f t="shared" si="95"/>
        <v>#DIV/0!</v>
      </c>
      <c r="DJ101" t="e">
        <f t="shared" si="96"/>
        <v>#DIV/0!</v>
      </c>
      <c r="DL101" s="20" t="s">
        <v>127</v>
      </c>
      <c r="DM101" s="99"/>
      <c r="DN101" s="100"/>
      <c r="DO101" s="101"/>
      <c r="DP101" s="101"/>
      <c r="DQ101" s="101"/>
      <c r="DR101" s="101"/>
      <c r="DS101" s="101"/>
      <c r="DT101" s="101"/>
      <c r="DU101" s="101"/>
      <c r="DV101" s="101"/>
      <c r="DW101" s="101"/>
      <c r="DX101" t="e">
        <f t="shared" ca="1" si="90"/>
        <v>#N/A</v>
      </c>
      <c r="DY101" t="e">
        <f t="shared" ca="1" si="91"/>
        <v>#N/A</v>
      </c>
      <c r="DZ101" t="e">
        <f t="shared" ca="1" si="92"/>
        <v>#N/A</v>
      </c>
      <c r="EB101" s="20" t="s">
        <v>127</v>
      </c>
      <c r="EC101" s="99" t="s">
        <v>821</v>
      </c>
      <c r="ED101" s="100" t="s">
        <v>754</v>
      </c>
      <c r="EE101" s="101"/>
      <c r="EF101" s="101">
        <v>39.5</v>
      </c>
      <c r="EG101" s="101"/>
      <c r="EH101" s="101"/>
      <c r="EI101" s="101"/>
      <c r="EJ101" s="101"/>
      <c r="EK101" s="101"/>
      <c r="EL101" s="101"/>
      <c r="EM101" s="101"/>
      <c r="EN101" s="101"/>
      <c r="EO101">
        <f t="shared" ca="1" si="101"/>
        <v>39.5</v>
      </c>
      <c r="EQ101" s="20" t="s">
        <v>127</v>
      </c>
      <c r="ER101" s="20" t="e">
        <f t="shared" ca="1" si="93"/>
        <v>#N/A</v>
      </c>
      <c r="ES101" t="e">
        <f t="shared" ca="1" si="94"/>
        <v>#N/A</v>
      </c>
      <c r="EU101" s="20" t="s">
        <v>127</v>
      </c>
      <c r="EV101" s="109">
        <v>13936.25828780401</v>
      </c>
    </row>
    <row r="102" spans="1:152" x14ac:dyDescent="0.3">
      <c r="A102" s="20" t="s">
        <v>68</v>
      </c>
      <c r="B102" s="20" t="s">
        <v>632</v>
      </c>
      <c r="C102" s="81">
        <v>2015</v>
      </c>
      <c r="D102" s="82">
        <v>278.39499999999998</v>
      </c>
      <c r="E102" s="82">
        <v>249.221</v>
      </c>
      <c r="F102" s="82">
        <v>242.54300000000001</v>
      </c>
      <c r="G102" s="82">
        <v>250.19300000000001</v>
      </c>
      <c r="H102" s="82">
        <v>236.994</v>
      </c>
      <c r="I102" s="82">
        <v>216.25</v>
      </c>
      <c r="J102" s="82">
        <v>178.911</v>
      </c>
      <c r="K102" s="82">
        <v>121.506</v>
      </c>
      <c r="L102" s="82">
        <v>76.462000000000003</v>
      </c>
      <c r="M102" s="82">
        <v>54.973999999999997</v>
      </c>
      <c r="N102" s="82">
        <v>48.002000000000002</v>
      </c>
      <c r="O102" s="82">
        <v>48.442999999999998</v>
      </c>
      <c r="P102" s="82">
        <v>44.689</v>
      </c>
      <c r="Q102" s="82">
        <v>34.438000000000002</v>
      </c>
      <c r="R102" s="82">
        <v>21.812999999999999</v>
      </c>
      <c r="S102" s="82">
        <v>16.8</v>
      </c>
      <c r="T102" s="82">
        <v>10.135999999999999</v>
      </c>
      <c r="U102" s="82">
        <v>4.024</v>
      </c>
      <c r="V102" s="82">
        <v>1.0860000000000001</v>
      </c>
      <c r="W102" s="82">
        <v>0.13300000000000001</v>
      </c>
      <c r="X102" s="82">
        <v>8.9999999999999993E-3</v>
      </c>
      <c r="Y102" s="82">
        <f t="shared" si="67"/>
        <v>2135.0219999999999</v>
      </c>
      <c r="Z102" s="52">
        <f t="shared" si="68"/>
        <v>27.84</v>
      </c>
      <c r="AA102" s="52">
        <f t="shared" si="69"/>
        <v>27.84</v>
      </c>
      <c r="AB102" s="52">
        <f t="shared" si="70"/>
        <v>55.679000000000002</v>
      </c>
      <c r="AC102" s="52">
        <f t="shared" si="71"/>
        <v>167.03700000000001</v>
      </c>
      <c r="AD102" s="52">
        <f t="shared" si="72"/>
        <v>491.76400000000001</v>
      </c>
      <c r="AE102" s="52">
        <f t="shared" si="73"/>
        <v>1135.29</v>
      </c>
      <c r="AF102" s="52">
        <f t="shared" si="74"/>
        <v>141.13399999999999</v>
      </c>
      <c r="AG102" s="52">
        <f t="shared" si="75"/>
        <v>88.438999999999993</v>
      </c>
      <c r="AH102" s="52">
        <f t="shared" si="76"/>
        <v>2135.0230000000001</v>
      </c>
      <c r="AI102">
        <v>28.643999999999998</v>
      </c>
      <c r="AJ102" s="30">
        <f t="shared" si="77"/>
        <v>61155.598812000004</v>
      </c>
      <c r="AK102">
        <f t="shared" si="78"/>
        <v>55.678999999999995</v>
      </c>
      <c r="AM102" s="20" t="s">
        <v>68</v>
      </c>
      <c r="AN102" t="s">
        <v>400</v>
      </c>
      <c r="AO102" t="s">
        <v>401</v>
      </c>
      <c r="AP102" t="s">
        <v>688</v>
      </c>
      <c r="AQ102" s="55">
        <v>13613.562906763347</v>
      </c>
      <c r="AR102" s="55">
        <v>12.7589308811644</v>
      </c>
      <c r="AS102" t="s">
        <v>68</v>
      </c>
      <c r="AT102" t="s">
        <v>1249</v>
      </c>
      <c r="AU102" t="s">
        <v>1153</v>
      </c>
      <c r="AV102">
        <v>65.234292885659897</v>
      </c>
      <c r="AW102">
        <v>68.511285848950195</v>
      </c>
      <c r="AX102">
        <v>70.866624541315005</v>
      </c>
      <c r="AY102">
        <v>75.170155370877893</v>
      </c>
      <c r="AZ102">
        <v>81.193116480070501</v>
      </c>
      <c r="BA102">
        <v>89.8934997634029</v>
      </c>
      <c r="BB102">
        <v>96.527136060200803</v>
      </c>
      <c r="BC102">
        <v>100</v>
      </c>
      <c r="BD102">
        <v>105.024816566176</v>
      </c>
      <c r="BE102">
        <v>111.435103708581</v>
      </c>
      <c r="BF102">
        <v>116.92700529067599</v>
      </c>
      <c r="BG102">
        <v>123.171330271413</v>
      </c>
      <c r="BH102">
        <v>127.082579937275</v>
      </c>
      <c r="BJ102" s="20" t="s">
        <v>68</v>
      </c>
      <c r="BK102" t="s">
        <v>688</v>
      </c>
      <c r="BL102">
        <v>2015</v>
      </c>
      <c r="BM102">
        <f>INDEX('Costs lists'!$C$5:$C$8,MATCH(Lists!BK102,'Costs lists'!$B$5:$B$8,0))</f>
        <v>5.21</v>
      </c>
      <c r="BN102">
        <f>INDEX('Costs lists'!$D$5:$D$8,MATCH(Lists!BK102,'Costs lists'!$B$5:$B$8,0))</f>
        <v>5.16</v>
      </c>
      <c r="BO102">
        <f>INDEX('Costs lists'!$E$5:$E$8,MATCH(Lists!BK102,'Costs lists'!$B$5:$B$8,0))</f>
        <v>5.26</v>
      </c>
      <c r="BW102" s="20" t="s">
        <v>68</v>
      </c>
      <c r="BX102" s="20">
        <v>2008</v>
      </c>
      <c r="BY102" s="52">
        <v>11.703999999999999</v>
      </c>
      <c r="BZ102" s="52">
        <v>14.4628</v>
      </c>
      <c r="CA102" s="52">
        <v>16.469199999999997</v>
      </c>
      <c r="CB102" s="52">
        <v>17.1798</v>
      </c>
      <c r="CC102" s="375">
        <f t="shared" si="99"/>
        <v>12.097965</v>
      </c>
      <c r="CD102" s="375">
        <v>10.85</v>
      </c>
      <c r="CE102" s="375">
        <v>11.32</v>
      </c>
      <c r="CF102" s="375">
        <v>14.63</v>
      </c>
      <c r="CG102" s="375">
        <f t="shared" si="97"/>
        <v>11.558333333333334</v>
      </c>
      <c r="CI102" s="20" t="s">
        <v>68</v>
      </c>
      <c r="CJ102" s="20">
        <v>2015</v>
      </c>
      <c r="CK102" s="59">
        <f t="shared" si="79"/>
        <v>16.545962939484983</v>
      </c>
      <c r="CL102" s="59">
        <f t="shared" si="80"/>
        <v>20.446082775220731</v>
      </c>
      <c r="CM102" s="59">
        <f t="shared" si="81"/>
        <v>23.282533564846723</v>
      </c>
      <c r="CN102" s="59">
        <f t="shared" si="82"/>
        <v>24.287109886172601</v>
      </c>
      <c r="CO102" s="59">
        <f t="shared" si="83"/>
        <v>17.102911870573006</v>
      </c>
      <c r="CP102" s="59">
        <f t="shared" si="84"/>
        <v>15.338661815910122</v>
      </c>
      <c r="CQ102" s="59">
        <f t="shared" si="85"/>
        <v>16.003101544341252</v>
      </c>
      <c r="CR102" s="59">
        <f t="shared" si="86"/>
        <v>20.682453674356232</v>
      </c>
      <c r="CS102" s="59">
        <f t="shared" si="87"/>
        <v>16.340033747056328</v>
      </c>
      <c r="CW102" s="20" t="s">
        <v>68</v>
      </c>
      <c r="CX102">
        <v>2014</v>
      </c>
      <c r="CY102">
        <v>2.109197</v>
      </c>
      <c r="CZ102">
        <v>0.65380698442459106</v>
      </c>
      <c r="DB102">
        <v>5905.271484375</v>
      </c>
      <c r="DC102">
        <v>0.61946630477905273</v>
      </c>
      <c r="DE102">
        <f t="shared" si="88"/>
        <v>5595.1019066618946</v>
      </c>
      <c r="DH102" t="e">
        <f t="shared" si="89"/>
        <v>#DIV/0!</v>
      </c>
      <c r="DI102" t="e">
        <f t="shared" si="95"/>
        <v>#DIV/0!</v>
      </c>
      <c r="DJ102" t="e">
        <f t="shared" si="96"/>
        <v>#DIV/0!</v>
      </c>
      <c r="DL102" s="20" t="s">
        <v>68</v>
      </c>
      <c r="DM102" s="99"/>
      <c r="DN102" s="100"/>
      <c r="DO102" s="101"/>
      <c r="DP102" s="101"/>
      <c r="DQ102" s="101"/>
      <c r="DR102" s="101"/>
      <c r="DS102" s="101"/>
      <c r="DT102" s="101"/>
      <c r="DU102" s="101"/>
      <c r="DV102" s="101"/>
      <c r="DW102" s="101"/>
      <c r="DX102" t="e">
        <f t="shared" ca="1" si="90"/>
        <v>#N/A</v>
      </c>
      <c r="DY102" t="e">
        <f t="shared" ca="1" si="91"/>
        <v>#N/A</v>
      </c>
      <c r="DZ102" t="e">
        <f t="shared" ca="1" si="92"/>
        <v>#N/A</v>
      </c>
      <c r="EB102" s="20" t="s">
        <v>68</v>
      </c>
      <c r="EC102" s="99" t="s">
        <v>822</v>
      </c>
      <c r="ED102" s="100" t="s">
        <v>754</v>
      </c>
      <c r="EE102" s="101"/>
      <c r="EF102" s="101"/>
      <c r="EG102" s="101">
        <v>24.9</v>
      </c>
      <c r="EH102" s="101"/>
      <c r="EI102" s="101"/>
      <c r="EJ102" s="101"/>
      <c r="EK102" s="101"/>
      <c r="EL102" s="101">
        <v>42.3</v>
      </c>
      <c r="EM102" s="101"/>
      <c r="EN102" s="101"/>
      <c r="EO102">
        <f t="shared" ca="1" si="101"/>
        <v>42.3</v>
      </c>
      <c r="EQ102" s="20" t="s">
        <v>68</v>
      </c>
      <c r="ER102" s="20" t="e">
        <f t="shared" ca="1" si="93"/>
        <v>#N/A</v>
      </c>
      <c r="ES102" t="e">
        <f t="shared" ca="1" si="94"/>
        <v>#N/A</v>
      </c>
      <c r="EU102" s="20" t="s">
        <v>68</v>
      </c>
      <c r="EV102" s="109">
        <v>2949.5133869541355</v>
      </c>
    </row>
    <row r="103" spans="1:152" x14ac:dyDescent="0.3">
      <c r="A103" s="20" t="s">
        <v>80</v>
      </c>
      <c r="B103" s="20" t="s">
        <v>632</v>
      </c>
      <c r="C103" s="81">
        <v>2015</v>
      </c>
      <c r="D103" s="82">
        <v>701.125</v>
      </c>
      <c r="E103" s="82">
        <v>637.28800000000001</v>
      </c>
      <c r="F103" s="82">
        <v>566.79899999999998</v>
      </c>
      <c r="G103" s="82">
        <v>476.90499999999997</v>
      </c>
      <c r="H103" s="82">
        <v>390.89600000000002</v>
      </c>
      <c r="I103" s="82">
        <v>345.02300000000002</v>
      </c>
      <c r="J103" s="82">
        <v>302.52</v>
      </c>
      <c r="K103" s="82">
        <v>252.05500000000001</v>
      </c>
      <c r="L103" s="82">
        <v>206.351</v>
      </c>
      <c r="M103" s="82">
        <v>166.215</v>
      </c>
      <c r="N103" s="82">
        <v>134.25899999999999</v>
      </c>
      <c r="O103" s="82">
        <v>106.87</v>
      </c>
      <c r="P103" s="82">
        <v>81.513999999999996</v>
      </c>
      <c r="Q103" s="82">
        <v>57.042999999999999</v>
      </c>
      <c r="R103" s="82">
        <v>42.503999999999998</v>
      </c>
      <c r="S103" s="82">
        <v>23.588999999999999</v>
      </c>
      <c r="T103" s="82">
        <v>9.5630000000000006</v>
      </c>
      <c r="U103" s="82">
        <v>2.5249999999999999</v>
      </c>
      <c r="V103" s="82">
        <v>0.36599999999999999</v>
      </c>
      <c r="W103" s="82">
        <v>2.7E-2</v>
      </c>
      <c r="X103" s="82">
        <v>1E-3</v>
      </c>
      <c r="Y103" s="82">
        <f t="shared" si="67"/>
        <v>4503.4380000000001</v>
      </c>
      <c r="Z103" s="52">
        <f t="shared" si="68"/>
        <v>70.113</v>
      </c>
      <c r="AA103" s="52">
        <f t="shared" si="69"/>
        <v>70.113</v>
      </c>
      <c r="AB103" s="52">
        <f t="shared" si="70"/>
        <v>140.22499999999999</v>
      </c>
      <c r="AC103" s="52">
        <f t="shared" si="71"/>
        <v>420.67500000000001</v>
      </c>
      <c r="AD103" s="52">
        <f t="shared" si="72"/>
        <v>1204.087</v>
      </c>
      <c r="AE103" s="52">
        <f t="shared" si="73"/>
        <v>2139.9650000000001</v>
      </c>
      <c r="AF103" s="52">
        <f t="shared" si="74"/>
        <v>322.64299999999997</v>
      </c>
      <c r="AG103" s="52">
        <f t="shared" si="75"/>
        <v>135.61799999999999</v>
      </c>
      <c r="AH103" s="52">
        <f t="shared" si="76"/>
        <v>4503.4390000000003</v>
      </c>
      <c r="AI103">
        <v>35.051000000000002</v>
      </c>
      <c r="AJ103" s="30">
        <f t="shared" si="77"/>
        <v>157850.04038900003</v>
      </c>
      <c r="AK103">
        <f t="shared" si="78"/>
        <v>140.22499999999999</v>
      </c>
      <c r="AM103" s="20" t="s">
        <v>80</v>
      </c>
      <c r="AN103" t="s">
        <v>402</v>
      </c>
      <c r="AO103" t="s">
        <v>403</v>
      </c>
      <c r="AP103" t="s">
        <v>691</v>
      </c>
      <c r="AQ103" s="55">
        <v>455.87393453623656</v>
      </c>
      <c r="AR103" s="55">
        <v>86.188366571699902</v>
      </c>
      <c r="AS103" t="s">
        <v>80</v>
      </c>
      <c r="AT103" t="s">
        <v>1250</v>
      </c>
      <c r="AU103" t="s">
        <v>1153</v>
      </c>
      <c r="AV103">
        <v>51.676419658241002</v>
      </c>
      <c r="AW103">
        <v>55.722211537004597</v>
      </c>
      <c r="AX103">
        <v>61.759355893044102</v>
      </c>
      <c r="AY103">
        <v>66.293385707007602</v>
      </c>
      <c r="AZ103">
        <v>73.844672407572702</v>
      </c>
      <c r="BA103">
        <v>86.760263839429498</v>
      </c>
      <c r="BB103">
        <v>93.204430804659495</v>
      </c>
      <c r="BC103">
        <v>100</v>
      </c>
      <c r="BD103">
        <v>108.486600465462</v>
      </c>
      <c r="BE103">
        <v>115.901408158574</v>
      </c>
      <c r="BF103">
        <v>124.680821441728</v>
      </c>
      <c r="BG103">
        <v>136.93240536773601</v>
      </c>
      <c r="BH103">
        <v>147.589379213417</v>
      </c>
      <c r="BJ103" s="20" t="s">
        <v>80</v>
      </c>
      <c r="BK103" t="s">
        <v>691</v>
      </c>
      <c r="BL103">
        <v>2015</v>
      </c>
      <c r="BM103">
        <f>INDEX('Costs lists'!$C$5:$C$8,MATCH(Lists!BK103,'Costs lists'!$B$5:$B$8,0))</f>
        <v>4.2</v>
      </c>
      <c r="BN103">
        <f>INDEX('Costs lists'!$D$5:$D$8,MATCH(Lists!BK103,'Costs lists'!$B$5:$B$8,0))</f>
        <v>4.2</v>
      </c>
      <c r="BO103">
        <f>INDEX('Costs lists'!$E$5:$E$8,MATCH(Lists!BK103,'Costs lists'!$B$5:$B$8,0))</f>
        <v>4.2</v>
      </c>
      <c r="BW103" s="20" t="s">
        <v>80</v>
      </c>
      <c r="BX103" s="20">
        <v>2008</v>
      </c>
      <c r="BY103" s="52">
        <v>30.340799999999998</v>
      </c>
      <c r="BZ103" s="52">
        <v>37.564799999999998</v>
      </c>
      <c r="CA103" s="52">
        <v>42.621599999999994</v>
      </c>
      <c r="CB103" s="52">
        <v>44.427599999999998</v>
      </c>
      <c r="CC103" s="375">
        <f t="shared" si="99"/>
        <v>31.361189999999993</v>
      </c>
      <c r="CD103" s="375">
        <v>2.06</v>
      </c>
      <c r="CE103" s="375">
        <v>2.15</v>
      </c>
      <c r="CF103" s="375">
        <v>2.78</v>
      </c>
      <c r="CG103" s="375">
        <f t="shared" si="97"/>
        <v>2.1949999999999998</v>
      </c>
      <c r="CI103" s="20" t="s">
        <v>80</v>
      </c>
      <c r="CJ103" s="20">
        <v>2015</v>
      </c>
      <c r="CK103" s="59">
        <f t="shared" si="79"/>
        <v>51.61325748301099</v>
      </c>
      <c r="CL103" s="59">
        <f t="shared" si="80"/>
        <v>63.902128312299318</v>
      </c>
      <c r="CM103" s="59">
        <f t="shared" si="81"/>
        <v>72.504337892801146</v>
      </c>
      <c r="CN103" s="59">
        <f t="shared" si="82"/>
        <v>75.576555600123228</v>
      </c>
      <c r="CO103" s="59">
        <f t="shared" si="83"/>
        <v>53.349060487647954</v>
      </c>
      <c r="CP103" s="59">
        <f t="shared" si="84"/>
        <v>3.5043014823275143</v>
      </c>
      <c r="CQ103" s="59">
        <f t="shared" si="85"/>
        <v>3.657402032526289</v>
      </c>
      <c r="CR103" s="59">
        <f t="shared" si="86"/>
        <v>4.7291058839177129</v>
      </c>
      <c r="CS103" s="59">
        <f t="shared" si="87"/>
        <v>3.7339523076256764</v>
      </c>
      <c r="CW103" s="20" t="s">
        <v>80</v>
      </c>
      <c r="CX103">
        <v>2014</v>
      </c>
      <c r="CY103">
        <v>4.3965540000000001</v>
      </c>
      <c r="CZ103">
        <v>1.4752680063247681</v>
      </c>
      <c r="DB103">
        <v>3853.814208984375</v>
      </c>
      <c r="DE103">
        <f t="shared" si="88"/>
        <v>0</v>
      </c>
      <c r="DH103" t="e">
        <f t="shared" si="89"/>
        <v>#DIV/0!</v>
      </c>
      <c r="DI103" t="e">
        <f t="shared" si="95"/>
        <v>#DIV/0!</v>
      </c>
      <c r="DJ103" t="e">
        <f t="shared" si="96"/>
        <v>#DIV/0!</v>
      </c>
      <c r="DL103" s="20" t="s">
        <v>80</v>
      </c>
      <c r="DM103" s="99"/>
      <c r="DN103" s="100"/>
      <c r="DO103" s="101"/>
      <c r="DP103" s="101"/>
      <c r="DQ103" s="101"/>
      <c r="DR103" s="101"/>
      <c r="DS103" s="101"/>
      <c r="DT103" s="101"/>
      <c r="DU103" s="101"/>
      <c r="DV103" s="101"/>
      <c r="DW103" s="101"/>
      <c r="DX103" t="e">
        <f t="shared" ca="1" si="90"/>
        <v>#N/A</v>
      </c>
      <c r="DY103" t="e">
        <f t="shared" ca="1" si="91"/>
        <v>#N/A</v>
      </c>
      <c r="DZ103" t="e">
        <f t="shared" ca="1" si="92"/>
        <v>#N/A</v>
      </c>
      <c r="EB103" s="20" t="s">
        <v>80</v>
      </c>
      <c r="EC103" s="99" t="s">
        <v>823</v>
      </c>
      <c r="ED103" s="100" t="s">
        <v>754</v>
      </c>
      <c r="EE103" s="101"/>
      <c r="EF103" s="101"/>
      <c r="EG103" s="101"/>
      <c r="EH103" s="101"/>
      <c r="EI103" s="101">
        <v>56.8</v>
      </c>
      <c r="EJ103" s="101"/>
      <c r="EK103" s="101"/>
      <c r="EL103" s="101"/>
      <c r="EM103" s="101"/>
      <c r="EN103" s="101"/>
      <c r="EO103">
        <f t="shared" ca="1" si="101"/>
        <v>56.8</v>
      </c>
      <c r="EQ103" s="20" t="s">
        <v>80</v>
      </c>
      <c r="ER103" s="20" t="e">
        <f t="shared" ca="1" si="93"/>
        <v>#N/A</v>
      </c>
      <c r="ES103" t="e">
        <f t="shared" ca="1" si="94"/>
        <v>#N/A</v>
      </c>
      <c r="EU103" s="20" t="s">
        <v>80</v>
      </c>
      <c r="EV103" s="109">
        <v>835.36693471742115</v>
      </c>
    </row>
    <row r="104" spans="1:152" x14ac:dyDescent="0.3">
      <c r="A104" s="20" t="s">
        <v>63</v>
      </c>
      <c r="B104" s="20" t="s">
        <v>631</v>
      </c>
      <c r="C104" s="81">
        <v>2015</v>
      </c>
      <c r="D104" s="82">
        <v>649.00199999999995</v>
      </c>
      <c r="E104" s="82">
        <v>649.58199999999999</v>
      </c>
      <c r="F104" s="82">
        <v>574.45299999999997</v>
      </c>
      <c r="G104" s="82">
        <v>514.07399999999996</v>
      </c>
      <c r="H104" s="82">
        <v>485.98700000000002</v>
      </c>
      <c r="I104" s="82">
        <v>532.43499999999995</v>
      </c>
      <c r="J104" s="82">
        <v>535.88599999999997</v>
      </c>
      <c r="K104" s="82">
        <v>539.17499999999995</v>
      </c>
      <c r="L104" s="82">
        <v>482.32799999999997</v>
      </c>
      <c r="M104" s="82">
        <v>389.72699999999998</v>
      </c>
      <c r="N104" s="82">
        <v>280.60599999999999</v>
      </c>
      <c r="O104" s="82">
        <v>205.804</v>
      </c>
      <c r="P104" s="82">
        <v>154.29499999999999</v>
      </c>
      <c r="Q104" s="82">
        <v>104.76300000000001</v>
      </c>
      <c r="R104" s="82">
        <v>81.174000000000007</v>
      </c>
      <c r="S104" s="82">
        <v>54.655999999999999</v>
      </c>
      <c r="T104" s="82">
        <v>29.681999999999999</v>
      </c>
      <c r="U104" s="82">
        <v>11.662000000000001</v>
      </c>
      <c r="V104" s="82">
        <v>2.7989999999999999</v>
      </c>
      <c r="W104" s="82">
        <v>0.32700000000000001</v>
      </c>
      <c r="X104" s="82">
        <v>2.1000000000000001E-2</v>
      </c>
      <c r="Y104" s="82">
        <f t="shared" ref="Y104:Y135" si="102">SUM(D104:X104)</f>
        <v>6278.4380000000001</v>
      </c>
      <c r="Z104" s="52">
        <f t="shared" ref="Z104:Z135" si="103">ROUND(D104/10,3)</f>
        <v>64.900000000000006</v>
      </c>
      <c r="AA104" s="52">
        <f t="shared" ref="AA104:AA135" si="104">ROUND(D104/10,3)</f>
        <v>64.900000000000006</v>
      </c>
      <c r="AB104" s="52">
        <f t="shared" ref="AB104:AB135" si="105">ROUND(D104/5,3)</f>
        <v>129.80000000000001</v>
      </c>
      <c r="AC104" s="52">
        <f t="shared" ref="AC104:AC135" si="106">ROUND(D104/5*3,3)</f>
        <v>389.40100000000001</v>
      </c>
      <c r="AD104" s="52">
        <f t="shared" ref="AD104:AD135" si="107">ROUND(E104+F104,3)</f>
        <v>1224.0350000000001</v>
      </c>
      <c r="AE104" s="52">
        <f t="shared" ref="AE104:AE135" si="108">ROUND(SUM(G104:M104),3)</f>
        <v>3479.6120000000001</v>
      </c>
      <c r="AF104" s="52">
        <f t="shared" ref="AF104:AF135" si="109">ROUND(SUM(N104:P104),3)</f>
        <v>640.70500000000004</v>
      </c>
      <c r="AG104" s="52">
        <f t="shared" ref="AG104:AG135" si="110">ROUND(SUM(Q104:X104),3)</f>
        <v>285.084</v>
      </c>
      <c r="AH104" s="52">
        <f t="shared" ref="AH104:AH135" si="111">SUM(Z104:AG104)</f>
        <v>6278.4369999999999</v>
      </c>
      <c r="AI104">
        <v>20.887</v>
      </c>
      <c r="AJ104" s="30">
        <f t="shared" ref="AJ104:AJ135" si="112">AH104*AI104</f>
        <v>131137.71361899999</v>
      </c>
      <c r="AK104">
        <f t="shared" ref="AK104:AK135" si="113">D104/5</f>
        <v>129.8004</v>
      </c>
      <c r="AM104" s="20" t="s">
        <v>63</v>
      </c>
      <c r="AN104" t="s">
        <v>404</v>
      </c>
      <c r="AO104" t="s">
        <v>405</v>
      </c>
      <c r="AP104" t="s">
        <v>689</v>
      </c>
      <c r="AQ104" s="55"/>
      <c r="AR104" s="55">
        <v>1.38120985962103</v>
      </c>
      <c r="AS104" t="s">
        <v>63</v>
      </c>
      <c r="AT104" t="s">
        <v>1251</v>
      </c>
      <c r="AU104" t="s">
        <v>1153</v>
      </c>
      <c r="AV104">
        <v>79.488564843004895</v>
      </c>
      <c r="AW104">
        <v>77.7417497845817</v>
      </c>
      <c r="AX104">
        <v>79.802066116321001</v>
      </c>
      <c r="AY104">
        <v>80.966592738608796</v>
      </c>
      <c r="AZ104">
        <v>86.027804597012704</v>
      </c>
      <c r="BA104">
        <v>94.940912206059494</v>
      </c>
      <c r="BB104">
        <v>97.276363948559606</v>
      </c>
      <c r="BC104">
        <v>100</v>
      </c>
      <c r="BD104">
        <v>115.518481531756</v>
      </c>
      <c r="BE104">
        <v>122.51867500575401</v>
      </c>
      <c r="BF104">
        <v>125.711288725735</v>
      </c>
      <c r="BJ104" s="20" t="s">
        <v>63</v>
      </c>
      <c r="BK104" t="s">
        <v>689</v>
      </c>
      <c r="BL104">
        <v>2015</v>
      </c>
      <c r="BM104">
        <f>INDEX('Costs lists'!$C$5:$C$8,MATCH(Lists!BK104,'Costs lists'!$B$5:$B$8,0))</f>
        <v>3.2</v>
      </c>
      <c r="BN104">
        <f>INDEX('Costs lists'!$D$5:$D$8,MATCH(Lists!BK104,'Costs lists'!$B$5:$B$8,0))</f>
        <v>1.1200000000000001</v>
      </c>
      <c r="BO104">
        <f>INDEX('Costs lists'!$E$5:$E$8,MATCH(Lists!BK104,'Costs lists'!$B$5:$B$8,0))</f>
        <v>4.4400000000000004</v>
      </c>
      <c r="BW104" s="20" t="s">
        <v>63</v>
      </c>
      <c r="BX104" s="20">
        <v>2008</v>
      </c>
      <c r="BY104" s="52">
        <v>24.192000000000004</v>
      </c>
      <c r="BZ104" s="52">
        <v>29.870400000000004</v>
      </c>
      <c r="CA104" s="52">
        <v>34.048000000000002</v>
      </c>
      <c r="CB104" s="52">
        <v>35.4816</v>
      </c>
      <c r="CC104" s="375">
        <f t="shared" si="99"/>
        <v>25.004560000000001</v>
      </c>
      <c r="CD104" s="375">
        <v>181</v>
      </c>
      <c r="CE104" s="375">
        <v>188.83</v>
      </c>
      <c r="CF104" s="375">
        <v>244.16</v>
      </c>
      <c r="CG104" s="375">
        <f t="shared" si="97"/>
        <v>192.83166666666665</v>
      </c>
      <c r="CI104" s="20" t="s">
        <v>63</v>
      </c>
      <c r="CJ104" s="20">
        <v>2015</v>
      </c>
      <c r="CK104" s="59">
        <f t="shared" ref="CK104:CK135" si="114">BY104*($BH104/$BA104)</f>
        <v>0</v>
      </c>
      <c r="CL104" s="59">
        <f t="shared" ref="CL104:CL135" si="115">BZ104*($BH104/$BA104)</f>
        <v>0</v>
      </c>
      <c r="CM104" s="59">
        <f t="shared" ref="CM104:CM135" si="116">CA104*($BH104/$BA104)</f>
        <v>0</v>
      </c>
      <c r="CN104" s="59">
        <f t="shared" ref="CN104:CN135" si="117">CB104*($BH104/$BA104)</f>
        <v>0</v>
      </c>
      <c r="CO104" s="59">
        <f t="shared" ref="CO104:CO135" si="118">CC104*($BH104/$BA104)</f>
        <v>0</v>
      </c>
      <c r="CP104" s="59">
        <f t="shared" ref="CP104:CP135" si="119">CD104*($BH104/$BA104)</f>
        <v>0</v>
      </c>
      <c r="CQ104" s="59">
        <f t="shared" ref="CQ104:CQ135" si="120">CE104*($BH104/$BA104)</f>
        <v>0</v>
      </c>
      <c r="CR104" s="59">
        <f t="shared" ref="CR104:CR135" si="121">CF104*($BH104/$BA104)</f>
        <v>0</v>
      </c>
      <c r="CS104" s="59">
        <f t="shared" ref="CS104:CS135" si="122">CG104*($BH104/$BA104)</f>
        <v>0</v>
      </c>
      <c r="CW104" s="20" t="s">
        <v>63</v>
      </c>
      <c r="DE104" t="e">
        <f t="shared" ref="DE104:DE135" si="123">DB104*DC104/CZ104</f>
        <v>#DIV/0!</v>
      </c>
      <c r="DH104" t="e">
        <f t="shared" ref="DH104:DH135" si="124">DE104/DA104</f>
        <v>#DIV/0!</v>
      </c>
      <c r="DI104" t="e">
        <f t="shared" si="95"/>
        <v>#DIV/0!</v>
      </c>
      <c r="DJ104" t="e">
        <f t="shared" si="96"/>
        <v>#DIV/0!</v>
      </c>
      <c r="DL104" s="20" t="s">
        <v>63</v>
      </c>
      <c r="DM104" s="99"/>
      <c r="DN104" s="100"/>
      <c r="DO104" s="101"/>
      <c r="DP104" s="101"/>
      <c r="DQ104" s="101"/>
      <c r="DR104" s="101"/>
      <c r="DS104" s="101"/>
      <c r="DT104" s="101"/>
      <c r="DU104" s="101"/>
      <c r="DV104" s="101"/>
      <c r="DW104" s="101"/>
      <c r="DX104" t="e">
        <f t="shared" ref="DX104:DX135" ca="1" si="125">OFFSET(DO104,0,MATCH(MAX(DO104:DW104)+1,DO104:DW104,1)-1)</f>
        <v>#N/A</v>
      </c>
      <c r="DY104" t="e">
        <f t="shared" ref="DY104:DY135" ca="1" si="126">DX104/5</f>
        <v>#N/A</v>
      </c>
      <c r="DZ104" t="e">
        <f t="shared" ref="DZ104:DZ135" ca="1" si="127">DY104*DI104</f>
        <v>#N/A</v>
      </c>
      <c r="EB104" s="20" t="s">
        <v>63</v>
      </c>
      <c r="EC104" s="99" t="s">
        <v>756</v>
      </c>
      <c r="ED104" s="100" t="s">
        <v>754</v>
      </c>
      <c r="EE104" s="101"/>
      <c r="EF104" s="101"/>
      <c r="EG104" s="101"/>
      <c r="EH104" s="101"/>
      <c r="EI104" s="101"/>
      <c r="EJ104" s="101"/>
      <c r="EK104" s="101">
        <v>38.700000000000003</v>
      </c>
      <c r="EL104" s="101"/>
      <c r="EM104" s="101"/>
      <c r="EN104" s="101"/>
      <c r="EO104">
        <f t="shared" ca="1" si="101"/>
        <v>38.700000000000003</v>
      </c>
      <c r="EQ104" s="20" t="s">
        <v>63</v>
      </c>
      <c r="ER104" s="20" t="e">
        <f t="shared" ref="ER104:ER135" ca="1" si="128">DZ104</f>
        <v>#N/A</v>
      </c>
      <c r="ES104" t="e">
        <f t="shared" ref="ES104:ES135" ca="1" si="129">DZ104*EO104/100</f>
        <v>#N/A</v>
      </c>
      <c r="EU104" s="20" t="s">
        <v>63</v>
      </c>
      <c r="EV104" s="109"/>
    </row>
    <row r="105" spans="1:152" x14ac:dyDescent="0.3">
      <c r="A105" s="20" t="s">
        <v>152</v>
      </c>
      <c r="B105" s="20" t="s">
        <v>257</v>
      </c>
      <c r="C105" s="81">
        <v>2015</v>
      </c>
      <c r="D105" s="82">
        <v>151.90600000000001</v>
      </c>
      <c r="E105" s="82">
        <v>133.34899999999999</v>
      </c>
      <c r="F105" s="82">
        <v>132.542</v>
      </c>
      <c r="G105" s="82">
        <v>159.54300000000001</v>
      </c>
      <c r="H105" s="82">
        <v>206.72200000000001</v>
      </c>
      <c r="I105" s="82">
        <v>190.18700000000001</v>
      </c>
      <c r="J105" s="82">
        <v>167.17400000000001</v>
      </c>
      <c r="K105" s="82">
        <v>171.78399999999999</v>
      </c>
      <c r="L105" s="82">
        <v>201.02199999999999</v>
      </c>
      <c r="M105" s="82">
        <v>199.858</v>
      </c>
      <c r="N105" s="82">
        <v>236.917</v>
      </c>
      <c r="O105" s="82">
        <v>208.19300000000001</v>
      </c>
      <c r="P105" s="82">
        <v>176.69200000000001</v>
      </c>
      <c r="Q105" s="82">
        <v>131.24799999999999</v>
      </c>
      <c r="R105" s="82">
        <v>136.66200000000001</v>
      </c>
      <c r="S105" s="82">
        <v>120.88500000000001</v>
      </c>
      <c r="T105" s="82">
        <v>92.600999999999999</v>
      </c>
      <c r="U105" s="82">
        <v>45.902999999999999</v>
      </c>
      <c r="V105" s="82">
        <v>12.904</v>
      </c>
      <c r="W105" s="82">
        <v>2.0489999999999999</v>
      </c>
      <c r="X105" s="82">
        <v>0.26400000000000001</v>
      </c>
      <c r="Y105" s="82">
        <f t="shared" si="102"/>
        <v>2878.4049999999997</v>
      </c>
      <c r="Z105" s="52">
        <f t="shared" si="103"/>
        <v>15.191000000000001</v>
      </c>
      <c r="AA105" s="52">
        <f t="shared" si="104"/>
        <v>15.191000000000001</v>
      </c>
      <c r="AB105" s="52">
        <f t="shared" si="105"/>
        <v>30.381</v>
      </c>
      <c r="AC105" s="52">
        <f t="shared" si="106"/>
        <v>91.144000000000005</v>
      </c>
      <c r="AD105" s="52">
        <f t="shared" si="107"/>
        <v>265.89100000000002</v>
      </c>
      <c r="AE105" s="52">
        <f t="shared" si="108"/>
        <v>1296.29</v>
      </c>
      <c r="AF105" s="52">
        <f t="shared" si="109"/>
        <v>621.80200000000002</v>
      </c>
      <c r="AG105" s="52">
        <f t="shared" si="110"/>
        <v>542.51599999999996</v>
      </c>
      <c r="AH105" s="52">
        <f t="shared" si="111"/>
        <v>2878.4059999999999</v>
      </c>
      <c r="AI105">
        <v>10.4</v>
      </c>
      <c r="AJ105" s="30">
        <f t="shared" si="112"/>
        <v>29935.422399999999</v>
      </c>
      <c r="AK105">
        <f t="shared" si="113"/>
        <v>30.3812</v>
      </c>
      <c r="AM105" s="20" t="s">
        <v>152</v>
      </c>
      <c r="AN105" t="s">
        <v>256</v>
      </c>
      <c r="AO105" t="s">
        <v>257</v>
      </c>
      <c r="AP105" t="s">
        <v>690</v>
      </c>
      <c r="AQ105" s="55">
        <v>12850.829905229422</v>
      </c>
      <c r="AR105" s="55">
        <v>0.90165896164127801</v>
      </c>
      <c r="AS105" t="s">
        <v>152</v>
      </c>
      <c r="AT105" t="s">
        <v>1252</v>
      </c>
      <c r="AU105" t="s">
        <v>1153</v>
      </c>
      <c r="AV105">
        <v>74.775012462502104</v>
      </c>
      <c r="AW105">
        <v>75.658345943057597</v>
      </c>
      <c r="AX105">
        <v>77.658346276391001</v>
      </c>
      <c r="AY105">
        <v>80.566680094446696</v>
      </c>
      <c r="AZ105">
        <v>85.183347530557896</v>
      </c>
      <c r="BA105">
        <v>94.491682415280394</v>
      </c>
      <c r="BB105">
        <v>98.697991449665295</v>
      </c>
      <c r="BC105">
        <v>100</v>
      </c>
      <c r="BD105">
        <v>104.130300688383</v>
      </c>
      <c r="BE105">
        <v>107.34790955798501</v>
      </c>
      <c r="BF105">
        <v>108.47234307872399</v>
      </c>
      <c r="BG105">
        <v>108.584926430821</v>
      </c>
      <c r="BH105">
        <v>107.624917937486</v>
      </c>
      <c r="BJ105" s="20" t="s">
        <v>152</v>
      </c>
      <c r="BK105" t="s">
        <v>690</v>
      </c>
      <c r="BL105">
        <v>2015</v>
      </c>
      <c r="BM105">
        <f>INDEX('Costs lists'!$C$5:$C$8,MATCH(Lists!BK105,'Costs lists'!$B$5:$B$8,0))</f>
        <v>3.55</v>
      </c>
      <c r="BN105">
        <f>INDEX('Costs lists'!$D$5:$D$8,MATCH(Lists!BK105,'Costs lists'!$B$5:$B$8,0))</f>
        <v>2.91</v>
      </c>
      <c r="BO105">
        <f>INDEX('Costs lists'!$E$5:$E$8,MATCH(Lists!BK105,'Costs lists'!$B$5:$B$8,0))</f>
        <v>7.59</v>
      </c>
      <c r="BW105" s="20" t="s">
        <v>152</v>
      </c>
      <c r="BX105" s="20">
        <v>2008</v>
      </c>
      <c r="BY105" s="52">
        <v>42.334499999999998</v>
      </c>
      <c r="BZ105" s="52">
        <v>52.271000000000001</v>
      </c>
      <c r="CA105" s="52">
        <v>59.568899999999999</v>
      </c>
      <c r="CB105" s="52">
        <v>62.073900000000002</v>
      </c>
      <c r="CC105" s="375">
        <f t="shared" si="99"/>
        <v>43.755670000000002</v>
      </c>
      <c r="CD105" s="375">
        <v>225.63</v>
      </c>
      <c r="CE105" s="375">
        <v>235.38</v>
      </c>
      <c r="CF105" s="375">
        <v>304.36</v>
      </c>
      <c r="CG105" s="375">
        <f t="shared" si="97"/>
        <v>240.37666666666664</v>
      </c>
      <c r="CI105" s="20" t="s">
        <v>152</v>
      </c>
      <c r="CJ105" s="20">
        <v>2015</v>
      </c>
      <c r="CK105" s="59">
        <f t="shared" si="114"/>
        <v>48.218498940470802</v>
      </c>
      <c r="CL105" s="59">
        <f t="shared" si="115"/>
        <v>59.536055890995513</v>
      </c>
      <c r="CM105" s="59">
        <f t="shared" si="116"/>
        <v>67.848278390792643</v>
      </c>
      <c r="CN105" s="59">
        <f t="shared" si="117"/>
        <v>70.701444008571983</v>
      </c>
      <c r="CO105" s="59">
        <f t="shared" si="118"/>
        <v>49.83719490095762</v>
      </c>
      <c r="CP105" s="59">
        <f t="shared" si="119"/>
        <v>256.98992348884309</v>
      </c>
      <c r="CQ105" s="59">
        <f t="shared" si="120"/>
        <v>268.09505912690639</v>
      </c>
      <c r="CR105" s="59">
        <f t="shared" si="121"/>
        <v>346.66247003086596</v>
      </c>
      <c r="CS105" s="59">
        <f t="shared" si="122"/>
        <v>273.78620385219074</v>
      </c>
      <c r="CW105" s="20" t="s">
        <v>152</v>
      </c>
      <c r="CX105">
        <v>2014</v>
      </c>
      <c r="CY105">
        <v>2.916798</v>
      </c>
      <c r="CZ105">
        <v>1.0964269638061523</v>
      </c>
      <c r="DA105">
        <v>1833.5298715292797</v>
      </c>
      <c r="DB105">
        <v>72861.6171875</v>
      </c>
      <c r="DC105">
        <v>0.46606349945068359</v>
      </c>
      <c r="DE105">
        <f t="shared" si="123"/>
        <v>30971.639154294007</v>
      </c>
      <c r="DH105">
        <f t="shared" si="124"/>
        <v>16.891810509998237</v>
      </c>
      <c r="DI105">
        <f t="shared" si="95"/>
        <v>16.742468588513997</v>
      </c>
      <c r="DJ105">
        <f t="shared" si="96"/>
        <v>44.539582212130227</v>
      </c>
      <c r="DL105" s="20" t="s">
        <v>152</v>
      </c>
      <c r="DM105" s="99" t="s">
        <v>796</v>
      </c>
      <c r="DN105" s="100" t="s">
        <v>754</v>
      </c>
      <c r="DO105" s="101">
        <v>39.4</v>
      </c>
      <c r="DP105" s="101">
        <v>39.9</v>
      </c>
      <c r="DQ105" s="101">
        <v>39.200000000000003</v>
      </c>
      <c r="DR105" s="101">
        <v>39.200000000000003</v>
      </c>
      <c r="DS105" s="101">
        <v>39</v>
      </c>
      <c r="DT105" s="101">
        <v>38.799999999999997</v>
      </c>
      <c r="DU105" s="101">
        <v>38.9</v>
      </c>
      <c r="DV105" s="101">
        <v>38.799999999999997</v>
      </c>
      <c r="DW105" s="101">
        <v>38.799999999999997</v>
      </c>
      <c r="DX105">
        <f t="shared" ca="1" si="125"/>
        <v>38.799999999999997</v>
      </c>
      <c r="DY105">
        <f t="shared" ca="1" si="126"/>
        <v>7.76</v>
      </c>
      <c r="DZ105">
        <f t="shared" ca="1" si="127"/>
        <v>129.92155624686862</v>
      </c>
      <c r="EB105" s="20" t="s">
        <v>152</v>
      </c>
      <c r="EC105" s="99" t="s">
        <v>796</v>
      </c>
      <c r="ED105" s="100" t="s">
        <v>754</v>
      </c>
      <c r="EE105" s="101">
        <v>52.1</v>
      </c>
      <c r="EF105" s="101">
        <v>53.2</v>
      </c>
      <c r="EG105" s="101">
        <v>52.6</v>
      </c>
      <c r="EH105" s="101">
        <v>48.8</v>
      </c>
      <c r="EI105" s="101">
        <v>46.7</v>
      </c>
      <c r="EJ105" s="101">
        <v>48.6</v>
      </c>
      <c r="EK105" s="101">
        <v>50</v>
      </c>
      <c r="EL105" s="101">
        <v>51.2</v>
      </c>
      <c r="EM105" s="101">
        <v>52.6</v>
      </c>
      <c r="EN105" s="101">
        <v>53.8</v>
      </c>
      <c r="EO105">
        <f t="shared" ca="1" si="101"/>
        <v>53.8</v>
      </c>
      <c r="EQ105" s="20" t="s">
        <v>152</v>
      </c>
      <c r="ER105" s="20">
        <f t="shared" ca="1" si="128"/>
        <v>129.92155624686862</v>
      </c>
      <c r="ES105">
        <f t="shared" ca="1" si="129"/>
        <v>69.89779726081531</v>
      </c>
      <c r="EU105" s="20" t="s">
        <v>152</v>
      </c>
      <c r="EV105" s="109">
        <v>27680.499410272863</v>
      </c>
    </row>
    <row r="106" spans="1:152" x14ac:dyDescent="0.3">
      <c r="A106" s="20" t="s">
        <v>172</v>
      </c>
      <c r="B106" s="20" t="s">
        <v>257</v>
      </c>
      <c r="C106" s="81">
        <v>2015</v>
      </c>
      <c r="D106" s="82">
        <v>31.783000000000001</v>
      </c>
      <c r="E106" s="82">
        <v>30.105</v>
      </c>
      <c r="F106" s="82">
        <v>31.309000000000001</v>
      </c>
      <c r="G106" s="82">
        <v>33.942999999999998</v>
      </c>
      <c r="H106" s="82">
        <v>36.058999999999997</v>
      </c>
      <c r="I106" s="82">
        <v>39.808999999999997</v>
      </c>
      <c r="J106" s="82">
        <v>44.720999999999997</v>
      </c>
      <c r="K106" s="82">
        <v>42.152999999999999</v>
      </c>
      <c r="L106" s="82">
        <v>43.911999999999999</v>
      </c>
      <c r="M106" s="82">
        <v>46.731999999999999</v>
      </c>
      <c r="N106" s="82">
        <v>42.395000000000003</v>
      </c>
      <c r="O106" s="82">
        <v>35.805</v>
      </c>
      <c r="P106" s="82">
        <v>29.094000000000001</v>
      </c>
      <c r="Q106" s="82">
        <v>23.515000000000001</v>
      </c>
      <c r="R106" s="82">
        <v>18.471</v>
      </c>
      <c r="S106" s="82">
        <v>14.516999999999999</v>
      </c>
      <c r="T106" s="82">
        <v>12.398999999999999</v>
      </c>
      <c r="U106" s="82">
        <v>7.1470000000000002</v>
      </c>
      <c r="V106" s="82">
        <v>2.6429999999999998</v>
      </c>
      <c r="W106" s="82">
        <v>0.51300000000000001</v>
      </c>
      <c r="X106" s="82">
        <v>8.5000000000000006E-2</v>
      </c>
      <c r="Y106" s="82">
        <f t="shared" si="102"/>
        <v>567.11000000000013</v>
      </c>
      <c r="Z106" s="52">
        <f t="shared" si="103"/>
        <v>3.1779999999999999</v>
      </c>
      <c r="AA106" s="52">
        <f t="shared" si="104"/>
        <v>3.1779999999999999</v>
      </c>
      <c r="AB106" s="52">
        <f t="shared" si="105"/>
        <v>6.3570000000000002</v>
      </c>
      <c r="AC106" s="52">
        <f t="shared" si="106"/>
        <v>19.07</v>
      </c>
      <c r="AD106" s="52">
        <f t="shared" si="107"/>
        <v>61.414000000000001</v>
      </c>
      <c r="AE106" s="52">
        <f t="shared" si="108"/>
        <v>287.32900000000001</v>
      </c>
      <c r="AF106" s="52">
        <f t="shared" si="109"/>
        <v>107.294</v>
      </c>
      <c r="AG106" s="52">
        <f t="shared" si="110"/>
        <v>79.290000000000006</v>
      </c>
      <c r="AH106" s="52">
        <f t="shared" si="111"/>
        <v>567.11</v>
      </c>
      <c r="AI106">
        <v>10.9</v>
      </c>
      <c r="AJ106" s="30">
        <f t="shared" si="112"/>
        <v>6181.4990000000007</v>
      </c>
      <c r="AK106">
        <f t="shared" si="113"/>
        <v>6.3566000000000003</v>
      </c>
      <c r="AM106" s="20" t="s">
        <v>172</v>
      </c>
      <c r="AN106" t="s">
        <v>256</v>
      </c>
      <c r="AO106" t="s">
        <v>257</v>
      </c>
      <c r="AP106" t="s">
        <v>690</v>
      </c>
      <c r="AQ106" s="55">
        <v>89915.490410881946</v>
      </c>
      <c r="AR106" s="55">
        <v>0.90165896164127801</v>
      </c>
      <c r="AS106" t="s">
        <v>172</v>
      </c>
      <c r="AT106" t="s">
        <v>1253</v>
      </c>
      <c r="AU106" t="s">
        <v>1153</v>
      </c>
      <c r="AV106">
        <v>85.608051525039002</v>
      </c>
      <c r="AW106">
        <v>87.513413508315395</v>
      </c>
      <c r="AX106">
        <v>89.692131757741606</v>
      </c>
      <c r="AY106">
        <v>92.092143716692405</v>
      </c>
      <c r="AZ106">
        <v>94.213362632762994</v>
      </c>
      <c r="BA106">
        <v>97.416866605376995</v>
      </c>
      <c r="BB106">
        <v>97.777130001270905</v>
      </c>
      <c r="BC106">
        <v>100</v>
      </c>
      <c r="BD106">
        <v>103.409795875657</v>
      </c>
      <c r="BE106">
        <v>106.164839189482</v>
      </c>
      <c r="BF106">
        <v>108.005770193809</v>
      </c>
      <c r="BG106">
        <v>108.685935526306</v>
      </c>
      <c r="BH106">
        <v>109.201665283913</v>
      </c>
      <c r="BJ106" s="20" t="s">
        <v>172</v>
      </c>
      <c r="BK106" t="s">
        <v>690</v>
      </c>
      <c r="BL106">
        <v>2015</v>
      </c>
      <c r="BM106">
        <f>INDEX('Costs lists'!$C$5:$C$8,MATCH(Lists!BK106,'Costs lists'!$B$5:$B$8,0))</f>
        <v>3.55</v>
      </c>
      <c r="BN106">
        <f>INDEX('Costs lists'!$D$5:$D$8,MATCH(Lists!BK106,'Costs lists'!$B$5:$B$8,0))</f>
        <v>2.91</v>
      </c>
      <c r="BO106">
        <f>INDEX('Costs lists'!$E$5:$E$8,MATCH(Lists!BK106,'Costs lists'!$B$5:$B$8,0))</f>
        <v>7.59</v>
      </c>
      <c r="BW106" s="20" t="s">
        <v>172</v>
      </c>
      <c r="BX106" s="20">
        <v>2008</v>
      </c>
      <c r="BY106" s="52">
        <v>83.610799999999998</v>
      </c>
      <c r="BZ106" s="52">
        <v>103.2304</v>
      </c>
      <c r="CA106" s="52">
        <v>117.6448</v>
      </c>
      <c r="CB106" s="52">
        <v>122.59520000000001</v>
      </c>
      <c r="CC106" s="375">
        <f t="shared" si="99"/>
        <v>86.417239999999993</v>
      </c>
      <c r="CD106" s="375">
        <v>1330.65</v>
      </c>
      <c r="CE106" s="375">
        <v>1388.19</v>
      </c>
      <c r="CF106" s="375">
        <v>1794.99</v>
      </c>
      <c r="CG106" s="375">
        <f t="shared" si="97"/>
        <v>1417.63</v>
      </c>
      <c r="CI106" s="20" t="s">
        <v>172</v>
      </c>
      <c r="CJ106" s="20">
        <v>2015</v>
      </c>
      <c r="CK106" s="59">
        <f t="shared" si="114"/>
        <v>93.725439073157702</v>
      </c>
      <c r="CL106" s="59">
        <f t="shared" si="115"/>
        <v>115.71847854221824</v>
      </c>
      <c r="CM106" s="59">
        <f t="shared" si="116"/>
        <v>131.87662998887492</v>
      </c>
      <c r="CN106" s="59">
        <f t="shared" si="117"/>
        <v>137.42589412207016</v>
      </c>
      <c r="CO106" s="59">
        <f t="shared" si="118"/>
        <v>96.871382195726468</v>
      </c>
      <c r="CP106" s="59">
        <f t="shared" si="119"/>
        <v>1491.6225595580634</v>
      </c>
      <c r="CQ106" s="59">
        <f t="shared" si="120"/>
        <v>1556.123338934286</v>
      </c>
      <c r="CR106" s="59">
        <f t="shared" si="121"/>
        <v>2012.1351055357366</v>
      </c>
      <c r="CS106" s="59">
        <f t="shared" si="122"/>
        <v>1589.1247804503794</v>
      </c>
      <c r="CW106" s="20" t="s">
        <v>172</v>
      </c>
      <c r="CX106">
        <v>2014</v>
      </c>
      <c r="CY106">
        <v>0.55657299999999998</v>
      </c>
      <c r="CZ106">
        <v>0.42244955897331238</v>
      </c>
      <c r="DA106">
        <v>1501.7105263157896</v>
      </c>
      <c r="DB106">
        <v>36645.64453125</v>
      </c>
      <c r="DC106">
        <v>0.55400556325912476</v>
      </c>
      <c r="DE106">
        <f t="shared" si="123"/>
        <v>48057.550323567419</v>
      </c>
      <c r="DH106">
        <f t="shared" si="124"/>
        <v>32.001873517840387</v>
      </c>
      <c r="DI106">
        <f t="shared" si="95"/>
        <v>32.153726822432233</v>
      </c>
      <c r="DJ106">
        <f t="shared" si="96"/>
        <v>42.36220826513425</v>
      </c>
      <c r="DL106" s="20" t="s">
        <v>172</v>
      </c>
      <c r="DM106" s="99" t="s">
        <v>796</v>
      </c>
      <c r="DN106" s="100" t="s">
        <v>754</v>
      </c>
      <c r="DO106" s="101">
        <v>37.700000000000003</v>
      </c>
      <c r="DP106" s="101">
        <v>37.4</v>
      </c>
      <c r="DQ106" s="101">
        <v>38.1</v>
      </c>
      <c r="DR106" s="101">
        <v>38.1</v>
      </c>
      <c r="DS106" s="101">
        <v>38</v>
      </c>
      <c r="DT106" s="101">
        <v>38.4</v>
      </c>
      <c r="DU106" s="101">
        <v>38</v>
      </c>
      <c r="DV106" s="101">
        <v>38.299999999999997</v>
      </c>
      <c r="DW106" s="101">
        <v>38.200000000000003</v>
      </c>
      <c r="DX106">
        <f t="shared" ca="1" si="125"/>
        <v>38.200000000000003</v>
      </c>
      <c r="DY106">
        <f t="shared" ca="1" si="126"/>
        <v>7.6400000000000006</v>
      </c>
      <c r="DZ106">
        <f t="shared" ca="1" si="127"/>
        <v>245.65447292338229</v>
      </c>
      <c r="EB106" s="20" t="s">
        <v>172</v>
      </c>
      <c r="EC106" s="99" t="s">
        <v>796</v>
      </c>
      <c r="ED106" s="100" t="s">
        <v>754</v>
      </c>
      <c r="EE106" s="101">
        <v>52.4</v>
      </c>
      <c r="EF106" s="101">
        <v>53.7</v>
      </c>
      <c r="EG106" s="101">
        <v>53.2</v>
      </c>
      <c r="EH106" s="101">
        <v>55.2</v>
      </c>
      <c r="EI106" s="101">
        <v>55.2</v>
      </c>
      <c r="EJ106" s="101">
        <v>54.8</v>
      </c>
      <c r="EK106" s="101">
        <v>55.7</v>
      </c>
      <c r="EL106" s="101">
        <v>55.9</v>
      </c>
      <c r="EM106" s="101">
        <v>56.6</v>
      </c>
      <c r="EN106" s="101">
        <v>56</v>
      </c>
      <c r="EO106">
        <f t="shared" ca="1" si="101"/>
        <v>56</v>
      </c>
      <c r="EQ106" s="20" t="s">
        <v>172</v>
      </c>
      <c r="ER106" s="20">
        <f t="shared" ca="1" si="128"/>
        <v>245.65447292338229</v>
      </c>
      <c r="ES106">
        <f t="shared" ca="1" si="129"/>
        <v>137.56650483709407</v>
      </c>
      <c r="EU106" s="20" t="s">
        <v>172</v>
      </c>
      <c r="EV106" s="109">
        <v>101926.42361390249</v>
      </c>
    </row>
    <row r="107" spans="1:152" x14ac:dyDescent="0.3">
      <c r="A107" s="20" t="s">
        <v>40</v>
      </c>
      <c r="B107" s="20" t="s">
        <v>632</v>
      </c>
      <c r="C107" s="81">
        <v>2015</v>
      </c>
      <c r="D107" s="82">
        <v>3770.13</v>
      </c>
      <c r="E107" s="82">
        <v>3328.0390000000002</v>
      </c>
      <c r="F107" s="82">
        <v>3010.2510000000002</v>
      </c>
      <c r="G107" s="82">
        <v>2703.623</v>
      </c>
      <c r="H107" s="82">
        <v>2275.08</v>
      </c>
      <c r="I107" s="82">
        <v>1875.318</v>
      </c>
      <c r="J107" s="82">
        <v>1474.1780000000001</v>
      </c>
      <c r="K107" s="82">
        <v>1356.0550000000001</v>
      </c>
      <c r="L107" s="82">
        <v>1123.549</v>
      </c>
      <c r="M107" s="82">
        <v>894.82799999999997</v>
      </c>
      <c r="N107" s="82">
        <v>720.90700000000004</v>
      </c>
      <c r="O107" s="82">
        <v>575.01800000000003</v>
      </c>
      <c r="P107" s="82">
        <v>440.65800000000002</v>
      </c>
      <c r="Q107" s="82">
        <v>278.596</v>
      </c>
      <c r="R107" s="82">
        <v>189.22800000000001</v>
      </c>
      <c r="S107" s="82">
        <v>123.18300000000001</v>
      </c>
      <c r="T107" s="82">
        <v>64.974000000000004</v>
      </c>
      <c r="U107" s="82">
        <v>24.443999999999999</v>
      </c>
      <c r="V107" s="82">
        <v>6.2869999999999999</v>
      </c>
      <c r="W107" s="82">
        <v>0.94</v>
      </c>
      <c r="X107" s="82">
        <v>0.104</v>
      </c>
      <c r="Y107" s="82">
        <f t="shared" si="102"/>
        <v>24235.389999999996</v>
      </c>
      <c r="Z107" s="52">
        <f t="shared" si="103"/>
        <v>377.01299999999998</v>
      </c>
      <c r="AA107" s="52">
        <f t="shared" si="104"/>
        <v>377.01299999999998</v>
      </c>
      <c r="AB107" s="52">
        <f t="shared" si="105"/>
        <v>754.02599999999995</v>
      </c>
      <c r="AC107" s="52">
        <f t="shared" si="106"/>
        <v>2262.078</v>
      </c>
      <c r="AD107" s="52">
        <f t="shared" si="107"/>
        <v>6338.29</v>
      </c>
      <c r="AE107" s="52">
        <f t="shared" si="108"/>
        <v>11702.630999999999</v>
      </c>
      <c r="AF107" s="52">
        <f t="shared" si="109"/>
        <v>1736.5830000000001</v>
      </c>
      <c r="AG107" s="52">
        <f t="shared" si="110"/>
        <v>687.75599999999997</v>
      </c>
      <c r="AH107" s="52">
        <f t="shared" si="111"/>
        <v>24235.39</v>
      </c>
      <c r="AI107">
        <v>34.456000000000003</v>
      </c>
      <c r="AJ107" s="30">
        <f t="shared" si="112"/>
        <v>835054.59784000006</v>
      </c>
      <c r="AK107">
        <f t="shared" si="113"/>
        <v>754.02600000000007</v>
      </c>
      <c r="AM107" s="20" t="s">
        <v>40</v>
      </c>
      <c r="AN107" t="s">
        <v>410</v>
      </c>
      <c r="AO107" t="s">
        <v>411</v>
      </c>
      <c r="AP107" t="s">
        <v>691</v>
      </c>
      <c r="AQ107" s="55">
        <v>1178789.2589271064</v>
      </c>
      <c r="AR107" s="55">
        <v>2933.50833333333</v>
      </c>
      <c r="AS107" t="s">
        <v>40</v>
      </c>
      <c r="AT107" t="s">
        <v>1254</v>
      </c>
      <c r="AU107" t="s">
        <v>1153</v>
      </c>
      <c r="AV107">
        <v>46.672570850202398</v>
      </c>
      <c r="AW107">
        <v>53.118674089068797</v>
      </c>
      <c r="AX107">
        <v>62.952302631578902</v>
      </c>
      <c r="AY107">
        <v>69.733679149797496</v>
      </c>
      <c r="AZ107">
        <v>76.916751012145696</v>
      </c>
      <c r="BA107">
        <v>84.011260121457397</v>
      </c>
      <c r="BB107">
        <v>91.5359311740891</v>
      </c>
      <c r="BC107">
        <v>100</v>
      </c>
      <c r="BD107">
        <v>109.48254048583</v>
      </c>
      <c r="BE107">
        <v>116.444205465587</v>
      </c>
      <c r="BF107">
        <v>123.228744939271</v>
      </c>
      <c r="BG107">
        <v>130.721786437247</v>
      </c>
      <c r="BH107">
        <v>140.40043016194301</v>
      </c>
      <c r="BJ107" s="20" t="s">
        <v>40</v>
      </c>
      <c r="BK107" t="s">
        <v>691</v>
      </c>
      <c r="BL107">
        <v>2015</v>
      </c>
      <c r="BM107">
        <f>INDEX('Costs lists'!$C$5:$C$8,MATCH(Lists!BK107,'Costs lists'!$B$5:$B$8,0))</f>
        <v>4.2</v>
      </c>
      <c r="BN107">
        <f>INDEX('Costs lists'!$D$5:$D$8,MATCH(Lists!BK107,'Costs lists'!$B$5:$B$8,0))</f>
        <v>4.2</v>
      </c>
      <c r="BO107">
        <f>INDEX('Costs lists'!$E$5:$E$8,MATCH(Lists!BK107,'Costs lists'!$B$5:$B$8,0))</f>
        <v>4.2</v>
      </c>
      <c r="BW107" s="20" t="s">
        <v>40</v>
      </c>
      <c r="BX107" s="20">
        <v>2008</v>
      </c>
      <c r="BY107" s="52">
        <v>1586.3562000000002</v>
      </c>
      <c r="BZ107" s="52">
        <v>1962.9155000000003</v>
      </c>
      <c r="CA107" s="52">
        <v>2235.3201000000004</v>
      </c>
      <c r="CB107" s="52">
        <v>2331.4629000000004</v>
      </c>
      <c r="CC107" s="375">
        <f t="shared" si="99"/>
        <v>1640.03593</v>
      </c>
      <c r="CD107" s="375">
        <v>6.74</v>
      </c>
      <c r="CE107" s="375">
        <v>7.04</v>
      </c>
      <c r="CF107" s="375">
        <v>9.1</v>
      </c>
      <c r="CG107" s="375">
        <f t="shared" si="97"/>
        <v>7.1833333333333327</v>
      </c>
      <c r="CI107" s="20" t="s">
        <v>40</v>
      </c>
      <c r="CJ107" s="20">
        <v>2015</v>
      </c>
      <c r="CK107" s="59">
        <f t="shared" si="114"/>
        <v>2651.1338188245895</v>
      </c>
      <c r="CL107" s="59">
        <f t="shared" si="115"/>
        <v>3280.4433616768915</v>
      </c>
      <c r="CM107" s="59">
        <f t="shared" si="116"/>
        <v>3735.6885628891951</v>
      </c>
      <c r="CN107" s="59">
        <f t="shared" si="117"/>
        <v>3896.3633397876551</v>
      </c>
      <c r="CO107" s="59">
        <f t="shared" si="118"/>
        <v>2740.8439025928965</v>
      </c>
      <c r="CP107" s="59">
        <f t="shared" si="119"/>
        <v>11.263953164413978</v>
      </c>
      <c r="CQ107" s="59">
        <f t="shared" si="120"/>
        <v>11.765316064907182</v>
      </c>
      <c r="CR107" s="59">
        <f t="shared" si="121"/>
        <v>15.20800798162718</v>
      </c>
      <c r="CS107" s="59">
        <f t="shared" si="122"/>
        <v>12.004856117365044</v>
      </c>
      <c r="CW107" s="20" t="s">
        <v>40</v>
      </c>
      <c r="CX107">
        <v>2014</v>
      </c>
      <c r="CY107">
        <v>23.571712999999999</v>
      </c>
      <c r="CZ107">
        <v>10.296520233154297</v>
      </c>
      <c r="DB107">
        <v>29154.7109375</v>
      </c>
      <c r="DE107">
        <f t="shared" si="123"/>
        <v>0</v>
      </c>
      <c r="DH107" t="e">
        <f t="shared" si="124"/>
        <v>#DIV/0!</v>
      </c>
      <c r="DI107" t="e">
        <f t="shared" si="95"/>
        <v>#DIV/0!</v>
      </c>
      <c r="DJ107" t="e">
        <f t="shared" si="96"/>
        <v>#DIV/0!</v>
      </c>
      <c r="DL107" s="20" t="s">
        <v>40</v>
      </c>
      <c r="DM107" s="99" t="s">
        <v>773</v>
      </c>
      <c r="DN107" s="100" t="s">
        <v>847</v>
      </c>
      <c r="DO107" s="101"/>
      <c r="DP107" s="101"/>
      <c r="DQ107" s="101"/>
      <c r="DR107" s="101"/>
      <c r="DS107" s="101"/>
      <c r="DT107" s="101">
        <v>32.299999999999997</v>
      </c>
      <c r="DU107" s="101"/>
      <c r="DV107" s="101"/>
      <c r="DW107" s="101"/>
      <c r="DX107">
        <f t="shared" ca="1" si="125"/>
        <v>32.299999999999997</v>
      </c>
      <c r="DY107">
        <f t="shared" ca="1" si="126"/>
        <v>6.4599999999999991</v>
      </c>
      <c r="DZ107" t="e">
        <f t="shared" ca="1" si="127"/>
        <v>#DIV/0!</v>
      </c>
      <c r="EB107" s="20" t="s">
        <v>40</v>
      </c>
      <c r="EC107" s="99" t="s">
        <v>773</v>
      </c>
      <c r="ED107" s="100" t="s">
        <v>754</v>
      </c>
      <c r="EE107" s="101"/>
      <c r="EF107" s="101"/>
      <c r="EG107" s="101"/>
      <c r="EH107" s="101"/>
      <c r="EI107" s="101"/>
      <c r="EJ107" s="101"/>
      <c r="EK107" s="101">
        <v>73.900000000000006</v>
      </c>
      <c r="EL107" s="101"/>
      <c r="EM107" s="101"/>
      <c r="EN107" s="101">
        <v>84.8</v>
      </c>
      <c r="EO107">
        <f t="shared" ca="1" si="101"/>
        <v>84.8</v>
      </c>
      <c r="EQ107" s="20" t="s">
        <v>40</v>
      </c>
      <c r="ER107" s="20" t="e">
        <f t="shared" ca="1" si="128"/>
        <v>#DIV/0!</v>
      </c>
      <c r="ES107" t="e">
        <f t="shared" ca="1" si="129"/>
        <v>#DIV/0!</v>
      </c>
      <c r="EU107" s="20" t="s">
        <v>40</v>
      </c>
      <c r="EV107" s="109">
        <v>1465.3448175782403</v>
      </c>
    </row>
    <row r="108" spans="1:152" x14ac:dyDescent="0.3">
      <c r="A108" s="20" t="s">
        <v>41</v>
      </c>
      <c r="B108" s="20" t="s">
        <v>632</v>
      </c>
      <c r="C108" s="81">
        <v>2015</v>
      </c>
      <c r="D108" s="82">
        <v>2953.5949999999998</v>
      </c>
      <c r="E108" s="82">
        <v>2613.4050000000002</v>
      </c>
      <c r="F108" s="82">
        <v>2206.8789999999999</v>
      </c>
      <c r="G108" s="82">
        <v>1904.0530000000001</v>
      </c>
      <c r="H108" s="82">
        <v>1644.1179999999999</v>
      </c>
      <c r="I108" s="82">
        <v>1404.3050000000001</v>
      </c>
      <c r="J108" s="82">
        <v>1098.0429999999999</v>
      </c>
      <c r="K108" s="82">
        <v>859.327</v>
      </c>
      <c r="L108" s="82">
        <v>615.62800000000004</v>
      </c>
      <c r="M108" s="82">
        <v>439.553</v>
      </c>
      <c r="N108" s="82">
        <v>337.26400000000001</v>
      </c>
      <c r="O108" s="82">
        <v>289.66300000000001</v>
      </c>
      <c r="P108" s="82">
        <v>256.95499999999998</v>
      </c>
      <c r="Q108" s="82">
        <v>244.59</v>
      </c>
      <c r="R108" s="82">
        <v>175.21100000000001</v>
      </c>
      <c r="S108" s="82">
        <v>103.72799999999999</v>
      </c>
      <c r="T108" s="82">
        <v>49.232999999999997</v>
      </c>
      <c r="U108" s="82">
        <v>16.318999999999999</v>
      </c>
      <c r="V108" s="82">
        <v>3.0649999999999999</v>
      </c>
      <c r="W108" s="82">
        <v>0.28699999999999998</v>
      </c>
      <c r="X108" s="82">
        <v>1.0999999999999999E-2</v>
      </c>
      <c r="Y108" s="82">
        <f t="shared" si="102"/>
        <v>17215.231999999996</v>
      </c>
      <c r="Z108" s="52">
        <f t="shared" si="103"/>
        <v>295.36</v>
      </c>
      <c r="AA108" s="52">
        <f t="shared" si="104"/>
        <v>295.36</v>
      </c>
      <c r="AB108" s="52">
        <f t="shared" si="105"/>
        <v>590.71900000000005</v>
      </c>
      <c r="AC108" s="52">
        <f t="shared" si="106"/>
        <v>1772.1569999999999</v>
      </c>
      <c r="AD108" s="52">
        <f t="shared" si="107"/>
        <v>4820.2839999999997</v>
      </c>
      <c r="AE108" s="52">
        <f t="shared" si="108"/>
        <v>7965.027</v>
      </c>
      <c r="AF108" s="52">
        <f t="shared" si="109"/>
        <v>883.88199999999995</v>
      </c>
      <c r="AG108" s="52">
        <f t="shared" si="110"/>
        <v>592.44399999999996</v>
      </c>
      <c r="AH108" s="52">
        <f t="shared" si="111"/>
        <v>17215.233</v>
      </c>
      <c r="AI108">
        <v>38.979999999999997</v>
      </c>
      <c r="AJ108" s="30">
        <f t="shared" si="112"/>
        <v>671049.78233999992</v>
      </c>
      <c r="AK108">
        <f t="shared" si="113"/>
        <v>590.71899999999994</v>
      </c>
      <c r="AM108" s="20" t="s">
        <v>41</v>
      </c>
      <c r="AN108" t="s">
        <v>412</v>
      </c>
      <c r="AO108" t="s">
        <v>413</v>
      </c>
      <c r="AP108" t="s">
        <v>691</v>
      </c>
      <c r="AQ108" s="55">
        <v>185845.41875473995</v>
      </c>
      <c r="AR108" s="55">
        <v>496.37133309447802</v>
      </c>
      <c r="AS108" t="s">
        <v>41</v>
      </c>
      <c r="AT108" t="s">
        <v>1255</v>
      </c>
      <c r="AU108" t="s">
        <v>1153</v>
      </c>
      <c r="AV108">
        <v>49.919106940624502</v>
      </c>
      <c r="AW108">
        <v>55.624764061910099</v>
      </c>
      <c r="AX108">
        <v>64.196731920401206</v>
      </c>
      <c r="AY108">
        <v>73.1677722051448</v>
      </c>
      <c r="AZ108">
        <v>78.986227036373705</v>
      </c>
      <c r="BA108">
        <v>85.867982527099201</v>
      </c>
      <c r="BB108">
        <v>93.099822035269398</v>
      </c>
      <c r="BC108">
        <v>100</v>
      </c>
      <c r="BD108">
        <v>107.622822628485</v>
      </c>
      <c r="BE108">
        <v>130.51555843175299</v>
      </c>
      <c r="BF108">
        <v>166.12455329054899</v>
      </c>
      <c r="BG108">
        <v>205.649014902299</v>
      </c>
      <c r="BH108">
        <v>250.622501078574</v>
      </c>
      <c r="BJ108" s="20" t="s">
        <v>41</v>
      </c>
      <c r="BK108" t="s">
        <v>691</v>
      </c>
      <c r="BL108">
        <v>2015</v>
      </c>
      <c r="BM108">
        <f>INDEX('Costs lists'!$C$5:$C$8,MATCH(Lists!BK108,'Costs lists'!$B$5:$B$8,0))</f>
        <v>4.2</v>
      </c>
      <c r="BN108">
        <f>INDEX('Costs lists'!$D$5:$D$8,MATCH(Lists!BK108,'Costs lists'!$B$5:$B$8,0))</f>
        <v>4.2</v>
      </c>
      <c r="BO108">
        <f>INDEX('Costs lists'!$E$5:$E$8,MATCH(Lists!BK108,'Costs lists'!$B$5:$B$8,0))</f>
        <v>4.2</v>
      </c>
      <c r="BW108" s="20" t="s">
        <v>41</v>
      </c>
      <c r="BX108" s="20">
        <v>2008</v>
      </c>
      <c r="BY108" s="52">
        <v>75.68119999999999</v>
      </c>
      <c r="BZ108" s="52">
        <v>93.724400000000003</v>
      </c>
      <c r="CA108" s="52">
        <v>106.75559999999999</v>
      </c>
      <c r="CB108" s="52">
        <v>111.2664</v>
      </c>
      <c r="CC108" s="375">
        <f t="shared" si="99"/>
        <v>78.249850000000009</v>
      </c>
      <c r="CD108" s="375">
        <v>4.6399999999999997</v>
      </c>
      <c r="CE108" s="375">
        <v>4.84</v>
      </c>
      <c r="CF108" s="375">
        <v>6.26</v>
      </c>
      <c r="CG108" s="375">
        <f t="shared" si="97"/>
        <v>4.9433333333333325</v>
      </c>
      <c r="CI108" s="20" t="s">
        <v>41</v>
      </c>
      <c r="CJ108" s="20">
        <v>2015</v>
      </c>
      <c r="CK108" s="59">
        <f t="shared" si="114"/>
        <v>220.89038394074089</v>
      </c>
      <c r="CL108" s="59">
        <f t="shared" si="115"/>
        <v>273.55299203257323</v>
      </c>
      <c r="CM108" s="59">
        <f t="shared" si="116"/>
        <v>311.58709787667425</v>
      </c>
      <c r="CN108" s="59">
        <f t="shared" si="117"/>
        <v>324.75274989963236</v>
      </c>
      <c r="CO108" s="59">
        <f t="shared" si="118"/>
        <v>228.38749134270319</v>
      </c>
      <c r="CP108" s="59">
        <f t="shared" si="119"/>
        <v>13.542747491913946</v>
      </c>
      <c r="CQ108" s="59">
        <f t="shared" si="120"/>
        <v>14.126486607944722</v>
      </c>
      <c r="CR108" s="59">
        <f t="shared" si="121"/>
        <v>18.271034331763214</v>
      </c>
      <c r="CS108" s="59">
        <f t="shared" si="122"/>
        <v>14.428085151227286</v>
      </c>
      <c r="CW108" s="20" t="s">
        <v>41</v>
      </c>
      <c r="CX108">
        <v>2014</v>
      </c>
      <c r="CY108">
        <v>16.695253000000001</v>
      </c>
      <c r="CZ108">
        <v>6.5069112777709961</v>
      </c>
      <c r="DB108">
        <v>16218.19140625</v>
      </c>
      <c r="DE108">
        <f t="shared" si="123"/>
        <v>0</v>
      </c>
      <c r="DH108" t="e">
        <f t="shared" si="124"/>
        <v>#DIV/0!</v>
      </c>
      <c r="DI108" t="e">
        <f t="shared" si="95"/>
        <v>#DIV/0!</v>
      </c>
      <c r="DJ108" t="e">
        <f t="shared" si="96"/>
        <v>#DIV/0!</v>
      </c>
      <c r="DL108" s="20" t="s">
        <v>41</v>
      </c>
      <c r="DM108" s="99"/>
      <c r="DN108" s="100"/>
      <c r="DO108" s="101"/>
      <c r="DP108" s="101"/>
      <c r="DQ108" s="101"/>
      <c r="DR108" s="101"/>
      <c r="DS108" s="101"/>
      <c r="DT108" s="101"/>
      <c r="DU108" s="101"/>
      <c r="DV108" s="101"/>
      <c r="DW108" s="101"/>
      <c r="DX108" t="e">
        <f t="shared" ca="1" si="125"/>
        <v>#N/A</v>
      </c>
      <c r="DY108" t="e">
        <f t="shared" ca="1" si="126"/>
        <v>#N/A</v>
      </c>
      <c r="DZ108" t="e">
        <f t="shared" ca="1" si="127"/>
        <v>#N/A</v>
      </c>
      <c r="EB108" s="20" t="s">
        <v>41</v>
      </c>
      <c r="EC108" s="99" t="s">
        <v>760</v>
      </c>
      <c r="ED108" s="100" t="s">
        <v>754</v>
      </c>
      <c r="EE108" s="101"/>
      <c r="EF108" s="101"/>
      <c r="EG108" s="101"/>
      <c r="EH108" s="101"/>
      <c r="EI108" s="101"/>
      <c r="EJ108" s="101"/>
      <c r="EK108" s="101"/>
      <c r="EL108" s="101">
        <v>69.8</v>
      </c>
      <c r="EM108" s="101"/>
      <c r="EN108" s="101"/>
      <c r="EO108">
        <f t="shared" ca="1" si="101"/>
        <v>69.8</v>
      </c>
      <c r="EQ108" s="20" t="s">
        <v>41</v>
      </c>
      <c r="ER108" s="20" t="e">
        <f t="shared" ca="1" si="128"/>
        <v>#N/A</v>
      </c>
      <c r="ES108" t="e">
        <f t="shared" ca="1" si="129"/>
        <v>#N/A</v>
      </c>
      <c r="EU108" s="20" t="s">
        <v>41</v>
      </c>
      <c r="EV108" s="109">
        <v>1183.6052346296794</v>
      </c>
    </row>
    <row r="109" spans="1:152" x14ac:dyDescent="0.3">
      <c r="A109" s="20" t="s">
        <v>111</v>
      </c>
      <c r="B109" s="20" t="s">
        <v>634</v>
      </c>
      <c r="C109" s="81">
        <v>2015</v>
      </c>
      <c r="D109" s="82">
        <v>2476.6729999999998</v>
      </c>
      <c r="E109" s="82">
        <v>2329.6320000000001</v>
      </c>
      <c r="F109" s="82">
        <v>2626.2649999999999</v>
      </c>
      <c r="G109" s="82">
        <v>2774.0279999999998</v>
      </c>
      <c r="H109" s="82">
        <v>2909.4180000000001</v>
      </c>
      <c r="I109" s="82">
        <v>2923.6619999999998</v>
      </c>
      <c r="J109" s="82">
        <v>2759.1610000000001</v>
      </c>
      <c r="K109" s="82">
        <v>2151.94</v>
      </c>
      <c r="L109" s="82">
        <v>1925.944</v>
      </c>
      <c r="M109" s="82">
        <v>1764.721</v>
      </c>
      <c r="N109" s="82">
        <v>1580.6579999999999</v>
      </c>
      <c r="O109" s="82">
        <v>1323.9359999999999</v>
      </c>
      <c r="P109" s="82">
        <v>1008.958</v>
      </c>
      <c r="Q109" s="82">
        <v>754.94600000000003</v>
      </c>
      <c r="R109" s="82">
        <v>464.76299999999998</v>
      </c>
      <c r="S109" s="82">
        <v>319.20400000000001</v>
      </c>
      <c r="T109" s="82">
        <v>157.261</v>
      </c>
      <c r="U109" s="82">
        <v>60.386000000000003</v>
      </c>
      <c r="V109" s="82">
        <v>16.861000000000001</v>
      </c>
      <c r="W109" s="82">
        <v>2.41</v>
      </c>
      <c r="X109" s="82">
        <v>0.18</v>
      </c>
      <c r="Y109" s="82">
        <f t="shared" si="102"/>
        <v>30331.006999999998</v>
      </c>
      <c r="Z109" s="52">
        <f t="shared" si="103"/>
        <v>247.667</v>
      </c>
      <c r="AA109" s="52">
        <f t="shared" si="104"/>
        <v>247.667</v>
      </c>
      <c r="AB109" s="52">
        <f t="shared" si="105"/>
        <v>495.33499999999998</v>
      </c>
      <c r="AC109" s="52">
        <f t="shared" si="106"/>
        <v>1486.0039999999999</v>
      </c>
      <c r="AD109" s="52">
        <f t="shared" si="107"/>
        <v>4955.8969999999999</v>
      </c>
      <c r="AE109" s="52">
        <f t="shared" si="108"/>
        <v>17208.874</v>
      </c>
      <c r="AF109" s="52">
        <f t="shared" si="109"/>
        <v>3913.5520000000001</v>
      </c>
      <c r="AG109" s="52">
        <f t="shared" si="110"/>
        <v>1776.011</v>
      </c>
      <c r="AH109" s="52">
        <f t="shared" si="111"/>
        <v>30331.006999999998</v>
      </c>
      <c r="AI109">
        <v>16.811</v>
      </c>
      <c r="AJ109" s="30">
        <f t="shared" si="112"/>
        <v>509894.55867699994</v>
      </c>
      <c r="AK109">
        <f t="shared" si="113"/>
        <v>495.33459999999997</v>
      </c>
      <c r="AM109" s="20" t="s">
        <v>111</v>
      </c>
      <c r="AN109" t="s">
        <v>414</v>
      </c>
      <c r="AO109" t="s">
        <v>415</v>
      </c>
      <c r="AP109" t="s">
        <v>689</v>
      </c>
      <c r="AQ109" s="55">
        <v>38150.200552194001</v>
      </c>
      <c r="AR109" s="55">
        <v>3.9055002630276801</v>
      </c>
      <c r="AS109" t="s">
        <v>111</v>
      </c>
      <c r="AT109" t="s">
        <v>1256</v>
      </c>
      <c r="AU109" t="s">
        <v>1153</v>
      </c>
      <c r="AV109">
        <v>83.901361023405599</v>
      </c>
      <c r="AW109">
        <v>85.175438596491205</v>
      </c>
      <c r="AX109">
        <v>87.697368421052602</v>
      </c>
      <c r="AY109">
        <v>90.862573099415201</v>
      </c>
      <c r="AZ109">
        <v>92.704678362573105</v>
      </c>
      <c r="BA109">
        <v>97.748538011695899</v>
      </c>
      <c r="BB109">
        <v>98.318713450292094</v>
      </c>
      <c r="BC109">
        <v>100</v>
      </c>
      <c r="BD109">
        <v>103.2</v>
      </c>
      <c r="BE109">
        <v>104.9</v>
      </c>
      <c r="BF109">
        <v>107.1</v>
      </c>
      <c r="BG109">
        <v>110.5</v>
      </c>
      <c r="BH109">
        <v>112.8</v>
      </c>
      <c r="BJ109" s="20" t="s">
        <v>111</v>
      </c>
      <c r="BK109" t="s">
        <v>689</v>
      </c>
      <c r="BL109">
        <v>2015</v>
      </c>
      <c r="BM109">
        <f>INDEX('Costs lists'!$C$5:$C$8,MATCH(Lists!BK109,'Costs lists'!$B$5:$B$8,0))</f>
        <v>3.2</v>
      </c>
      <c r="BN109">
        <f>INDEX('Costs lists'!$D$5:$D$8,MATCH(Lists!BK109,'Costs lists'!$B$5:$B$8,0))</f>
        <v>1.1200000000000001</v>
      </c>
      <c r="BO109">
        <f>INDEX('Costs lists'!$E$5:$E$8,MATCH(Lists!BK109,'Costs lists'!$B$5:$B$8,0))</f>
        <v>4.4400000000000004</v>
      </c>
      <c r="BW109" s="20" t="s">
        <v>111</v>
      </c>
      <c r="BX109" s="20">
        <v>2008</v>
      </c>
      <c r="BY109" s="52">
        <v>36.268799999999999</v>
      </c>
      <c r="BZ109" s="52">
        <v>44.7744</v>
      </c>
      <c r="CA109" s="52">
        <v>51.033599999999993</v>
      </c>
      <c r="CB109" s="52">
        <v>53.183999999999997</v>
      </c>
      <c r="CC109" s="375">
        <f t="shared" si="99"/>
        <v>37.486080000000001</v>
      </c>
      <c r="CD109" s="375">
        <v>150.44999999999999</v>
      </c>
      <c r="CE109" s="375">
        <v>156.96</v>
      </c>
      <c r="CF109" s="375">
        <v>202.96</v>
      </c>
      <c r="CG109" s="375">
        <f t="shared" si="97"/>
        <v>160.28666666666663</v>
      </c>
      <c r="CI109" s="20" t="s">
        <v>111</v>
      </c>
      <c r="CJ109" s="20">
        <v>2015</v>
      </c>
      <c r="CK109" s="59">
        <f t="shared" si="114"/>
        <v>41.853522551002094</v>
      </c>
      <c r="CL109" s="59">
        <f t="shared" si="115"/>
        <v>51.668827204307505</v>
      </c>
      <c r="CM109" s="59">
        <f t="shared" si="116"/>
        <v>58.891827919832473</v>
      </c>
      <c r="CN109" s="59">
        <f t="shared" si="117"/>
        <v>61.373349638049653</v>
      </c>
      <c r="CO109" s="59">
        <f t="shared" si="118"/>
        <v>43.258241095064314</v>
      </c>
      <c r="CP109" s="59">
        <f t="shared" si="119"/>
        <v>173.61650972180675</v>
      </c>
      <c r="CQ109" s="59">
        <f t="shared" si="120"/>
        <v>181.12892898594077</v>
      </c>
      <c r="CR109" s="59">
        <f t="shared" si="121"/>
        <v>234.212075860006</v>
      </c>
      <c r="CS109" s="59">
        <f t="shared" si="122"/>
        <v>184.96784062219558</v>
      </c>
      <c r="CW109" s="20" t="s">
        <v>111</v>
      </c>
      <c r="CX109">
        <v>2014</v>
      </c>
      <c r="CY109">
        <v>29.901996999999998</v>
      </c>
      <c r="CZ109">
        <v>13.768610000610352</v>
      </c>
      <c r="DA109">
        <v>2267.5976154428463</v>
      </c>
      <c r="DB109">
        <v>639648.125</v>
      </c>
      <c r="DC109">
        <v>0.53134369850158691</v>
      </c>
      <c r="DE109">
        <f t="shared" si="123"/>
        <v>24684.626876789964</v>
      </c>
      <c r="DH109">
        <f t="shared" si="124"/>
        <v>10.88580562472025</v>
      </c>
      <c r="DI109">
        <f t="shared" si="95"/>
        <v>11.112388004239314</v>
      </c>
      <c r="DJ109">
        <f t="shared" si="96"/>
        <v>24.133343362247178</v>
      </c>
      <c r="DL109" s="20" t="s">
        <v>111</v>
      </c>
      <c r="DM109" s="99" t="s">
        <v>757</v>
      </c>
      <c r="DN109" s="100" t="s">
        <v>754</v>
      </c>
      <c r="DO109" s="101"/>
      <c r="DP109" s="101"/>
      <c r="DQ109" s="101">
        <v>47.1</v>
      </c>
      <c r="DR109" s="101">
        <v>47.1</v>
      </c>
      <c r="DS109" s="101">
        <v>46.7</v>
      </c>
      <c r="DT109" s="101">
        <v>46.3</v>
      </c>
      <c r="DU109" s="101">
        <v>45.7</v>
      </c>
      <c r="DV109" s="101">
        <v>46.1</v>
      </c>
      <c r="DW109" s="101">
        <v>45.4</v>
      </c>
      <c r="DX109">
        <f t="shared" ca="1" si="125"/>
        <v>45.4</v>
      </c>
      <c r="DY109">
        <f t="shared" ca="1" si="126"/>
        <v>9.08</v>
      </c>
      <c r="DZ109">
        <f t="shared" ca="1" si="127"/>
        <v>100.90048307849297</v>
      </c>
      <c r="EB109" s="20" t="s">
        <v>111</v>
      </c>
      <c r="EC109" s="99" t="s">
        <v>757</v>
      </c>
      <c r="ED109" s="100" t="s">
        <v>754</v>
      </c>
      <c r="EE109" s="101">
        <v>61</v>
      </c>
      <c r="EF109" s="101">
        <v>61.2</v>
      </c>
      <c r="EG109" s="101">
        <v>60.6</v>
      </c>
      <c r="EH109" s="101">
        <v>60.6</v>
      </c>
      <c r="EI109" s="101">
        <v>60.9</v>
      </c>
      <c r="EJ109" s="101">
        <v>62.4</v>
      </c>
      <c r="EK109" s="101">
        <v>63.6</v>
      </c>
      <c r="EL109" s="101">
        <v>65</v>
      </c>
      <c r="EM109" s="101">
        <v>65.599999999999994</v>
      </c>
      <c r="EN109" s="101">
        <v>65.8</v>
      </c>
      <c r="EO109">
        <f t="shared" ca="1" si="101"/>
        <v>65.8</v>
      </c>
      <c r="EQ109" s="20" t="s">
        <v>111</v>
      </c>
      <c r="ER109" s="20">
        <f t="shared" ca="1" si="128"/>
        <v>100.90048307849297</v>
      </c>
      <c r="ES109">
        <f t="shared" ca="1" si="129"/>
        <v>66.392517865648372</v>
      </c>
      <c r="EU109" s="20" t="s">
        <v>111</v>
      </c>
      <c r="EV109" s="109">
        <v>26950.335318722333</v>
      </c>
    </row>
    <row r="110" spans="1:152" x14ac:dyDescent="0.3">
      <c r="A110" s="20" t="s">
        <v>103</v>
      </c>
      <c r="B110" s="20" t="s">
        <v>635</v>
      </c>
      <c r="C110" s="81">
        <v>2015</v>
      </c>
      <c r="D110" s="82">
        <v>37.363999999999997</v>
      </c>
      <c r="E110" s="82">
        <v>32.75</v>
      </c>
      <c r="F110" s="82">
        <v>29.814</v>
      </c>
      <c r="G110" s="82">
        <v>32.39</v>
      </c>
      <c r="H110" s="82">
        <v>38.491</v>
      </c>
      <c r="I110" s="82">
        <v>40.343000000000004</v>
      </c>
      <c r="J110" s="82">
        <v>34.935000000000002</v>
      </c>
      <c r="K110" s="82">
        <v>25.407</v>
      </c>
      <c r="L110" s="82">
        <v>21.193999999999999</v>
      </c>
      <c r="M110" s="82">
        <v>18.385999999999999</v>
      </c>
      <c r="N110" s="82">
        <v>15.61</v>
      </c>
      <c r="O110" s="82">
        <v>12.317</v>
      </c>
      <c r="P110" s="82">
        <v>7.56</v>
      </c>
      <c r="Q110" s="82">
        <v>5.05</v>
      </c>
      <c r="R110" s="82">
        <v>5.0259999999999998</v>
      </c>
      <c r="S110" s="82">
        <v>3.9359999999999999</v>
      </c>
      <c r="T110" s="82">
        <v>2.0960000000000001</v>
      </c>
      <c r="U110" s="82">
        <v>0.73099999999999998</v>
      </c>
      <c r="V110" s="82">
        <v>0.21299999999999999</v>
      </c>
      <c r="W110" s="82">
        <v>0.04</v>
      </c>
      <c r="X110" s="82">
        <v>4.0000000000000001E-3</v>
      </c>
      <c r="Y110" s="82">
        <f t="shared" si="102"/>
        <v>363.6570000000001</v>
      </c>
      <c r="Z110" s="52">
        <f t="shared" si="103"/>
        <v>3.7360000000000002</v>
      </c>
      <c r="AA110" s="52">
        <f t="shared" si="104"/>
        <v>3.7360000000000002</v>
      </c>
      <c r="AB110" s="52">
        <f t="shared" si="105"/>
        <v>7.4729999999999999</v>
      </c>
      <c r="AC110" s="52">
        <f t="shared" si="106"/>
        <v>22.417999999999999</v>
      </c>
      <c r="AD110" s="52">
        <f t="shared" si="107"/>
        <v>62.564</v>
      </c>
      <c r="AE110" s="52">
        <f t="shared" si="108"/>
        <v>211.14599999999999</v>
      </c>
      <c r="AF110" s="52">
        <f t="shared" si="109"/>
        <v>35.487000000000002</v>
      </c>
      <c r="AG110" s="52">
        <f t="shared" si="110"/>
        <v>17.096</v>
      </c>
      <c r="AH110" s="52">
        <f t="shared" si="111"/>
        <v>363.65600000000001</v>
      </c>
      <c r="AI110">
        <v>21.195</v>
      </c>
      <c r="AJ110" s="30">
        <f t="shared" si="112"/>
        <v>7707.6889200000005</v>
      </c>
      <c r="AK110">
        <f t="shared" si="113"/>
        <v>7.4727999999999994</v>
      </c>
      <c r="AM110" s="20" t="s">
        <v>103</v>
      </c>
      <c r="AN110" t="s">
        <v>416</v>
      </c>
      <c r="AO110" t="s">
        <v>417</v>
      </c>
      <c r="AP110" t="s">
        <v>689</v>
      </c>
      <c r="AQ110" s="55">
        <v>129012.15408040317</v>
      </c>
      <c r="AR110" s="55">
        <v>15.3663312211982</v>
      </c>
      <c r="AS110" t="s">
        <v>103</v>
      </c>
      <c r="AT110" t="s">
        <v>1257</v>
      </c>
      <c r="AU110" t="s">
        <v>1153</v>
      </c>
      <c r="AX110">
        <v>72.335474193455298</v>
      </c>
      <c r="AY110">
        <v>74.839843811026199</v>
      </c>
      <c r="AZ110">
        <v>80.357776049288205</v>
      </c>
      <c r="BA110">
        <v>90.207736732198299</v>
      </c>
      <c r="BB110">
        <v>93.800563647527596</v>
      </c>
      <c r="BC110">
        <v>100</v>
      </c>
      <c r="BD110">
        <v>112.85292893621499</v>
      </c>
      <c r="BE110">
        <v>125.136626792675</v>
      </c>
      <c r="BF110">
        <v>129.89886381440701</v>
      </c>
      <c r="BG110">
        <v>132.65272200983799</v>
      </c>
      <c r="BH110">
        <v>133.917176589078</v>
      </c>
      <c r="BJ110" s="20" t="s">
        <v>103</v>
      </c>
      <c r="BK110" t="s">
        <v>689</v>
      </c>
      <c r="BL110">
        <v>2015</v>
      </c>
      <c r="BM110">
        <f>INDEX('Costs lists'!$C$5:$C$8,MATCH(Lists!BK110,'Costs lists'!$B$5:$B$8,0))</f>
        <v>3.2</v>
      </c>
      <c r="BN110">
        <f>INDEX('Costs lists'!$D$5:$D$8,MATCH(Lists!BK110,'Costs lists'!$B$5:$B$8,0))</f>
        <v>1.1200000000000001</v>
      </c>
      <c r="BO110">
        <f>INDEX('Costs lists'!$E$5:$E$8,MATCH(Lists!BK110,'Costs lists'!$B$5:$B$8,0))</f>
        <v>4.4400000000000004</v>
      </c>
      <c r="BW110" s="20" t="s">
        <v>103</v>
      </c>
      <c r="BX110" s="20">
        <v>2008</v>
      </c>
      <c r="BY110" s="52">
        <v>79.59899999999999</v>
      </c>
      <c r="BZ110" s="52">
        <v>98.344799999999992</v>
      </c>
      <c r="CA110" s="52">
        <v>112.098</v>
      </c>
      <c r="CB110" s="52">
        <v>116.80800000000001</v>
      </c>
      <c r="CC110" s="375">
        <f t="shared" si="99"/>
        <v>82.278989999999993</v>
      </c>
      <c r="CD110" s="375">
        <v>49.69</v>
      </c>
      <c r="CE110" s="375">
        <v>51.84</v>
      </c>
      <c r="CF110" s="375">
        <v>67.03</v>
      </c>
      <c r="CG110" s="375">
        <f t="shared" si="97"/>
        <v>52.938333333333333</v>
      </c>
      <c r="CI110" s="20" t="s">
        <v>103</v>
      </c>
      <c r="CJ110" s="20">
        <v>2015</v>
      </c>
      <c r="CK110" s="59">
        <f t="shared" si="114"/>
        <v>118.16806102739976</v>
      </c>
      <c r="CL110" s="59">
        <f t="shared" si="115"/>
        <v>145.9969890090004</v>
      </c>
      <c r="CM110" s="59">
        <f t="shared" si="116"/>
        <v>166.41419245278783</v>
      </c>
      <c r="CN110" s="59">
        <f t="shared" si="117"/>
        <v>173.40638541298901</v>
      </c>
      <c r="CO110" s="59">
        <f t="shared" si="118"/>
        <v>122.14661882175422</v>
      </c>
      <c r="CP110" s="59">
        <f t="shared" si="119"/>
        <v>73.76689345910745</v>
      </c>
      <c r="CQ110" s="59">
        <f t="shared" si="120"/>
        <v>76.958658823105878</v>
      </c>
      <c r="CR110" s="59">
        <f t="shared" si="121"/>
        <v>99.508852255262084</v>
      </c>
      <c r="CS110" s="59">
        <f t="shared" si="122"/>
        <v>78.589180819132963</v>
      </c>
      <c r="CW110" s="20" t="s">
        <v>103</v>
      </c>
      <c r="CX110">
        <v>2014</v>
      </c>
      <c r="CY110">
        <v>0.35741499999999998</v>
      </c>
      <c r="CZ110">
        <v>0.15455499291419983</v>
      </c>
      <c r="DB110">
        <v>6041.84814453125</v>
      </c>
      <c r="DE110">
        <f t="shared" si="123"/>
        <v>0</v>
      </c>
      <c r="DH110" t="e">
        <f t="shared" si="124"/>
        <v>#DIV/0!</v>
      </c>
      <c r="DI110" t="e">
        <f t="shared" si="95"/>
        <v>#DIV/0!</v>
      </c>
      <c r="DJ110" t="e">
        <f t="shared" si="96"/>
        <v>#DIV/0!</v>
      </c>
      <c r="DL110" s="20" t="s">
        <v>103</v>
      </c>
      <c r="DM110" s="99"/>
      <c r="DN110" s="100"/>
      <c r="DO110" s="101"/>
      <c r="DP110" s="101"/>
      <c r="DQ110" s="101"/>
      <c r="DR110" s="101"/>
      <c r="DS110" s="101"/>
      <c r="DT110" s="101"/>
      <c r="DU110" s="101"/>
      <c r="DV110" s="101"/>
      <c r="DW110" s="101"/>
      <c r="DX110" t="e">
        <f t="shared" ca="1" si="125"/>
        <v>#N/A</v>
      </c>
      <c r="DY110" t="e">
        <f t="shared" ca="1" si="126"/>
        <v>#N/A</v>
      </c>
      <c r="DZ110" t="e">
        <f t="shared" ca="1" si="127"/>
        <v>#N/A</v>
      </c>
      <c r="EB110" s="20" t="s">
        <v>103</v>
      </c>
      <c r="EC110" s="99" t="s">
        <v>774</v>
      </c>
      <c r="ED110" s="100" t="s">
        <v>824</v>
      </c>
      <c r="EE110" s="101"/>
      <c r="EF110" s="101"/>
      <c r="EG110" s="101"/>
      <c r="EH110" s="101"/>
      <c r="EI110" s="101">
        <v>46</v>
      </c>
      <c r="EJ110" s="101"/>
      <c r="EK110" s="101"/>
      <c r="EL110" s="101"/>
      <c r="EM110" s="101"/>
      <c r="EN110" s="101"/>
      <c r="EO110">
        <f t="shared" ca="1" si="101"/>
        <v>46</v>
      </c>
      <c r="EQ110" s="20" t="s">
        <v>103</v>
      </c>
      <c r="ER110" s="20" t="e">
        <f t="shared" ca="1" si="128"/>
        <v>#N/A</v>
      </c>
      <c r="ES110" t="e">
        <f t="shared" ca="1" si="129"/>
        <v>#N/A</v>
      </c>
      <c r="EU110" s="20" t="s">
        <v>103</v>
      </c>
      <c r="EV110" s="109">
        <v>12770.271317667335</v>
      </c>
    </row>
    <row r="111" spans="1:152" x14ac:dyDescent="0.3">
      <c r="A111" s="20" t="s">
        <v>81</v>
      </c>
      <c r="B111" s="20" t="s">
        <v>632</v>
      </c>
      <c r="C111" s="81">
        <v>2015</v>
      </c>
      <c r="D111" s="82">
        <v>3271.2559999999999</v>
      </c>
      <c r="E111" s="82">
        <v>2802.5320000000002</v>
      </c>
      <c r="F111" s="82">
        <v>2290.6750000000002</v>
      </c>
      <c r="G111" s="82">
        <v>1859.9939999999999</v>
      </c>
      <c r="H111" s="82">
        <v>1522.5530000000001</v>
      </c>
      <c r="I111" s="82">
        <v>1249.8140000000001</v>
      </c>
      <c r="J111" s="82">
        <v>1063.345</v>
      </c>
      <c r="K111" s="82">
        <v>886.10799999999995</v>
      </c>
      <c r="L111" s="82">
        <v>707.16300000000001</v>
      </c>
      <c r="M111" s="82">
        <v>529.34100000000001</v>
      </c>
      <c r="N111" s="82">
        <v>395.36900000000003</v>
      </c>
      <c r="O111" s="82">
        <v>316.01299999999998</v>
      </c>
      <c r="P111" s="82">
        <v>262.07900000000001</v>
      </c>
      <c r="Q111" s="82">
        <v>183.80099999999999</v>
      </c>
      <c r="R111" s="82">
        <v>138.51900000000001</v>
      </c>
      <c r="S111" s="82">
        <v>75.382999999999996</v>
      </c>
      <c r="T111" s="82">
        <v>33.868000000000002</v>
      </c>
      <c r="U111" s="82">
        <v>10.103999999999999</v>
      </c>
      <c r="V111" s="82">
        <v>1.6379999999999999</v>
      </c>
      <c r="W111" s="82">
        <v>0.13400000000000001</v>
      </c>
      <c r="X111" s="82">
        <v>5.0000000000000001E-3</v>
      </c>
      <c r="Y111" s="82">
        <f t="shared" si="102"/>
        <v>17599.694</v>
      </c>
      <c r="Z111" s="52">
        <f t="shared" si="103"/>
        <v>327.12599999999998</v>
      </c>
      <c r="AA111" s="52">
        <f t="shared" si="104"/>
        <v>327.12599999999998</v>
      </c>
      <c r="AB111" s="52">
        <f t="shared" si="105"/>
        <v>654.25099999999998</v>
      </c>
      <c r="AC111" s="52">
        <f t="shared" si="106"/>
        <v>1962.7539999999999</v>
      </c>
      <c r="AD111" s="52">
        <f t="shared" si="107"/>
        <v>5093.2070000000003</v>
      </c>
      <c r="AE111" s="52">
        <f t="shared" si="108"/>
        <v>7818.3180000000002</v>
      </c>
      <c r="AF111" s="52">
        <f t="shared" si="109"/>
        <v>973.46100000000001</v>
      </c>
      <c r="AG111" s="52">
        <f t="shared" si="110"/>
        <v>443.452</v>
      </c>
      <c r="AH111" s="52">
        <f t="shared" si="111"/>
        <v>17599.695</v>
      </c>
      <c r="AI111">
        <v>43.52</v>
      </c>
      <c r="AJ111" s="30">
        <f t="shared" si="112"/>
        <v>765938.72640000004</v>
      </c>
      <c r="AK111">
        <f t="shared" si="113"/>
        <v>654.25119999999993</v>
      </c>
      <c r="AM111" s="20" t="s">
        <v>81</v>
      </c>
      <c r="AN111" t="s">
        <v>290</v>
      </c>
      <c r="AO111" t="s">
        <v>291</v>
      </c>
      <c r="AP111" t="s">
        <v>691</v>
      </c>
      <c r="AQ111" s="55">
        <v>428361.01656653796</v>
      </c>
      <c r="AR111" s="55">
        <v>591.44950750132796</v>
      </c>
      <c r="AS111" t="s">
        <v>81</v>
      </c>
      <c r="AT111" t="s">
        <v>1258</v>
      </c>
      <c r="AU111" t="s">
        <v>1153</v>
      </c>
      <c r="AV111">
        <v>83.278647503009793</v>
      </c>
      <c r="AW111">
        <v>80.697191576941705</v>
      </c>
      <c r="AX111">
        <v>85.860103429077895</v>
      </c>
      <c r="AY111">
        <v>87.185376422752796</v>
      </c>
      <c r="AZ111">
        <v>88.416435696498198</v>
      </c>
      <c r="BA111">
        <v>96.525096525096501</v>
      </c>
      <c r="BB111">
        <v>98.903235410929497</v>
      </c>
      <c r="BC111">
        <v>100</v>
      </c>
      <c r="BD111">
        <v>102.85553410553401</v>
      </c>
      <c r="BE111">
        <v>108.437902187902</v>
      </c>
      <c r="BF111">
        <v>107.78052812158801</v>
      </c>
      <c r="BG111">
        <v>108.745173745174</v>
      </c>
      <c r="BH111">
        <v>110.306467181467</v>
      </c>
      <c r="BJ111" s="20" t="s">
        <v>81</v>
      </c>
      <c r="BK111" t="s">
        <v>691</v>
      </c>
      <c r="BL111">
        <v>2015</v>
      </c>
      <c r="BM111">
        <f>INDEX('Costs lists'!$C$5:$C$8,MATCH(Lists!BK111,'Costs lists'!$B$5:$B$8,0))</f>
        <v>4.2</v>
      </c>
      <c r="BN111">
        <f>INDEX('Costs lists'!$D$5:$D$8,MATCH(Lists!BK111,'Costs lists'!$B$5:$B$8,0))</f>
        <v>4.2</v>
      </c>
      <c r="BO111">
        <f>INDEX('Costs lists'!$E$5:$E$8,MATCH(Lists!BK111,'Costs lists'!$B$5:$B$8,0))</f>
        <v>4.2</v>
      </c>
      <c r="BW111" s="20" t="s">
        <v>81</v>
      </c>
      <c r="BX111" s="20">
        <v>2008</v>
      </c>
      <c r="BY111" s="52">
        <v>574.01220000000012</v>
      </c>
      <c r="BZ111" s="52">
        <v>708.12720000000013</v>
      </c>
      <c r="CA111" s="52">
        <v>807.3723</v>
      </c>
      <c r="CB111" s="52">
        <v>842.24220000000014</v>
      </c>
      <c r="CC111" s="375">
        <f t="shared" si="99"/>
        <v>593.25770250000016</v>
      </c>
      <c r="CD111" s="375">
        <v>7.49</v>
      </c>
      <c r="CE111" s="375">
        <v>7.81</v>
      </c>
      <c r="CF111" s="375">
        <v>10.1</v>
      </c>
      <c r="CG111" s="375">
        <f t="shared" si="97"/>
        <v>7.9783333333333335</v>
      </c>
      <c r="CI111" s="20" t="s">
        <v>81</v>
      </c>
      <c r="CJ111" s="20">
        <v>2015</v>
      </c>
      <c r="CK111" s="59">
        <f t="shared" si="114"/>
        <v>655.9667918549992</v>
      </c>
      <c r="CL111" s="59">
        <f t="shared" si="115"/>
        <v>809.23006097999894</v>
      </c>
      <c r="CM111" s="59">
        <f t="shared" si="116"/>
        <v>922.64488013249866</v>
      </c>
      <c r="CN111" s="59">
        <f t="shared" si="117"/>
        <v>962.49333010499879</v>
      </c>
      <c r="CO111" s="59">
        <f t="shared" si="118"/>
        <v>677.96007097443669</v>
      </c>
      <c r="CP111" s="59">
        <f t="shared" si="119"/>
        <v>8.5593847499999871</v>
      </c>
      <c r="CQ111" s="59">
        <f t="shared" si="120"/>
        <v>8.9250727499999858</v>
      </c>
      <c r="CR111" s="59">
        <f t="shared" si="121"/>
        <v>11.542027499999982</v>
      </c>
      <c r="CS111" s="59">
        <f t="shared" si="122"/>
        <v>9.1174398749999863</v>
      </c>
      <c r="CW111" s="20" t="s">
        <v>81</v>
      </c>
      <c r="CX111">
        <v>2014</v>
      </c>
      <c r="CY111">
        <v>17.086022</v>
      </c>
      <c r="CZ111">
        <v>5.5489845275878906</v>
      </c>
      <c r="DB111">
        <v>25740.423828125</v>
      </c>
      <c r="DE111">
        <f t="shared" si="123"/>
        <v>0</v>
      </c>
      <c r="DH111" t="e">
        <f t="shared" si="124"/>
        <v>#DIV/0!</v>
      </c>
      <c r="DI111" t="e">
        <f t="shared" si="95"/>
        <v>#DIV/0!</v>
      </c>
      <c r="DJ111" t="e">
        <f t="shared" si="96"/>
        <v>#DIV/0!</v>
      </c>
      <c r="DL111" s="20" t="s">
        <v>81</v>
      </c>
      <c r="DM111" s="99"/>
      <c r="DN111" s="100"/>
      <c r="DO111" s="101"/>
      <c r="DP111" s="101"/>
      <c r="DQ111" s="101"/>
      <c r="DR111" s="101"/>
      <c r="DS111" s="101"/>
      <c r="DT111" s="101"/>
      <c r="DU111" s="101"/>
      <c r="DV111" s="101"/>
      <c r="DW111" s="101"/>
      <c r="DX111" t="e">
        <f t="shared" ca="1" si="125"/>
        <v>#N/A</v>
      </c>
      <c r="DY111" t="e">
        <f t="shared" ca="1" si="126"/>
        <v>#N/A</v>
      </c>
      <c r="DZ111" t="e">
        <f t="shared" ca="1" si="127"/>
        <v>#N/A</v>
      </c>
      <c r="EB111" s="20" t="s">
        <v>81</v>
      </c>
      <c r="EC111" s="99" t="s">
        <v>826</v>
      </c>
      <c r="ED111" s="100" t="s">
        <v>754</v>
      </c>
      <c r="EE111" s="101"/>
      <c r="EF111" s="101">
        <v>72.599999999999994</v>
      </c>
      <c r="EG111" s="101"/>
      <c r="EH111" s="101"/>
      <c r="EI111" s="101">
        <v>55.7</v>
      </c>
      <c r="EJ111" s="101"/>
      <c r="EK111" s="101"/>
      <c r="EL111" s="101"/>
      <c r="EM111" s="101"/>
      <c r="EN111" s="101"/>
      <c r="EO111">
        <f t="shared" ca="1" si="101"/>
        <v>55.7</v>
      </c>
      <c r="EQ111" s="20" t="s">
        <v>81</v>
      </c>
      <c r="ER111" s="20" t="e">
        <f t="shared" ca="1" si="128"/>
        <v>#N/A</v>
      </c>
      <c r="ES111" t="e">
        <f t="shared" ca="1" si="129"/>
        <v>#N/A</v>
      </c>
      <c r="EU111" s="20" t="s">
        <v>81</v>
      </c>
      <c r="EV111" s="109">
        <v>2028.1575184547</v>
      </c>
    </row>
    <row r="112" spans="1:152" x14ac:dyDescent="0.3">
      <c r="A112" s="20" t="s">
        <v>161</v>
      </c>
      <c r="B112" s="20" t="s">
        <v>257</v>
      </c>
      <c r="C112" s="81">
        <v>2015</v>
      </c>
      <c r="D112" s="82">
        <v>18.631</v>
      </c>
      <c r="E112" s="82">
        <v>19.716999999999999</v>
      </c>
      <c r="F112" s="82">
        <v>22.074999999999999</v>
      </c>
      <c r="G112" s="82">
        <v>26.201000000000001</v>
      </c>
      <c r="H112" s="82">
        <v>28.297000000000001</v>
      </c>
      <c r="I112" s="82">
        <v>26.074999999999999</v>
      </c>
      <c r="J112" s="82">
        <v>26.89</v>
      </c>
      <c r="K112" s="82">
        <v>32.718000000000004</v>
      </c>
      <c r="L112" s="82">
        <v>28.396000000000001</v>
      </c>
      <c r="M112" s="82">
        <v>26.228999999999999</v>
      </c>
      <c r="N112" s="82">
        <v>28.463000000000001</v>
      </c>
      <c r="O112" s="82">
        <v>27.992999999999999</v>
      </c>
      <c r="P112" s="82">
        <v>26.399000000000001</v>
      </c>
      <c r="Q112" s="82">
        <v>28.791</v>
      </c>
      <c r="R112" s="82">
        <v>20.712</v>
      </c>
      <c r="S112" s="82">
        <v>16.303999999999998</v>
      </c>
      <c r="T112" s="82">
        <v>7.2930000000000001</v>
      </c>
      <c r="U112" s="82">
        <v>5.3239999999999998</v>
      </c>
      <c r="V112" s="82">
        <v>1.8520000000000001</v>
      </c>
      <c r="W112" s="82">
        <v>0.28399999999999997</v>
      </c>
      <c r="X112" s="82">
        <v>2.5999999999999999E-2</v>
      </c>
      <c r="Y112" s="82">
        <f t="shared" si="102"/>
        <v>418.66999999999996</v>
      </c>
      <c r="Z112" s="52">
        <f t="shared" si="103"/>
        <v>1.863</v>
      </c>
      <c r="AA112" s="52">
        <f t="shared" si="104"/>
        <v>1.863</v>
      </c>
      <c r="AB112" s="52">
        <f t="shared" si="105"/>
        <v>3.726</v>
      </c>
      <c r="AC112" s="52">
        <f t="shared" si="106"/>
        <v>11.179</v>
      </c>
      <c r="AD112" s="52">
        <f t="shared" si="107"/>
        <v>41.792000000000002</v>
      </c>
      <c r="AE112" s="52">
        <f t="shared" si="108"/>
        <v>194.80600000000001</v>
      </c>
      <c r="AF112" s="52">
        <f t="shared" si="109"/>
        <v>82.855000000000004</v>
      </c>
      <c r="AG112" s="52">
        <f t="shared" si="110"/>
        <v>80.585999999999999</v>
      </c>
      <c r="AH112" s="52">
        <f t="shared" si="111"/>
        <v>418.67</v>
      </c>
      <c r="AI112">
        <v>9.8000000000000007</v>
      </c>
      <c r="AJ112" s="30">
        <f t="shared" si="112"/>
        <v>4102.9660000000003</v>
      </c>
      <c r="AK112">
        <f t="shared" si="113"/>
        <v>3.7262</v>
      </c>
      <c r="AM112" s="20" t="s">
        <v>161</v>
      </c>
      <c r="AN112" t="s">
        <v>256</v>
      </c>
      <c r="AO112" t="s">
        <v>257</v>
      </c>
      <c r="AP112" t="s">
        <v>690</v>
      </c>
      <c r="AQ112" s="55">
        <v>20349.453775869813</v>
      </c>
      <c r="AR112" s="55"/>
      <c r="AS112" t="s">
        <v>161</v>
      </c>
      <c r="AT112" t="s">
        <v>1259</v>
      </c>
      <c r="AU112" t="s">
        <v>1153</v>
      </c>
      <c r="AV112">
        <v>84.001724912509104</v>
      </c>
      <c r="AW112">
        <v>86.346068975627801</v>
      </c>
      <c r="AX112">
        <v>88.943329825639097</v>
      </c>
      <c r="AY112">
        <v>91.409963324178307</v>
      </c>
      <c r="AZ112">
        <v>92.553821357499103</v>
      </c>
      <c r="BA112">
        <v>96.493594066082593</v>
      </c>
      <c r="BB112">
        <v>98.505830304426098</v>
      </c>
      <c r="BC112">
        <v>100</v>
      </c>
      <c r="BD112">
        <v>102.721905169154</v>
      </c>
      <c r="BE112">
        <v>105.20533526306301</v>
      </c>
      <c r="BF112">
        <v>106.651809943589</v>
      </c>
      <c r="BG112">
        <v>106.98403039323701</v>
      </c>
      <c r="BH112">
        <v>108.160781540385</v>
      </c>
      <c r="BJ112" s="20" t="s">
        <v>161</v>
      </c>
      <c r="BK112" t="s">
        <v>690</v>
      </c>
      <c r="BL112">
        <v>2015</v>
      </c>
      <c r="BM112">
        <f>INDEX('Costs lists'!$C$5:$C$8,MATCH(Lists!BK112,'Costs lists'!$B$5:$B$8,0))</f>
        <v>3.55</v>
      </c>
      <c r="BN112">
        <f>INDEX('Costs lists'!$D$5:$D$8,MATCH(Lists!BK112,'Costs lists'!$B$5:$B$8,0))</f>
        <v>2.91</v>
      </c>
      <c r="BO112">
        <f>INDEX('Costs lists'!$E$5:$E$8,MATCH(Lists!BK112,'Costs lists'!$B$5:$B$8,0))</f>
        <v>7.59</v>
      </c>
      <c r="BW112" s="20" t="s">
        <v>161</v>
      </c>
      <c r="BX112" s="20">
        <v>2008</v>
      </c>
      <c r="BY112" s="52">
        <v>15.139199999999999</v>
      </c>
      <c r="BZ112" s="52">
        <v>18.6936</v>
      </c>
      <c r="CA112" s="52">
        <v>21.304799999999997</v>
      </c>
      <c r="CB112" s="52">
        <v>22.2</v>
      </c>
      <c r="CC112" s="375">
        <f t="shared" si="99"/>
        <v>15.64758</v>
      </c>
      <c r="CD112" s="375">
        <v>792.58</v>
      </c>
      <c r="CE112" s="375">
        <v>826.85</v>
      </c>
      <c r="CF112" s="375">
        <v>1069.1600000000001</v>
      </c>
      <c r="CG112" s="375">
        <f t="shared" ref="CG112:CG143" si="130">CD112*(2/3)+CE112*(1/6)+CF112*(1/6)</f>
        <v>844.38833333333332</v>
      </c>
      <c r="CI112" s="20" t="s">
        <v>161</v>
      </c>
      <c r="CJ112" s="20">
        <v>2015</v>
      </c>
      <c r="CK112" s="59">
        <f t="shared" si="114"/>
        <v>16.969703737792109</v>
      </c>
      <c r="CL112" s="59">
        <f t="shared" si="115"/>
        <v>20.953871657207159</v>
      </c>
      <c r="CM112" s="59">
        <f t="shared" si="116"/>
        <v>23.880795827580936</v>
      </c>
      <c r="CN112" s="59">
        <f t="shared" si="117"/>
        <v>24.884235823490336</v>
      </c>
      <c r="CO112" s="59">
        <f t="shared" si="118"/>
        <v>17.539552738150039</v>
      </c>
      <c r="CP112" s="59">
        <f t="shared" si="119"/>
        <v>888.41205535954828</v>
      </c>
      <c r="CQ112" s="59">
        <f t="shared" si="120"/>
        <v>926.82569327265696</v>
      </c>
      <c r="CR112" s="59">
        <f t="shared" si="121"/>
        <v>1198.4337645514834</v>
      </c>
      <c r="CS112" s="59">
        <f t="shared" si="122"/>
        <v>946.48461321038883</v>
      </c>
      <c r="CW112" s="20" t="s">
        <v>161</v>
      </c>
      <c r="CX112">
        <v>2014</v>
      </c>
      <c r="CY112">
        <v>0.41772299999999996</v>
      </c>
      <c r="CZ112">
        <v>0.18979264795780182</v>
      </c>
      <c r="DA112">
        <v>1961.6832897754546</v>
      </c>
      <c r="DB112">
        <v>9974.2578125</v>
      </c>
      <c r="DC112">
        <v>0.54389965534210205</v>
      </c>
      <c r="DE112">
        <f t="shared" si="123"/>
        <v>28583.801558626248</v>
      </c>
      <c r="DH112">
        <f t="shared" si="124"/>
        <v>14.571058288363211</v>
      </c>
      <c r="DI112">
        <f t="shared" si="95"/>
        <v>14.731329961555621</v>
      </c>
      <c r="DJ112">
        <f t="shared" si="96"/>
        <v>32.42283308518401</v>
      </c>
      <c r="DL112" s="20" t="s">
        <v>161</v>
      </c>
      <c r="DM112" s="99" t="s">
        <v>796</v>
      </c>
      <c r="DN112" s="100" t="s">
        <v>754</v>
      </c>
      <c r="DO112" s="101">
        <v>39.6</v>
      </c>
      <c r="DP112" s="101">
        <v>39.6</v>
      </c>
      <c r="DQ112" s="101">
        <v>39.299999999999997</v>
      </c>
      <c r="DR112" s="101">
        <v>38.700000000000003</v>
      </c>
      <c r="DS112" s="101">
        <v>38.299999999999997</v>
      </c>
      <c r="DT112" s="101">
        <v>38.299999999999997</v>
      </c>
      <c r="DU112" s="101">
        <v>38</v>
      </c>
      <c r="DV112" s="101">
        <v>37.5</v>
      </c>
      <c r="DW112" s="101">
        <v>37.5</v>
      </c>
      <c r="DX112">
        <f t="shared" ca="1" si="125"/>
        <v>37.5</v>
      </c>
      <c r="DY112">
        <f t="shared" ca="1" si="126"/>
        <v>7.5</v>
      </c>
      <c r="DZ112">
        <f t="shared" ca="1" si="127"/>
        <v>110.48497471166716</v>
      </c>
      <c r="EB112" s="20" t="s">
        <v>161</v>
      </c>
      <c r="EC112" s="99" t="s">
        <v>796</v>
      </c>
      <c r="ED112" s="100" t="s">
        <v>754</v>
      </c>
      <c r="EE112" s="101">
        <v>45.8</v>
      </c>
      <c r="EF112" s="101">
        <v>46.6</v>
      </c>
      <c r="EG112" s="101">
        <v>47</v>
      </c>
      <c r="EH112" s="101">
        <v>46.8</v>
      </c>
      <c r="EI112" s="101">
        <v>47.3</v>
      </c>
      <c r="EJ112" s="101">
        <v>48.2</v>
      </c>
      <c r="EK112" s="101">
        <v>48.8</v>
      </c>
      <c r="EL112" s="101">
        <v>49.8</v>
      </c>
      <c r="EM112" s="101">
        <v>50.9</v>
      </c>
      <c r="EN112" s="101">
        <v>51.5</v>
      </c>
      <c r="EO112">
        <f t="shared" ca="1" si="101"/>
        <v>51.5</v>
      </c>
      <c r="EQ112" s="20" t="s">
        <v>161</v>
      </c>
      <c r="ER112" s="20">
        <f t="shared" ca="1" si="128"/>
        <v>110.48497471166716</v>
      </c>
      <c r="ES112">
        <f t="shared" ca="1" si="129"/>
        <v>56.899761976508586</v>
      </c>
      <c r="EU112" s="20" t="s">
        <v>161</v>
      </c>
      <c r="EV112" s="109">
        <v>33338.954545891953</v>
      </c>
    </row>
    <row r="113" spans="1:152" x14ac:dyDescent="0.3">
      <c r="A113" s="20" t="s">
        <v>185</v>
      </c>
      <c r="B113" s="20" t="s">
        <v>634</v>
      </c>
      <c r="C113" s="81">
        <v>2015</v>
      </c>
      <c r="D113" s="82">
        <v>20.364999999999998</v>
      </c>
      <c r="E113" s="82">
        <v>22.233000000000001</v>
      </c>
      <c r="F113" s="82">
        <v>25.582999999999998</v>
      </c>
      <c r="G113" s="82">
        <v>24.173999999999999</v>
      </c>
      <c r="H113" s="82">
        <v>23.864999999999998</v>
      </c>
      <c r="I113" s="82">
        <v>21.648</v>
      </c>
      <c r="J113" s="82">
        <v>13.862</v>
      </c>
      <c r="K113" s="82">
        <v>14.861000000000001</v>
      </c>
      <c r="L113" s="82">
        <v>24.16</v>
      </c>
      <c r="M113" s="82">
        <v>32.847999999999999</v>
      </c>
      <c r="N113" s="82">
        <v>37.091000000000001</v>
      </c>
      <c r="O113" s="82">
        <v>31.913</v>
      </c>
      <c r="P113" s="82">
        <v>28.152999999999999</v>
      </c>
      <c r="Q113" s="82">
        <v>23.071000000000002</v>
      </c>
      <c r="R113" s="82">
        <v>15.401999999999999</v>
      </c>
      <c r="S113" s="82">
        <v>15.726000000000001</v>
      </c>
      <c r="T113" s="82">
        <v>11.811</v>
      </c>
      <c r="U113" s="82">
        <v>5.9290000000000003</v>
      </c>
      <c r="V113" s="82">
        <v>2.7069999999999999</v>
      </c>
      <c r="W113" s="82">
        <v>0.86599999999999999</v>
      </c>
      <c r="X113" s="82">
        <v>0.157</v>
      </c>
      <c r="Y113" s="82">
        <f t="shared" si="102"/>
        <v>396.42499999999995</v>
      </c>
      <c r="Z113" s="52">
        <f t="shared" si="103"/>
        <v>2.0369999999999999</v>
      </c>
      <c r="AA113" s="52">
        <f t="shared" si="104"/>
        <v>2.0369999999999999</v>
      </c>
      <c r="AB113" s="52">
        <f t="shared" si="105"/>
        <v>4.0730000000000004</v>
      </c>
      <c r="AC113" s="52">
        <f t="shared" si="106"/>
        <v>12.218999999999999</v>
      </c>
      <c r="AD113" s="52">
        <f t="shared" si="107"/>
        <v>47.816000000000003</v>
      </c>
      <c r="AE113" s="52">
        <f t="shared" si="108"/>
        <v>155.41800000000001</v>
      </c>
      <c r="AF113" s="52">
        <f t="shared" si="109"/>
        <v>97.156999999999996</v>
      </c>
      <c r="AG113" s="52">
        <f t="shared" si="110"/>
        <v>75.668999999999997</v>
      </c>
      <c r="AH113" s="52">
        <f t="shared" si="111"/>
        <v>396.42599999999999</v>
      </c>
      <c r="AI113">
        <v>2</v>
      </c>
      <c r="AJ113" s="30">
        <f t="shared" si="112"/>
        <v>792.85199999999998</v>
      </c>
      <c r="AK113">
        <f t="shared" si="113"/>
        <v>4.0729999999999995</v>
      </c>
      <c r="AM113" s="20" t="s">
        <v>185</v>
      </c>
      <c r="AN113" t="s">
        <v>256</v>
      </c>
      <c r="AO113" t="s">
        <v>257</v>
      </c>
      <c r="AP113" t="s">
        <v>688</v>
      </c>
      <c r="AQ113" s="55"/>
      <c r="AR113" s="55"/>
      <c r="BJ113" s="20" t="s">
        <v>185</v>
      </c>
      <c r="BK113" t="s">
        <v>688</v>
      </c>
      <c r="BL113">
        <v>2015</v>
      </c>
      <c r="BM113">
        <f>INDEX('Costs lists'!$C$5:$C$8,MATCH(Lists!BK113,'Costs lists'!$B$5:$B$8,0))</f>
        <v>5.21</v>
      </c>
      <c r="BN113">
        <f>INDEX('Costs lists'!$D$5:$D$8,MATCH(Lists!BK113,'Costs lists'!$B$5:$B$8,0))</f>
        <v>5.16</v>
      </c>
      <c r="BO113">
        <f>INDEX('Costs lists'!$E$5:$E$8,MATCH(Lists!BK113,'Costs lists'!$B$5:$B$8,0))</f>
        <v>5.26</v>
      </c>
      <c r="BW113" s="20" t="s">
        <v>185</v>
      </c>
      <c r="BX113" s="20">
        <v>2008</v>
      </c>
      <c r="BY113" s="52"/>
      <c r="BZ113" s="52"/>
      <c r="CA113" s="52"/>
      <c r="CB113" s="52"/>
      <c r="CC113" s="375">
        <f t="shared" si="99"/>
        <v>0</v>
      </c>
      <c r="CD113" s="375"/>
      <c r="CE113" s="375"/>
      <c r="CF113" s="375"/>
      <c r="CG113" s="375">
        <f t="shared" si="130"/>
        <v>0</v>
      </c>
      <c r="CI113" s="20" t="s">
        <v>185</v>
      </c>
      <c r="CJ113" s="20">
        <v>2015</v>
      </c>
      <c r="CK113" s="59" t="e">
        <f t="shared" si="114"/>
        <v>#DIV/0!</v>
      </c>
      <c r="CL113" s="59" t="e">
        <f t="shared" si="115"/>
        <v>#DIV/0!</v>
      </c>
      <c r="CM113" s="59" t="e">
        <f t="shared" si="116"/>
        <v>#DIV/0!</v>
      </c>
      <c r="CN113" s="59" t="e">
        <f t="shared" si="117"/>
        <v>#DIV/0!</v>
      </c>
      <c r="CO113" s="59" t="e">
        <f t="shared" si="118"/>
        <v>#DIV/0!</v>
      </c>
      <c r="CP113" s="59" t="e">
        <f t="shared" si="119"/>
        <v>#DIV/0!</v>
      </c>
      <c r="CQ113" s="59" t="e">
        <f t="shared" si="120"/>
        <v>#DIV/0!</v>
      </c>
      <c r="CR113" s="59" t="e">
        <f t="shared" si="121"/>
        <v>#DIV/0!</v>
      </c>
      <c r="CS113" s="59" t="e">
        <f t="shared" si="122"/>
        <v>#DIV/0!</v>
      </c>
      <c r="CW113" s="20" t="s">
        <v>185</v>
      </c>
      <c r="DE113" t="e">
        <f t="shared" si="123"/>
        <v>#DIV/0!</v>
      </c>
      <c r="DH113" t="e">
        <f t="shared" si="124"/>
        <v>#DIV/0!</v>
      </c>
      <c r="DI113" t="e">
        <f t="shared" si="95"/>
        <v>#DIV/0!</v>
      </c>
      <c r="DJ113" t="e">
        <f t="shared" si="96"/>
        <v>#DIV/0!</v>
      </c>
      <c r="DL113" s="20" t="s">
        <v>185</v>
      </c>
      <c r="DM113" s="99"/>
      <c r="DN113" s="100"/>
      <c r="DO113" s="101"/>
      <c r="DP113" s="101"/>
      <c r="DQ113" s="101"/>
      <c r="DR113" s="101"/>
      <c r="DS113" s="101"/>
      <c r="DT113" s="101"/>
      <c r="DU113" s="101"/>
      <c r="DV113" s="101"/>
      <c r="DW113" s="101"/>
      <c r="DX113" t="e">
        <f t="shared" ca="1" si="125"/>
        <v>#N/A</v>
      </c>
      <c r="DY113" t="e">
        <f t="shared" ca="1" si="126"/>
        <v>#N/A</v>
      </c>
      <c r="DZ113" t="e">
        <f t="shared" ca="1" si="127"/>
        <v>#N/A</v>
      </c>
      <c r="EB113" s="20" t="s">
        <v>185</v>
      </c>
      <c r="EC113" s="99" t="s">
        <v>810</v>
      </c>
      <c r="ED113" s="100" t="s">
        <v>754</v>
      </c>
      <c r="EE113" s="101"/>
      <c r="EF113" s="101"/>
      <c r="EG113" s="101"/>
      <c r="EH113" s="101">
        <v>40.4</v>
      </c>
      <c r="EI113" s="101">
        <v>40.200000000000003</v>
      </c>
      <c r="EJ113" s="101">
        <v>41.4</v>
      </c>
      <c r="EK113" s="101">
        <v>40.799999999999997</v>
      </c>
      <c r="EL113" s="101">
        <v>41</v>
      </c>
      <c r="EM113" s="101"/>
      <c r="EN113" s="101"/>
      <c r="EO113">
        <f t="shared" ca="1" si="101"/>
        <v>41</v>
      </c>
      <c r="EQ113" s="20" t="s">
        <v>185</v>
      </c>
      <c r="ER113" s="20" t="e">
        <f t="shared" ca="1" si="128"/>
        <v>#N/A</v>
      </c>
      <c r="ES113" t="e">
        <f t="shared" ca="1" si="129"/>
        <v>#N/A</v>
      </c>
      <c r="EU113" s="20" t="s">
        <v>185</v>
      </c>
      <c r="EV113" s="109"/>
    </row>
    <row r="114" spans="1:152" x14ac:dyDescent="0.3">
      <c r="A114" s="20" t="s">
        <v>82</v>
      </c>
      <c r="B114" s="20" t="s">
        <v>632</v>
      </c>
      <c r="C114" s="81">
        <v>2015</v>
      </c>
      <c r="D114" s="82">
        <v>601.08199999999999</v>
      </c>
      <c r="E114" s="82">
        <v>542.44100000000003</v>
      </c>
      <c r="F114" s="82">
        <v>484.17</v>
      </c>
      <c r="G114" s="82">
        <v>425.30700000000002</v>
      </c>
      <c r="H114" s="82">
        <v>368.59399999999999</v>
      </c>
      <c r="I114" s="82">
        <v>318.24099999999999</v>
      </c>
      <c r="J114" s="82">
        <v>275.834</v>
      </c>
      <c r="K114" s="82">
        <v>240.02099999999999</v>
      </c>
      <c r="L114" s="82">
        <v>202.33799999999999</v>
      </c>
      <c r="M114" s="82">
        <v>165.286</v>
      </c>
      <c r="N114" s="82">
        <v>133.00200000000001</v>
      </c>
      <c r="O114" s="82">
        <v>104.396</v>
      </c>
      <c r="P114" s="82">
        <v>76.284999999999997</v>
      </c>
      <c r="Q114" s="82">
        <v>54.908999999999999</v>
      </c>
      <c r="R114" s="82">
        <v>38.186</v>
      </c>
      <c r="S114" s="82">
        <v>23.088999999999999</v>
      </c>
      <c r="T114" s="82">
        <v>10.641999999999999</v>
      </c>
      <c r="U114" s="82">
        <v>3.1779999999999999</v>
      </c>
      <c r="V114" s="82">
        <v>0.51800000000000002</v>
      </c>
      <c r="W114" s="82">
        <v>4.3999999999999997E-2</v>
      </c>
      <c r="X114" s="82">
        <v>1E-3</v>
      </c>
      <c r="Y114" s="82">
        <f t="shared" si="102"/>
        <v>4067.5640000000003</v>
      </c>
      <c r="Z114" s="52">
        <f t="shared" si="103"/>
        <v>60.107999999999997</v>
      </c>
      <c r="AA114" s="52">
        <f t="shared" si="104"/>
        <v>60.107999999999997</v>
      </c>
      <c r="AB114" s="52">
        <f t="shared" si="105"/>
        <v>120.21599999999999</v>
      </c>
      <c r="AC114" s="52">
        <f t="shared" si="106"/>
        <v>360.649</v>
      </c>
      <c r="AD114" s="52">
        <f t="shared" si="107"/>
        <v>1026.6110000000001</v>
      </c>
      <c r="AE114" s="52">
        <f t="shared" si="108"/>
        <v>1995.6210000000001</v>
      </c>
      <c r="AF114" s="52">
        <f t="shared" si="109"/>
        <v>313.68299999999999</v>
      </c>
      <c r="AG114" s="52">
        <f t="shared" si="110"/>
        <v>130.56700000000001</v>
      </c>
      <c r="AH114" s="52">
        <f t="shared" si="111"/>
        <v>4067.5630000000001</v>
      </c>
      <c r="AI114">
        <v>33.399000000000001</v>
      </c>
      <c r="AJ114" s="30">
        <f t="shared" si="112"/>
        <v>135852.53663700001</v>
      </c>
      <c r="AK114">
        <f t="shared" si="113"/>
        <v>120.21639999999999</v>
      </c>
      <c r="AM114" s="20" t="s">
        <v>82</v>
      </c>
      <c r="AN114" t="s">
        <v>418</v>
      </c>
      <c r="AO114" t="s">
        <v>419</v>
      </c>
      <c r="AP114" t="s">
        <v>688</v>
      </c>
      <c r="AQ114" s="55"/>
      <c r="AR114" s="55">
        <v>324.67166666666702</v>
      </c>
      <c r="AS114" t="s">
        <v>82</v>
      </c>
      <c r="AT114" t="s">
        <v>1260</v>
      </c>
      <c r="AU114" t="s">
        <v>1153</v>
      </c>
      <c r="AV114">
        <v>60.806902299132197</v>
      </c>
      <c r="AW114">
        <v>67.1111328986714</v>
      </c>
      <c r="AX114">
        <v>75.248793125006301</v>
      </c>
      <c r="AY114">
        <v>79.945095347811005</v>
      </c>
      <c r="AZ114">
        <v>85.744399235256495</v>
      </c>
      <c r="BA114">
        <v>92.043727633707405</v>
      </c>
      <c r="BB114">
        <v>94.087945487523896</v>
      </c>
      <c r="BC114">
        <v>100</v>
      </c>
      <c r="BD114">
        <v>105.64243345262</v>
      </c>
      <c r="BE114">
        <v>110.856817000833</v>
      </c>
      <c r="BF114">
        <v>115.434807107523</v>
      </c>
      <c r="BG114">
        <v>119.515680170379</v>
      </c>
      <c r="BH114">
        <v>120.094798867591</v>
      </c>
      <c r="BJ114" s="20" t="s">
        <v>82</v>
      </c>
      <c r="BK114" t="s">
        <v>688</v>
      </c>
      <c r="BL114">
        <v>2015</v>
      </c>
      <c r="BM114">
        <f>INDEX('Costs lists'!$C$5:$C$8,MATCH(Lists!BK114,'Costs lists'!$B$5:$B$8,0))</f>
        <v>5.21</v>
      </c>
      <c r="BN114">
        <f>INDEX('Costs lists'!$D$5:$D$8,MATCH(Lists!BK114,'Costs lists'!$B$5:$B$8,0))</f>
        <v>5.16</v>
      </c>
      <c r="BO114">
        <f>INDEX('Costs lists'!$E$5:$E$8,MATCH(Lists!BK114,'Costs lists'!$B$5:$B$8,0))</f>
        <v>5.26</v>
      </c>
      <c r="BW114" s="20" t="s">
        <v>82</v>
      </c>
      <c r="BX114" s="20">
        <v>2008</v>
      </c>
      <c r="BY114" s="52">
        <v>429.84000000000003</v>
      </c>
      <c r="BZ114" s="52">
        <v>531.33000000000004</v>
      </c>
      <c r="CA114" s="52">
        <v>605.35800000000006</v>
      </c>
      <c r="CB114" s="52">
        <v>630.43200000000002</v>
      </c>
      <c r="CC114" s="375">
        <f t="shared" si="99"/>
        <v>444.31725000000012</v>
      </c>
      <c r="CD114" s="375">
        <v>15.33</v>
      </c>
      <c r="CE114" s="375">
        <v>15.99</v>
      </c>
      <c r="CF114" s="375">
        <v>20.68</v>
      </c>
      <c r="CG114" s="375">
        <f t="shared" si="130"/>
        <v>16.331666666666663</v>
      </c>
      <c r="CI114" s="20" t="s">
        <v>82</v>
      </c>
      <c r="CJ114" s="20">
        <v>2015</v>
      </c>
      <c r="CK114" s="59">
        <f t="shared" si="114"/>
        <v>560.83722022510688</v>
      </c>
      <c r="CL114" s="59">
        <f t="shared" si="115"/>
        <v>693.25711944492377</v>
      </c>
      <c r="CM114" s="59">
        <f t="shared" si="116"/>
        <v>789.84575181702553</v>
      </c>
      <c r="CN114" s="59">
        <f t="shared" si="117"/>
        <v>822.56125633015677</v>
      </c>
      <c r="CO114" s="59">
        <f t="shared" si="118"/>
        <v>579.72652937852206</v>
      </c>
      <c r="CP114" s="59">
        <f t="shared" si="119"/>
        <v>20.001941620256115</v>
      </c>
      <c r="CQ114" s="59">
        <f t="shared" si="120"/>
        <v>20.863081963985341</v>
      </c>
      <c r="CR114" s="59">
        <f t="shared" si="121"/>
        <v>26.982397436849084</v>
      </c>
      <c r="CS114" s="59">
        <f t="shared" si="122"/>
        <v>21.308874313643141</v>
      </c>
      <c r="CW114" s="20" t="s">
        <v>82</v>
      </c>
      <c r="CX114">
        <v>2014</v>
      </c>
      <c r="CY114">
        <v>3.9696249999999997</v>
      </c>
      <c r="CZ114">
        <v>0.77246600389480591</v>
      </c>
      <c r="DB114">
        <v>13225.4423828125</v>
      </c>
      <c r="DC114">
        <v>0.45416209101676941</v>
      </c>
      <c r="DE114">
        <f t="shared" si="123"/>
        <v>7775.7396919928296</v>
      </c>
      <c r="DH114" t="e">
        <f t="shared" si="124"/>
        <v>#DIV/0!</v>
      </c>
      <c r="DI114" t="e">
        <f t="shared" si="95"/>
        <v>#DIV/0!</v>
      </c>
      <c r="DJ114" t="e">
        <f t="shared" si="96"/>
        <v>#DIV/0!</v>
      </c>
      <c r="DL114" s="20" t="s">
        <v>82</v>
      </c>
      <c r="DM114" s="99"/>
      <c r="DN114" s="100"/>
      <c r="DO114" s="101"/>
      <c r="DP114" s="101"/>
      <c r="DQ114" s="101"/>
      <c r="DR114" s="101"/>
      <c r="DS114" s="101"/>
      <c r="DT114" s="101"/>
      <c r="DU114" s="101"/>
      <c r="DV114" s="101"/>
      <c r="DW114" s="101"/>
      <c r="DX114" t="e">
        <f t="shared" ca="1" si="125"/>
        <v>#N/A</v>
      </c>
      <c r="DY114" t="e">
        <f t="shared" ca="1" si="126"/>
        <v>#N/A</v>
      </c>
      <c r="DZ114" t="e">
        <f t="shared" ca="1" si="127"/>
        <v>#N/A</v>
      </c>
      <c r="EB114" s="20" t="s">
        <v>82</v>
      </c>
      <c r="EC114" s="99" t="s">
        <v>827</v>
      </c>
      <c r="ED114" s="100" t="s">
        <v>754</v>
      </c>
      <c r="EE114" s="101"/>
      <c r="EF114" s="101"/>
      <c r="EG114" s="101"/>
      <c r="EH114" s="101"/>
      <c r="EI114" s="101"/>
      <c r="EJ114" s="101"/>
      <c r="EK114" s="101">
        <v>40</v>
      </c>
      <c r="EL114" s="101"/>
      <c r="EM114" s="101"/>
      <c r="EN114" s="101"/>
      <c r="EO114">
        <f t="shared" ca="1" si="101"/>
        <v>40</v>
      </c>
      <c r="EQ114" s="20" t="s">
        <v>82</v>
      </c>
      <c r="ER114" s="20" t="e">
        <f t="shared" ca="1" si="128"/>
        <v>#N/A</v>
      </c>
      <c r="ES114" t="e">
        <f t="shared" ca="1" si="129"/>
        <v>#N/A</v>
      </c>
      <c r="EU114" s="20" t="s">
        <v>82</v>
      </c>
      <c r="EV114" s="109"/>
    </row>
    <row r="115" spans="1:152" x14ac:dyDescent="0.3">
      <c r="A115" s="20" t="s">
        <v>42</v>
      </c>
      <c r="B115" s="20" t="s">
        <v>632</v>
      </c>
      <c r="C115" s="81">
        <v>2015</v>
      </c>
      <c r="D115" s="82">
        <v>70.623999999999995</v>
      </c>
      <c r="E115" s="82">
        <v>80.641000000000005</v>
      </c>
      <c r="F115" s="82">
        <v>94.747</v>
      </c>
      <c r="G115" s="82">
        <v>98.075000000000003</v>
      </c>
      <c r="H115" s="82">
        <v>104.587</v>
      </c>
      <c r="I115" s="82">
        <v>93.86</v>
      </c>
      <c r="J115" s="82">
        <v>90.626000000000005</v>
      </c>
      <c r="K115" s="82">
        <v>102.163</v>
      </c>
      <c r="L115" s="82">
        <v>87.908000000000001</v>
      </c>
      <c r="M115" s="82">
        <v>87.751999999999995</v>
      </c>
      <c r="N115" s="82">
        <v>94.512</v>
      </c>
      <c r="O115" s="82">
        <v>80.188000000000002</v>
      </c>
      <c r="P115" s="82">
        <v>65.771000000000001</v>
      </c>
      <c r="Q115" s="82">
        <v>50.075000000000003</v>
      </c>
      <c r="R115" s="82">
        <v>29.734999999999999</v>
      </c>
      <c r="S115" s="82">
        <v>20.106000000000002</v>
      </c>
      <c r="T115" s="82">
        <v>12.631</v>
      </c>
      <c r="U115" s="82">
        <v>6.2830000000000004</v>
      </c>
      <c r="V115" s="82">
        <v>2.3319999999999999</v>
      </c>
      <c r="W115" s="82">
        <v>0.53100000000000003</v>
      </c>
      <c r="X115" s="82">
        <v>6.5000000000000002E-2</v>
      </c>
      <c r="Y115" s="82">
        <f t="shared" si="102"/>
        <v>1273.212</v>
      </c>
      <c r="Z115" s="52">
        <f t="shared" si="103"/>
        <v>7.0620000000000003</v>
      </c>
      <c r="AA115" s="52">
        <f t="shared" si="104"/>
        <v>7.0620000000000003</v>
      </c>
      <c r="AB115" s="52">
        <f t="shared" si="105"/>
        <v>14.125</v>
      </c>
      <c r="AC115" s="52">
        <f t="shared" si="106"/>
        <v>42.374000000000002</v>
      </c>
      <c r="AD115" s="52">
        <f t="shared" si="107"/>
        <v>175.38800000000001</v>
      </c>
      <c r="AE115" s="52">
        <f t="shared" si="108"/>
        <v>664.971</v>
      </c>
      <c r="AF115" s="52">
        <f t="shared" si="109"/>
        <v>240.471</v>
      </c>
      <c r="AG115" s="52">
        <f t="shared" si="110"/>
        <v>121.758</v>
      </c>
      <c r="AH115" s="52">
        <f t="shared" si="111"/>
        <v>1273.211</v>
      </c>
      <c r="AI115">
        <v>10.6</v>
      </c>
      <c r="AJ115" s="30">
        <f t="shared" si="112"/>
        <v>13496.036599999999</v>
      </c>
      <c r="AK115">
        <f t="shared" si="113"/>
        <v>14.124799999999999</v>
      </c>
      <c r="AM115" s="20" t="s">
        <v>42</v>
      </c>
      <c r="AN115" t="s">
        <v>420</v>
      </c>
      <c r="AO115" t="s">
        <v>421</v>
      </c>
      <c r="AP115" t="s">
        <v>689</v>
      </c>
      <c r="AQ115" s="55">
        <v>324348.47002823529</v>
      </c>
      <c r="AR115" s="55">
        <v>35.056699999999999</v>
      </c>
      <c r="AS115" t="s">
        <v>42</v>
      </c>
      <c r="AT115" t="s">
        <v>1261</v>
      </c>
      <c r="AU115" t="s">
        <v>1153</v>
      </c>
      <c r="AV115">
        <v>66.314434463370006</v>
      </c>
      <c r="AW115">
        <v>69.438090088591295</v>
      </c>
      <c r="AX115">
        <v>72.869442249303304</v>
      </c>
      <c r="AY115">
        <v>79.378613317805602</v>
      </c>
      <c r="AZ115">
        <v>86.366094081437396</v>
      </c>
      <c r="BA115">
        <v>94.771867071496899</v>
      </c>
      <c r="BB115">
        <v>97.188370835586198</v>
      </c>
      <c r="BC115">
        <v>100</v>
      </c>
      <c r="BD115">
        <v>106.53135354711701</v>
      </c>
      <c r="BE115">
        <v>110.635112090837</v>
      </c>
      <c r="BF115">
        <v>114.55524601755199</v>
      </c>
      <c r="BG115">
        <v>118.241276047082</v>
      </c>
      <c r="BH115">
        <v>119.762508838331</v>
      </c>
      <c r="BJ115" s="20" t="s">
        <v>42</v>
      </c>
      <c r="BK115" t="s">
        <v>689</v>
      </c>
      <c r="BL115">
        <v>2015</v>
      </c>
      <c r="BM115">
        <f>INDEX('Costs lists'!$C$5:$C$8,MATCH(Lists!BK115,'Costs lists'!$B$5:$B$8,0))</f>
        <v>3.2</v>
      </c>
      <c r="BN115">
        <f>INDEX('Costs lists'!$D$5:$D$8,MATCH(Lists!BK115,'Costs lists'!$B$5:$B$8,0))</f>
        <v>1.1200000000000001</v>
      </c>
      <c r="BO115">
        <f>INDEX('Costs lists'!$E$5:$E$8,MATCH(Lists!BK115,'Costs lists'!$B$5:$B$8,0))</f>
        <v>4.4400000000000004</v>
      </c>
      <c r="BW115" s="20" t="s">
        <v>42</v>
      </c>
      <c r="BX115" s="20">
        <v>2008</v>
      </c>
      <c r="BY115" s="52">
        <v>280.5616</v>
      </c>
      <c r="BZ115" s="52">
        <v>346.50700000000001</v>
      </c>
      <c r="CA115" s="52">
        <v>394.83340000000004</v>
      </c>
      <c r="CB115" s="52">
        <v>411.44560000000001</v>
      </c>
      <c r="CC115" s="375">
        <f t="shared" si="99"/>
        <v>289.98776499999997</v>
      </c>
      <c r="CD115" s="375">
        <v>127.18</v>
      </c>
      <c r="CE115" s="375">
        <v>132.68</v>
      </c>
      <c r="CF115" s="375">
        <v>171.57</v>
      </c>
      <c r="CG115" s="375">
        <f t="shared" si="130"/>
        <v>135.495</v>
      </c>
      <c r="CI115" s="20" t="s">
        <v>42</v>
      </c>
      <c r="CJ115" s="20">
        <v>2015</v>
      </c>
      <c r="CK115" s="59">
        <f t="shared" si="114"/>
        <v>354.54362289124811</v>
      </c>
      <c r="CL115" s="59">
        <f t="shared" si="115"/>
        <v>437.87833808039915</v>
      </c>
      <c r="CM115" s="59">
        <f t="shared" si="116"/>
        <v>498.94805302817394</v>
      </c>
      <c r="CN115" s="59">
        <f t="shared" si="117"/>
        <v>519.94076754147147</v>
      </c>
      <c r="CO115" s="59">
        <f t="shared" si="118"/>
        <v>366.45539802038434</v>
      </c>
      <c r="CP115" s="59">
        <f t="shared" si="119"/>
        <v>160.71642719213511</v>
      </c>
      <c r="CQ115" s="59">
        <f t="shared" si="120"/>
        <v>167.66673659264418</v>
      </c>
      <c r="CR115" s="59">
        <f t="shared" si="121"/>
        <v>216.81174251733464</v>
      </c>
      <c r="CS115" s="59">
        <f t="shared" si="122"/>
        <v>171.22403131308656</v>
      </c>
      <c r="CW115" s="20" t="s">
        <v>42</v>
      </c>
      <c r="CX115">
        <v>2014</v>
      </c>
      <c r="CY115">
        <v>1.268567</v>
      </c>
      <c r="CZ115">
        <v>0.56918001174926758</v>
      </c>
      <c r="DB115">
        <v>22719.138671875</v>
      </c>
      <c r="DC115">
        <v>0.4207955002784729</v>
      </c>
      <c r="DE115">
        <f t="shared" si="123"/>
        <v>16796.287863212972</v>
      </c>
      <c r="DH115" t="e">
        <f t="shared" si="124"/>
        <v>#DIV/0!</v>
      </c>
      <c r="DI115" t="e">
        <f t="shared" si="95"/>
        <v>#DIV/0!</v>
      </c>
      <c r="DJ115" t="e">
        <f t="shared" si="96"/>
        <v>#DIV/0!</v>
      </c>
      <c r="DL115" s="20" t="s">
        <v>42</v>
      </c>
      <c r="DM115" s="99" t="s">
        <v>775</v>
      </c>
      <c r="DN115" s="100" t="s">
        <v>852</v>
      </c>
      <c r="DO115" s="101"/>
      <c r="DP115" s="101"/>
      <c r="DQ115" s="101"/>
      <c r="DR115" s="101"/>
      <c r="DS115" s="101">
        <v>41.7</v>
      </c>
      <c r="DT115" s="101">
        <v>39.700000000000003</v>
      </c>
      <c r="DU115" s="101"/>
      <c r="DV115" s="101"/>
      <c r="DW115" s="101">
        <v>38.799999999999997</v>
      </c>
      <c r="DX115">
        <f t="shared" ca="1" si="125"/>
        <v>38.799999999999997</v>
      </c>
      <c r="DY115">
        <f t="shared" ca="1" si="126"/>
        <v>7.76</v>
      </c>
      <c r="DZ115" t="e">
        <f t="shared" ca="1" si="127"/>
        <v>#DIV/0!</v>
      </c>
      <c r="EB115" s="20" t="s">
        <v>42</v>
      </c>
      <c r="EC115" s="99" t="s">
        <v>775</v>
      </c>
      <c r="ED115" s="100" t="s">
        <v>754</v>
      </c>
      <c r="EE115" s="101">
        <v>53.1</v>
      </c>
      <c r="EF115" s="101">
        <v>53.9</v>
      </c>
      <c r="EG115" s="101">
        <v>54.9</v>
      </c>
      <c r="EH115" s="101">
        <v>54.7</v>
      </c>
      <c r="EI115" s="101">
        <v>55.2</v>
      </c>
      <c r="EJ115" s="101">
        <v>54.6</v>
      </c>
      <c r="EK115" s="101">
        <v>54.8</v>
      </c>
      <c r="EL115" s="101">
        <v>57.9</v>
      </c>
      <c r="EM115" s="101">
        <v>55.2</v>
      </c>
      <c r="EN115" s="101">
        <v>55.6</v>
      </c>
      <c r="EO115">
        <f t="shared" ca="1" si="101"/>
        <v>55.6</v>
      </c>
      <c r="EQ115" s="20" t="s">
        <v>42</v>
      </c>
      <c r="ER115" s="20" t="e">
        <f t="shared" ca="1" si="128"/>
        <v>#DIV/0!</v>
      </c>
      <c r="ES115" t="e">
        <f t="shared" ca="1" si="129"/>
        <v>#DIV/0!</v>
      </c>
      <c r="EU115" s="20" t="s">
        <v>42</v>
      </c>
      <c r="EV115" s="109">
        <v>20085.17090325533</v>
      </c>
    </row>
    <row r="116" spans="1:152" x14ac:dyDescent="0.3">
      <c r="A116" s="20" t="s">
        <v>195</v>
      </c>
      <c r="B116" s="20" t="s">
        <v>633</v>
      </c>
      <c r="C116" s="81">
        <v>2015</v>
      </c>
      <c r="D116" s="82">
        <v>11616.909</v>
      </c>
      <c r="E116" s="82">
        <v>11606.866</v>
      </c>
      <c r="F116" s="82">
        <v>11839.884</v>
      </c>
      <c r="G116" s="82">
        <v>11914.359</v>
      </c>
      <c r="H116" s="82">
        <v>11362.231</v>
      </c>
      <c r="I116" s="82">
        <v>10557.035</v>
      </c>
      <c r="J116" s="82">
        <v>9836.268</v>
      </c>
      <c r="K116" s="82">
        <v>9297.3709999999992</v>
      </c>
      <c r="L116" s="82">
        <v>8603.8119999999999</v>
      </c>
      <c r="M116" s="82">
        <v>7362.5420000000004</v>
      </c>
      <c r="N116" s="82">
        <v>5940.0649999999996</v>
      </c>
      <c r="O116" s="82">
        <v>4903.0649999999996</v>
      </c>
      <c r="P116" s="82">
        <v>3962.627</v>
      </c>
      <c r="Q116" s="82">
        <v>2744.0740000000001</v>
      </c>
      <c r="R116" s="82">
        <v>2121.0059999999999</v>
      </c>
      <c r="S116" s="82">
        <v>1435.3309999999999</v>
      </c>
      <c r="T116" s="82">
        <v>1002.479</v>
      </c>
      <c r="U116" s="82">
        <v>582.61900000000003</v>
      </c>
      <c r="V116" s="82">
        <v>252.221</v>
      </c>
      <c r="W116" s="82">
        <v>65.37</v>
      </c>
      <c r="X116" s="82">
        <v>11.09</v>
      </c>
      <c r="Y116" s="82">
        <f t="shared" si="102"/>
        <v>127017.224</v>
      </c>
      <c r="Z116" s="52">
        <f t="shared" si="103"/>
        <v>1161.691</v>
      </c>
      <c r="AA116" s="52">
        <f t="shared" si="104"/>
        <v>1161.691</v>
      </c>
      <c r="AB116" s="52">
        <f t="shared" si="105"/>
        <v>2323.3820000000001</v>
      </c>
      <c r="AC116" s="52">
        <f t="shared" si="106"/>
        <v>6970.1450000000004</v>
      </c>
      <c r="AD116" s="52">
        <f t="shared" si="107"/>
        <v>23446.75</v>
      </c>
      <c r="AE116" s="52">
        <f t="shared" si="108"/>
        <v>68933.618000000002</v>
      </c>
      <c r="AF116" s="52">
        <f t="shared" si="109"/>
        <v>14805.757</v>
      </c>
      <c r="AG116" s="52">
        <f t="shared" si="110"/>
        <v>8214.19</v>
      </c>
      <c r="AH116" s="52">
        <f t="shared" si="111"/>
        <v>127017.224</v>
      </c>
      <c r="AI116">
        <v>18.79</v>
      </c>
      <c r="AJ116" s="30">
        <f t="shared" si="112"/>
        <v>2386653.6389600001</v>
      </c>
      <c r="AK116">
        <f t="shared" si="113"/>
        <v>2323.3818000000001</v>
      </c>
      <c r="AM116" s="20" t="s">
        <v>195</v>
      </c>
      <c r="AN116" t="s">
        <v>422</v>
      </c>
      <c r="AO116" t="s">
        <v>423</v>
      </c>
      <c r="AP116" t="s">
        <v>689</v>
      </c>
      <c r="AQ116" s="55">
        <v>142714.32605864544</v>
      </c>
      <c r="AR116" s="55">
        <v>15.848266666666699</v>
      </c>
      <c r="AS116" t="s">
        <v>195</v>
      </c>
      <c r="AT116" t="s">
        <v>1262</v>
      </c>
      <c r="AU116" t="s">
        <v>1153</v>
      </c>
      <c r="AV116">
        <v>73.9485358619132</v>
      </c>
      <c r="AW116">
        <v>77.415452402572697</v>
      </c>
      <c r="AX116">
        <v>80.502827663108206</v>
      </c>
      <c r="AY116">
        <v>83.424648188837097</v>
      </c>
      <c r="AZ116">
        <v>86.733978536108197</v>
      </c>
      <c r="BA116">
        <v>91.179079056943706</v>
      </c>
      <c r="BB116">
        <v>96.009160499287105</v>
      </c>
      <c r="BC116">
        <v>100</v>
      </c>
      <c r="BD116">
        <v>103.40737961671201</v>
      </c>
      <c r="BE116">
        <v>107.658982866409</v>
      </c>
      <c r="BF116">
        <v>111.756903434246</v>
      </c>
      <c r="BG116">
        <v>116.247985579977</v>
      </c>
      <c r="BH116">
        <v>119.41067624257199</v>
      </c>
      <c r="BJ116" s="20" t="s">
        <v>195</v>
      </c>
      <c r="BK116" t="s">
        <v>689</v>
      </c>
      <c r="BL116">
        <v>2015</v>
      </c>
      <c r="BM116">
        <f>INDEX('Costs lists'!$C$5:$C$8,MATCH(Lists!BK116,'Costs lists'!$B$5:$B$8,0))</f>
        <v>3.2</v>
      </c>
      <c r="BN116">
        <f>INDEX('Costs lists'!$D$5:$D$8,MATCH(Lists!BK116,'Costs lists'!$B$5:$B$8,0))</f>
        <v>1.1200000000000001</v>
      </c>
      <c r="BO116">
        <f>INDEX('Costs lists'!$E$5:$E$8,MATCH(Lists!BK116,'Costs lists'!$B$5:$B$8,0))</f>
        <v>4.4400000000000004</v>
      </c>
      <c r="BW116" s="20" t="s">
        <v>195</v>
      </c>
      <c r="BX116" s="20">
        <v>2008</v>
      </c>
      <c r="BY116" s="52">
        <v>150.14400000000001</v>
      </c>
      <c r="BZ116" s="52">
        <v>185.41220000000001</v>
      </c>
      <c r="CA116" s="52">
        <v>211.29640000000001</v>
      </c>
      <c r="CB116" s="52">
        <v>220.13300000000001</v>
      </c>
      <c r="CC116" s="375">
        <f t="shared" ref="CC116:CC147" si="131">BY116*(9/10)+BZ116*(0.5/10)+CA116*(0.25/10)+CB116*(0.25/10)</f>
        <v>155.185945</v>
      </c>
      <c r="CD116" s="375">
        <v>153.86000000000001</v>
      </c>
      <c r="CE116" s="375">
        <v>160.52000000000001</v>
      </c>
      <c r="CF116" s="375">
        <v>207.55</v>
      </c>
      <c r="CG116" s="375">
        <f t="shared" si="130"/>
        <v>163.91833333333335</v>
      </c>
      <c r="CI116" s="20" t="s">
        <v>195</v>
      </c>
      <c r="CJ116" s="20">
        <v>2015</v>
      </c>
      <c r="CK116" s="59">
        <f t="shared" si="114"/>
        <v>196.63278856510198</v>
      </c>
      <c r="CL116" s="59">
        <f t="shared" si="115"/>
        <v>242.82101129575875</v>
      </c>
      <c r="CM116" s="59">
        <f t="shared" si="116"/>
        <v>276.71968474109667</v>
      </c>
      <c r="CN116" s="59">
        <f t="shared" si="117"/>
        <v>288.29234365143861</v>
      </c>
      <c r="CO116" s="59">
        <f t="shared" si="118"/>
        <v>203.23586098319311</v>
      </c>
      <c r="CP116" s="59">
        <f t="shared" si="119"/>
        <v>201.49936626589536</v>
      </c>
      <c r="CQ116" s="59">
        <f t="shared" si="120"/>
        <v>210.22148884051424</v>
      </c>
      <c r="CR116" s="59">
        <f t="shared" si="121"/>
        <v>271.81329434867138</v>
      </c>
      <c r="CS116" s="59">
        <f t="shared" si="122"/>
        <v>214.67204137546119</v>
      </c>
      <c r="CW116" s="20" t="s">
        <v>195</v>
      </c>
      <c r="CX116">
        <v>2014</v>
      </c>
      <c r="CY116">
        <v>125.38583299999999</v>
      </c>
      <c r="CZ116">
        <v>51.412574768066406</v>
      </c>
      <c r="DA116">
        <v>2136.7732926322014</v>
      </c>
      <c r="DB116">
        <v>1934006.25</v>
      </c>
      <c r="DC116">
        <v>0.38604003190994263</v>
      </c>
      <c r="DE116">
        <f t="shared" si="123"/>
        <v>14521.813735883194</v>
      </c>
      <c r="DH116">
        <f t="shared" si="124"/>
        <v>6.7961415401230427</v>
      </c>
      <c r="DI116">
        <f t="shared" si="95"/>
        <v>6.9810401711262751</v>
      </c>
      <c r="DJ116">
        <f t="shared" si="96"/>
        <v>17.025475596425782</v>
      </c>
      <c r="DL116" s="20" t="s">
        <v>195</v>
      </c>
      <c r="DM116" s="99" t="s">
        <v>777</v>
      </c>
      <c r="DN116" s="100" t="s">
        <v>847</v>
      </c>
      <c r="DO116" s="101"/>
      <c r="DP116" s="101"/>
      <c r="DQ116" s="101">
        <v>46.4</v>
      </c>
      <c r="DR116" s="101">
        <v>43.1</v>
      </c>
      <c r="DS116" s="101">
        <v>42.5</v>
      </c>
      <c r="DT116" s="101">
        <v>42</v>
      </c>
      <c r="DU116" s="101">
        <v>42.4</v>
      </c>
      <c r="DV116" s="101">
        <v>42.4</v>
      </c>
      <c r="DW116" s="101">
        <v>42.4</v>
      </c>
      <c r="DX116">
        <f t="shared" ca="1" si="125"/>
        <v>42.4</v>
      </c>
      <c r="DY116">
        <f t="shared" ca="1" si="126"/>
        <v>8.48</v>
      </c>
      <c r="DZ116">
        <f t="shared" ca="1" si="127"/>
        <v>59.199220651150817</v>
      </c>
      <c r="EB116" s="20" t="s">
        <v>195</v>
      </c>
      <c r="EC116" s="99" t="s">
        <v>777</v>
      </c>
      <c r="ED116" s="100" t="s">
        <v>754</v>
      </c>
      <c r="EE116" s="101">
        <v>58</v>
      </c>
      <c r="EF116" s="101">
        <v>57.9</v>
      </c>
      <c r="EG116" s="101">
        <v>57.6</v>
      </c>
      <c r="EH116" s="101">
        <v>55.4</v>
      </c>
      <c r="EI116" s="101">
        <v>55.3</v>
      </c>
      <c r="EJ116" s="101">
        <v>56.5</v>
      </c>
      <c r="EK116" s="101">
        <v>57.9</v>
      </c>
      <c r="EL116" s="101">
        <v>57.5</v>
      </c>
      <c r="EM116" s="101">
        <v>54.7</v>
      </c>
      <c r="EN116" s="101">
        <v>57.2</v>
      </c>
      <c r="EO116">
        <f t="shared" ca="1" si="101"/>
        <v>57.2</v>
      </c>
      <c r="EQ116" s="20" t="s">
        <v>195</v>
      </c>
      <c r="ER116" s="20">
        <f t="shared" ca="1" si="128"/>
        <v>59.199220651150817</v>
      </c>
      <c r="ES116">
        <f t="shared" ca="1" si="129"/>
        <v>33.861954212458265</v>
      </c>
      <c r="EU116" s="20" t="s">
        <v>195</v>
      </c>
      <c r="EV116" s="109">
        <v>17268.518725041562</v>
      </c>
    </row>
    <row r="117" spans="1:152" x14ac:dyDescent="0.3">
      <c r="A117" s="20" t="s">
        <v>220</v>
      </c>
      <c r="B117" s="20" t="s">
        <v>634</v>
      </c>
      <c r="C117" s="81">
        <v>2015</v>
      </c>
      <c r="D117" s="82">
        <v>11.57</v>
      </c>
      <c r="E117" s="82">
        <v>11.557</v>
      </c>
      <c r="F117" s="82">
        <v>12.461</v>
      </c>
      <c r="G117" s="82">
        <v>12.977</v>
      </c>
      <c r="H117" s="82">
        <v>11.859</v>
      </c>
      <c r="I117" s="82">
        <v>9.7230000000000008</v>
      </c>
      <c r="J117" s="82">
        <v>7.7389999999999999</v>
      </c>
      <c r="K117" s="82">
        <v>4.3730000000000002</v>
      </c>
      <c r="L117" s="82">
        <v>3.1629999999999998</v>
      </c>
      <c r="M117" s="82">
        <v>3.6429999999999998</v>
      </c>
      <c r="N117" s="82">
        <v>3.8359999999999999</v>
      </c>
      <c r="O117" s="82">
        <v>3.6949999999999998</v>
      </c>
      <c r="P117" s="82">
        <v>3.3130000000000002</v>
      </c>
      <c r="Q117" s="82">
        <v>2.0489999999999999</v>
      </c>
      <c r="R117" s="82">
        <v>1.05</v>
      </c>
      <c r="S117" s="82">
        <v>0.70799999999999996</v>
      </c>
      <c r="T117" s="82">
        <v>0.504</v>
      </c>
      <c r="U117" s="82">
        <v>0.159</v>
      </c>
      <c r="V117" s="82">
        <v>7.1999999999999995E-2</v>
      </c>
      <c r="W117" s="82">
        <v>8.9999999999999993E-3</v>
      </c>
      <c r="X117" s="82">
        <v>0</v>
      </c>
      <c r="Y117" s="82">
        <f t="shared" si="102"/>
        <v>104.46000000000002</v>
      </c>
      <c r="Z117" s="52">
        <f t="shared" si="103"/>
        <v>1.157</v>
      </c>
      <c r="AA117" s="52">
        <f t="shared" si="104"/>
        <v>1.157</v>
      </c>
      <c r="AB117" s="52">
        <f t="shared" si="105"/>
        <v>2.3140000000000001</v>
      </c>
      <c r="AC117" s="52">
        <f t="shared" si="106"/>
        <v>6.9420000000000002</v>
      </c>
      <c r="AD117" s="52">
        <f t="shared" si="107"/>
        <v>24.018000000000001</v>
      </c>
      <c r="AE117" s="52">
        <f t="shared" si="108"/>
        <v>53.476999999999997</v>
      </c>
      <c r="AF117" s="52">
        <f t="shared" si="109"/>
        <v>10.843999999999999</v>
      </c>
      <c r="AG117" s="52">
        <f t="shared" si="110"/>
        <v>4.5510000000000002</v>
      </c>
      <c r="AH117" s="52">
        <f t="shared" si="111"/>
        <v>104.46</v>
      </c>
      <c r="AI117">
        <v>23.530999999999999</v>
      </c>
      <c r="AJ117" s="30">
        <f t="shared" si="112"/>
        <v>2458.0482599999996</v>
      </c>
      <c r="AK117">
        <f t="shared" si="113"/>
        <v>2.3140000000000001</v>
      </c>
      <c r="AM117" s="20" t="s">
        <v>220</v>
      </c>
      <c r="AN117" t="s">
        <v>262</v>
      </c>
      <c r="AO117" t="s">
        <v>263</v>
      </c>
      <c r="AP117" t="s">
        <v>688</v>
      </c>
      <c r="AQ117" s="55">
        <v>3015.2316676239702</v>
      </c>
      <c r="AR117" s="55">
        <v>1</v>
      </c>
      <c r="AS117" t="s">
        <v>1130</v>
      </c>
      <c r="AT117" t="s">
        <v>1263</v>
      </c>
      <c r="AU117" t="s">
        <v>1153</v>
      </c>
      <c r="BJ117" s="20" t="s">
        <v>220</v>
      </c>
      <c r="BK117" t="s">
        <v>688</v>
      </c>
      <c r="BL117">
        <v>2015</v>
      </c>
      <c r="BM117">
        <f>INDEX('Costs lists'!$C$5:$C$8,MATCH(Lists!BK117,'Costs lists'!$B$5:$B$8,0))</f>
        <v>5.21</v>
      </c>
      <c r="BN117">
        <f>INDEX('Costs lists'!$D$5:$D$8,MATCH(Lists!BK117,'Costs lists'!$B$5:$B$8,0))</f>
        <v>5.16</v>
      </c>
      <c r="BO117">
        <f>INDEX('Costs lists'!$E$5:$E$8,MATCH(Lists!BK117,'Costs lists'!$B$5:$B$8,0))</f>
        <v>5.26</v>
      </c>
      <c r="BW117" s="20" t="s">
        <v>220</v>
      </c>
      <c r="BX117" s="20">
        <v>2008</v>
      </c>
      <c r="BY117" s="52">
        <v>3.7425000000000002</v>
      </c>
      <c r="BZ117" s="52">
        <v>4.62</v>
      </c>
      <c r="CA117" s="52">
        <v>5.2649999999999997</v>
      </c>
      <c r="CB117" s="52">
        <v>5.4824999999999999</v>
      </c>
      <c r="CC117" s="375">
        <f t="shared" si="131"/>
        <v>3.8679375</v>
      </c>
      <c r="CD117" s="375">
        <v>24.01</v>
      </c>
      <c r="CE117" s="375">
        <v>25.05</v>
      </c>
      <c r="CF117" s="375">
        <v>32.39</v>
      </c>
      <c r="CG117" s="375">
        <f t="shared" si="130"/>
        <v>25.580000000000002</v>
      </c>
      <c r="CI117" s="20" t="s">
        <v>220</v>
      </c>
      <c r="CJ117" s="20">
        <v>2015</v>
      </c>
      <c r="CK117" s="59" t="e">
        <f t="shared" si="114"/>
        <v>#DIV/0!</v>
      </c>
      <c r="CL117" s="59" t="e">
        <f t="shared" si="115"/>
        <v>#DIV/0!</v>
      </c>
      <c r="CM117" s="59" t="e">
        <f t="shared" si="116"/>
        <v>#DIV/0!</v>
      </c>
      <c r="CN117" s="59" t="e">
        <f t="shared" si="117"/>
        <v>#DIV/0!</v>
      </c>
      <c r="CO117" s="59" t="e">
        <f t="shared" si="118"/>
        <v>#DIV/0!</v>
      </c>
      <c r="CP117" s="59" t="e">
        <f t="shared" si="119"/>
        <v>#DIV/0!</v>
      </c>
      <c r="CQ117" s="59" t="e">
        <f t="shared" si="120"/>
        <v>#DIV/0!</v>
      </c>
      <c r="CR117" s="59" t="e">
        <f t="shared" si="121"/>
        <v>#DIV/0!</v>
      </c>
      <c r="CS117" s="59" t="e">
        <f t="shared" si="122"/>
        <v>#DIV/0!</v>
      </c>
      <c r="CW117" s="20" t="s">
        <v>220</v>
      </c>
      <c r="DE117" t="e">
        <f t="shared" si="123"/>
        <v>#DIV/0!</v>
      </c>
      <c r="DH117" t="e">
        <f t="shared" si="124"/>
        <v>#DIV/0!</v>
      </c>
      <c r="DI117" t="e">
        <f t="shared" si="95"/>
        <v>#DIV/0!</v>
      </c>
      <c r="DJ117" t="e">
        <f t="shared" si="96"/>
        <v>#DIV/0!</v>
      </c>
      <c r="DL117" s="20" t="s">
        <v>220</v>
      </c>
      <c r="DX117" t="e">
        <f t="shared" ca="1" si="125"/>
        <v>#N/A</v>
      </c>
      <c r="DY117" t="e">
        <f t="shared" ca="1" si="126"/>
        <v>#N/A</v>
      </c>
      <c r="DZ117" t="e">
        <f t="shared" ca="1" si="127"/>
        <v>#N/A</v>
      </c>
      <c r="EB117" s="20" t="s">
        <v>220</v>
      </c>
      <c r="EQ117" s="20" t="s">
        <v>220</v>
      </c>
      <c r="ER117" s="20" t="e">
        <f t="shared" ca="1" si="128"/>
        <v>#N/A</v>
      </c>
      <c r="ES117" t="e">
        <f t="shared" ca="1" si="129"/>
        <v>#N/A</v>
      </c>
      <c r="EU117" s="20" t="s">
        <v>220</v>
      </c>
      <c r="EV117" s="109">
        <v>3496.7152247821114</v>
      </c>
    </row>
    <row r="118" spans="1:152" x14ac:dyDescent="0.3">
      <c r="A118" s="20" t="s">
        <v>91</v>
      </c>
      <c r="B118" s="20" t="s">
        <v>634</v>
      </c>
      <c r="C118" s="81">
        <v>2015</v>
      </c>
      <c r="D118" s="82">
        <v>337.86399999999998</v>
      </c>
      <c r="E118" s="82">
        <v>278.39299999999997</v>
      </c>
      <c r="F118" s="82">
        <v>219.04400000000001</v>
      </c>
      <c r="G118" s="82">
        <v>228.68600000000001</v>
      </c>
      <c r="H118" s="82">
        <v>271.10000000000002</v>
      </c>
      <c r="I118" s="82">
        <v>309.53199999999998</v>
      </c>
      <c r="J118" s="82">
        <v>255.96199999999999</v>
      </c>
      <c r="K118" s="82">
        <v>225.34899999999999</v>
      </c>
      <c r="L118" s="82">
        <v>205.05199999999999</v>
      </c>
      <c r="M118" s="82">
        <v>176.148</v>
      </c>
      <c r="N118" s="82">
        <v>156.10300000000001</v>
      </c>
      <c r="O118" s="82">
        <v>107.158</v>
      </c>
      <c r="P118" s="82">
        <v>69.081000000000003</v>
      </c>
      <c r="Q118" s="82">
        <v>43.637</v>
      </c>
      <c r="R118" s="82">
        <v>34.152000000000001</v>
      </c>
      <c r="S118" s="82">
        <v>22.555</v>
      </c>
      <c r="T118" s="82">
        <v>12.872999999999999</v>
      </c>
      <c r="U118" s="82">
        <v>4.9569999999999999</v>
      </c>
      <c r="V118" s="82">
        <v>1.278</v>
      </c>
      <c r="W118" s="82">
        <v>0.20100000000000001</v>
      </c>
      <c r="X118" s="82">
        <v>8.9999999999999993E-3</v>
      </c>
      <c r="Y118" s="82">
        <f t="shared" si="102"/>
        <v>2959.134</v>
      </c>
      <c r="Z118" s="52">
        <f t="shared" si="103"/>
        <v>33.786000000000001</v>
      </c>
      <c r="AA118" s="52">
        <f t="shared" si="104"/>
        <v>33.786000000000001</v>
      </c>
      <c r="AB118" s="52">
        <f t="shared" si="105"/>
        <v>67.572999999999993</v>
      </c>
      <c r="AC118" s="52">
        <f t="shared" si="106"/>
        <v>202.71799999999999</v>
      </c>
      <c r="AD118" s="52">
        <f t="shared" si="107"/>
        <v>497.43700000000001</v>
      </c>
      <c r="AE118" s="52">
        <f t="shared" si="108"/>
        <v>1671.829</v>
      </c>
      <c r="AF118" s="52">
        <f t="shared" si="109"/>
        <v>332.34199999999998</v>
      </c>
      <c r="AG118" s="52">
        <f t="shared" si="110"/>
        <v>119.66200000000001</v>
      </c>
      <c r="AH118" s="52">
        <f t="shared" si="111"/>
        <v>2959.1329999999998</v>
      </c>
      <c r="AI118">
        <v>23.949000000000002</v>
      </c>
      <c r="AJ118" s="30">
        <f t="shared" si="112"/>
        <v>70868.276217000006</v>
      </c>
      <c r="AK118">
        <f t="shared" si="113"/>
        <v>67.572800000000001</v>
      </c>
      <c r="AM118" s="20" t="s">
        <v>91</v>
      </c>
      <c r="AN118" t="s">
        <v>426</v>
      </c>
      <c r="AO118" t="s">
        <v>427</v>
      </c>
      <c r="AP118" t="s">
        <v>688</v>
      </c>
      <c r="AQ118" s="55">
        <v>7817850.7424681336</v>
      </c>
      <c r="AR118" s="55">
        <v>1970.3091666666701</v>
      </c>
      <c r="AS118" t="s">
        <v>91</v>
      </c>
      <c r="AT118" t="s">
        <v>1265</v>
      </c>
      <c r="AU118" t="s">
        <v>1153</v>
      </c>
      <c r="AV118">
        <v>48.853091180568299</v>
      </c>
      <c r="AW118">
        <v>52.879149899939698</v>
      </c>
      <c r="AX118">
        <v>59.603562641005396</v>
      </c>
      <c r="AY118">
        <v>62.640463467012999</v>
      </c>
      <c r="AZ118">
        <v>68.306447585277098</v>
      </c>
      <c r="BA118">
        <v>85.4217649702843</v>
      </c>
      <c r="BB118">
        <v>90.785596563951401</v>
      </c>
      <c r="BC118">
        <v>100</v>
      </c>
      <c r="BD118">
        <v>109.484093292713</v>
      </c>
      <c r="BE118">
        <v>125.88972693333</v>
      </c>
      <c r="BF118">
        <v>136.722321545287</v>
      </c>
      <c r="BG118">
        <v>154.52992281655</v>
      </c>
      <c r="BH118">
        <v>163.45549313588799</v>
      </c>
      <c r="BJ118" s="20" t="s">
        <v>91</v>
      </c>
      <c r="BK118" t="s">
        <v>688</v>
      </c>
      <c r="BL118">
        <v>2015</v>
      </c>
      <c r="BM118">
        <f>INDEX('Costs lists'!$C$5:$C$8,MATCH(Lists!BK118,'Costs lists'!$B$5:$B$8,0))</f>
        <v>5.21</v>
      </c>
      <c r="BN118">
        <f>INDEX('Costs lists'!$D$5:$D$8,MATCH(Lists!BK118,'Costs lists'!$B$5:$B$8,0))</f>
        <v>5.16</v>
      </c>
      <c r="BO118">
        <f>INDEX('Costs lists'!$E$5:$E$8,MATCH(Lists!BK118,'Costs lists'!$B$5:$B$8,0))</f>
        <v>5.26</v>
      </c>
      <c r="BW118" s="20" t="s">
        <v>91</v>
      </c>
      <c r="BX118" s="20">
        <v>2008</v>
      </c>
      <c r="BY118" s="52">
        <v>3661.0365999999999</v>
      </c>
      <c r="BZ118" s="52">
        <v>4514.4098999999997</v>
      </c>
      <c r="CA118" s="52">
        <v>5146.2969999999996</v>
      </c>
      <c r="CB118" s="52">
        <v>5361.2689</v>
      </c>
      <c r="CC118" s="375">
        <f t="shared" si="131"/>
        <v>3783.3425824999999</v>
      </c>
      <c r="CD118" s="375">
        <v>28.27</v>
      </c>
      <c r="CE118" s="375">
        <v>29.49</v>
      </c>
      <c r="CF118" s="375">
        <v>38.14</v>
      </c>
      <c r="CG118" s="375">
        <f t="shared" si="130"/>
        <v>30.118333333333329</v>
      </c>
      <c r="CI118" s="20" t="s">
        <v>91</v>
      </c>
      <c r="CJ118" s="20">
        <v>2015</v>
      </c>
      <c r="CK118" s="59">
        <f t="shared" si="114"/>
        <v>7005.4340723316363</v>
      </c>
      <c r="CL118" s="59">
        <f t="shared" si="115"/>
        <v>8638.3733311847409</v>
      </c>
      <c r="CM118" s="59">
        <f t="shared" si="116"/>
        <v>9847.4962938469616</v>
      </c>
      <c r="CN118" s="59">
        <f t="shared" si="117"/>
        <v>10258.84740485576</v>
      </c>
      <c r="CO118" s="59">
        <f t="shared" si="118"/>
        <v>7239.4679241252779</v>
      </c>
      <c r="CP118" s="59">
        <f t="shared" si="119"/>
        <v>54.094958030415583</v>
      </c>
      <c r="CQ118" s="59">
        <f t="shared" si="120"/>
        <v>56.429441539333411</v>
      </c>
      <c r="CR118" s="59">
        <f t="shared" si="121"/>
        <v>72.981312319775398</v>
      </c>
      <c r="CS118" s="59">
        <f t="shared" si="122"/>
        <v>57.631764330128519</v>
      </c>
      <c r="CW118" s="20" t="s">
        <v>91</v>
      </c>
      <c r="CX118">
        <v>2014</v>
      </c>
      <c r="CY118">
        <v>2.9098709999999999</v>
      </c>
      <c r="CZ118">
        <v>1.2094910144805908</v>
      </c>
      <c r="DB118">
        <v>31770.75</v>
      </c>
      <c r="DC118">
        <v>0.44303816556930542</v>
      </c>
      <c r="DE118">
        <f t="shared" si="123"/>
        <v>11637.667936545789</v>
      </c>
      <c r="DH118" t="e">
        <f t="shared" si="124"/>
        <v>#DIV/0!</v>
      </c>
      <c r="DI118" t="e">
        <f t="shared" si="95"/>
        <v>#DIV/0!</v>
      </c>
      <c r="DJ118" t="e">
        <f t="shared" si="96"/>
        <v>#DIV/0!</v>
      </c>
      <c r="DL118" s="20" t="s">
        <v>91</v>
      </c>
      <c r="DM118" s="99" t="s">
        <v>756</v>
      </c>
      <c r="DN118" s="100" t="s">
        <v>847</v>
      </c>
      <c r="DO118" s="101"/>
      <c r="DP118" s="101"/>
      <c r="DQ118" s="101"/>
      <c r="DR118" s="101"/>
      <c r="DS118" s="101"/>
      <c r="DT118" s="101"/>
      <c r="DU118" s="101"/>
      <c r="DV118" s="101"/>
      <c r="DW118" s="101">
        <v>45</v>
      </c>
      <c r="DX118">
        <f t="shared" ca="1" si="125"/>
        <v>45</v>
      </c>
      <c r="DY118">
        <f t="shared" ca="1" si="126"/>
        <v>9</v>
      </c>
      <c r="DZ118" t="e">
        <f t="shared" ca="1" si="127"/>
        <v>#DIV/0!</v>
      </c>
      <c r="EB118" s="20" t="s">
        <v>91</v>
      </c>
      <c r="EC118" s="99" t="s">
        <v>756</v>
      </c>
      <c r="ED118" s="100" t="s">
        <v>754</v>
      </c>
      <c r="EE118" s="101"/>
      <c r="EF118" s="101"/>
      <c r="EG118" s="101"/>
      <c r="EH118" s="101"/>
      <c r="EI118" s="101"/>
      <c r="EJ118" s="101">
        <v>57.7</v>
      </c>
      <c r="EK118" s="101">
        <v>58.3</v>
      </c>
      <c r="EL118" s="101">
        <v>57</v>
      </c>
      <c r="EM118" s="101">
        <v>57.2</v>
      </c>
      <c r="EN118" s="101"/>
      <c r="EO118">
        <f ca="1">OFFSET(EE118,0,MATCH(MAX(EE118:EN118)+1,EE118:EN118,1)-1)</f>
        <v>57.2</v>
      </c>
      <c r="EQ118" s="20" t="s">
        <v>91</v>
      </c>
      <c r="ER118" s="20" t="e">
        <f t="shared" ca="1" si="128"/>
        <v>#DIV/0!</v>
      </c>
      <c r="ES118" t="e">
        <f t="shared" ca="1" si="129"/>
        <v>#DIV/0!</v>
      </c>
      <c r="EU118" s="20" t="s">
        <v>91</v>
      </c>
      <c r="EV118" s="109">
        <v>12220.781340083206</v>
      </c>
    </row>
    <row r="119" spans="1:152" x14ac:dyDescent="0.3">
      <c r="A119" s="20" t="s">
        <v>162</v>
      </c>
      <c r="B119" s="20" t="s">
        <v>257</v>
      </c>
      <c r="C119" s="81">
        <v>2015</v>
      </c>
      <c r="D119" s="82">
        <v>36.773000000000003</v>
      </c>
      <c r="E119" s="82">
        <v>39.744</v>
      </c>
      <c r="F119" s="82">
        <v>40.222000000000001</v>
      </c>
      <c r="G119" s="82">
        <v>42.613999999999997</v>
      </c>
      <c r="H119" s="82">
        <v>43.005000000000003</v>
      </c>
      <c r="I119" s="82">
        <v>41.597999999999999</v>
      </c>
      <c r="J119" s="82">
        <v>46.709000000000003</v>
      </c>
      <c r="K119" s="82">
        <v>43.453000000000003</v>
      </c>
      <c r="L119" s="82">
        <v>41.655999999999999</v>
      </c>
      <c r="M119" s="82">
        <v>39.573999999999998</v>
      </c>
      <c r="N119" s="82">
        <v>43.152999999999999</v>
      </c>
      <c r="O119" s="82">
        <v>40.473999999999997</v>
      </c>
      <c r="P119" s="82">
        <v>41.417999999999999</v>
      </c>
      <c r="Q119" s="82">
        <v>27.9</v>
      </c>
      <c r="R119" s="82">
        <v>19.917000000000002</v>
      </c>
      <c r="S119" s="82">
        <v>19.893000000000001</v>
      </c>
      <c r="T119" s="82">
        <v>11.512</v>
      </c>
      <c r="U119" s="82">
        <v>4.9320000000000004</v>
      </c>
      <c r="V119" s="82">
        <v>1.0980000000000001</v>
      </c>
      <c r="W119" s="82">
        <v>0.127</v>
      </c>
      <c r="X119" s="82">
        <v>8.9999999999999993E-3</v>
      </c>
      <c r="Y119" s="82">
        <f t="shared" si="102"/>
        <v>625.78099999999995</v>
      </c>
      <c r="Z119" s="52">
        <f t="shared" si="103"/>
        <v>3.677</v>
      </c>
      <c r="AA119" s="52">
        <f t="shared" si="104"/>
        <v>3.677</v>
      </c>
      <c r="AB119" s="52">
        <f t="shared" si="105"/>
        <v>7.3550000000000004</v>
      </c>
      <c r="AC119" s="52">
        <f t="shared" si="106"/>
        <v>22.064</v>
      </c>
      <c r="AD119" s="52">
        <f t="shared" si="107"/>
        <v>79.965999999999994</v>
      </c>
      <c r="AE119" s="52">
        <f t="shared" si="108"/>
        <v>298.60899999999998</v>
      </c>
      <c r="AF119" s="52">
        <f t="shared" si="109"/>
        <v>125.045</v>
      </c>
      <c r="AG119" s="52">
        <f t="shared" si="110"/>
        <v>85.388000000000005</v>
      </c>
      <c r="AH119" s="52">
        <f t="shared" si="111"/>
        <v>625.78099999999995</v>
      </c>
      <c r="AI119">
        <v>11.612</v>
      </c>
      <c r="AJ119" s="30">
        <f t="shared" si="112"/>
        <v>7266.5689719999991</v>
      </c>
      <c r="AK119">
        <f t="shared" si="113"/>
        <v>7.3546000000000005</v>
      </c>
      <c r="AM119" s="20" t="s">
        <v>162</v>
      </c>
      <c r="AN119" t="s">
        <v>256</v>
      </c>
      <c r="AO119" t="s">
        <v>257</v>
      </c>
      <c r="AP119" t="s">
        <v>689</v>
      </c>
      <c r="AQ119" s="55">
        <v>5778.2174653103139</v>
      </c>
      <c r="AR119" s="55">
        <v>0.90165896164127801</v>
      </c>
      <c r="AS119" t="s">
        <v>162</v>
      </c>
      <c r="AT119" t="s">
        <v>1266</v>
      </c>
      <c r="AU119" t="s">
        <v>1153</v>
      </c>
      <c r="AX119">
        <v>82.205479452054803</v>
      </c>
      <c r="AY119">
        <v>84.609589041095902</v>
      </c>
      <c r="AZ119">
        <v>88.287671232876704</v>
      </c>
      <c r="BA119">
        <v>96.020547945205195</v>
      </c>
      <c r="BB119">
        <v>99.349315068492899</v>
      </c>
      <c r="BC119">
        <v>100</v>
      </c>
      <c r="BD119">
        <v>103.45735150517299</v>
      </c>
      <c r="BE119">
        <v>107.619645488714</v>
      </c>
      <c r="BF119">
        <v>109.863538730493</v>
      </c>
      <c r="BG119">
        <v>109.03219296378499</v>
      </c>
      <c r="BH119">
        <v>110.345436263851</v>
      </c>
      <c r="BJ119" s="20" t="s">
        <v>162</v>
      </c>
      <c r="BK119" t="s">
        <v>689</v>
      </c>
      <c r="BL119">
        <v>2015</v>
      </c>
      <c r="BM119">
        <f>INDEX('Costs lists'!$C$5:$C$8,MATCH(Lists!BK119,'Costs lists'!$B$5:$B$8,0))</f>
        <v>3.2</v>
      </c>
      <c r="BN119">
        <f>INDEX('Costs lists'!$D$5:$D$8,MATCH(Lists!BK119,'Costs lists'!$B$5:$B$8,0))</f>
        <v>1.1200000000000001</v>
      </c>
      <c r="BO119">
        <f>INDEX('Costs lists'!$E$5:$E$8,MATCH(Lists!BK119,'Costs lists'!$B$5:$B$8,0))</f>
        <v>4.4400000000000004</v>
      </c>
      <c r="BW119" s="20" t="s">
        <v>162</v>
      </c>
      <c r="BX119" s="20">
        <v>2008</v>
      </c>
      <c r="BY119" s="52">
        <v>6.6636000000000006</v>
      </c>
      <c r="BZ119" s="52">
        <v>8.2260000000000009</v>
      </c>
      <c r="CA119" s="52">
        <v>9.3743999999999996</v>
      </c>
      <c r="CB119" s="52">
        <v>9.7704000000000004</v>
      </c>
      <c r="CC119" s="375">
        <f t="shared" si="131"/>
        <v>6.8871599999999997</v>
      </c>
      <c r="CD119" s="375">
        <v>146.27000000000001</v>
      </c>
      <c r="CE119" s="375">
        <v>152.6</v>
      </c>
      <c r="CF119" s="375">
        <v>197.32</v>
      </c>
      <c r="CG119" s="375">
        <f t="shared" si="130"/>
        <v>155.83333333333331</v>
      </c>
      <c r="CI119" s="20" t="s">
        <v>162</v>
      </c>
      <c r="CJ119" s="20">
        <v>2015</v>
      </c>
      <c r="CK119" s="59">
        <f t="shared" si="114"/>
        <v>7.6577135292687615</v>
      </c>
      <c r="CL119" s="59">
        <f t="shared" si="115"/>
        <v>9.45320119631503</v>
      </c>
      <c r="CM119" s="59">
        <f t="shared" si="116"/>
        <v>10.772926002277607</v>
      </c>
      <c r="CN119" s="59">
        <f t="shared" si="117"/>
        <v>11.228003521575051</v>
      </c>
      <c r="CO119" s="59">
        <f t="shared" si="118"/>
        <v>7.9146254742539526</v>
      </c>
      <c r="CP119" s="59">
        <f t="shared" si="119"/>
        <v>168.09138572635538</v>
      </c>
      <c r="CQ119" s="59">
        <f t="shared" si="120"/>
        <v>175.36573092118567</v>
      </c>
      <c r="CR119" s="59">
        <f t="shared" si="121"/>
        <v>226.75731340346238</v>
      </c>
      <c r="CS119" s="59">
        <f t="shared" si="122"/>
        <v>179.08143120501157</v>
      </c>
      <c r="CW119" s="20" t="s">
        <v>162</v>
      </c>
      <c r="CX119">
        <v>2014</v>
      </c>
      <c r="CY119">
        <v>0.62529199999999996</v>
      </c>
      <c r="CZ119">
        <v>0.20373700559139252</v>
      </c>
      <c r="DB119">
        <v>10342.435546875</v>
      </c>
      <c r="DE119">
        <f t="shared" si="123"/>
        <v>0</v>
      </c>
      <c r="DH119" t="e">
        <f t="shared" si="124"/>
        <v>#DIV/0!</v>
      </c>
      <c r="DI119" t="e">
        <f t="shared" si="95"/>
        <v>#DIV/0!</v>
      </c>
      <c r="DJ119" t="e">
        <f t="shared" si="96"/>
        <v>#DIV/0!</v>
      </c>
      <c r="DL119" s="20" t="s">
        <v>162</v>
      </c>
      <c r="DM119" s="99" t="s">
        <v>756</v>
      </c>
      <c r="DN119" s="100" t="s">
        <v>754</v>
      </c>
      <c r="DO119" s="101"/>
      <c r="DP119" s="101"/>
      <c r="DQ119" s="101"/>
      <c r="DR119" s="101"/>
      <c r="DS119" s="101"/>
      <c r="DT119" s="101"/>
      <c r="DU119" s="101"/>
      <c r="DV119" s="101"/>
      <c r="DW119" s="101">
        <v>41.5</v>
      </c>
      <c r="DX119">
        <f t="shared" ca="1" si="125"/>
        <v>41.5</v>
      </c>
      <c r="DY119">
        <f t="shared" ca="1" si="126"/>
        <v>8.3000000000000007</v>
      </c>
      <c r="DZ119" t="e">
        <f t="shared" ca="1" si="127"/>
        <v>#DIV/0!</v>
      </c>
      <c r="EB119" s="20" t="s">
        <v>162</v>
      </c>
      <c r="EC119" s="99" t="s">
        <v>756</v>
      </c>
      <c r="ED119" s="100" t="s">
        <v>754</v>
      </c>
      <c r="EE119" s="101"/>
      <c r="EF119" s="101"/>
      <c r="EG119" s="101"/>
      <c r="EH119" s="101">
        <v>41.3</v>
      </c>
      <c r="EI119" s="101">
        <v>40.299999999999997</v>
      </c>
      <c r="EJ119" s="101">
        <v>39.1</v>
      </c>
      <c r="EK119" s="101">
        <v>40.1</v>
      </c>
      <c r="EL119" s="101">
        <v>40.299999999999997</v>
      </c>
      <c r="EM119" s="101">
        <v>43.2</v>
      </c>
      <c r="EN119" s="101">
        <v>44.3</v>
      </c>
      <c r="EO119">
        <f ca="1">OFFSET(EE119,0,MATCH(MAX(EE119:EN119)+1,EE119:EN119,1)-1)</f>
        <v>44.3</v>
      </c>
      <c r="EQ119" s="20" t="s">
        <v>162</v>
      </c>
      <c r="ER119" s="20" t="e">
        <f t="shared" ca="1" si="128"/>
        <v>#DIV/0!</v>
      </c>
      <c r="ES119" t="e">
        <f t="shared" ca="1" si="129"/>
        <v>#DIV/0!</v>
      </c>
      <c r="EU119" s="20" t="s">
        <v>162</v>
      </c>
      <c r="EV119" s="109">
        <v>15464.168979207787</v>
      </c>
    </row>
    <row r="120" spans="1:152" x14ac:dyDescent="0.3">
      <c r="A120" s="20" t="s">
        <v>64</v>
      </c>
      <c r="B120" s="20" t="s">
        <v>631</v>
      </c>
      <c r="C120" s="81">
        <v>2015</v>
      </c>
      <c r="D120" s="82">
        <v>3420.7339999999999</v>
      </c>
      <c r="E120" s="82">
        <v>3085.7310000000002</v>
      </c>
      <c r="F120" s="82">
        <v>2851.8020000000001</v>
      </c>
      <c r="G120" s="82">
        <v>2975.3910000000001</v>
      </c>
      <c r="H120" s="82">
        <v>3105.1660000000002</v>
      </c>
      <c r="I120" s="82">
        <v>2955.5239999999999</v>
      </c>
      <c r="J120" s="82">
        <v>2813.3719999999998</v>
      </c>
      <c r="K120" s="82">
        <v>2383.165</v>
      </c>
      <c r="L120" s="82">
        <v>2089.288</v>
      </c>
      <c r="M120" s="82">
        <v>1936.8579999999999</v>
      </c>
      <c r="N120" s="82">
        <v>1853.165</v>
      </c>
      <c r="O120" s="82">
        <v>1590.799</v>
      </c>
      <c r="P120" s="82">
        <v>1196.029</v>
      </c>
      <c r="Q120" s="82">
        <v>721.44299999999998</v>
      </c>
      <c r="R120" s="82">
        <v>587.36900000000003</v>
      </c>
      <c r="S120" s="82">
        <v>430.12400000000002</v>
      </c>
      <c r="T120" s="82">
        <v>245.60599999999999</v>
      </c>
      <c r="U120" s="82">
        <v>107.696</v>
      </c>
      <c r="V120" s="82">
        <v>25.097999999999999</v>
      </c>
      <c r="W120" s="82">
        <v>2.95</v>
      </c>
      <c r="X120" s="82">
        <v>0.20100000000000001</v>
      </c>
      <c r="Y120" s="82">
        <f t="shared" si="102"/>
        <v>34377.511000000006</v>
      </c>
      <c r="Z120" s="52">
        <f t="shared" si="103"/>
        <v>342.07299999999998</v>
      </c>
      <c r="AA120" s="52">
        <f t="shared" si="104"/>
        <v>342.07299999999998</v>
      </c>
      <c r="AB120" s="52">
        <f t="shared" si="105"/>
        <v>684.14700000000005</v>
      </c>
      <c r="AC120" s="52">
        <f t="shared" si="106"/>
        <v>2052.44</v>
      </c>
      <c r="AD120" s="52">
        <f t="shared" si="107"/>
        <v>5937.5330000000004</v>
      </c>
      <c r="AE120" s="52">
        <f t="shared" si="108"/>
        <v>18258.763999999999</v>
      </c>
      <c r="AF120" s="52">
        <f t="shared" si="109"/>
        <v>4639.9930000000004</v>
      </c>
      <c r="AG120" s="52">
        <f t="shared" si="110"/>
        <v>2120.4870000000001</v>
      </c>
      <c r="AH120" s="52">
        <f t="shared" si="111"/>
        <v>34377.51</v>
      </c>
      <c r="AI120">
        <v>20.75</v>
      </c>
      <c r="AJ120" s="30">
        <f t="shared" si="112"/>
        <v>713333.33250000002</v>
      </c>
      <c r="AK120">
        <f t="shared" si="113"/>
        <v>684.14679999999998</v>
      </c>
      <c r="AM120" s="20" t="s">
        <v>64</v>
      </c>
      <c r="AN120" t="s">
        <v>428</v>
      </c>
      <c r="AO120" t="s">
        <v>429</v>
      </c>
      <c r="AP120" t="s">
        <v>688</v>
      </c>
      <c r="AQ120" s="55">
        <v>28103.621365244901</v>
      </c>
      <c r="AR120" s="55">
        <v>9.7643482795030891</v>
      </c>
      <c r="AS120" t="s">
        <v>64</v>
      </c>
      <c r="AT120" t="s">
        <v>1267</v>
      </c>
      <c r="AU120" t="s">
        <v>1153</v>
      </c>
      <c r="AV120">
        <v>87.523400605423404</v>
      </c>
      <c r="AW120">
        <v>88.830513609959496</v>
      </c>
      <c r="AX120">
        <v>89.703399243497103</v>
      </c>
      <c r="AY120">
        <v>92.649942118129204</v>
      </c>
      <c r="AZ120">
        <v>94.541932806050696</v>
      </c>
      <c r="BA120">
        <v>98.046902022275006</v>
      </c>
      <c r="BB120">
        <v>99.022298060737398</v>
      </c>
      <c r="BC120">
        <v>100</v>
      </c>
      <c r="BD120">
        <v>100.922360320059</v>
      </c>
      <c r="BE120">
        <v>102.21289613454201</v>
      </c>
      <c r="BF120">
        <v>104.142166470665</v>
      </c>
      <c r="BG120">
        <v>104.595660294694</v>
      </c>
      <c r="BH120">
        <v>106.22516352679899</v>
      </c>
      <c r="BJ120" s="20" t="s">
        <v>64</v>
      </c>
      <c r="BK120" t="s">
        <v>688</v>
      </c>
      <c r="BL120">
        <v>2015</v>
      </c>
      <c r="BM120">
        <f>INDEX('Costs lists'!$C$5:$C$8,MATCH(Lists!BK120,'Costs lists'!$B$5:$B$8,0))</f>
        <v>5.21</v>
      </c>
      <c r="BN120">
        <f>INDEX('Costs lists'!$D$5:$D$8,MATCH(Lists!BK120,'Costs lists'!$B$5:$B$8,0))</f>
        <v>5.16</v>
      </c>
      <c r="BO120">
        <f>INDEX('Costs lists'!$E$5:$E$8,MATCH(Lists!BK120,'Costs lists'!$B$5:$B$8,0))</f>
        <v>5.26</v>
      </c>
      <c r="BW120" s="20" t="s">
        <v>64</v>
      </c>
      <c r="BX120" s="20">
        <v>2008</v>
      </c>
      <c r="BY120" s="52">
        <v>34.002800000000001</v>
      </c>
      <c r="BZ120" s="52">
        <v>42.000500000000002</v>
      </c>
      <c r="CA120" s="52">
        <v>47.835300000000004</v>
      </c>
      <c r="CB120" s="52">
        <v>49.847300000000004</v>
      </c>
      <c r="CC120" s="375">
        <f t="shared" si="131"/>
        <v>35.144610000000007</v>
      </c>
      <c r="CD120" s="375">
        <v>36.520000000000003</v>
      </c>
      <c r="CE120" s="375">
        <v>38.1</v>
      </c>
      <c r="CF120" s="375">
        <v>49.27</v>
      </c>
      <c r="CG120" s="375">
        <f t="shared" si="130"/>
        <v>38.908333333333331</v>
      </c>
      <c r="CI120" s="20" t="s">
        <v>64</v>
      </c>
      <c r="CJ120" s="20">
        <v>2015</v>
      </c>
      <c r="CK120" s="59">
        <f t="shared" si="114"/>
        <v>36.839032298526384</v>
      </c>
      <c r="CL120" s="59">
        <f t="shared" si="115"/>
        <v>45.503834274067358</v>
      </c>
      <c r="CM120" s="59">
        <f t="shared" si="116"/>
        <v>51.82532502351863</v>
      </c>
      <c r="CN120" s="59">
        <f t="shared" si="117"/>
        <v>54.005149419881143</v>
      </c>
      <c r="CO120" s="59">
        <f t="shared" si="118"/>
        <v>38.076082643462115</v>
      </c>
      <c r="CP120" s="59">
        <f t="shared" si="119"/>
        <v>39.566196299780714</v>
      </c>
      <c r="CQ120" s="59">
        <f t="shared" si="120"/>
        <v>41.277986829727418</v>
      </c>
      <c r="CR120" s="59">
        <f t="shared" si="121"/>
        <v>53.379695829413905</v>
      </c>
      <c r="CS120" s="59">
        <f t="shared" si="122"/>
        <v>42.153744643044021</v>
      </c>
      <c r="CW120" s="20" t="s">
        <v>64</v>
      </c>
      <c r="CX120">
        <v>2014</v>
      </c>
      <c r="CY120">
        <v>33.921202999999998</v>
      </c>
      <c r="CZ120">
        <v>12.279502868652344</v>
      </c>
      <c r="DB120">
        <v>245973.34375</v>
      </c>
      <c r="DC120">
        <v>0.48951712250709534</v>
      </c>
      <c r="DE120">
        <f t="shared" si="123"/>
        <v>9805.6219973963198</v>
      </c>
      <c r="DH120" t="e">
        <f t="shared" si="124"/>
        <v>#DIV/0!</v>
      </c>
      <c r="DI120" t="e">
        <f t="shared" si="95"/>
        <v>#DIV/0!</v>
      </c>
      <c r="DJ120" t="e">
        <f t="shared" si="96"/>
        <v>#DIV/0!</v>
      </c>
      <c r="DL120" s="20" t="s">
        <v>64</v>
      </c>
      <c r="DM120" s="99"/>
      <c r="DN120" s="100"/>
      <c r="DO120" s="101"/>
      <c r="DP120" s="101"/>
      <c r="DQ120" s="101"/>
      <c r="DR120" s="101"/>
      <c r="DS120" s="101"/>
      <c r="DT120" s="101"/>
      <c r="DU120" s="101"/>
      <c r="DV120" s="101"/>
      <c r="DW120" s="101"/>
      <c r="DX120" t="e">
        <f t="shared" ca="1" si="125"/>
        <v>#N/A</v>
      </c>
      <c r="DY120" t="e">
        <f t="shared" ca="1" si="126"/>
        <v>#N/A</v>
      </c>
      <c r="DZ120" t="e">
        <f t="shared" ca="1" si="127"/>
        <v>#N/A</v>
      </c>
      <c r="EB120" s="20" t="s">
        <v>64</v>
      </c>
      <c r="EC120" s="99" t="s">
        <v>828</v>
      </c>
      <c r="ED120" s="100" t="s">
        <v>754</v>
      </c>
      <c r="EE120" s="101">
        <v>34.299999999999997</v>
      </c>
      <c r="EF120" s="101">
        <v>46</v>
      </c>
      <c r="EG120" s="101">
        <v>45.8</v>
      </c>
      <c r="EH120" s="101">
        <v>33.200000000000003</v>
      </c>
      <c r="EI120" s="101">
        <v>45.1</v>
      </c>
      <c r="EJ120" s="101">
        <v>44.8</v>
      </c>
      <c r="EK120" s="101">
        <v>44.1</v>
      </c>
      <c r="EL120" s="101">
        <v>43.8</v>
      </c>
      <c r="EM120" s="101">
        <v>43.4</v>
      </c>
      <c r="EN120" s="101"/>
      <c r="EO120">
        <f ca="1">OFFSET(EE120,0,MATCH(MAX(EE120:EN120)+1,EE120:EN120,1)-1)</f>
        <v>43.4</v>
      </c>
      <c r="EQ120" s="20" t="s">
        <v>64</v>
      </c>
      <c r="ER120" s="20" t="e">
        <f t="shared" ca="1" si="128"/>
        <v>#N/A</v>
      </c>
      <c r="ES120" t="e">
        <f t="shared" ca="1" si="129"/>
        <v>#N/A</v>
      </c>
      <c r="EU120" s="20" t="s">
        <v>64</v>
      </c>
      <c r="EV120" s="109">
        <v>7841.4843548766803</v>
      </c>
    </row>
    <row r="121" spans="1:152" x14ac:dyDescent="0.3">
      <c r="A121" s="20" t="s">
        <v>43</v>
      </c>
      <c r="B121" s="20" t="s">
        <v>632</v>
      </c>
      <c r="C121" s="81">
        <v>2015</v>
      </c>
      <c r="D121" s="82">
        <v>4816.0630000000001</v>
      </c>
      <c r="E121" s="82">
        <v>4203.5240000000003</v>
      </c>
      <c r="F121" s="82">
        <v>3655.3690000000001</v>
      </c>
      <c r="G121" s="82">
        <v>3075.37</v>
      </c>
      <c r="H121" s="82">
        <v>2519.98</v>
      </c>
      <c r="I121" s="82">
        <v>2047.191</v>
      </c>
      <c r="J121" s="82">
        <v>1704.7149999999999</v>
      </c>
      <c r="K121" s="82">
        <v>1337.93</v>
      </c>
      <c r="L121" s="82">
        <v>1019.207</v>
      </c>
      <c r="M121" s="82">
        <v>840.67200000000003</v>
      </c>
      <c r="N121" s="82">
        <v>720.13400000000001</v>
      </c>
      <c r="O121" s="82">
        <v>605.53499999999997</v>
      </c>
      <c r="P121" s="82">
        <v>495.28100000000001</v>
      </c>
      <c r="Q121" s="82">
        <v>381.51600000000002</v>
      </c>
      <c r="R121" s="82">
        <v>271.30900000000003</v>
      </c>
      <c r="S121" s="82">
        <v>165.73400000000001</v>
      </c>
      <c r="T121" s="82">
        <v>82.21</v>
      </c>
      <c r="U121" s="82">
        <v>28.841000000000001</v>
      </c>
      <c r="V121" s="82">
        <v>6.415</v>
      </c>
      <c r="W121" s="82">
        <v>0.81200000000000006</v>
      </c>
      <c r="X121" s="82">
        <v>5.5E-2</v>
      </c>
      <c r="Y121" s="82">
        <f t="shared" si="102"/>
        <v>27977.863000000001</v>
      </c>
      <c r="Z121" s="52">
        <f t="shared" si="103"/>
        <v>481.60599999999999</v>
      </c>
      <c r="AA121" s="52">
        <f t="shared" si="104"/>
        <v>481.60599999999999</v>
      </c>
      <c r="AB121" s="52">
        <f t="shared" si="105"/>
        <v>963.21299999999997</v>
      </c>
      <c r="AC121" s="52">
        <f t="shared" si="106"/>
        <v>2889.6379999999999</v>
      </c>
      <c r="AD121" s="52">
        <f t="shared" si="107"/>
        <v>7858.893</v>
      </c>
      <c r="AE121" s="52">
        <f t="shared" si="108"/>
        <v>12545.065000000001</v>
      </c>
      <c r="AF121" s="52">
        <f t="shared" si="109"/>
        <v>1820.95</v>
      </c>
      <c r="AG121" s="52">
        <f t="shared" si="110"/>
        <v>936.89200000000005</v>
      </c>
      <c r="AH121" s="52">
        <f t="shared" si="111"/>
        <v>27977.863000000001</v>
      </c>
      <c r="AI121">
        <v>39.256</v>
      </c>
      <c r="AJ121" s="30">
        <f t="shared" si="112"/>
        <v>1098298.9899280001</v>
      </c>
      <c r="AK121">
        <f t="shared" si="113"/>
        <v>963.21260000000007</v>
      </c>
      <c r="AM121" s="20" t="s">
        <v>43</v>
      </c>
      <c r="AN121" t="s">
        <v>430</v>
      </c>
      <c r="AO121" t="s">
        <v>431</v>
      </c>
      <c r="AP121" t="s">
        <v>691</v>
      </c>
      <c r="AQ121" s="55">
        <v>21160.440498026528</v>
      </c>
      <c r="AR121" s="55">
        <v>39.982474146540603</v>
      </c>
      <c r="AS121" t="s">
        <v>43</v>
      </c>
      <c r="AT121" t="s">
        <v>1268</v>
      </c>
      <c r="AU121" t="s">
        <v>1153</v>
      </c>
      <c r="AV121">
        <v>52.670818207394902</v>
      </c>
      <c r="AW121">
        <v>59.340785234049299</v>
      </c>
      <c r="AX121">
        <v>63.594195759702799</v>
      </c>
      <c r="AY121">
        <v>72.0132175769144</v>
      </c>
      <c r="AZ121">
        <v>77.891344950023594</v>
      </c>
      <c r="BA121">
        <v>85.935800340701505</v>
      </c>
      <c r="BB121">
        <v>88.730168503581098</v>
      </c>
      <c r="BC121">
        <v>100</v>
      </c>
      <c r="BD121">
        <v>110.351132571185</v>
      </c>
      <c r="BE121">
        <v>113.309486615068</v>
      </c>
      <c r="BF121">
        <v>118.138003266349</v>
      </c>
      <c r="BG121">
        <v>121.162039338209</v>
      </c>
      <c r="BH121">
        <v>125.464212170702</v>
      </c>
      <c r="BJ121" s="20" t="s">
        <v>43</v>
      </c>
      <c r="BK121" t="s">
        <v>691</v>
      </c>
      <c r="BL121">
        <v>2015</v>
      </c>
      <c r="BM121">
        <f>INDEX('Costs lists'!$C$5:$C$8,MATCH(Lists!BK121,'Costs lists'!$B$5:$B$8,0))</f>
        <v>4.2</v>
      </c>
      <c r="BN121">
        <f>INDEX('Costs lists'!$D$5:$D$8,MATCH(Lists!BK121,'Costs lists'!$B$5:$B$8,0))</f>
        <v>4.2</v>
      </c>
      <c r="BO121">
        <f>INDEX('Costs lists'!$E$5:$E$8,MATCH(Lists!BK121,'Costs lists'!$B$5:$B$8,0))</f>
        <v>4.2</v>
      </c>
      <c r="BW121" s="20" t="s">
        <v>43</v>
      </c>
      <c r="BX121" s="20">
        <v>2008</v>
      </c>
      <c r="BY121" s="52">
        <v>20.831399999999999</v>
      </c>
      <c r="BZ121" s="52">
        <v>25.8156</v>
      </c>
      <c r="CA121" s="52">
        <v>29.393999999999995</v>
      </c>
      <c r="CB121" s="52">
        <v>30.5442</v>
      </c>
      <c r="CC121" s="375">
        <f t="shared" si="131"/>
        <v>21.537495</v>
      </c>
      <c r="CD121" s="375">
        <v>5.15</v>
      </c>
      <c r="CE121" s="375">
        <v>5.37</v>
      </c>
      <c r="CF121" s="375">
        <v>6.95</v>
      </c>
      <c r="CG121" s="375">
        <f t="shared" si="130"/>
        <v>5.4866666666666664</v>
      </c>
      <c r="CI121" s="20" t="s">
        <v>43</v>
      </c>
      <c r="CJ121" s="20">
        <v>2015</v>
      </c>
      <c r="CK121" s="59">
        <f t="shared" si="114"/>
        <v>30.413345532954704</v>
      </c>
      <c r="CL121" s="59">
        <f t="shared" si="115"/>
        <v>37.690158267833439</v>
      </c>
      <c r="CM121" s="59">
        <f t="shared" si="116"/>
        <v>42.91453664159252</v>
      </c>
      <c r="CN121" s="59">
        <f t="shared" si="117"/>
        <v>44.593801118872236</v>
      </c>
      <c r="CO121" s="59">
        <f t="shared" si="118"/>
        <v>31.444227337062525</v>
      </c>
      <c r="CP121" s="59">
        <f t="shared" si="119"/>
        <v>7.5188767675104291</v>
      </c>
      <c r="CQ121" s="59">
        <f t="shared" si="120"/>
        <v>7.8400715032099031</v>
      </c>
      <c r="CR121" s="59">
        <f t="shared" si="121"/>
        <v>10.146833695960675</v>
      </c>
      <c r="CS121" s="59">
        <f t="shared" si="122"/>
        <v>8.0104020448687141</v>
      </c>
      <c r="CW121" s="20" t="s">
        <v>43</v>
      </c>
      <c r="CX121">
        <v>2014</v>
      </c>
      <c r="CY121">
        <v>27.216275999999997</v>
      </c>
      <c r="CZ121">
        <v>11.480026245117188</v>
      </c>
      <c r="DB121">
        <v>32970.06640625</v>
      </c>
      <c r="DC121">
        <v>0.42669305205345154</v>
      </c>
      <c r="DE121">
        <f t="shared" si="123"/>
        <v>1225.4412978603934</v>
      </c>
      <c r="DH121" t="e">
        <f t="shared" si="124"/>
        <v>#DIV/0!</v>
      </c>
      <c r="DI121" t="e">
        <f t="shared" si="95"/>
        <v>#DIV/0!</v>
      </c>
      <c r="DJ121" t="e">
        <f t="shared" si="96"/>
        <v>#DIV/0!</v>
      </c>
      <c r="DL121" s="20" t="s">
        <v>43</v>
      </c>
      <c r="DM121" s="99"/>
      <c r="DN121" s="100"/>
      <c r="DO121" s="101"/>
      <c r="DP121" s="101"/>
      <c r="DQ121" s="101"/>
      <c r="DR121" s="101"/>
      <c r="DS121" s="101"/>
      <c r="DT121" s="101"/>
      <c r="DU121" s="101"/>
      <c r="DV121" s="101"/>
      <c r="DW121" s="101"/>
      <c r="DX121" t="e">
        <f t="shared" ca="1" si="125"/>
        <v>#N/A</v>
      </c>
      <c r="DY121" t="e">
        <f t="shared" ca="1" si="126"/>
        <v>#N/A</v>
      </c>
      <c r="DZ121" t="e">
        <f t="shared" ca="1" si="127"/>
        <v>#N/A</v>
      </c>
      <c r="EB121" s="20" t="s">
        <v>43</v>
      </c>
      <c r="EC121" s="99" t="s">
        <v>829</v>
      </c>
      <c r="ED121" s="100" t="s">
        <v>754</v>
      </c>
      <c r="EE121" s="101"/>
      <c r="EF121" s="101"/>
      <c r="EG121" s="101"/>
      <c r="EH121" s="101"/>
      <c r="EI121" s="101"/>
      <c r="EJ121" s="101"/>
      <c r="EK121" s="101">
        <v>61.8</v>
      </c>
      <c r="EL121" s="101"/>
      <c r="EM121" s="101"/>
      <c r="EN121" s="101"/>
      <c r="EO121">
        <f ca="1">OFFSET(EE121,0,MATCH(MAX(EE121:EN121)+1,EE121:EN121,1)-1)</f>
        <v>61.8</v>
      </c>
      <c r="EQ121" s="20" t="s">
        <v>43</v>
      </c>
      <c r="ER121" s="20" t="e">
        <f t="shared" ca="1" si="128"/>
        <v>#N/A</v>
      </c>
      <c r="ES121" t="e">
        <f t="shared" ca="1" si="129"/>
        <v>#N/A</v>
      </c>
      <c r="EU121" s="20" t="s">
        <v>43</v>
      </c>
      <c r="EV121" s="109">
        <v>1192.1753289215208</v>
      </c>
    </row>
    <row r="122" spans="1:152" x14ac:dyDescent="0.3">
      <c r="A122" s="20" t="s">
        <v>112</v>
      </c>
      <c r="B122" s="20" t="s">
        <v>635</v>
      </c>
      <c r="C122" s="81">
        <v>2015</v>
      </c>
      <c r="D122" s="82">
        <v>4564.9129999999996</v>
      </c>
      <c r="E122" s="82">
        <v>4988.2730000000001</v>
      </c>
      <c r="F122" s="82">
        <v>5295.8040000000001</v>
      </c>
      <c r="G122" s="82">
        <v>4982.5630000000001</v>
      </c>
      <c r="H122" s="82">
        <v>4621.8379999999997</v>
      </c>
      <c r="I122" s="82">
        <v>4322.0739999999996</v>
      </c>
      <c r="J122" s="82">
        <v>4239.4949999999999</v>
      </c>
      <c r="K122" s="82">
        <v>4020.8919999999998</v>
      </c>
      <c r="L122" s="82">
        <v>3660.7570000000001</v>
      </c>
      <c r="M122" s="82">
        <v>3273.8910000000001</v>
      </c>
      <c r="N122" s="82">
        <v>2782.78</v>
      </c>
      <c r="O122" s="82">
        <v>2357.5880000000002</v>
      </c>
      <c r="P122" s="82">
        <v>1897.575</v>
      </c>
      <c r="Q122" s="82">
        <v>1151.8130000000001</v>
      </c>
      <c r="R122" s="82">
        <v>795.851</v>
      </c>
      <c r="S122" s="82">
        <v>523.68499999999995</v>
      </c>
      <c r="T122" s="82">
        <v>283.154</v>
      </c>
      <c r="U122" s="82">
        <v>107.72499999999999</v>
      </c>
      <c r="V122" s="82">
        <v>23.238</v>
      </c>
      <c r="W122" s="82">
        <v>3.036</v>
      </c>
      <c r="X122" s="82">
        <v>0.20899999999999999</v>
      </c>
      <c r="Y122" s="82">
        <f t="shared" si="102"/>
        <v>53897.154000000002</v>
      </c>
      <c r="Z122" s="52">
        <f t="shared" si="103"/>
        <v>456.49099999999999</v>
      </c>
      <c r="AA122" s="52">
        <f t="shared" si="104"/>
        <v>456.49099999999999</v>
      </c>
      <c r="AB122" s="52">
        <f t="shared" si="105"/>
        <v>912.98299999999995</v>
      </c>
      <c r="AC122" s="52">
        <f t="shared" si="106"/>
        <v>2738.9479999999999</v>
      </c>
      <c r="AD122" s="52">
        <f t="shared" si="107"/>
        <v>10284.076999999999</v>
      </c>
      <c r="AE122" s="52">
        <f t="shared" si="108"/>
        <v>29121.51</v>
      </c>
      <c r="AF122" s="52">
        <f t="shared" si="109"/>
        <v>7037.9430000000002</v>
      </c>
      <c r="AG122" s="52">
        <f t="shared" si="110"/>
        <v>2888.7109999999998</v>
      </c>
      <c r="AH122" s="52">
        <f t="shared" si="111"/>
        <v>53897.154000000002</v>
      </c>
      <c r="AI122">
        <v>17.768999999999998</v>
      </c>
      <c r="AJ122" s="30">
        <f t="shared" si="112"/>
        <v>957698.52942599996</v>
      </c>
      <c r="AK122">
        <f t="shared" si="113"/>
        <v>912.98259999999993</v>
      </c>
      <c r="AM122" s="20" t="s">
        <v>112</v>
      </c>
      <c r="AN122" t="s">
        <v>432</v>
      </c>
      <c r="AO122" t="s">
        <v>433</v>
      </c>
      <c r="AP122" t="s">
        <v>688</v>
      </c>
      <c r="AQ122" s="55">
        <v>1350358.2118640253</v>
      </c>
      <c r="AR122" s="55">
        <v>1162.6153286255401</v>
      </c>
      <c r="AS122" t="s">
        <v>112</v>
      </c>
      <c r="AT122" t="s">
        <v>1269</v>
      </c>
      <c r="AU122" t="s">
        <v>1153</v>
      </c>
      <c r="AV122">
        <v>38.950426412060402</v>
      </c>
      <c r="AW122">
        <v>40.716521998729803</v>
      </c>
      <c r="AX122">
        <v>44.531097465480798</v>
      </c>
      <c r="AY122">
        <v>53.435752730712501</v>
      </c>
      <c r="AZ122">
        <v>72.151409816911794</v>
      </c>
      <c r="BA122">
        <v>91.487653726359099</v>
      </c>
      <c r="BB122">
        <v>92.834665896028</v>
      </c>
      <c r="BC122">
        <v>100</v>
      </c>
      <c r="BD122">
        <v>105.021460146208</v>
      </c>
      <c r="BE122">
        <v>106.562737479798</v>
      </c>
      <c r="BF122">
        <v>112.449560628927</v>
      </c>
      <c r="BG122">
        <v>118.605572145694</v>
      </c>
      <c r="BH122">
        <v>131.41906688501399</v>
      </c>
      <c r="BJ122" s="20" t="s">
        <v>112</v>
      </c>
      <c r="BK122" t="s">
        <v>688</v>
      </c>
      <c r="BL122">
        <v>2015</v>
      </c>
      <c r="BM122">
        <f>INDEX('Costs lists'!$C$5:$C$8,MATCH(Lists!BK122,'Costs lists'!$B$5:$B$8,0))</f>
        <v>5.21</v>
      </c>
      <c r="BN122">
        <f>INDEX('Costs lists'!$D$5:$D$8,MATCH(Lists!BK122,'Costs lists'!$B$5:$B$8,0))</f>
        <v>5.16</v>
      </c>
      <c r="BO122">
        <f>INDEX('Costs lists'!$E$5:$E$8,MATCH(Lists!BK122,'Costs lists'!$B$5:$B$8,0))</f>
        <v>5.26</v>
      </c>
      <c r="BW122" s="20" t="s">
        <v>112</v>
      </c>
      <c r="BX122" s="20">
        <v>2008</v>
      </c>
      <c r="BY122" s="52">
        <v>1096.2189000000001</v>
      </c>
      <c r="BZ122" s="52">
        <v>1353.8556000000001</v>
      </c>
      <c r="CA122" s="52">
        <v>1540.7684999999999</v>
      </c>
      <c r="CB122" s="52">
        <v>1606.4406000000001</v>
      </c>
      <c r="CC122" s="375">
        <f t="shared" si="131"/>
        <v>1132.9700175</v>
      </c>
      <c r="CD122" s="375">
        <v>7.62</v>
      </c>
      <c r="CE122" s="375">
        <v>7.95</v>
      </c>
      <c r="CF122" s="375">
        <v>10.28</v>
      </c>
      <c r="CG122" s="375">
        <f t="shared" si="130"/>
        <v>8.1183333333333341</v>
      </c>
      <c r="CI122" s="20" t="s">
        <v>112</v>
      </c>
      <c r="CJ122" s="20">
        <v>2015</v>
      </c>
      <c r="CK122" s="59">
        <f t="shared" si="114"/>
        <v>1574.6831301479669</v>
      </c>
      <c r="CL122" s="59">
        <f t="shared" si="115"/>
        <v>1944.7699487541713</v>
      </c>
      <c r="CM122" s="59">
        <f t="shared" si="116"/>
        <v>2213.2643073508289</v>
      </c>
      <c r="CN122" s="59">
        <f t="shared" si="117"/>
        <v>2307.6001630739793</v>
      </c>
      <c r="CO122" s="59">
        <f t="shared" si="118"/>
        <v>1627.4749263314991</v>
      </c>
      <c r="CP122" s="59">
        <f t="shared" si="119"/>
        <v>10.945884486873478</v>
      </c>
      <c r="CQ122" s="59">
        <f t="shared" si="120"/>
        <v>11.419918854415242</v>
      </c>
      <c r="CR122" s="59">
        <f t="shared" si="121"/>
        <v>14.766888782816187</v>
      </c>
      <c r="CS122" s="59">
        <f t="shared" si="122"/>
        <v>11.661724264120892</v>
      </c>
      <c r="CW122" s="20" t="s">
        <v>112</v>
      </c>
      <c r="CX122">
        <v>2014</v>
      </c>
      <c r="CY122">
        <v>53.437158999999994</v>
      </c>
      <c r="CZ122">
        <v>30.466659545898438</v>
      </c>
      <c r="DB122">
        <v>297531.03125</v>
      </c>
      <c r="DE122">
        <f t="shared" si="123"/>
        <v>0</v>
      </c>
      <c r="DH122" t="e">
        <f t="shared" si="124"/>
        <v>#DIV/0!</v>
      </c>
      <c r="DI122" t="e">
        <f t="shared" si="95"/>
        <v>#DIV/0!</v>
      </c>
      <c r="DJ122" t="e">
        <f t="shared" si="96"/>
        <v>#DIV/0!</v>
      </c>
      <c r="DL122" s="20" t="s">
        <v>112</v>
      </c>
      <c r="DM122" s="99"/>
      <c r="DN122" s="100"/>
      <c r="DO122" s="101"/>
      <c r="DP122" s="101"/>
      <c r="DQ122" s="101"/>
      <c r="DR122" s="101"/>
      <c r="DS122" s="101"/>
      <c r="DT122" s="101"/>
      <c r="DU122" s="101"/>
      <c r="DV122" s="101"/>
      <c r="DW122" s="101"/>
      <c r="DX122" t="e">
        <f t="shared" ca="1" si="125"/>
        <v>#N/A</v>
      </c>
      <c r="DY122" t="e">
        <f t="shared" ca="1" si="126"/>
        <v>#N/A</v>
      </c>
      <c r="DZ122" t="e">
        <f t="shared" ca="1" si="127"/>
        <v>#N/A</v>
      </c>
      <c r="EB122" s="20" t="s">
        <v>112</v>
      </c>
      <c r="EC122" s="99"/>
      <c r="ED122" s="100"/>
      <c r="EE122" s="101"/>
      <c r="EF122" s="101"/>
      <c r="EG122" s="101"/>
      <c r="EH122" s="101"/>
      <c r="EI122" s="101"/>
      <c r="EJ122" s="101"/>
      <c r="EK122" s="101"/>
      <c r="EL122" s="101"/>
      <c r="EM122" s="101"/>
      <c r="EN122" s="101"/>
      <c r="EQ122" s="20" t="s">
        <v>112</v>
      </c>
      <c r="ER122" s="20" t="e">
        <f t="shared" ca="1" si="128"/>
        <v>#N/A</v>
      </c>
      <c r="ES122" t="e">
        <f t="shared" ca="1" si="129"/>
        <v>#N/A</v>
      </c>
      <c r="EU122" s="20" t="s">
        <v>112</v>
      </c>
      <c r="EV122" s="109">
        <v>5249.7447420576445</v>
      </c>
    </row>
    <row r="123" spans="1:152" x14ac:dyDescent="0.3">
      <c r="A123" s="20" t="s">
        <v>69</v>
      </c>
      <c r="B123" s="20" t="s">
        <v>632</v>
      </c>
      <c r="C123" s="81">
        <v>2015</v>
      </c>
      <c r="D123" s="82">
        <v>338.24099999999999</v>
      </c>
      <c r="E123" s="82">
        <v>292.26900000000001</v>
      </c>
      <c r="F123" s="82">
        <v>271.63799999999998</v>
      </c>
      <c r="G123" s="82">
        <v>266.14800000000002</v>
      </c>
      <c r="H123" s="82">
        <v>251.797</v>
      </c>
      <c r="I123" s="82">
        <v>212.93</v>
      </c>
      <c r="J123" s="82">
        <v>173.62</v>
      </c>
      <c r="K123" s="82">
        <v>148.988</v>
      </c>
      <c r="L123" s="82">
        <v>124.586</v>
      </c>
      <c r="M123" s="82">
        <v>100.69</v>
      </c>
      <c r="N123" s="82">
        <v>81.343000000000004</v>
      </c>
      <c r="O123" s="82">
        <v>62.515999999999998</v>
      </c>
      <c r="P123" s="82">
        <v>47.387</v>
      </c>
      <c r="Q123" s="82">
        <v>34.857999999999997</v>
      </c>
      <c r="R123" s="82">
        <v>24.64</v>
      </c>
      <c r="S123" s="82">
        <v>15.153</v>
      </c>
      <c r="T123" s="82">
        <v>8.0359999999999996</v>
      </c>
      <c r="U123" s="82">
        <v>3.1739999999999999</v>
      </c>
      <c r="V123" s="82">
        <v>0.71699999999999997</v>
      </c>
      <c r="W123" s="82">
        <v>9.2999999999999999E-2</v>
      </c>
      <c r="X123" s="82">
        <v>6.0000000000000001E-3</v>
      </c>
      <c r="Y123" s="82">
        <f t="shared" si="102"/>
        <v>2458.83</v>
      </c>
      <c r="Z123" s="52">
        <f t="shared" si="103"/>
        <v>33.823999999999998</v>
      </c>
      <c r="AA123" s="52">
        <f t="shared" si="104"/>
        <v>33.823999999999998</v>
      </c>
      <c r="AB123" s="52">
        <f t="shared" si="105"/>
        <v>67.647999999999996</v>
      </c>
      <c r="AC123" s="52">
        <f t="shared" si="106"/>
        <v>202.94499999999999</v>
      </c>
      <c r="AD123" s="52">
        <f t="shared" si="107"/>
        <v>563.90700000000004</v>
      </c>
      <c r="AE123" s="52">
        <f t="shared" si="108"/>
        <v>1278.759</v>
      </c>
      <c r="AF123" s="52">
        <f t="shared" si="109"/>
        <v>191.24600000000001</v>
      </c>
      <c r="AG123" s="52">
        <f t="shared" si="110"/>
        <v>86.677000000000007</v>
      </c>
      <c r="AH123" s="52">
        <f t="shared" si="111"/>
        <v>2458.8300000000004</v>
      </c>
      <c r="AI123">
        <v>29.733000000000001</v>
      </c>
      <c r="AJ123" s="30">
        <f t="shared" si="112"/>
        <v>73108.392390000008</v>
      </c>
      <c r="AK123">
        <f t="shared" si="113"/>
        <v>67.648200000000003</v>
      </c>
      <c r="AM123" s="20" t="s">
        <v>69</v>
      </c>
      <c r="AN123" t="s">
        <v>434</v>
      </c>
      <c r="AO123" t="s">
        <v>435</v>
      </c>
      <c r="AP123" t="s">
        <v>689</v>
      </c>
      <c r="AQ123" s="55">
        <v>59629.577156615138</v>
      </c>
      <c r="AR123" s="55">
        <v>12.7589308811644</v>
      </c>
      <c r="AS123" t="s">
        <v>69</v>
      </c>
      <c r="AT123" t="s">
        <v>1270</v>
      </c>
      <c r="AU123" t="s">
        <v>1153</v>
      </c>
      <c r="AV123">
        <v>67.038816089738106</v>
      </c>
      <c r="AW123">
        <v>69.811965296648196</v>
      </c>
      <c r="AX123">
        <v>71.405036695294498</v>
      </c>
      <c r="AY123">
        <v>74.947559735604301</v>
      </c>
      <c r="AZ123">
        <v>79.855037067777701</v>
      </c>
      <c r="BA123">
        <v>87.117567663842195</v>
      </c>
      <c r="BB123">
        <v>95.351681906218204</v>
      </c>
      <c r="BC123">
        <v>100</v>
      </c>
      <c r="BD123">
        <v>105.005595180732</v>
      </c>
      <c r="BE123">
        <v>112.064068950641</v>
      </c>
      <c r="BF123">
        <v>118.34069343054</v>
      </c>
      <c r="BG123">
        <v>124.672121316087</v>
      </c>
      <c r="BH123">
        <v>128.91817114590299</v>
      </c>
      <c r="BJ123" s="20" t="s">
        <v>69</v>
      </c>
      <c r="BK123" t="s">
        <v>689</v>
      </c>
      <c r="BL123">
        <v>2015</v>
      </c>
      <c r="BM123">
        <f>INDEX('Costs lists'!$C$5:$C$8,MATCH(Lists!BK123,'Costs lists'!$B$5:$B$8,0))</f>
        <v>3.2</v>
      </c>
      <c r="BN123">
        <f>INDEX('Costs lists'!$D$5:$D$8,MATCH(Lists!BK123,'Costs lists'!$B$5:$B$8,0))</f>
        <v>1.1200000000000001</v>
      </c>
      <c r="BO123">
        <f>INDEX('Costs lists'!$E$5:$E$8,MATCH(Lists!BK123,'Costs lists'!$B$5:$B$8,0))</f>
        <v>4.4400000000000004</v>
      </c>
      <c r="BW123" s="20" t="s">
        <v>69</v>
      </c>
      <c r="BX123" s="20">
        <v>2008</v>
      </c>
      <c r="BY123" s="52">
        <v>50.623200000000004</v>
      </c>
      <c r="BZ123" s="52">
        <v>62.477999999999994</v>
      </c>
      <c r="CA123" s="52">
        <v>71.235599999999991</v>
      </c>
      <c r="CB123" s="52">
        <v>74.225999999999999</v>
      </c>
      <c r="CC123" s="375">
        <f t="shared" si="131"/>
        <v>52.32132</v>
      </c>
      <c r="CD123" s="375">
        <v>58.16</v>
      </c>
      <c r="CE123" s="375">
        <v>60.67</v>
      </c>
      <c r="CF123" s="375">
        <v>78.45</v>
      </c>
      <c r="CG123" s="375">
        <f t="shared" si="130"/>
        <v>61.959999999999994</v>
      </c>
      <c r="CI123" s="20" t="s">
        <v>69</v>
      </c>
      <c r="CJ123" s="20">
        <v>2015</v>
      </c>
      <c r="CK123" s="59">
        <f t="shared" si="114"/>
        <v>74.913137918816929</v>
      </c>
      <c r="CL123" s="59">
        <f t="shared" si="115"/>
        <v>92.456087937780381</v>
      </c>
      <c r="CM123" s="59">
        <f t="shared" si="116"/>
        <v>105.41574470854617</v>
      </c>
      <c r="CN123" s="59">
        <f t="shared" si="117"/>
        <v>109.84099336197841</v>
      </c>
      <c r="CO123" s="59">
        <f t="shared" si="118"/>
        <v>77.426046975587369</v>
      </c>
      <c r="CP123" s="59">
        <f t="shared" si="119"/>
        <v>86.066232505222743</v>
      </c>
      <c r="CQ123" s="59">
        <f t="shared" si="120"/>
        <v>89.78057644587112</v>
      </c>
      <c r="CR123" s="59">
        <f t="shared" si="121"/>
        <v>116.09174587404961</v>
      </c>
      <c r="CS123" s="59">
        <f t="shared" si="122"/>
        <v>91.689542056801955</v>
      </c>
      <c r="CW123" s="20" t="s">
        <v>69</v>
      </c>
      <c r="CX123">
        <v>2014</v>
      </c>
      <c r="CY123">
        <v>2.4028579999999997</v>
      </c>
      <c r="CZ123">
        <v>0.65296602249145508</v>
      </c>
      <c r="DB123">
        <v>26577.8515625</v>
      </c>
      <c r="DC123">
        <v>0.50405418872833252</v>
      </c>
      <c r="DE123">
        <f t="shared" si="123"/>
        <v>20516.653158094909</v>
      </c>
      <c r="DH123" t="e">
        <f t="shared" si="124"/>
        <v>#DIV/0!</v>
      </c>
      <c r="DI123" t="e">
        <f t="shared" si="95"/>
        <v>#DIV/0!</v>
      </c>
      <c r="DJ123" t="e">
        <f t="shared" si="96"/>
        <v>#DIV/0!</v>
      </c>
      <c r="DL123" s="20" t="s">
        <v>69</v>
      </c>
      <c r="DM123" s="99"/>
      <c r="DN123" s="100"/>
      <c r="DO123" s="101"/>
      <c r="DP123" s="101"/>
      <c r="DQ123" s="101"/>
      <c r="DR123" s="101"/>
      <c r="DS123" s="101"/>
      <c r="DT123" s="101"/>
      <c r="DU123" s="101"/>
      <c r="DV123" s="101"/>
      <c r="DW123" s="101"/>
      <c r="DX123" t="e">
        <f t="shared" ca="1" si="125"/>
        <v>#N/A</v>
      </c>
      <c r="DY123" t="e">
        <f t="shared" ca="1" si="126"/>
        <v>#N/A</v>
      </c>
      <c r="DZ123" t="e">
        <f t="shared" ca="1" si="127"/>
        <v>#N/A</v>
      </c>
      <c r="EB123" s="20" t="s">
        <v>69</v>
      </c>
      <c r="EC123" s="99" t="s">
        <v>756</v>
      </c>
      <c r="ED123" s="100" t="s">
        <v>830</v>
      </c>
      <c r="EE123" s="101"/>
      <c r="EF123" s="101"/>
      <c r="EG123" s="101"/>
      <c r="EH123" s="101"/>
      <c r="EI123" s="101"/>
      <c r="EJ123" s="101"/>
      <c r="EK123" s="101">
        <v>47.9</v>
      </c>
      <c r="EL123" s="101">
        <v>49.8</v>
      </c>
      <c r="EM123" s="101"/>
      <c r="EN123" s="101"/>
      <c r="EO123">
        <f t="shared" ref="EO123:EO129" ca="1" si="132">OFFSET(EE123,0,MATCH(MAX(EE123:EN123)+1,EE123:EN123,1)-1)</f>
        <v>49.8</v>
      </c>
      <c r="EQ123" s="20" t="s">
        <v>69</v>
      </c>
      <c r="ER123" s="20" t="e">
        <f t="shared" ca="1" si="128"/>
        <v>#N/A</v>
      </c>
      <c r="ES123" t="e">
        <f t="shared" ca="1" si="129"/>
        <v>#N/A</v>
      </c>
      <c r="EU123" s="20" t="s">
        <v>69</v>
      </c>
      <c r="EV123" s="109">
        <v>10411.357031937927</v>
      </c>
    </row>
    <row r="124" spans="1:152" x14ac:dyDescent="0.3">
      <c r="A124" s="20" t="s">
        <v>104</v>
      </c>
      <c r="B124" s="20" t="s">
        <v>635</v>
      </c>
      <c r="C124" s="81">
        <v>2015</v>
      </c>
      <c r="D124" s="82">
        <v>2807.13</v>
      </c>
      <c r="E124" s="82">
        <v>3139.1689999999999</v>
      </c>
      <c r="F124" s="82">
        <v>3367.4470000000001</v>
      </c>
      <c r="G124" s="82">
        <v>3255.9180000000001</v>
      </c>
      <c r="H124" s="82">
        <v>2708.7</v>
      </c>
      <c r="I124" s="82">
        <v>2273.4490000000001</v>
      </c>
      <c r="J124" s="82">
        <v>1939.567</v>
      </c>
      <c r="K124" s="82">
        <v>1719.259</v>
      </c>
      <c r="L124" s="82">
        <v>1520</v>
      </c>
      <c r="M124" s="82">
        <v>1303.171</v>
      </c>
      <c r="N124" s="82">
        <v>1117.241</v>
      </c>
      <c r="O124" s="82">
        <v>906.47500000000002</v>
      </c>
      <c r="P124" s="82">
        <v>874.48099999999999</v>
      </c>
      <c r="Q124" s="82">
        <v>652.077</v>
      </c>
      <c r="R124" s="82">
        <v>456.50700000000001</v>
      </c>
      <c r="S124" s="82">
        <v>279.28899999999999</v>
      </c>
      <c r="T124" s="82">
        <v>132.202</v>
      </c>
      <c r="U124" s="82">
        <v>50.01</v>
      </c>
      <c r="V124" s="82">
        <v>10.388</v>
      </c>
      <c r="W124" s="82">
        <v>1.1459999999999999</v>
      </c>
      <c r="X124" s="82">
        <v>7.3999999999999996E-2</v>
      </c>
      <c r="Y124" s="82">
        <f t="shared" si="102"/>
        <v>28513.699999999993</v>
      </c>
      <c r="Z124" s="52">
        <f t="shared" si="103"/>
        <v>280.71300000000002</v>
      </c>
      <c r="AA124" s="52">
        <f t="shared" si="104"/>
        <v>280.71300000000002</v>
      </c>
      <c r="AB124" s="52">
        <f t="shared" si="105"/>
        <v>561.42600000000004</v>
      </c>
      <c r="AC124" s="52">
        <f t="shared" si="106"/>
        <v>1684.278</v>
      </c>
      <c r="AD124" s="52">
        <f t="shared" si="107"/>
        <v>6506.616</v>
      </c>
      <c r="AE124" s="52">
        <f t="shared" si="108"/>
        <v>14720.064</v>
      </c>
      <c r="AF124" s="52">
        <f t="shared" si="109"/>
        <v>2898.1970000000001</v>
      </c>
      <c r="AG124" s="52">
        <f t="shared" si="110"/>
        <v>1581.693</v>
      </c>
      <c r="AH124" s="52">
        <f t="shared" si="111"/>
        <v>28513.699999999997</v>
      </c>
      <c r="AI124">
        <v>20.515999999999998</v>
      </c>
      <c r="AJ124" s="30">
        <f t="shared" si="112"/>
        <v>584987.06919999991</v>
      </c>
      <c r="AK124">
        <f t="shared" si="113"/>
        <v>561.42600000000004</v>
      </c>
      <c r="AM124" s="20" t="s">
        <v>104</v>
      </c>
      <c r="AN124" t="s">
        <v>436</v>
      </c>
      <c r="AO124" t="s">
        <v>437</v>
      </c>
      <c r="AP124" t="s">
        <v>691</v>
      </c>
      <c r="AQ124" s="55">
        <v>74366.712425956634</v>
      </c>
      <c r="AR124" s="55">
        <v>102.405134331356</v>
      </c>
      <c r="AS124" t="s">
        <v>104</v>
      </c>
      <c r="AT124" t="s">
        <v>1271</v>
      </c>
      <c r="AU124" t="s">
        <v>1153</v>
      </c>
      <c r="AV124">
        <v>60.329944582239598</v>
      </c>
      <c r="AW124">
        <v>62.0444077721965</v>
      </c>
      <c r="AX124">
        <v>66.2859698837661</v>
      </c>
      <c r="AY124">
        <v>70.873181592699893</v>
      </c>
      <c r="AZ124">
        <v>74.945491042072703</v>
      </c>
      <c r="BA124">
        <v>82.348903475883006</v>
      </c>
      <c r="BB124">
        <v>91.471222731100497</v>
      </c>
      <c r="BC124">
        <v>100</v>
      </c>
      <c r="BD124">
        <v>109.271714176944</v>
      </c>
      <c r="BE124">
        <v>119.602459536472</v>
      </c>
      <c r="BF124">
        <v>130.41772896646401</v>
      </c>
      <c r="BG124">
        <v>141.33105683928699</v>
      </c>
      <c r="BH124">
        <v>152.45226903011999</v>
      </c>
      <c r="BJ124" s="20" t="s">
        <v>104</v>
      </c>
      <c r="BK124" t="s">
        <v>691</v>
      </c>
      <c r="BL124">
        <v>2015</v>
      </c>
      <c r="BM124">
        <f>INDEX('Costs lists'!$C$5:$C$8,MATCH(Lists!BK124,'Costs lists'!$B$5:$B$8,0))</f>
        <v>4.2</v>
      </c>
      <c r="BN124">
        <f>INDEX('Costs lists'!$D$5:$D$8,MATCH(Lists!BK124,'Costs lists'!$B$5:$B$8,0))</f>
        <v>4.2</v>
      </c>
      <c r="BO124">
        <f>INDEX('Costs lists'!$E$5:$E$8,MATCH(Lists!BK124,'Costs lists'!$B$5:$B$8,0))</f>
        <v>4.2</v>
      </c>
      <c r="BW124" s="20" t="s">
        <v>104</v>
      </c>
      <c r="BX124" s="20">
        <v>2008</v>
      </c>
      <c r="BY124" s="52">
        <v>53.414400000000001</v>
      </c>
      <c r="BZ124" s="52">
        <v>65.997599999999991</v>
      </c>
      <c r="CA124" s="52">
        <v>75.242400000000004</v>
      </c>
      <c r="CB124" s="52">
        <v>78.323999999999998</v>
      </c>
      <c r="CC124" s="375">
        <f t="shared" si="131"/>
        <v>55.212000000000003</v>
      </c>
      <c r="CD124" s="375">
        <v>7.19</v>
      </c>
      <c r="CE124" s="375">
        <v>7.5</v>
      </c>
      <c r="CF124" s="375">
        <v>9.6999999999999993</v>
      </c>
      <c r="CG124" s="375">
        <f t="shared" si="130"/>
        <v>7.6599999999999993</v>
      </c>
      <c r="CI124" s="20" t="s">
        <v>104</v>
      </c>
      <c r="CJ124" s="20">
        <v>2015</v>
      </c>
      <c r="CK124" s="59">
        <f t="shared" si="114"/>
        <v>98.885912685738091</v>
      </c>
      <c r="CL124" s="59">
        <f t="shared" si="115"/>
        <v>122.18115173189753</v>
      </c>
      <c r="CM124" s="59">
        <f t="shared" si="116"/>
        <v>139.29602123519837</v>
      </c>
      <c r="CN124" s="59">
        <f t="shared" si="117"/>
        <v>145.00097773629864</v>
      </c>
      <c r="CO124" s="59">
        <f t="shared" si="118"/>
        <v>102.21380397804658</v>
      </c>
      <c r="CP124" s="59">
        <f t="shared" si="119"/>
        <v>13.310824650477342</v>
      </c>
      <c r="CQ124" s="59">
        <f t="shared" si="120"/>
        <v>13.88472668686788</v>
      </c>
      <c r="CR124" s="59">
        <f t="shared" si="121"/>
        <v>17.957579848349123</v>
      </c>
      <c r="CS124" s="59">
        <f t="shared" si="122"/>
        <v>14.180934189521059</v>
      </c>
      <c r="CW124" s="20" t="s">
        <v>104</v>
      </c>
      <c r="CX124">
        <v>2014</v>
      </c>
      <c r="CY124">
        <v>28.174723999999998</v>
      </c>
      <c r="CZ124">
        <v>15.064115524291992</v>
      </c>
      <c r="DB124">
        <v>72625.65625</v>
      </c>
      <c r="DE124">
        <f t="shared" si="123"/>
        <v>0</v>
      </c>
      <c r="DH124" t="e">
        <f t="shared" si="124"/>
        <v>#DIV/0!</v>
      </c>
      <c r="DI124" t="e">
        <f t="shared" si="95"/>
        <v>#DIV/0!</v>
      </c>
      <c r="DJ124" t="e">
        <f t="shared" si="96"/>
        <v>#DIV/0!</v>
      </c>
      <c r="DL124" s="20" t="s">
        <v>104</v>
      </c>
      <c r="DM124" s="99" t="s">
        <v>853</v>
      </c>
      <c r="DN124" s="100" t="s">
        <v>847</v>
      </c>
      <c r="DO124" s="101"/>
      <c r="DP124" s="101">
        <v>38.700000000000003</v>
      </c>
      <c r="DQ124" s="101"/>
      <c r="DR124" s="101"/>
      <c r="DS124" s="101"/>
      <c r="DT124" s="101"/>
      <c r="DU124" s="101"/>
      <c r="DV124" s="101"/>
      <c r="DW124" s="101"/>
      <c r="DX124">
        <f t="shared" ca="1" si="125"/>
        <v>38.700000000000003</v>
      </c>
      <c r="DY124">
        <f t="shared" ca="1" si="126"/>
        <v>7.74</v>
      </c>
      <c r="DZ124" t="e">
        <f t="shared" ca="1" si="127"/>
        <v>#DIV/0!</v>
      </c>
      <c r="EB124" s="20" t="s">
        <v>104</v>
      </c>
      <c r="EC124" s="99" t="s">
        <v>831</v>
      </c>
      <c r="ED124" s="100" t="s">
        <v>754</v>
      </c>
      <c r="EE124" s="101"/>
      <c r="EF124" s="101"/>
      <c r="EG124" s="101"/>
      <c r="EH124" s="101"/>
      <c r="EI124" s="101"/>
      <c r="EJ124" s="101"/>
      <c r="EK124" s="101"/>
      <c r="EL124" s="101">
        <v>78.400000000000006</v>
      </c>
      <c r="EM124" s="101">
        <v>79.8</v>
      </c>
      <c r="EN124" s="101"/>
      <c r="EO124">
        <f t="shared" ca="1" si="132"/>
        <v>79.8</v>
      </c>
      <c r="EQ124" s="20" t="s">
        <v>104</v>
      </c>
      <c r="ER124" s="20" t="e">
        <f t="shared" ca="1" si="128"/>
        <v>#DIV/0!</v>
      </c>
      <c r="ES124" t="e">
        <f t="shared" ca="1" si="129"/>
        <v>#DIV/0!</v>
      </c>
      <c r="EU124" s="20" t="s">
        <v>104</v>
      </c>
      <c r="EV124" s="109">
        <v>2462.0746104914783</v>
      </c>
    </row>
    <row r="125" spans="1:152" x14ac:dyDescent="0.3">
      <c r="A125" s="20" t="s">
        <v>173</v>
      </c>
      <c r="B125" s="20" t="s">
        <v>257</v>
      </c>
      <c r="C125" s="81">
        <v>2015</v>
      </c>
      <c r="D125" s="82">
        <v>884.548</v>
      </c>
      <c r="E125" s="82">
        <v>920.11199999999997</v>
      </c>
      <c r="F125" s="82">
        <v>991.89200000000005</v>
      </c>
      <c r="G125" s="82">
        <v>992.79</v>
      </c>
      <c r="H125" s="82">
        <v>1024.0650000000001</v>
      </c>
      <c r="I125" s="82">
        <v>1029.058</v>
      </c>
      <c r="J125" s="82">
        <v>1003.98</v>
      </c>
      <c r="K125" s="82">
        <v>1001.292</v>
      </c>
      <c r="L125" s="82">
        <v>1142.819</v>
      </c>
      <c r="M125" s="82">
        <v>1313.8489999999999</v>
      </c>
      <c r="N125" s="82">
        <v>1295.951</v>
      </c>
      <c r="O125" s="82">
        <v>1176.249</v>
      </c>
      <c r="P125" s="82">
        <v>1062.83</v>
      </c>
      <c r="Q125" s="82">
        <v>1053.296</v>
      </c>
      <c r="R125" s="82">
        <v>739.83</v>
      </c>
      <c r="S125" s="82">
        <v>546.29100000000005</v>
      </c>
      <c r="T125" s="82">
        <v>397.47300000000001</v>
      </c>
      <c r="U125" s="82">
        <v>230.46100000000001</v>
      </c>
      <c r="V125" s="82">
        <v>96.554000000000002</v>
      </c>
      <c r="W125" s="82">
        <v>19.376000000000001</v>
      </c>
      <c r="X125" s="82">
        <v>2.2130000000000001</v>
      </c>
      <c r="Y125" s="82">
        <f t="shared" si="102"/>
        <v>16924.929</v>
      </c>
      <c r="Z125" s="52">
        <f t="shared" si="103"/>
        <v>88.454999999999998</v>
      </c>
      <c r="AA125" s="52">
        <f t="shared" si="104"/>
        <v>88.454999999999998</v>
      </c>
      <c r="AB125" s="52">
        <f t="shared" si="105"/>
        <v>176.91</v>
      </c>
      <c r="AC125" s="52">
        <f t="shared" si="106"/>
        <v>530.72900000000004</v>
      </c>
      <c r="AD125" s="52">
        <f t="shared" si="107"/>
        <v>1912.0039999999999</v>
      </c>
      <c r="AE125" s="52">
        <f t="shared" si="108"/>
        <v>7507.8530000000001</v>
      </c>
      <c r="AF125" s="52">
        <f t="shared" si="109"/>
        <v>3535.03</v>
      </c>
      <c r="AG125" s="52">
        <f t="shared" si="110"/>
        <v>3085.4940000000001</v>
      </c>
      <c r="AH125" s="52">
        <f t="shared" si="111"/>
        <v>16924.93</v>
      </c>
      <c r="AI125">
        <v>10.4</v>
      </c>
      <c r="AJ125" s="30">
        <f t="shared" si="112"/>
        <v>176019.272</v>
      </c>
      <c r="AK125">
        <f t="shared" si="113"/>
        <v>176.90960000000001</v>
      </c>
      <c r="AM125" s="20" t="s">
        <v>173</v>
      </c>
      <c r="AN125" t="s">
        <v>256</v>
      </c>
      <c r="AO125" t="s">
        <v>257</v>
      </c>
      <c r="AP125" t="s">
        <v>690</v>
      </c>
      <c r="AQ125" s="55">
        <v>39937.076455424263</v>
      </c>
      <c r="AR125" s="55">
        <v>0.90165896164127801</v>
      </c>
      <c r="AS125" t="s">
        <v>173</v>
      </c>
      <c r="AT125" t="s">
        <v>1272</v>
      </c>
      <c r="AU125" t="s">
        <v>1153</v>
      </c>
      <c r="AV125">
        <v>89.978761283068593</v>
      </c>
      <c r="AW125">
        <v>91.093013086797896</v>
      </c>
      <c r="AX125">
        <v>92.617984195896199</v>
      </c>
      <c r="AY125">
        <v>93.699440922010496</v>
      </c>
      <c r="AZ125">
        <v>95.211918668207502</v>
      </c>
      <c r="BA125">
        <v>97.5794109379395</v>
      </c>
      <c r="BB125">
        <v>98.740512852547695</v>
      </c>
      <c r="BC125">
        <v>100</v>
      </c>
      <c r="BD125">
        <v>102.341070177514</v>
      </c>
      <c r="BE125">
        <v>104.854103924227</v>
      </c>
      <c r="BF125">
        <v>107.48268991056101</v>
      </c>
      <c r="BG125">
        <v>108.531758668693</v>
      </c>
      <c r="BH125">
        <v>109.18321853931</v>
      </c>
      <c r="BJ125" s="20" t="s">
        <v>173</v>
      </c>
      <c r="BK125" t="s">
        <v>690</v>
      </c>
      <c r="BL125">
        <v>2015</v>
      </c>
      <c r="BM125">
        <f>INDEX('Costs lists'!$C$5:$C$8,MATCH(Lists!BK125,'Costs lists'!$B$5:$B$8,0))</f>
        <v>3.55</v>
      </c>
      <c r="BN125">
        <f>INDEX('Costs lists'!$D$5:$D$8,MATCH(Lists!BK125,'Costs lists'!$B$5:$B$8,0))</f>
        <v>2.91</v>
      </c>
      <c r="BO125">
        <f>INDEX('Costs lists'!$E$5:$E$8,MATCH(Lists!BK125,'Costs lists'!$B$5:$B$8,0))</f>
        <v>7.59</v>
      </c>
      <c r="BW125" s="20" t="s">
        <v>173</v>
      </c>
      <c r="BX125" s="20">
        <v>2008</v>
      </c>
      <c r="BY125" s="52">
        <v>41.269199999999998</v>
      </c>
      <c r="BZ125" s="52">
        <v>50.954399999999993</v>
      </c>
      <c r="CA125" s="52">
        <v>58.069199999999995</v>
      </c>
      <c r="CB125" s="52">
        <v>60.505200000000002</v>
      </c>
      <c r="CC125" s="375">
        <f t="shared" si="131"/>
        <v>42.654359999999997</v>
      </c>
      <c r="CD125" s="375">
        <v>561.54999999999995</v>
      </c>
      <c r="CE125" s="375">
        <v>585.83000000000004</v>
      </c>
      <c r="CF125" s="375">
        <v>757.51</v>
      </c>
      <c r="CG125" s="375">
        <f t="shared" si="130"/>
        <v>598.25666666666666</v>
      </c>
      <c r="CI125" s="20" t="s">
        <v>173</v>
      </c>
      <c r="CJ125" s="20">
        <v>2015</v>
      </c>
      <c r="CK125" s="59">
        <f t="shared" si="114"/>
        <v>46.176791181986609</v>
      </c>
      <c r="CL125" s="59">
        <f t="shared" si="115"/>
        <v>57.01372182168344</v>
      </c>
      <c r="CM125" s="59">
        <f t="shared" si="116"/>
        <v>64.974589342779041</v>
      </c>
      <c r="CN125" s="59">
        <f t="shared" si="117"/>
        <v>67.700270076093943</v>
      </c>
      <c r="CO125" s="59">
        <f t="shared" si="118"/>
        <v>47.726669640343943</v>
      </c>
      <c r="CP125" s="59">
        <f t="shared" si="119"/>
        <v>628.32759269005885</v>
      </c>
      <c r="CQ125" s="59">
        <f t="shared" si="120"/>
        <v>655.49488669863285</v>
      </c>
      <c r="CR125" s="59">
        <f t="shared" si="121"/>
        <v>847.59048123701632</v>
      </c>
      <c r="CS125" s="59">
        <f t="shared" si="122"/>
        <v>669.39928978264743</v>
      </c>
      <c r="CW125" s="20" t="s">
        <v>173</v>
      </c>
      <c r="CX125">
        <v>2014</v>
      </c>
      <c r="CY125">
        <v>16.868019999999998</v>
      </c>
      <c r="CZ125">
        <v>8.7425575256347656</v>
      </c>
      <c r="DA125">
        <v>1419.590113285273</v>
      </c>
      <c r="DB125">
        <v>799410</v>
      </c>
      <c r="DC125">
        <v>0.59558784961700439</v>
      </c>
      <c r="DE125">
        <f t="shared" si="123"/>
        <v>54459.908495455995</v>
      </c>
      <c r="DH125">
        <f t="shared" si="124"/>
        <v>38.363121851717231</v>
      </c>
      <c r="DI125">
        <f t="shared" si="95"/>
        <v>38.593395779870143</v>
      </c>
      <c r="DJ125">
        <f t="shared" si="96"/>
        <v>74.462669530504314</v>
      </c>
      <c r="DL125" s="20" t="s">
        <v>173</v>
      </c>
      <c r="DM125" s="99" t="s">
        <v>796</v>
      </c>
      <c r="DN125" s="100" t="s">
        <v>754</v>
      </c>
      <c r="DO125" s="101">
        <v>32.299999999999997</v>
      </c>
      <c r="DP125" s="101">
        <v>32.200000000000003</v>
      </c>
      <c r="DQ125" s="101">
        <v>31.9</v>
      </c>
      <c r="DR125" s="101">
        <v>32</v>
      </c>
      <c r="DS125" s="101">
        <v>32.299999999999997</v>
      </c>
      <c r="DT125" s="101">
        <v>32.1</v>
      </c>
      <c r="DU125" s="101">
        <v>31.9</v>
      </c>
      <c r="DV125" s="101">
        <v>32.299999999999997</v>
      </c>
      <c r="DW125" s="101">
        <v>32.1</v>
      </c>
      <c r="DX125">
        <f t="shared" ca="1" si="125"/>
        <v>32.1</v>
      </c>
      <c r="DY125">
        <f t="shared" ca="1" si="126"/>
        <v>6.42</v>
      </c>
      <c r="DZ125">
        <f t="shared" ca="1" si="127"/>
        <v>247.7696009067663</v>
      </c>
      <c r="EB125" s="20" t="s">
        <v>173</v>
      </c>
      <c r="EC125" s="99" t="s">
        <v>796</v>
      </c>
      <c r="ED125" s="100" t="s">
        <v>754</v>
      </c>
      <c r="EE125" s="101">
        <v>62.8</v>
      </c>
      <c r="EF125" s="101">
        <v>64</v>
      </c>
      <c r="EG125" s="101">
        <v>64.7</v>
      </c>
      <c r="EH125" s="101">
        <v>64.5</v>
      </c>
      <c r="EI125" s="101">
        <v>62.2</v>
      </c>
      <c r="EJ125" s="101">
        <v>61.3</v>
      </c>
      <c r="EK125" s="101">
        <v>61.2</v>
      </c>
      <c r="EL125" s="101">
        <v>60.2</v>
      </c>
      <c r="EM125" s="101">
        <v>59.6</v>
      </c>
      <c r="EN125" s="101">
        <v>60</v>
      </c>
      <c r="EO125">
        <f t="shared" ca="1" si="132"/>
        <v>60</v>
      </c>
      <c r="EQ125" s="20" t="s">
        <v>173</v>
      </c>
      <c r="ER125" s="20">
        <f t="shared" ca="1" si="128"/>
        <v>247.7696009067663</v>
      </c>
      <c r="ES125">
        <f t="shared" ca="1" si="129"/>
        <v>148.66176054405977</v>
      </c>
      <c r="EU125" s="20" t="s">
        <v>173</v>
      </c>
      <c r="EV125" s="109">
        <v>48313.186318966393</v>
      </c>
    </row>
    <row r="126" spans="1:152" x14ac:dyDescent="0.3">
      <c r="A126" s="20" t="s">
        <v>215</v>
      </c>
      <c r="B126" s="20" t="s">
        <v>634</v>
      </c>
      <c r="C126" s="81">
        <v>2015</v>
      </c>
      <c r="D126" s="82">
        <v>20.023</v>
      </c>
      <c r="E126" s="82">
        <v>19.36</v>
      </c>
      <c r="F126" s="82">
        <v>19.100000000000001</v>
      </c>
      <c r="G126" s="82">
        <v>20.251999999999999</v>
      </c>
      <c r="H126" s="82">
        <v>21.832000000000001</v>
      </c>
      <c r="I126" s="82">
        <v>19.867000000000001</v>
      </c>
      <c r="J126" s="82">
        <v>17.873999999999999</v>
      </c>
      <c r="K126" s="82">
        <v>18.212</v>
      </c>
      <c r="L126" s="82">
        <v>19.454999999999998</v>
      </c>
      <c r="M126" s="82">
        <v>18.015000000000001</v>
      </c>
      <c r="N126" s="82">
        <v>16.872</v>
      </c>
      <c r="O126" s="82">
        <v>14.125</v>
      </c>
      <c r="P126" s="82">
        <v>11.374000000000001</v>
      </c>
      <c r="Q126" s="82">
        <v>9.2799999999999994</v>
      </c>
      <c r="R126" s="82">
        <v>7.2709999999999999</v>
      </c>
      <c r="S126" s="82">
        <v>5.1070000000000002</v>
      </c>
      <c r="T126" s="82">
        <v>3.044</v>
      </c>
      <c r="U126" s="82">
        <v>1.615</v>
      </c>
      <c r="V126" s="82">
        <v>0.377</v>
      </c>
      <c r="W126" s="82">
        <v>5.8000000000000003E-2</v>
      </c>
      <c r="X126" s="82">
        <v>5.0000000000000001E-3</v>
      </c>
      <c r="Y126" s="82">
        <f t="shared" si="102"/>
        <v>263.11799999999999</v>
      </c>
      <c r="Z126" s="52">
        <f t="shared" si="103"/>
        <v>2.0019999999999998</v>
      </c>
      <c r="AA126" s="52">
        <f t="shared" si="104"/>
        <v>2.0019999999999998</v>
      </c>
      <c r="AB126" s="52">
        <f t="shared" si="105"/>
        <v>4.0049999999999999</v>
      </c>
      <c r="AC126" s="52">
        <f t="shared" si="106"/>
        <v>12.013999999999999</v>
      </c>
      <c r="AD126" s="52">
        <f t="shared" si="107"/>
        <v>38.46</v>
      </c>
      <c r="AE126" s="52">
        <f t="shared" si="108"/>
        <v>135.50700000000001</v>
      </c>
      <c r="AF126" s="52">
        <f t="shared" si="109"/>
        <v>42.371000000000002</v>
      </c>
      <c r="AG126" s="52">
        <f t="shared" si="110"/>
        <v>26.757000000000001</v>
      </c>
      <c r="AH126" s="52">
        <f t="shared" si="111"/>
        <v>263.11799999999999</v>
      </c>
      <c r="AI126">
        <v>16.600000000000001</v>
      </c>
      <c r="AJ126" s="30">
        <f t="shared" si="112"/>
        <v>4367.7588000000005</v>
      </c>
      <c r="AK126">
        <f t="shared" si="113"/>
        <v>4.0045999999999999</v>
      </c>
      <c r="AM126" s="20" t="s">
        <v>215</v>
      </c>
      <c r="AN126" t="s">
        <v>350</v>
      </c>
      <c r="AO126" t="s">
        <v>351</v>
      </c>
      <c r="AP126" t="s">
        <v>690</v>
      </c>
      <c r="AQ126" s="55"/>
      <c r="AR126" s="55"/>
      <c r="AS126" t="s">
        <v>215</v>
      </c>
      <c r="AT126" t="s">
        <v>1273</v>
      </c>
      <c r="AU126" t="s">
        <v>1153</v>
      </c>
      <c r="BJ126" s="20" t="s">
        <v>215</v>
      </c>
      <c r="BK126" t="s">
        <v>690</v>
      </c>
      <c r="BL126">
        <v>2015</v>
      </c>
      <c r="BM126">
        <f>INDEX('Costs lists'!$C$5:$C$8,MATCH(Lists!BK126,'Costs lists'!$B$5:$B$8,0))</f>
        <v>3.55</v>
      </c>
      <c r="BN126">
        <f>INDEX('Costs lists'!$D$5:$D$8,MATCH(Lists!BK126,'Costs lists'!$B$5:$B$8,0))</f>
        <v>2.91</v>
      </c>
      <c r="BO126">
        <f>INDEX('Costs lists'!$E$5:$E$8,MATCH(Lists!BK126,'Costs lists'!$B$5:$B$8,0))</f>
        <v>7.59</v>
      </c>
      <c r="BW126" s="20" t="s">
        <v>215</v>
      </c>
      <c r="BX126" s="20">
        <v>2008</v>
      </c>
      <c r="BY126" s="52"/>
      <c r="BZ126" s="52"/>
      <c r="CA126" s="52"/>
      <c r="CB126" s="52"/>
      <c r="CC126" s="375">
        <f t="shared" si="131"/>
        <v>0</v>
      </c>
      <c r="CD126" s="375"/>
      <c r="CE126" s="375"/>
      <c r="CF126" s="375"/>
      <c r="CG126" s="375">
        <f t="shared" si="130"/>
        <v>0</v>
      </c>
      <c r="CI126" s="20" t="s">
        <v>215</v>
      </c>
      <c r="CJ126" s="20">
        <v>2015</v>
      </c>
      <c r="CK126" s="59" t="e">
        <f t="shared" si="114"/>
        <v>#DIV/0!</v>
      </c>
      <c r="CL126" s="59" t="e">
        <f t="shared" si="115"/>
        <v>#DIV/0!</v>
      </c>
      <c r="CM126" s="59" t="e">
        <f t="shared" si="116"/>
        <v>#DIV/0!</v>
      </c>
      <c r="CN126" s="59" t="e">
        <f t="shared" si="117"/>
        <v>#DIV/0!</v>
      </c>
      <c r="CO126" s="59" t="e">
        <f t="shared" si="118"/>
        <v>#DIV/0!</v>
      </c>
      <c r="CP126" s="59" t="e">
        <f t="shared" si="119"/>
        <v>#DIV/0!</v>
      </c>
      <c r="CQ126" s="59" t="e">
        <f t="shared" si="120"/>
        <v>#DIV/0!</v>
      </c>
      <c r="CR126" s="59" t="e">
        <f t="shared" si="121"/>
        <v>#DIV/0!</v>
      </c>
      <c r="CS126" s="59" t="e">
        <f t="shared" si="122"/>
        <v>#DIV/0!</v>
      </c>
      <c r="CW126" s="20" t="s">
        <v>215</v>
      </c>
      <c r="DE126" t="e">
        <f t="shared" si="123"/>
        <v>#DIV/0!</v>
      </c>
      <c r="DH126" t="e">
        <f t="shared" si="124"/>
        <v>#DIV/0!</v>
      </c>
      <c r="DI126" t="e">
        <f t="shared" si="95"/>
        <v>#DIV/0!</v>
      </c>
      <c r="DJ126" t="e">
        <f t="shared" si="96"/>
        <v>#DIV/0!</v>
      </c>
      <c r="DL126" s="20" t="s">
        <v>215</v>
      </c>
      <c r="DM126" s="99"/>
      <c r="DN126" s="100"/>
      <c r="DO126" s="101"/>
      <c r="DP126" s="101"/>
      <c r="DQ126" s="101"/>
      <c r="DR126" s="101"/>
      <c r="DS126" s="101"/>
      <c r="DT126" s="101"/>
      <c r="DU126" s="101"/>
      <c r="DV126" s="101"/>
      <c r="DW126" s="101"/>
      <c r="DX126" t="e">
        <f t="shared" ca="1" si="125"/>
        <v>#N/A</v>
      </c>
      <c r="DY126" t="e">
        <f t="shared" ca="1" si="126"/>
        <v>#N/A</v>
      </c>
      <c r="DZ126" t="e">
        <f t="shared" ca="1" si="127"/>
        <v>#N/A</v>
      </c>
      <c r="EB126" s="20" t="s">
        <v>215</v>
      </c>
      <c r="EC126" s="99" t="s">
        <v>811</v>
      </c>
      <c r="ED126" s="100" t="s">
        <v>754</v>
      </c>
      <c r="EE126" s="101"/>
      <c r="EF126" s="101"/>
      <c r="EG126" s="101"/>
      <c r="EH126" s="101">
        <v>57.9</v>
      </c>
      <c r="EI126" s="101"/>
      <c r="EJ126" s="101"/>
      <c r="EK126" s="101"/>
      <c r="EL126" s="101"/>
      <c r="EM126" s="101"/>
      <c r="EN126" s="101"/>
      <c r="EO126">
        <f t="shared" ca="1" si="132"/>
        <v>57.9</v>
      </c>
      <c r="EQ126" s="20" t="s">
        <v>215</v>
      </c>
      <c r="ER126" s="20" t="e">
        <f t="shared" ca="1" si="128"/>
        <v>#N/A</v>
      </c>
      <c r="ES126" t="e">
        <f t="shared" ca="1" si="129"/>
        <v>#N/A</v>
      </c>
      <c r="EU126" s="20" t="s">
        <v>215</v>
      </c>
      <c r="EV126" s="109"/>
    </row>
    <row r="127" spans="1:152" x14ac:dyDescent="0.3">
      <c r="A127" s="20" t="s">
        <v>213</v>
      </c>
      <c r="B127" s="20" t="s">
        <v>634</v>
      </c>
      <c r="C127" s="81">
        <v>2015</v>
      </c>
      <c r="D127" s="82">
        <v>308.78500000000003</v>
      </c>
      <c r="E127" s="82">
        <v>310.70699999999999</v>
      </c>
      <c r="F127" s="82">
        <v>295.58300000000003</v>
      </c>
      <c r="G127" s="82">
        <v>308.31900000000002</v>
      </c>
      <c r="H127" s="82">
        <v>322.37400000000002</v>
      </c>
      <c r="I127" s="82">
        <v>284.166</v>
      </c>
      <c r="J127" s="82">
        <v>277.03399999999999</v>
      </c>
      <c r="K127" s="82">
        <v>263.04599999999999</v>
      </c>
      <c r="L127" s="82">
        <v>317.34500000000003</v>
      </c>
      <c r="M127" s="82">
        <v>305.67099999999999</v>
      </c>
      <c r="N127" s="82">
        <v>327.84899999999999</v>
      </c>
      <c r="O127" s="82">
        <v>286.59800000000001</v>
      </c>
      <c r="P127" s="82">
        <v>248.042</v>
      </c>
      <c r="Q127" s="82">
        <v>230.47800000000001</v>
      </c>
      <c r="R127" s="82">
        <v>164.54400000000001</v>
      </c>
      <c r="S127" s="82">
        <v>116.14700000000001</v>
      </c>
      <c r="T127" s="82">
        <v>78.183999999999997</v>
      </c>
      <c r="U127" s="82">
        <v>55.655000000000001</v>
      </c>
      <c r="V127" s="82">
        <v>22.42</v>
      </c>
      <c r="W127" s="82">
        <v>4.9950000000000001</v>
      </c>
      <c r="X127" s="82">
        <v>0.58399999999999996</v>
      </c>
      <c r="Y127" s="82">
        <f t="shared" si="102"/>
        <v>4528.5259999999989</v>
      </c>
      <c r="Z127" s="52">
        <f t="shared" si="103"/>
        <v>30.879000000000001</v>
      </c>
      <c r="AA127" s="52">
        <f t="shared" si="104"/>
        <v>30.879000000000001</v>
      </c>
      <c r="AB127" s="52">
        <f t="shared" si="105"/>
        <v>61.756999999999998</v>
      </c>
      <c r="AC127" s="52">
        <f t="shared" si="106"/>
        <v>185.27099999999999</v>
      </c>
      <c r="AD127" s="52">
        <f t="shared" si="107"/>
        <v>606.29</v>
      </c>
      <c r="AE127" s="52">
        <f t="shared" si="108"/>
        <v>2077.9549999999999</v>
      </c>
      <c r="AF127" s="52">
        <f t="shared" si="109"/>
        <v>862.48900000000003</v>
      </c>
      <c r="AG127" s="52">
        <f t="shared" si="110"/>
        <v>673.00699999999995</v>
      </c>
      <c r="AH127" s="52">
        <f t="shared" si="111"/>
        <v>4528.527</v>
      </c>
      <c r="AI127">
        <v>12.68</v>
      </c>
      <c r="AJ127" s="30">
        <f t="shared" si="112"/>
        <v>57421.72236</v>
      </c>
      <c r="AK127">
        <f t="shared" si="113"/>
        <v>61.757000000000005</v>
      </c>
      <c r="AM127" s="20" t="s">
        <v>213</v>
      </c>
      <c r="AN127" t="s">
        <v>438</v>
      </c>
      <c r="AO127" t="s">
        <v>439</v>
      </c>
      <c r="AP127" t="s">
        <v>690</v>
      </c>
      <c r="AQ127" s="55">
        <v>54215.679874665446</v>
      </c>
      <c r="AR127" s="55">
        <v>1.433975</v>
      </c>
      <c r="AS127" t="s">
        <v>213</v>
      </c>
      <c r="AT127" t="s">
        <v>1274</v>
      </c>
      <c r="AU127" t="s">
        <v>1153</v>
      </c>
      <c r="AV127">
        <v>82.558172817281701</v>
      </c>
      <c r="AW127">
        <v>84.448960621062099</v>
      </c>
      <c r="AX127">
        <v>87.013693069306896</v>
      </c>
      <c r="AY127">
        <v>89.942055805580594</v>
      </c>
      <c r="AZ127">
        <v>92.079207920792101</v>
      </c>
      <c r="BA127">
        <v>95.724572457245699</v>
      </c>
      <c r="BB127">
        <v>97.749774977497793</v>
      </c>
      <c r="BC127">
        <v>100</v>
      </c>
      <c r="BD127">
        <v>104.43294329432899</v>
      </c>
      <c r="BE127">
        <v>105.355535553555</v>
      </c>
      <c r="BF127">
        <v>106.728172817282</v>
      </c>
      <c r="BG127">
        <v>107.695769576958</v>
      </c>
      <c r="BH127">
        <v>108.055805580558</v>
      </c>
      <c r="BJ127" s="20" t="s">
        <v>213</v>
      </c>
      <c r="BK127" t="s">
        <v>690</v>
      </c>
      <c r="BL127">
        <v>2015</v>
      </c>
      <c r="BM127">
        <f>INDEX('Costs lists'!$C$5:$C$8,MATCH(Lists!BK127,'Costs lists'!$B$5:$B$8,0))</f>
        <v>3.55</v>
      </c>
      <c r="BN127">
        <f>INDEX('Costs lists'!$D$5:$D$8,MATCH(Lists!BK127,'Costs lists'!$B$5:$B$8,0))</f>
        <v>2.91</v>
      </c>
      <c r="BO127">
        <f>INDEX('Costs lists'!$E$5:$E$8,MATCH(Lists!BK127,'Costs lists'!$B$5:$B$8,0))</f>
        <v>7.59</v>
      </c>
      <c r="BW127" s="20" t="s">
        <v>213</v>
      </c>
      <c r="BX127" s="20">
        <v>2008</v>
      </c>
      <c r="BY127" s="52">
        <v>51.776399999999995</v>
      </c>
      <c r="BZ127" s="52">
        <v>63.928799999999995</v>
      </c>
      <c r="CA127" s="52">
        <v>72.852000000000004</v>
      </c>
      <c r="CB127" s="52">
        <v>75.925200000000004</v>
      </c>
      <c r="CC127" s="375">
        <f t="shared" si="131"/>
        <v>53.514630000000004</v>
      </c>
      <c r="CD127" s="375">
        <v>327.12</v>
      </c>
      <c r="CE127" s="375">
        <v>341.27</v>
      </c>
      <c r="CF127" s="375">
        <v>441.27</v>
      </c>
      <c r="CG127" s="375">
        <f t="shared" si="130"/>
        <v>348.50333333333333</v>
      </c>
      <c r="CI127" s="20" t="s">
        <v>213</v>
      </c>
      <c r="CJ127" s="20">
        <v>2015</v>
      </c>
      <c r="CK127" s="59">
        <f t="shared" si="114"/>
        <v>58.446232440056399</v>
      </c>
      <c r="CL127" s="59">
        <f t="shared" si="115"/>
        <v>72.164103808180514</v>
      </c>
      <c r="CM127" s="59">
        <f t="shared" si="116"/>
        <v>82.236789844851899</v>
      </c>
      <c r="CN127" s="59">
        <f t="shared" si="117"/>
        <v>85.705879266572623</v>
      </c>
      <c r="CO127" s="59">
        <f t="shared" si="118"/>
        <v>60.408381114245408</v>
      </c>
      <c r="CP127" s="59">
        <f t="shared" si="119"/>
        <v>369.2595768688293</v>
      </c>
      <c r="CQ127" s="59">
        <f t="shared" si="120"/>
        <v>385.23237893747051</v>
      </c>
      <c r="CR127" s="59">
        <f t="shared" si="121"/>
        <v>498.11437235543008</v>
      </c>
      <c r="CS127" s="59">
        <f t="shared" si="122"/>
        <v>393.39750979470296</v>
      </c>
      <c r="CW127" s="20" t="s">
        <v>213</v>
      </c>
      <c r="CX127">
        <v>2014</v>
      </c>
      <c r="CY127">
        <v>4.495482</v>
      </c>
      <c r="CZ127">
        <v>2.3648612499237061</v>
      </c>
      <c r="DA127">
        <v>1762</v>
      </c>
      <c r="DB127">
        <v>151556.59375</v>
      </c>
      <c r="DC127">
        <v>0.56716662645339966</v>
      </c>
      <c r="DE127">
        <f t="shared" si="123"/>
        <v>36347.943033329764</v>
      </c>
      <c r="DH127">
        <f t="shared" si="124"/>
        <v>20.628798543319956</v>
      </c>
      <c r="DI127">
        <f t="shared" si="95"/>
        <v>20.697762349565835</v>
      </c>
      <c r="DJ127">
        <f t="shared" si="96"/>
        <v>39.345402647090921</v>
      </c>
      <c r="DL127" s="20" t="s">
        <v>213</v>
      </c>
      <c r="DM127" s="99"/>
      <c r="DN127" s="100"/>
      <c r="DO127" s="101"/>
      <c r="DP127" s="101"/>
      <c r="DQ127" s="101"/>
      <c r="DR127" s="101"/>
      <c r="DS127" s="101"/>
      <c r="DT127" s="101"/>
      <c r="DU127" s="101"/>
      <c r="DV127" s="101"/>
      <c r="DW127" s="101"/>
      <c r="DX127" t="e">
        <f t="shared" ca="1" si="125"/>
        <v>#N/A</v>
      </c>
      <c r="DY127" t="e">
        <f t="shared" ca="1" si="126"/>
        <v>#N/A</v>
      </c>
      <c r="DZ127" t="e">
        <f t="shared" ca="1" si="127"/>
        <v>#N/A</v>
      </c>
      <c r="EB127" s="20" t="s">
        <v>213</v>
      </c>
      <c r="EC127" s="99" t="s">
        <v>795</v>
      </c>
      <c r="ED127" s="100" t="s">
        <v>754</v>
      </c>
      <c r="EE127" s="101">
        <v>65.599999999999994</v>
      </c>
      <c r="EF127" s="101">
        <v>65.900000000000006</v>
      </c>
      <c r="EG127" s="101">
        <v>65.599999999999994</v>
      </c>
      <c r="EH127" s="101">
        <v>64</v>
      </c>
      <c r="EI127" s="101">
        <v>63.5</v>
      </c>
      <c r="EJ127" s="101">
        <v>63.9</v>
      </c>
      <c r="EK127" s="101">
        <v>63.3</v>
      </c>
      <c r="EL127" s="101">
        <v>63.9</v>
      </c>
      <c r="EM127" s="101">
        <v>65</v>
      </c>
      <c r="EN127" s="101">
        <v>65</v>
      </c>
      <c r="EO127">
        <f t="shared" ca="1" si="132"/>
        <v>65</v>
      </c>
      <c r="EQ127" s="20" t="s">
        <v>213</v>
      </c>
      <c r="ER127" s="20" t="e">
        <f t="shared" ca="1" si="128"/>
        <v>#N/A</v>
      </c>
      <c r="ES127" t="e">
        <f t="shared" ca="1" si="129"/>
        <v>#N/A</v>
      </c>
      <c r="EU127" s="20" t="s">
        <v>213</v>
      </c>
      <c r="EV127" s="109">
        <v>36982.298565928453</v>
      </c>
    </row>
    <row r="128" spans="1:152" x14ac:dyDescent="0.3">
      <c r="A128" s="20" t="s">
        <v>196</v>
      </c>
      <c r="B128" s="20" t="s">
        <v>633</v>
      </c>
      <c r="C128" s="81">
        <v>2015</v>
      </c>
      <c r="D128" s="82">
        <v>605.548</v>
      </c>
      <c r="E128" s="82">
        <v>617.26300000000003</v>
      </c>
      <c r="F128" s="82">
        <v>603.88400000000001</v>
      </c>
      <c r="G128" s="82">
        <v>603.41700000000003</v>
      </c>
      <c r="H128" s="82">
        <v>591.07600000000002</v>
      </c>
      <c r="I128" s="82">
        <v>564.26499999999999</v>
      </c>
      <c r="J128" s="82">
        <v>511.72500000000002</v>
      </c>
      <c r="K128" s="82">
        <v>427.92500000000001</v>
      </c>
      <c r="L128" s="82">
        <v>351.04399999999998</v>
      </c>
      <c r="M128" s="82">
        <v>281.58999999999997</v>
      </c>
      <c r="N128" s="82">
        <v>238.405</v>
      </c>
      <c r="O128" s="82">
        <v>213.154</v>
      </c>
      <c r="P128" s="82">
        <v>163.44300000000001</v>
      </c>
      <c r="Q128" s="82">
        <v>95.283000000000001</v>
      </c>
      <c r="R128" s="82">
        <v>82.025000000000006</v>
      </c>
      <c r="S128" s="82">
        <v>59.978000000000002</v>
      </c>
      <c r="T128" s="82">
        <v>38.982999999999997</v>
      </c>
      <c r="U128" s="82">
        <v>21.207000000000001</v>
      </c>
      <c r="V128" s="82">
        <v>8.8420000000000005</v>
      </c>
      <c r="W128" s="82">
        <v>2.4820000000000002</v>
      </c>
      <c r="X128" s="82">
        <v>0.49299999999999999</v>
      </c>
      <c r="Y128" s="82">
        <f t="shared" si="102"/>
        <v>6082.0320000000011</v>
      </c>
      <c r="Z128" s="52">
        <f t="shared" si="103"/>
        <v>60.555</v>
      </c>
      <c r="AA128" s="52">
        <f t="shared" si="104"/>
        <v>60.555</v>
      </c>
      <c r="AB128" s="52">
        <f t="shared" si="105"/>
        <v>121.11</v>
      </c>
      <c r="AC128" s="52">
        <f t="shared" si="106"/>
        <v>363.32900000000001</v>
      </c>
      <c r="AD128" s="52">
        <f t="shared" si="107"/>
        <v>1221.1469999999999</v>
      </c>
      <c r="AE128" s="52">
        <f t="shared" si="108"/>
        <v>3331.0419999999999</v>
      </c>
      <c r="AF128" s="52">
        <f t="shared" si="109"/>
        <v>615.00199999999995</v>
      </c>
      <c r="AG128" s="52">
        <f t="shared" si="110"/>
        <v>309.29300000000001</v>
      </c>
      <c r="AH128" s="52">
        <f t="shared" si="111"/>
        <v>6082.0329999999994</v>
      </c>
      <c r="AI128">
        <v>20.350000000000001</v>
      </c>
      <c r="AJ128" s="30">
        <f t="shared" si="112"/>
        <v>123769.37155</v>
      </c>
      <c r="AK128">
        <f t="shared" si="113"/>
        <v>121.1096</v>
      </c>
      <c r="AM128" s="20" t="s">
        <v>196</v>
      </c>
      <c r="AN128" t="s">
        <v>440</v>
      </c>
      <c r="AO128" t="s">
        <v>441</v>
      </c>
      <c r="AP128" t="s">
        <v>688</v>
      </c>
      <c r="AQ128" s="55">
        <v>56882.079711528313</v>
      </c>
      <c r="AR128" s="55">
        <v>27.256844940476199</v>
      </c>
      <c r="AS128" t="s">
        <v>196</v>
      </c>
      <c r="AT128" t="s">
        <v>1275</v>
      </c>
      <c r="AU128" t="s">
        <v>1153</v>
      </c>
      <c r="AV128">
        <v>52.934127016598701</v>
      </c>
      <c r="AW128">
        <v>57.417759073148098</v>
      </c>
      <c r="AX128">
        <v>62.929347104323703</v>
      </c>
      <c r="AY128">
        <v>68.681215079287497</v>
      </c>
      <c r="AZ128">
        <v>76.323329062966494</v>
      </c>
      <c r="BA128">
        <v>91.455347317608599</v>
      </c>
      <c r="BB128">
        <v>94.827307441056107</v>
      </c>
      <c r="BC128">
        <v>100</v>
      </c>
      <c r="BD128">
        <v>108.08267265838001</v>
      </c>
      <c r="BE128">
        <v>115.857722471359</v>
      </c>
      <c r="BF128">
        <v>124.124612147767</v>
      </c>
      <c r="BG128">
        <v>131.61651539399799</v>
      </c>
      <c r="BH128">
        <v>136.87999386136801</v>
      </c>
      <c r="BJ128" s="20" t="s">
        <v>196</v>
      </c>
      <c r="BK128" t="s">
        <v>688</v>
      </c>
      <c r="BL128">
        <v>2015</v>
      </c>
      <c r="BM128">
        <f>INDEX('Costs lists'!$C$5:$C$8,MATCH(Lists!BK128,'Costs lists'!$B$5:$B$8,0))</f>
        <v>5.21</v>
      </c>
      <c r="BN128">
        <f>INDEX('Costs lists'!$D$5:$D$8,MATCH(Lists!BK128,'Costs lists'!$B$5:$B$8,0))</f>
        <v>5.16</v>
      </c>
      <c r="BO128">
        <f>INDEX('Costs lists'!$E$5:$E$8,MATCH(Lists!BK128,'Costs lists'!$B$5:$B$8,0))</f>
        <v>5.26</v>
      </c>
      <c r="BW128" s="20" t="s">
        <v>196</v>
      </c>
      <c r="BX128" s="20">
        <v>2008</v>
      </c>
      <c r="BY128" s="52">
        <v>36.1706</v>
      </c>
      <c r="BZ128" s="52">
        <v>44.686099999999996</v>
      </c>
      <c r="CA128" s="52">
        <v>50.930799999999998</v>
      </c>
      <c r="CB128" s="52">
        <v>53.039399999999993</v>
      </c>
      <c r="CC128" s="375">
        <f t="shared" si="131"/>
        <v>37.387100000000004</v>
      </c>
      <c r="CD128" s="375">
        <v>20.59</v>
      </c>
      <c r="CE128" s="375">
        <v>21.48</v>
      </c>
      <c r="CF128" s="375">
        <v>27.78</v>
      </c>
      <c r="CG128" s="375">
        <f t="shared" si="130"/>
        <v>21.936666666666664</v>
      </c>
      <c r="CI128" s="20" t="s">
        <v>196</v>
      </c>
      <c r="CJ128" s="20">
        <v>2015</v>
      </c>
      <c r="CK128" s="59">
        <f t="shared" si="114"/>
        <v>54.136052742415615</v>
      </c>
      <c r="CL128" s="59">
        <f t="shared" si="115"/>
        <v>66.881087580876681</v>
      </c>
      <c r="CM128" s="59">
        <f t="shared" si="116"/>
        <v>76.227446462414804</v>
      </c>
      <c r="CN128" s="59">
        <f t="shared" si="117"/>
        <v>79.38335985098611</v>
      </c>
      <c r="CO128" s="59">
        <f t="shared" si="118"/>
        <v>55.956772005052919</v>
      </c>
      <c r="CP128" s="59">
        <f t="shared" si="119"/>
        <v>30.816777326512071</v>
      </c>
      <c r="CQ128" s="59">
        <f t="shared" si="120"/>
        <v>32.148828410562373</v>
      </c>
      <c r="CR128" s="59">
        <f t="shared" si="121"/>
        <v>41.577954061704972</v>
      </c>
      <c r="CS128" s="59">
        <f t="shared" si="122"/>
        <v>32.832315296385936</v>
      </c>
      <c r="CW128" s="20" t="s">
        <v>196</v>
      </c>
      <c r="CX128">
        <v>2014</v>
      </c>
      <c r="CY128">
        <v>6.0139129999999996</v>
      </c>
      <c r="CZ128">
        <v>2.5251448154449463</v>
      </c>
      <c r="DB128">
        <v>27030.474609375</v>
      </c>
      <c r="DC128">
        <v>0.55633491277694702</v>
      </c>
      <c r="DE128">
        <f t="shared" si="123"/>
        <v>5955.3007186545583</v>
      </c>
      <c r="DH128" t="e">
        <f t="shared" si="124"/>
        <v>#DIV/0!</v>
      </c>
      <c r="DI128" t="e">
        <f t="shared" si="95"/>
        <v>#DIV/0!</v>
      </c>
      <c r="DJ128" t="e">
        <f t="shared" si="96"/>
        <v>#DIV/0!</v>
      </c>
      <c r="DL128" s="20" t="s">
        <v>196</v>
      </c>
      <c r="DM128" s="99"/>
      <c r="DN128" s="100"/>
      <c r="DO128" s="101"/>
      <c r="DP128" s="101"/>
      <c r="DQ128" s="101"/>
      <c r="DR128" s="101"/>
      <c r="DS128" s="101"/>
      <c r="DT128" s="101"/>
      <c r="DU128" s="101"/>
      <c r="DV128" s="101"/>
      <c r="DW128" s="101"/>
      <c r="DX128" t="e">
        <f t="shared" ca="1" si="125"/>
        <v>#N/A</v>
      </c>
      <c r="DY128" t="e">
        <f t="shared" ca="1" si="126"/>
        <v>#N/A</v>
      </c>
      <c r="DZ128" t="e">
        <f t="shared" ca="1" si="127"/>
        <v>#N/A</v>
      </c>
      <c r="EB128" s="20" t="s">
        <v>196</v>
      </c>
      <c r="EC128" s="99" t="s">
        <v>778</v>
      </c>
      <c r="ED128" s="100" t="s">
        <v>754</v>
      </c>
      <c r="EE128" s="101">
        <v>49.7</v>
      </c>
      <c r="EF128" s="101"/>
      <c r="EG128" s="101"/>
      <c r="EH128" s="101">
        <v>47.6</v>
      </c>
      <c r="EI128" s="101">
        <v>65.8</v>
      </c>
      <c r="EJ128" s="101"/>
      <c r="EK128" s="101"/>
      <c r="EL128" s="101">
        <v>71.7</v>
      </c>
      <c r="EM128" s="101"/>
      <c r="EN128" s="101"/>
      <c r="EO128">
        <f t="shared" ca="1" si="132"/>
        <v>71.7</v>
      </c>
      <c r="EQ128" s="20" t="s">
        <v>196</v>
      </c>
      <c r="ER128" s="20" t="e">
        <f t="shared" ca="1" si="128"/>
        <v>#N/A</v>
      </c>
      <c r="ES128" t="e">
        <f t="shared" ca="1" si="129"/>
        <v>#N/A</v>
      </c>
      <c r="EU128" s="20" t="s">
        <v>196</v>
      </c>
      <c r="EV128" s="109">
        <v>5200.2996847154227</v>
      </c>
    </row>
    <row r="129" spans="1:152" x14ac:dyDescent="0.3">
      <c r="A129" s="20" t="s">
        <v>83</v>
      </c>
      <c r="B129" s="20" t="s">
        <v>632</v>
      </c>
      <c r="C129" s="81">
        <v>2015</v>
      </c>
      <c r="D129" s="82">
        <v>4144.7550000000001</v>
      </c>
      <c r="E129" s="82">
        <v>3280.3890000000001</v>
      </c>
      <c r="F129" s="82">
        <v>2617.0619999999999</v>
      </c>
      <c r="G129" s="82">
        <v>2036.8520000000001</v>
      </c>
      <c r="H129" s="82">
        <v>1515.7670000000001</v>
      </c>
      <c r="I129" s="82">
        <v>1215.124</v>
      </c>
      <c r="J129" s="82">
        <v>1017.068</v>
      </c>
      <c r="K129" s="82">
        <v>888.78899999999999</v>
      </c>
      <c r="L129" s="82">
        <v>726.77800000000002</v>
      </c>
      <c r="M129" s="82">
        <v>593.79600000000005</v>
      </c>
      <c r="N129" s="82">
        <v>577.56299999999999</v>
      </c>
      <c r="O129" s="82">
        <v>448.01400000000001</v>
      </c>
      <c r="P129" s="82">
        <v>323.75200000000001</v>
      </c>
      <c r="Q129" s="82">
        <v>235.95</v>
      </c>
      <c r="R129" s="82">
        <v>154.19800000000001</v>
      </c>
      <c r="S129" s="82">
        <v>80.295000000000002</v>
      </c>
      <c r="T129" s="82">
        <v>32.835000000000001</v>
      </c>
      <c r="U129" s="82">
        <v>8.7889999999999997</v>
      </c>
      <c r="V129" s="82">
        <v>1.252</v>
      </c>
      <c r="W129" s="82">
        <v>8.8999999999999996E-2</v>
      </c>
      <c r="X129" s="82">
        <v>3.0000000000000001E-3</v>
      </c>
      <c r="Y129" s="82">
        <f t="shared" si="102"/>
        <v>19899.119999999995</v>
      </c>
      <c r="Z129" s="52">
        <f t="shared" si="103"/>
        <v>414.476</v>
      </c>
      <c r="AA129" s="52">
        <f t="shared" si="104"/>
        <v>414.476</v>
      </c>
      <c r="AB129" s="52">
        <f t="shared" si="105"/>
        <v>828.95100000000002</v>
      </c>
      <c r="AC129" s="52">
        <f t="shared" si="106"/>
        <v>2486.8530000000001</v>
      </c>
      <c r="AD129" s="52">
        <f t="shared" si="107"/>
        <v>5897.451</v>
      </c>
      <c r="AE129" s="52">
        <f t="shared" si="108"/>
        <v>7994.174</v>
      </c>
      <c r="AF129" s="52">
        <f t="shared" si="109"/>
        <v>1349.329</v>
      </c>
      <c r="AG129" s="52">
        <f t="shared" si="110"/>
        <v>513.41099999999994</v>
      </c>
      <c r="AH129" s="52">
        <f t="shared" si="111"/>
        <v>19899.121000000003</v>
      </c>
      <c r="AI129">
        <v>49.442999999999998</v>
      </c>
      <c r="AJ129" s="30">
        <f t="shared" si="112"/>
        <v>983872.23960300011</v>
      </c>
      <c r="AK129">
        <f t="shared" si="113"/>
        <v>828.95100000000002</v>
      </c>
      <c r="AM129" s="20" t="s">
        <v>83</v>
      </c>
      <c r="AN129" t="s">
        <v>290</v>
      </c>
      <c r="AO129" t="s">
        <v>291</v>
      </c>
      <c r="AP129" t="s">
        <v>691</v>
      </c>
      <c r="AQ129" s="55">
        <v>212305.61954498492</v>
      </c>
      <c r="AR129" s="55">
        <v>591.44950750132796</v>
      </c>
      <c r="AS129" t="s">
        <v>83</v>
      </c>
      <c r="AT129" t="s">
        <v>1276</v>
      </c>
      <c r="AU129" t="s">
        <v>1153</v>
      </c>
      <c r="AV129">
        <v>81.907781894864499</v>
      </c>
      <c r="AW129">
        <v>82.122825662966505</v>
      </c>
      <c r="AX129">
        <v>88.526351202004903</v>
      </c>
      <c r="AY129">
        <v>88.562191830021902</v>
      </c>
      <c r="AZ129">
        <v>88.609979334044596</v>
      </c>
      <c r="BA129">
        <v>98.627434864797806</v>
      </c>
      <c r="BB129">
        <v>99.202340682962799</v>
      </c>
      <c r="BC129">
        <v>100</v>
      </c>
      <c r="BD129">
        <v>102.942385140133</v>
      </c>
      <c r="BE129">
        <v>103.410865455741</v>
      </c>
      <c r="BF129">
        <v>105.787786635982</v>
      </c>
      <c r="BG129">
        <v>104.809731240239</v>
      </c>
      <c r="BH129">
        <v>105.86504479329299</v>
      </c>
      <c r="BJ129" s="20" t="s">
        <v>83</v>
      </c>
      <c r="BK129" t="s">
        <v>691</v>
      </c>
      <c r="BL129">
        <v>2015</v>
      </c>
      <c r="BM129">
        <f>INDEX('Costs lists'!$C$5:$C$8,MATCH(Lists!BK129,'Costs lists'!$B$5:$B$8,0))</f>
        <v>4.2</v>
      </c>
      <c r="BN129">
        <f>INDEX('Costs lists'!$D$5:$D$8,MATCH(Lists!BK129,'Costs lists'!$B$5:$B$8,0))</f>
        <v>4.2</v>
      </c>
      <c r="BO129">
        <f>INDEX('Costs lists'!$E$5:$E$8,MATCH(Lists!BK129,'Costs lists'!$B$5:$B$8,0))</f>
        <v>4.2</v>
      </c>
      <c r="BW129" s="20" t="s">
        <v>83</v>
      </c>
      <c r="BX129" s="20">
        <v>2008</v>
      </c>
      <c r="BY129" s="52">
        <v>326.62170000000003</v>
      </c>
      <c r="BZ129" s="52">
        <v>402.91289999999998</v>
      </c>
      <c r="CA129" s="52">
        <v>460.13129999999995</v>
      </c>
      <c r="CB129" s="52">
        <v>479.20409999999993</v>
      </c>
      <c r="CC129" s="375">
        <f t="shared" si="131"/>
        <v>337.58856000000003</v>
      </c>
      <c r="CD129" s="375">
        <v>4.05</v>
      </c>
      <c r="CE129" s="375">
        <v>4.2300000000000004</v>
      </c>
      <c r="CF129" s="375">
        <v>5.47</v>
      </c>
      <c r="CG129" s="375">
        <f t="shared" si="130"/>
        <v>4.3166666666666664</v>
      </c>
      <c r="CI129" s="20" t="s">
        <v>83</v>
      </c>
      <c r="CJ129" s="20">
        <v>2015</v>
      </c>
      <c r="CK129" s="59">
        <f t="shared" si="114"/>
        <v>350.59028908500039</v>
      </c>
      <c r="CL129" s="59">
        <f t="shared" si="115"/>
        <v>432.47999164500044</v>
      </c>
      <c r="CM129" s="59">
        <f t="shared" si="116"/>
        <v>493.89726856500045</v>
      </c>
      <c r="CN129" s="59">
        <f t="shared" si="117"/>
        <v>514.36969420500043</v>
      </c>
      <c r="CO129" s="59">
        <f t="shared" si="118"/>
        <v>362.36193382800042</v>
      </c>
      <c r="CP129" s="59">
        <f t="shared" si="119"/>
        <v>4.3472025000000043</v>
      </c>
      <c r="CQ129" s="59">
        <f t="shared" si="120"/>
        <v>4.5404115000000056</v>
      </c>
      <c r="CR129" s="59">
        <f t="shared" si="121"/>
        <v>5.8714068333333396</v>
      </c>
      <c r="CS129" s="59">
        <f t="shared" si="122"/>
        <v>4.6334380555555601</v>
      </c>
      <c r="CW129" s="20" t="s">
        <v>83</v>
      </c>
      <c r="CX129">
        <v>2014</v>
      </c>
      <c r="CY129">
        <v>19.113727999999998</v>
      </c>
      <c r="CZ129">
        <v>6.7906045913696289</v>
      </c>
      <c r="DB129">
        <v>16591.421875</v>
      </c>
      <c r="DC129">
        <v>0.43861222267150879</v>
      </c>
      <c r="DE129">
        <f t="shared" si="123"/>
        <v>1071.6572181397871</v>
      </c>
      <c r="DH129" t="e">
        <f t="shared" si="124"/>
        <v>#DIV/0!</v>
      </c>
      <c r="DI129" t="e">
        <f t="shared" si="95"/>
        <v>#DIV/0!</v>
      </c>
      <c r="DJ129" t="e">
        <f t="shared" si="96"/>
        <v>#DIV/0!</v>
      </c>
      <c r="DL129" s="20" t="s">
        <v>83</v>
      </c>
      <c r="DM129" s="99"/>
      <c r="DN129" s="100"/>
      <c r="DO129" s="101"/>
      <c r="DP129" s="101"/>
      <c r="DQ129" s="101"/>
      <c r="DR129" s="101"/>
      <c r="DS129" s="101"/>
      <c r="DT129" s="101"/>
      <c r="DU129" s="101"/>
      <c r="DV129" s="101"/>
      <c r="DW129" s="101"/>
      <c r="DX129" t="e">
        <f t="shared" ca="1" si="125"/>
        <v>#N/A</v>
      </c>
      <c r="DY129" t="e">
        <f t="shared" ca="1" si="126"/>
        <v>#N/A</v>
      </c>
      <c r="DZ129" t="e">
        <f t="shared" ca="1" si="127"/>
        <v>#N/A</v>
      </c>
      <c r="EB129" s="20" t="s">
        <v>83</v>
      </c>
      <c r="EC129" s="99" t="s">
        <v>833</v>
      </c>
      <c r="ED129" s="100" t="s">
        <v>754</v>
      </c>
      <c r="EE129" s="101">
        <v>63.8</v>
      </c>
      <c r="EF129" s="101">
        <v>63.6</v>
      </c>
      <c r="EG129" s="101">
        <v>62</v>
      </c>
      <c r="EH129" s="101">
        <v>58.5</v>
      </c>
      <c r="EI129" s="101">
        <v>57.2</v>
      </c>
      <c r="EJ129" s="101">
        <v>55.4</v>
      </c>
      <c r="EK129" s="101"/>
      <c r="EL129" s="101"/>
      <c r="EM129" s="101"/>
      <c r="EN129" s="101"/>
      <c r="EO129">
        <f t="shared" ca="1" si="132"/>
        <v>55.4</v>
      </c>
      <c r="EQ129" s="20" t="s">
        <v>83</v>
      </c>
      <c r="ER129" s="20" t="e">
        <f t="shared" ca="1" si="128"/>
        <v>#N/A</v>
      </c>
      <c r="ES129" t="e">
        <f t="shared" ca="1" si="129"/>
        <v>#N/A</v>
      </c>
      <c r="EU129" s="20" t="s">
        <v>83</v>
      </c>
      <c r="EV129" s="109">
        <v>955.48332371522656</v>
      </c>
    </row>
    <row r="130" spans="1:152" x14ac:dyDescent="0.3">
      <c r="A130" s="20" t="s">
        <v>84</v>
      </c>
      <c r="B130" s="20" t="s">
        <v>632</v>
      </c>
      <c r="C130" s="81">
        <v>2015</v>
      </c>
      <c r="D130" s="82">
        <v>31109.162</v>
      </c>
      <c r="E130" s="82">
        <v>26487.539000000001</v>
      </c>
      <c r="F130" s="82">
        <v>22552.423999999999</v>
      </c>
      <c r="G130" s="82">
        <v>18833.784</v>
      </c>
      <c r="H130" s="82">
        <v>15839.183999999999</v>
      </c>
      <c r="I130" s="82">
        <v>13677.956</v>
      </c>
      <c r="J130" s="82">
        <v>11873.898999999999</v>
      </c>
      <c r="K130" s="82">
        <v>9941.5810000000001</v>
      </c>
      <c r="L130" s="82">
        <v>8011.0889999999999</v>
      </c>
      <c r="M130" s="82">
        <v>6359.415</v>
      </c>
      <c r="N130" s="82">
        <v>5198.8230000000003</v>
      </c>
      <c r="O130" s="82">
        <v>4158.8220000000001</v>
      </c>
      <c r="P130" s="82">
        <v>3171.9270000000001</v>
      </c>
      <c r="Q130" s="82">
        <v>2352.8960000000002</v>
      </c>
      <c r="R130" s="82">
        <v>1517.086</v>
      </c>
      <c r="S130" s="82">
        <v>766.99699999999996</v>
      </c>
      <c r="T130" s="82">
        <v>277.77600000000001</v>
      </c>
      <c r="U130" s="82">
        <v>63.31</v>
      </c>
      <c r="V130" s="82">
        <v>7.7489999999999997</v>
      </c>
      <c r="W130" s="82">
        <v>0.51600000000000001</v>
      </c>
      <c r="X130" s="82">
        <v>2.7E-2</v>
      </c>
      <c r="Y130" s="82">
        <f t="shared" si="102"/>
        <v>182201.96200000006</v>
      </c>
      <c r="Z130" s="52">
        <f t="shared" si="103"/>
        <v>3110.9160000000002</v>
      </c>
      <c r="AA130" s="52">
        <f t="shared" si="104"/>
        <v>3110.9160000000002</v>
      </c>
      <c r="AB130" s="52">
        <f t="shared" si="105"/>
        <v>6221.8320000000003</v>
      </c>
      <c r="AC130" s="52">
        <f t="shared" si="106"/>
        <v>18665.496999999999</v>
      </c>
      <c r="AD130" s="52">
        <f t="shared" si="107"/>
        <v>49039.963000000003</v>
      </c>
      <c r="AE130" s="52">
        <f t="shared" si="108"/>
        <v>84536.907999999996</v>
      </c>
      <c r="AF130" s="52">
        <f t="shared" si="109"/>
        <v>12529.572</v>
      </c>
      <c r="AG130" s="52">
        <f t="shared" si="110"/>
        <v>4986.357</v>
      </c>
      <c r="AH130" s="52">
        <f t="shared" si="111"/>
        <v>182201.96099999998</v>
      </c>
      <c r="AI130">
        <v>39.6</v>
      </c>
      <c r="AJ130" s="30">
        <f t="shared" si="112"/>
        <v>7215197.6555999992</v>
      </c>
      <c r="AK130">
        <f t="shared" si="113"/>
        <v>6221.8324000000002</v>
      </c>
      <c r="AM130" s="20" t="s">
        <v>84</v>
      </c>
      <c r="AN130" t="s">
        <v>442</v>
      </c>
      <c r="AO130" t="s">
        <v>443</v>
      </c>
      <c r="AP130" t="s">
        <v>688</v>
      </c>
      <c r="AQ130" s="55">
        <v>522374.92195610935</v>
      </c>
      <c r="AR130" s="55">
        <v>192.44052444178601</v>
      </c>
      <c r="AS130" t="s">
        <v>84</v>
      </c>
      <c r="AT130" t="s">
        <v>1277</v>
      </c>
      <c r="AU130" t="s">
        <v>1153</v>
      </c>
      <c r="AV130">
        <v>45.702433447515503</v>
      </c>
      <c r="AW130">
        <v>52.5568998717714</v>
      </c>
      <c r="AX130">
        <v>61.9453981938249</v>
      </c>
      <c r="AY130">
        <v>67.049405704282805</v>
      </c>
      <c r="AZ130">
        <v>70.658154676465699</v>
      </c>
      <c r="BA130">
        <v>78.838944179143297</v>
      </c>
      <c r="BB130">
        <v>87.9351235559636</v>
      </c>
      <c r="BC130">
        <v>100</v>
      </c>
      <c r="BD130">
        <v>110.84079259429301</v>
      </c>
      <c r="BE130">
        <v>124.38222018208199</v>
      </c>
      <c r="BF130">
        <v>134.92464233800001</v>
      </c>
      <c r="BG130">
        <v>145.796037028537</v>
      </c>
      <c r="BH130">
        <v>158.94346262719</v>
      </c>
      <c r="BJ130" s="20" t="s">
        <v>84</v>
      </c>
      <c r="BK130" t="s">
        <v>688</v>
      </c>
      <c r="BL130">
        <v>2015</v>
      </c>
      <c r="BM130">
        <f>INDEX('Costs lists'!$C$5:$C$8,MATCH(Lists!BK130,'Costs lists'!$B$5:$B$8,0))</f>
        <v>5.21</v>
      </c>
      <c r="BN130">
        <f>INDEX('Costs lists'!$D$5:$D$8,MATCH(Lists!BK130,'Costs lists'!$B$5:$B$8,0))</f>
        <v>5.16</v>
      </c>
      <c r="BO130">
        <f>INDEX('Costs lists'!$E$5:$E$8,MATCH(Lists!BK130,'Costs lists'!$B$5:$B$8,0))</f>
        <v>5.26</v>
      </c>
      <c r="BW130" s="20" t="s">
        <v>84</v>
      </c>
      <c r="BX130" s="20">
        <v>2008</v>
      </c>
      <c r="BY130" s="52">
        <v>288.06790000000001</v>
      </c>
      <c r="BZ130" s="52">
        <v>355.25799999999998</v>
      </c>
      <c r="CA130" s="52">
        <v>404.68520000000001</v>
      </c>
      <c r="CB130" s="52">
        <v>421.67580000000004</v>
      </c>
      <c r="CC130" s="375">
        <f t="shared" si="131"/>
        <v>297.68303500000002</v>
      </c>
      <c r="CD130" s="375">
        <v>16.059999999999999</v>
      </c>
      <c r="CE130" s="375">
        <v>16.75</v>
      </c>
      <c r="CF130" s="375">
        <v>21.66</v>
      </c>
      <c r="CG130" s="375">
        <f t="shared" si="130"/>
        <v>17.108333333333331</v>
      </c>
      <c r="CI130" s="20" t="s">
        <v>84</v>
      </c>
      <c r="CJ130" s="20">
        <v>2015</v>
      </c>
      <c r="CK130" s="59">
        <f t="shared" si="114"/>
        <v>580.76005424050129</v>
      </c>
      <c r="CL130" s="59">
        <f t="shared" si="115"/>
        <v>716.21883364780308</v>
      </c>
      <c r="CM130" s="59">
        <f t="shared" si="116"/>
        <v>815.8666713727149</v>
      </c>
      <c r="CN130" s="59">
        <f t="shared" si="117"/>
        <v>850.1206155906533</v>
      </c>
      <c r="CO130" s="59">
        <f t="shared" si="118"/>
        <v>600.14467267292548</v>
      </c>
      <c r="CP130" s="59">
        <f t="shared" si="119"/>
        <v>32.377805618406107</v>
      </c>
      <c r="CQ130" s="59">
        <f t="shared" si="120"/>
        <v>33.768881949458425</v>
      </c>
      <c r="CR130" s="59">
        <f t="shared" si="121"/>
        <v>43.667700479120569</v>
      </c>
      <c r="CS130" s="59">
        <f t="shared" si="122"/>
        <v>34.491300817033903</v>
      </c>
      <c r="CW130" s="20" t="s">
        <v>84</v>
      </c>
      <c r="CX130">
        <v>2014</v>
      </c>
      <c r="CY130">
        <v>177.47598600000001</v>
      </c>
      <c r="CZ130">
        <v>56.821067810058594</v>
      </c>
      <c r="DB130">
        <v>975982.0625</v>
      </c>
      <c r="DC130">
        <v>0.48877426981925964</v>
      </c>
      <c r="DE130">
        <f t="shared" si="123"/>
        <v>8395.3881604225462</v>
      </c>
      <c r="DH130" t="e">
        <f t="shared" si="124"/>
        <v>#DIV/0!</v>
      </c>
      <c r="DI130" t="e">
        <f t="shared" si="95"/>
        <v>#DIV/0!</v>
      </c>
      <c r="DJ130" t="e">
        <f t="shared" si="96"/>
        <v>#DIV/0!</v>
      </c>
      <c r="DL130" s="20" t="s">
        <v>84</v>
      </c>
      <c r="DM130" s="99"/>
      <c r="DN130" s="100"/>
      <c r="DO130" s="101"/>
      <c r="DP130" s="101"/>
      <c r="DQ130" s="101"/>
      <c r="DR130" s="101"/>
      <c r="DS130" s="101"/>
      <c r="DT130" s="101"/>
      <c r="DU130" s="101"/>
      <c r="DV130" s="101"/>
      <c r="DW130" s="101"/>
      <c r="DX130" t="e">
        <f t="shared" ca="1" si="125"/>
        <v>#N/A</v>
      </c>
      <c r="DY130" t="e">
        <f t="shared" ca="1" si="126"/>
        <v>#N/A</v>
      </c>
      <c r="DZ130" t="e">
        <f t="shared" ca="1" si="127"/>
        <v>#N/A</v>
      </c>
      <c r="EB130" s="20" t="s">
        <v>84</v>
      </c>
      <c r="EC130" s="99"/>
      <c r="ED130" s="100"/>
      <c r="EE130" s="101"/>
      <c r="EF130" s="101"/>
      <c r="EG130" s="101"/>
      <c r="EH130" s="101"/>
      <c r="EI130" s="101"/>
      <c r="EJ130" s="101"/>
      <c r="EK130" s="101"/>
      <c r="EL130" s="101"/>
      <c r="EM130" s="101"/>
      <c r="EN130" s="101"/>
      <c r="EQ130" s="20" t="s">
        <v>84</v>
      </c>
      <c r="ER130" s="20" t="e">
        <f t="shared" ca="1" si="128"/>
        <v>#N/A</v>
      </c>
      <c r="ES130" t="e">
        <f t="shared" ca="1" si="129"/>
        <v>#N/A</v>
      </c>
      <c r="EU130" s="20" t="s">
        <v>84</v>
      </c>
      <c r="EV130" s="109">
        <v>6003.8900711542674</v>
      </c>
    </row>
    <row r="131" spans="1:152" x14ac:dyDescent="0.3">
      <c r="A131" s="20" t="s">
        <v>153</v>
      </c>
      <c r="B131" s="20" t="s">
        <v>257</v>
      </c>
      <c r="C131" s="81">
        <v>2015</v>
      </c>
      <c r="D131" s="82">
        <v>314.73700000000002</v>
      </c>
      <c r="E131" s="82">
        <v>316.34699999999998</v>
      </c>
      <c r="F131" s="82">
        <v>305.25099999999998</v>
      </c>
      <c r="G131" s="82">
        <v>327.10000000000002</v>
      </c>
      <c r="H131" s="82">
        <v>356.04</v>
      </c>
      <c r="I131" s="82">
        <v>356.899</v>
      </c>
      <c r="J131" s="82">
        <v>350.65699999999998</v>
      </c>
      <c r="K131" s="82">
        <v>337.31700000000001</v>
      </c>
      <c r="L131" s="82">
        <v>379.20800000000003</v>
      </c>
      <c r="M131" s="82">
        <v>380.07799999999997</v>
      </c>
      <c r="N131" s="82">
        <v>335.14299999999997</v>
      </c>
      <c r="O131" s="82">
        <v>318.53500000000003</v>
      </c>
      <c r="P131" s="82">
        <v>282.55200000000002</v>
      </c>
      <c r="Q131" s="82">
        <v>300.95600000000002</v>
      </c>
      <c r="R131" s="82">
        <v>194.316</v>
      </c>
      <c r="S131" s="82">
        <v>135.541</v>
      </c>
      <c r="T131" s="82">
        <v>106.00700000000001</v>
      </c>
      <c r="U131" s="82">
        <v>71.027000000000001</v>
      </c>
      <c r="V131" s="82">
        <v>34.835000000000001</v>
      </c>
      <c r="W131" s="82">
        <v>7.7060000000000004</v>
      </c>
      <c r="X131" s="82">
        <v>0.71499999999999997</v>
      </c>
      <c r="Y131" s="82">
        <f t="shared" si="102"/>
        <v>5210.9669999999996</v>
      </c>
      <c r="Z131" s="52">
        <f t="shared" si="103"/>
        <v>31.474</v>
      </c>
      <c r="AA131" s="52">
        <f t="shared" si="104"/>
        <v>31.474</v>
      </c>
      <c r="AB131" s="52">
        <f t="shared" si="105"/>
        <v>62.947000000000003</v>
      </c>
      <c r="AC131" s="52">
        <f t="shared" si="106"/>
        <v>188.84200000000001</v>
      </c>
      <c r="AD131" s="52">
        <f t="shared" si="107"/>
        <v>621.59799999999996</v>
      </c>
      <c r="AE131" s="52">
        <f t="shared" si="108"/>
        <v>2487.299</v>
      </c>
      <c r="AF131" s="52">
        <f t="shared" si="109"/>
        <v>936.23</v>
      </c>
      <c r="AG131" s="52">
        <f t="shared" si="110"/>
        <v>851.10299999999995</v>
      </c>
      <c r="AH131" s="52">
        <f t="shared" si="111"/>
        <v>5210.9669999999996</v>
      </c>
      <c r="AI131">
        <v>11.5</v>
      </c>
      <c r="AJ131" s="30">
        <f t="shared" si="112"/>
        <v>59926.120499999997</v>
      </c>
      <c r="AK131">
        <f t="shared" si="113"/>
        <v>62.947400000000002</v>
      </c>
      <c r="AM131" s="20" t="s">
        <v>153</v>
      </c>
      <c r="AN131" t="s">
        <v>446</v>
      </c>
      <c r="AO131" t="s">
        <v>447</v>
      </c>
      <c r="AP131" t="s">
        <v>690</v>
      </c>
      <c r="AQ131" s="55">
        <v>600633.80510993814</v>
      </c>
      <c r="AR131" s="55">
        <v>8.0641666666666705</v>
      </c>
      <c r="AS131" t="s">
        <v>153</v>
      </c>
      <c r="AT131" t="s">
        <v>1278</v>
      </c>
      <c r="AU131" t="s">
        <v>1153</v>
      </c>
      <c r="AV131">
        <v>87.618122977346303</v>
      </c>
      <c r="AW131">
        <v>88.025889967637596</v>
      </c>
      <c r="AX131">
        <v>89.365695792880203</v>
      </c>
      <c r="AY131">
        <v>91.449838187702298</v>
      </c>
      <c r="AZ131">
        <v>92.116504854368898</v>
      </c>
      <c r="BA131">
        <v>95.585760517799301</v>
      </c>
      <c r="BB131">
        <v>97.656957928802299</v>
      </c>
      <c r="BC131">
        <v>100</v>
      </c>
      <c r="BD131">
        <v>101.300970873786</v>
      </c>
      <c r="BE131">
        <v>102.01941747572801</v>
      </c>
      <c r="BF131">
        <v>104.194174757282</v>
      </c>
      <c r="BG131">
        <v>106.30420711974099</v>
      </c>
      <c r="BH131">
        <v>108.61488673139201</v>
      </c>
      <c r="BJ131" s="20" t="s">
        <v>153</v>
      </c>
      <c r="BK131" t="s">
        <v>690</v>
      </c>
      <c r="BL131">
        <v>2015</v>
      </c>
      <c r="BM131">
        <f>INDEX('Costs lists'!$C$5:$C$8,MATCH(Lists!BK131,'Costs lists'!$B$5:$B$8,0))</f>
        <v>3.55</v>
      </c>
      <c r="BN131">
        <f>INDEX('Costs lists'!$D$5:$D$8,MATCH(Lists!BK131,'Costs lists'!$B$5:$B$8,0))</f>
        <v>2.91</v>
      </c>
      <c r="BO131">
        <f>INDEX('Costs lists'!$E$5:$E$8,MATCH(Lists!BK131,'Costs lists'!$B$5:$B$8,0))</f>
        <v>7.59</v>
      </c>
      <c r="BW131" s="20" t="s">
        <v>153</v>
      </c>
      <c r="BX131" s="20">
        <v>2008</v>
      </c>
      <c r="BY131" s="52">
        <v>577.82759999999996</v>
      </c>
      <c r="BZ131" s="52">
        <v>713.49599999999998</v>
      </c>
      <c r="CA131" s="52">
        <v>813.05560000000003</v>
      </c>
      <c r="CB131" s="52">
        <v>847.25479999999993</v>
      </c>
      <c r="CC131" s="375">
        <f t="shared" si="131"/>
        <v>597.22739999999999</v>
      </c>
      <c r="CD131" s="375">
        <v>853.56</v>
      </c>
      <c r="CE131" s="375">
        <v>890.47</v>
      </c>
      <c r="CF131" s="375">
        <v>1151.42</v>
      </c>
      <c r="CG131" s="375">
        <f t="shared" si="130"/>
        <v>909.3549999999999</v>
      </c>
      <c r="CI131" s="20" t="s">
        <v>153</v>
      </c>
      <c r="CJ131" s="20">
        <v>2015</v>
      </c>
      <c r="CK131" s="59">
        <f t="shared" si="114"/>
        <v>656.59025972372979</v>
      </c>
      <c r="CL131" s="59">
        <f t="shared" si="115"/>
        <v>810.75137973998176</v>
      </c>
      <c r="CM131" s="59">
        <f t="shared" si="116"/>
        <v>923.8817729956703</v>
      </c>
      <c r="CN131" s="59">
        <f t="shared" si="117"/>
        <v>962.74260555255012</v>
      </c>
      <c r="CO131" s="59">
        <f t="shared" si="118"/>
        <v>678.63441220206141</v>
      </c>
      <c r="CP131" s="59">
        <f t="shared" si="119"/>
        <v>969.90725622968989</v>
      </c>
      <c r="CQ131" s="59">
        <f t="shared" si="120"/>
        <v>1011.8483931473501</v>
      </c>
      <c r="CR131" s="59">
        <f t="shared" si="121"/>
        <v>1308.3680268147402</v>
      </c>
      <c r="CS131" s="59">
        <f t="shared" si="122"/>
        <v>1033.3075741468083</v>
      </c>
      <c r="CW131" s="20" t="s">
        <v>153</v>
      </c>
      <c r="CX131">
        <v>2014</v>
      </c>
      <c r="CY131">
        <v>5.1479699999999999</v>
      </c>
      <c r="CZ131">
        <v>2.7480950355529785</v>
      </c>
      <c r="DA131">
        <v>1426.8656716417911</v>
      </c>
      <c r="DB131">
        <v>390833.78125</v>
      </c>
      <c r="DC131">
        <v>0.53361409902572632</v>
      </c>
      <c r="DE131">
        <f t="shared" si="123"/>
        <v>75890.539938539907</v>
      </c>
      <c r="DH131">
        <f t="shared" si="124"/>
        <v>53.186884684959978</v>
      </c>
      <c r="DI131">
        <f t="shared" si="95"/>
        <v>54.342980510126502</v>
      </c>
      <c r="DJ131">
        <f t="shared" si="96"/>
        <v>101.79998499230311</v>
      </c>
      <c r="DL131" s="20" t="s">
        <v>153</v>
      </c>
      <c r="DM131" s="99" t="s">
        <v>796</v>
      </c>
      <c r="DN131" s="100" t="s">
        <v>754</v>
      </c>
      <c r="DO131" s="101">
        <v>34.799999999999997</v>
      </c>
      <c r="DP131" s="101">
        <v>34.9</v>
      </c>
      <c r="DQ131" s="101">
        <v>33.700000000000003</v>
      </c>
      <c r="DR131" s="101">
        <v>34.5</v>
      </c>
      <c r="DS131" s="101">
        <v>34.700000000000003</v>
      </c>
      <c r="DT131" s="101">
        <v>34.700000000000003</v>
      </c>
      <c r="DU131" s="101">
        <v>34.5</v>
      </c>
      <c r="DV131" s="101">
        <v>34.799999999999997</v>
      </c>
      <c r="DW131" s="101">
        <v>34.4</v>
      </c>
      <c r="DX131">
        <f t="shared" ca="1" si="125"/>
        <v>34.4</v>
      </c>
      <c r="DY131">
        <f t="shared" ca="1" si="126"/>
        <v>6.88</v>
      </c>
      <c r="DZ131">
        <f t="shared" ca="1" si="127"/>
        <v>373.87970590967035</v>
      </c>
      <c r="EB131" s="20" t="s">
        <v>153</v>
      </c>
      <c r="EC131" s="99" t="s">
        <v>796</v>
      </c>
      <c r="ED131" s="100" t="s">
        <v>754</v>
      </c>
      <c r="EE131" s="101">
        <v>69.400000000000006</v>
      </c>
      <c r="EF131" s="101">
        <v>70.8</v>
      </c>
      <c r="EG131" s="101">
        <v>71.900000000000006</v>
      </c>
      <c r="EH131" s="101">
        <v>70.400000000000006</v>
      </c>
      <c r="EI131" s="101">
        <v>69.3</v>
      </c>
      <c r="EJ131" s="101">
        <v>69</v>
      </c>
      <c r="EK131" s="101">
        <v>69.2</v>
      </c>
      <c r="EL131" s="101">
        <v>68.599999999999994</v>
      </c>
      <c r="EM131" s="101">
        <v>62.6</v>
      </c>
      <c r="EN131" s="101">
        <v>62.2</v>
      </c>
      <c r="EO131">
        <f ca="1">OFFSET(EE131,0,MATCH(MAX(EE131:EN131)+1,EE131:EN131,1)-1)</f>
        <v>62.2</v>
      </c>
      <c r="EQ131" s="20" t="s">
        <v>153</v>
      </c>
      <c r="ER131" s="20">
        <f t="shared" ca="1" si="128"/>
        <v>373.87970590967035</v>
      </c>
      <c r="ES131">
        <f t="shared" ca="1" si="129"/>
        <v>232.55317707581497</v>
      </c>
      <c r="EU131" s="20" t="s">
        <v>153</v>
      </c>
      <c r="EV131" s="109">
        <v>61196.688188066451</v>
      </c>
    </row>
    <row r="132" spans="1:152" x14ac:dyDescent="0.3">
      <c r="A132" s="20" t="s">
        <v>128</v>
      </c>
      <c r="B132" s="20" t="s">
        <v>631</v>
      </c>
      <c r="C132" s="81">
        <v>2015</v>
      </c>
      <c r="D132" s="82">
        <v>385.29300000000001</v>
      </c>
      <c r="E132" s="82">
        <v>306.30599999999998</v>
      </c>
      <c r="F132" s="82">
        <v>229.89599999999999</v>
      </c>
      <c r="G132" s="82">
        <v>246.16499999999999</v>
      </c>
      <c r="H132" s="82">
        <v>484.113</v>
      </c>
      <c r="I132" s="82">
        <v>741.42200000000003</v>
      </c>
      <c r="J132" s="82">
        <v>679.86500000000001</v>
      </c>
      <c r="K132" s="82">
        <v>436.65199999999999</v>
      </c>
      <c r="L132" s="82">
        <v>298.90600000000001</v>
      </c>
      <c r="M132" s="82">
        <v>229.55199999999999</v>
      </c>
      <c r="N132" s="82">
        <v>146.59</v>
      </c>
      <c r="O132" s="82">
        <v>110.166</v>
      </c>
      <c r="P132" s="82">
        <v>79.712000000000003</v>
      </c>
      <c r="Q132" s="82">
        <v>46.966999999999999</v>
      </c>
      <c r="R132" s="82">
        <v>34.817</v>
      </c>
      <c r="S132" s="82">
        <v>17.927</v>
      </c>
      <c r="T132" s="82">
        <v>9.0649999999999995</v>
      </c>
      <c r="U132" s="82">
        <v>4.6459999999999999</v>
      </c>
      <c r="V132" s="82">
        <v>1.786</v>
      </c>
      <c r="W132" s="82">
        <v>0.57899999999999996</v>
      </c>
      <c r="X132" s="82">
        <v>0.11600000000000001</v>
      </c>
      <c r="Y132" s="82">
        <f t="shared" si="102"/>
        <v>4490.5409999999983</v>
      </c>
      <c r="Z132" s="52">
        <f t="shared" si="103"/>
        <v>38.529000000000003</v>
      </c>
      <c r="AA132" s="52">
        <f t="shared" si="104"/>
        <v>38.529000000000003</v>
      </c>
      <c r="AB132" s="52">
        <f t="shared" si="105"/>
        <v>77.058999999999997</v>
      </c>
      <c r="AC132" s="52">
        <f t="shared" si="106"/>
        <v>231.17599999999999</v>
      </c>
      <c r="AD132" s="52">
        <f t="shared" si="107"/>
        <v>536.202</v>
      </c>
      <c r="AE132" s="52">
        <f t="shared" si="108"/>
        <v>3116.6750000000002</v>
      </c>
      <c r="AF132" s="52">
        <f t="shared" si="109"/>
        <v>336.46800000000002</v>
      </c>
      <c r="AG132" s="52">
        <f t="shared" si="110"/>
        <v>115.90300000000001</v>
      </c>
      <c r="AH132" s="52">
        <f t="shared" si="111"/>
        <v>4490.5410000000002</v>
      </c>
      <c r="AI132">
        <v>19.917999999999999</v>
      </c>
      <c r="AJ132" s="30">
        <f t="shared" si="112"/>
        <v>89442.595637999999</v>
      </c>
      <c r="AK132">
        <f t="shared" si="113"/>
        <v>77.058599999999998</v>
      </c>
      <c r="AM132" s="20" t="s">
        <v>128</v>
      </c>
      <c r="AN132" t="s">
        <v>448</v>
      </c>
      <c r="AO132" t="s">
        <v>449</v>
      </c>
      <c r="AP132" t="s">
        <v>690</v>
      </c>
      <c r="AQ132" s="55">
        <v>5979.2350186759231</v>
      </c>
      <c r="AR132" s="55">
        <v>0.38450000000000001</v>
      </c>
      <c r="AS132" t="s">
        <v>128</v>
      </c>
      <c r="AT132" t="s">
        <v>1279</v>
      </c>
      <c r="AU132" t="s">
        <v>1153</v>
      </c>
      <c r="AV132">
        <v>74.1087010720519</v>
      </c>
      <c r="AW132">
        <v>74.669658439291993</v>
      </c>
      <c r="AX132">
        <v>76.059586138120196</v>
      </c>
      <c r="AY132">
        <v>78.496634255796593</v>
      </c>
      <c r="AZ132">
        <v>83.171278982797304</v>
      </c>
      <c r="BA132">
        <v>93.227374719521293</v>
      </c>
      <c r="BB132">
        <v>96.896035901271503</v>
      </c>
      <c r="BC132">
        <v>100</v>
      </c>
      <c r="BD132">
        <v>104.070057342309</v>
      </c>
      <c r="BE132">
        <v>107.09922712540499</v>
      </c>
      <c r="BF132">
        <v>108.43305908750899</v>
      </c>
      <c r="BG132">
        <v>109.53258639729999</v>
      </c>
      <c r="BH132">
        <v>109.60410036866899</v>
      </c>
      <c r="BJ132" s="20" t="s">
        <v>128</v>
      </c>
      <c r="BK132" t="s">
        <v>690</v>
      </c>
      <c r="BL132">
        <v>2015</v>
      </c>
      <c r="BM132">
        <f>INDEX('Costs lists'!$C$5:$C$8,MATCH(Lists!BK132,'Costs lists'!$B$5:$B$8,0))</f>
        <v>3.55</v>
      </c>
      <c r="BN132">
        <f>INDEX('Costs lists'!$D$5:$D$8,MATCH(Lists!BK132,'Costs lists'!$B$5:$B$8,0))</f>
        <v>2.91</v>
      </c>
      <c r="BO132">
        <f>INDEX('Costs lists'!$E$5:$E$8,MATCH(Lists!BK132,'Costs lists'!$B$5:$B$8,0))</f>
        <v>7.59</v>
      </c>
      <c r="BW132" s="20" t="s">
        <v>128</v>
      </c>
      <c r="BX132" s="20">
        <v>2008</v>
      </c>
      <c r="BY132" s="52">
        <v>9.9672999999999981</v>
      </c>
      <c r="BZ132" s="52">
        <v>12.307599999999999</v>
      </c>
      <c r="CA132" s="52">
        <v>14.027299999999999</v>
      </c>
      <c r="CB132" s="52">
        <v>14.615999999999998</v>
      </c>
      <c r="CC132" s="375">
        <f t="shared" si="131"/>
        <v>10.302032499999997</v>
      </c>
      <c r="CD132" s="375">
        <v>343.28</v>
      </c>
      <c r="CE132" s="375">
        <v>358.13</v>
      </c>
      <c r="CF132" s="375">
        <v>463.08</v>
      </c>
      <c r="CG132" s="375">
        <f t="shared" si="130"/>
        <v>365.72166666666664</v>
      </c>
      <c r="CI132" s="20" t="s">
        <v>128</v>
      </c>
      <c r="CJ132" s="20">
        <v>2015</v>
      </c>
      <c r="CK132" s="59">
        <f t="shared" si="114"/>
        <v>11.718199218752426</v>
      </c>
      <c r="CL132" s="59">
        <f t="shared" si="115"/>
        <v>14.469606483673351</v>
      </c>
      <c r="CM132" s="59">
        <f t="shared" si="116"/>
        <v>16.491396456533458</v>
      </c>
      <c r="CN132" s="59">
        <f t="shared" si="117"/>
        <v>17.183510056011706</v>
      </c>
      <c r="CO132" s="59">
        <f t="shared" si="118"/>
        <v>12.111732283874479</v>
      </c>
      <c r="CP132" s="59">
        <f t="shared" si="119"/>
        <v>403.58205610479604</v>
      </c>
      <c r="CQ132" s="59">
        <f t="shared" si="120"/>
        <v>421.04067161736953</v>
      </c>
      <c r="CR132" s="59">
        <f t="shared" si="121"/>
        <v>544.42664454966484</v>
      </c>
      <c r="CS132" s="59">
        <f t="shared" si="122"/>
        <v>429.9659234310364</v>
      </c>
      <c r="CW132" s="20" t="s">
        <v>128</v>
      </c>
      <c r="CX132">
        <v>2014</v>
      </c>
      <c r="CY132">
        <v>4.2360569999999997</v>
      </c>
      <c r="CZ132">
        <v>2.0080139636993408</v>
      </c>
      <c r="DB132">
        <v>156451.875</v>
      </c>
      <c r="DC132">
        <v>0.30266872048377991</v>
      </c>
      <c r="DE132">
        <f t="shared" si="123"/>
        <v>23582.051559193456</v>
      </c>
      <c r="DH132" t="e">
        <f t="shared" si="124"/>
        <v>#DIV/0!</v>
      </c>
      <c r="DI132" t="e">
        <f t="shared" si="95"/>
        <v>#DIV/0!</v>
      </c>
      <c r="DJ132" t="e">
        <f t="shared" si="96"/>
        <v>#DIV/0!</v>
      </c>
      <c r="DL132" s="20" t="s">
        <v>128</v>
      </c>
      <c r="DM132" s="99"/>
      <c r="DN132" s="100"/>
      <c r="DO132" s="101"/>
      <c r="DP132" s="101"/>
      <c r="DQ132" s="101"/>
      <c r="DR132" s="101"/>
      <c r="DS132" s="101"/>
      <c r="DT132" s="101"/>
      <c r="DU132" s="101"/>
      <c r="DV132" s="101"/>
      <c r="DW132" s="101"/>
      <c r="DX132" t="e">
        <f t="shared" ca="1" si="125"/>
        <v>#N/A</v>
      </c>
      <c r="DY132" t="e">
        <f t="shared" ca="1" si="126"/>
        <v>#N/A</v>
      </c>
      <c r="DZ132" t="e">
        <f t="shared" ca="1" si="127"/>
        <v>#N/A</v>
      </c>
      <c r="EB132" s="20" t="s">
        <v>128</v>
      </c>
      <c r="EC132" s="99" t="s">
        <v>834</v>
      </c>
      <c r="ED132" s="100" t="s">
        <v>754</v>
      </c>
      <c r="EE132" s="101"/>
      <c r="EF132" s="101"/>
      <c r="EG132" s="101"/>
      <c r="EH132" s="101"/>
      <c r="EI132" s="101">
        <v>54.9</v>
      </c>
      <c r="EJ132" s="101"/>
      <c r="EK132" s="101"/>
      <c r="EL132" s="101"/>
      <c r="EM132" s="101"/>
      <c r="EN132" s="101"/>
      <c r="EO132">
        <f ca="1">OFFSET(EE132,0,MATCH(MAX(EE132:EN132)+1,EE132:EN132,1)-1)</f>
        <v>54.9</v>
      </c>
      <c r="EQ132" s="20" t="s">
        <v>128</v>
      </c>
      <c r="ER132" s="20" t="e">
        <f t="shared" ca="1" si="128"/>
        <v>#N/A</v>
      </c>
      <c r="ES132" t="e">
        <f t="shared" ca="1" si="129"/>
        <v>#N/A</v>
      </c>
      <c r="EU132" s="20" t="s">
        <v>128</v>
      </c>
      <c r="EV132" s="109">
        <v>39971.092728639436</v>
      </c>
    </row>
    <row r="133" spans="1:152" x14ac:dyDescent="0.3">
      <c r="A133" s="20" t="s">
        <v>105</v>
      </c>
      <c r="B133" s="20" t="s">
        <v>631</v>
      </c>
      <c r="C133" s="81">
        <v>2015</v>
      </c>
      <c r="D133" s="82">
        <v>24663.725999999999</v>
      </c>
      <c r="E133" s="82">
        <v>21989.725999999999</v>
      </c>
      <c r="F133" s="82">
        <v>19488.84</v>
      </c>
      <c r="G133" s="82">
        <v>19307.699000000001</v>
      </c>
      <c r="H133" s="82">
        <v>18319.991000000002</v>
      </c>
      <c r="I133" s="82">
        <v>16790.833999999999</v>
      </c>
      <c r="J133" s="82">
        <v>13880.644</v>
      </c>
      <c r="K133" s="82">
        <v>11478.18</v>
      </c>
      <c r="L133" s="82">
        <v>9566.7369999999992</v>
      </c>
      <c r="M133" s="82">
        <v>8298.5370000000003</v>
      </c>
      <c r="N133" s="82">
        <v>7081.9989999999998</v>
      </c>
      <c r="O133" s="82">
        <v>5582.01</v>
      </c>
      <c r="P133" s="82">
        <v>3988.7260000000001</v>
      </c>
      <c r="Q133" s="82">
        <v>3221.3249999999998</v>
      </c>
      <c r="R133" s="82">
        <v>2482.558</v>
      </c>
      <c r="S133" s="82">
        <v>1561.354</v>
      </c>
      <c r="T133" s="82">
        <v>816.03</v>
      </c>
      <c r="U133" s="82">
        <v>314.83199999999999</v>
      </c>
      <c r="V133" s="82">
        <v>79.091999999999999</v>
      </c>
      <c r="W133" s="82">
        <v>11.185</v>
      </c>
      <c r="X133" s="82">
        <v>0.84899999999999998</v>
      </c>
      <c r="Y133" s="82">
        <f t="shared" si="102"/>
        <v>188924.87400000001</v>
      </c>
      <c r="Z133" s="52">
        <f t="shared" si="103"/>
        <v>2466.373</v>
      </c>
      <c r="AA133" s="52">
        <f t="shared" si="104"/>
        <v>2466.373</v>
      </c>
      <c r="AB133" s="52">
        <f t="shared" si="105"/>
        <v>4932.7449999999999</v>
      </c>
      <c r="AC133" s="52">
        <f t="shared" si="106"/>
        <v>14798.236000000001</v>
      </c>
      <c r="AD133" s="52">
        <f t="shared" si="107"/>
        <v>41478.565999999999</v>
      </c>
      <c r="AE133" s="52">
        <f t="shared" si="108"/>
        <v>97642.622000000003</v>
      </c>
      <c r="AF133" s="52">
        <f t="shared" si="109"/>
        <v>16652.735000000001</v>
      </c>
      <c r="AG133" s="52">
        <f t="shared" si="110"/>
        <v>8487.2250000000004</v>
      </c>
      <c r="AH133" s="52">
        <f t="shared" si="111"/>
        <v>188924.87500000003</v>
      </c>
      <c r="AI133">
        <v>29.247</v>
      </c>
      <c r="AJ133" s="30">
        <f t="shared" si="112"/>
        <v>5525485.8191250004</v>
      </c>
      <c r="AK133">
        <f t="shared" si="113"/>
        <v>4932.7451999999994</v>
      </c>
      <c r="AM133" s="20" t="s">
        <v>105</v>
      </c>
      <c r="AN133" t="s">
        <v>450</v>
      </c>
      <c r="AO133" t="s">
        <v>451</v>
      </c>
      <c r="AP133" t="s">
        <v>688</v>
      </c>
      <c r="AQ133" s="55">
        <v>145524.00865965377</v>
      </c>
      <c r="AR133" s="55">
        <v>102.769271604675</v>
      </c>
      <c r="AS133" t="s">
        <v>105</v>
      </c>
      <c r="AT133" t="s">
        <v>1280</v>
      </c>
      <c r="AU133" t="s">
        <v>1153</v>
      </c>
      <c r="AV133">
        <v>47.205769202851101</v>
      </c>
      <c r="AW133">
        <v>50.720061553648897</v>
      </c>
      <c r="AX133">
        <v>55.316986774675897</v>
      </c>
      <c r="AY133">
        <v>59.69869198496</v>
      </c>
      <c r="AZ133">
        <v>64.235007186098201</v>
      </c>
      <c r="BA133">
        <v>77.265798527938699</v>
      </c>
      <c r="BB133">
        <v>87.810853185836905</v>
      </c>
      <c r="BC133">
        <v>100</v>
      </c>
      <c r="BD133">
        <v>111.916769465206</v>
      </c>
      <c r="BE133">
        <v>122.75596836223799</v>
      </c>
      <c r="BF133">
        <v>132.195293036306</v>
      </c>
      <c r="BG133">
        <v>141.70234380669001</v>
      </c>
      <c r="BH133">
        <v>145.300897370776</v>
      </c>
      <c r="BJ133" s="20" t="s">
        <v>105</v>
      </c>
      <c r="BK133" t="s">
        <v>688</v>
      </c>
      <c r="BL133">
        <v>2015</v>
      </c>
      <c r="BM133">
        <f>INDEX('Costs lists'!$C$5:$C$8,MATCH(Lists!BK133,'Costs lists'!$B$5:$B$8,0))</f>
        <v>5.21</v>
      </c>
      <c r="BN133">
        <f>INDEX('Costs lists'!$D$5:$D$8,MATCH(Lists!BK133,'Costs lists'!$B$5:$B$8,0))</f>
        <v>5.16</v>
      </c>
      <c r="BO133">
        <f>INDEX('Costs lists'!$E$5:$E$8,MATCH(Lists!BK133,'Costs lists'!$B$5:$B$8,0))</f>
        <v>5.26</v>
      </c>
      <c r="BW133" s="20" t="s">
        <v>105</v>
      </c>
      <c r="BX133" s="20">
        <v>2008</v>
      </c>
      <c r="BY133" s="52">
        <v>97.887</v>
      </c>
      <c r="BZ133" s="52">
        <v>120.77600000000001</v>
      </c>
      <c r="CA133" s="52">
        <v>137.821</v>
      </c>
      <c r="CB133" s="52">
        <v>143.42150000000001</v>
      </c>
      <c r="CC133" s="375">
        <f t="shared" si="131"/>
        <v>101.16816250000001</v>
      </c>
      <c r="CD133" s="375">
        <v>17.829999999999998</v>
      </c>
      <c r="CE133" s="375">
        <v>18.600000000000001</v>
      </c>
      <c r="CF133" s="375">
        <v>24.06</v>
      </c>
      <c r="CG133" s="375">
        <f t="shared" si="130"/>
        <v>18.996666666666663</v>
      </c>
      <c r="CI133" s="20" t="s">
        <v>105</v>
      </c>
      <c r="CJ133" s="20">
        <v>2015</v>
      </c>
      <c r="CK133" s="59">
        <f t="shared" si="114"/>
        <v>184.07975083296657</v>
      </c>
      <c r="CL133" s="59">
        <f t="shared" si="115"/>
        <v>227.12327465958063</v>
      </c>
      <c r="CM133" s="59">
        <f t="shared" si="116"/>
        <v>259.17696261556983</v>
      </c>
      <c r="CN133" s="59">
        <f t="shared" si="117"/>
        <v>269.70888865825202</v>
      </c>
      <c r="CO133" s="59">
        <f t="shared" si="118"/>
        <v>190.25008576449449</v>
      </c>
      <c r="CP133" s="59">
        <f t="shared" si="119"/>
        <v>33.529906497816803</v>
      </c>
      <c r="CQ133" s="59">
        <f t="shared" si="120"/>
        <v>34.977917042029873</v>
      </c>
      <c r="CR133" s="59">
        <f t="shared" si="121"/>
        <v>45.245628173722508</v>
      </c>
      <c r="CS133" s="59">
        <f t="shared" si="122"/>
        <v>35.72386186783659</v>
      </c>
      <c r="CW133" s="20" t="s">
        <v>105</v>
      </c>
      <c r="CX133">
        <v>2014</v>
      </c>
      <c r="CY133">
        <v>185.044286</v>
      </c>
      <c r="CZ133">
        <v>55.486972808837891</v>
      </c>
      <c r="DA133">
        <v>2282.6044643926602</v>
      </c>
      <c r="DB133">
        <v>887776.875</v>
      </c>
      <c r="DE133">
        <f t="shared" si="123"/>
        <v>0</v>
      </c>
      <c r="DH133">
        <f t="shared" si="124"/>
        <v>0</v>
      </c>
      <c r="DI133">
        <f t="shared" si="95"/>
        <v>0</v>
      </c>
      <c r="DJ133">
        <f t="shared" si="96"/>
        <v>0</v>
      </c>
      <c r="DL133" s="20" t="s">
        <v>105</v>
      </c>
      <c r="DX133" t="e">
        <f t="shared" ca="1" si="125"/>
        <v>#N/A</v>
      </c>
      <c r="DY133" t="e">
        <f t="shared" ca="1" si="126"/>
        <v>#N/A</v>
      </c>
      <c r="DZ133" t="e">
        <f t="shared" ca="1" si="127"/>
        <v>#N/A</v>
      </c>
      <c r="EB133" s="20" t="s">
        <v>105</v>
      </c>
      <c r="EC133" s="99" t="s">
        <v>760</v>
      </c>
      <c r="ED133" s="100" t="s">
        <v>754</v>
      </c>
      <c r="EE133" s="101">
        <v>43.2</v>
      </c>
      <c r="EF133" s="101">
        <v>42.8</v>
      </c>
      <c r="EG133" s="101">
        <v>42.8</v>
      </c>
      <c r="EH133" s="101">
        <v>41.8</v>
      </c>
      <c r="EI133" s="101">
        <v>41.8</v>
      </c>
      <c r="EJ133" s="101"/>
      <c r="EK133" s="101"/>
      <c r="EL133" s="101"/>
      <c r="EM133" s="101">
        <v>49.8</v>
      </c>
      <c r="EN133" s="101"/>
      <c r="EO133">
        <f ca="1">OFFSET(EE133,0,MATCH(MAX(EE133:EN133)+1,EE133:EN133,1)-1)</f>
        <v>49.8</v>
      </c>
      <c r="EQ133" s="20" t="s">
        <v>105</v>
      </c>
      <c r="ER133" s="20" t="e">
        <f t="shared" ca="1" si="128"/>
        <v>#N/A</v>
      </c>
      <c r="ES133" t="e">
        <f t="shared" ca="1" si="129"/>
        <v>#N/A</v>
      </c>
      <c r="EU133" s="20" t="s">
        <v>105</v>
      </c>
      <c r="EV133" s="109">
        <v>5010.8139941005084</v>
      </c>
    </row>
    <row r="134" spans="1:152" x14ac:dyDescent="0.3">
      <c r="A134" s="20" t="s">
        <v>197</v>
      </c>
      <c r="B134" s="20" t="s">
        <v>633</v>
      </c>
      <c r="C134" s="81">
        <v>2015</v>
      </c>
      <c r="D134" s="82">
        <v>368.40699999999998</v>
      </c>
      <c r="E134" s="82">
        <v>356.02</v>
      </c>
      <c r="F134" s="82">
        <v>342.90699999999998</v>
      </c>
      <c r="G134" s="82">
        <v>343.43400000000003</v>
      </c>
      <c r="H134" s="82">
        <v>321.798</v>
      </c>
      <c r="I134" s="82">
        <v>311.33600000000001</v>
      </c>
      <c r="J134" s="82">
        <v>296.13600000000002</v>
      </c>
      <c r="K134" s="82">
        <v>284.04599999999999</v>
      </c>
      <c r="L134" s="82">
        <v>267.63799999999998</v>
      </c>
      <c r="M134" s="82">
        <v>237.76300000000001</v>
      </c>
      <c r="N134" s="82">
        <v>203.5</v>
      </c>
      <c r="O134" s="82">
        <v>165.95</v>
      </c>
      <c r="P134" s="82">
        <v>130.32300000000001</v>
      </c>
      <c r="Q134" s="82">
        <v>100.23699999999999</v>
      </c>
      <c r="R134" s="82">
        <v>75.983000000000004</v>
      </c>
      <c r="S134" s="82">
        <v>54.421999999999997</v>
      </c>
      <c r="T134" s="82">
        <v>35.603000000000002</v>
      </c>
      <c r="U134" s="82">
        <v>20.358000000000001</v>
      </c>
      <c r="V134" s="82">
        <v>9.5</v>
      </c>
      <c r="W134" s="82">
        <v>3.2280000000000002</v>
      </c>
      <c r="X134" s="82">
        <v>0.55200000000000005</v>
      </c>
      <c r="Y134" s="82">
        <f t="shared" si="102"/>
        <v>3929.1410000000001</v>
      </c>
      <c r="Z134" s="52">
        <f t="shared" si="103"/>
        <v>36.841000000000001</v>
      </c>
      <c r="AA134" s="52">
        <f t="shared" si="104"/>
        <v>36.841000000000001</v>
      </c>
      <c r="AB134" s="52">
        <f t="shared" si="105"/>
        <v>73.680999999999997</v>
      </c>
      <c r="AC134" s="52">
        <f t="shared" si="106"/>
        <v>221.04400000000001</v>
      </c>
      <c r="AD134" s="52">
        <f t="shared" si="107"/>
        <v>698.92700000000002</v>
      </c>
      <c r="AE134" s="52">
        <f t="shared" si="108"/>
        <v>2062.1509999999998</v>
      </c>
      <c r="AF134" s="52">
        <f t="shared" si="109"/>
        <v>499.77300000000002</v>
      </c>
      <c r="AG134" s="52">
        <f t="shared" si="110"/>
        <v>299.88299999999998</v>
      </c>
      <c r="AH134" s="52">
        <f t="shared" si="111"/>
        <v>3929.1409999999996</v>
      </c>
      <c r="AI134">
        <v>19.407</v>
      </c>
      <c r="AJ134" s="30">
        <f t="shared" si="112"/>
        <v>76252.839387</v>
      </c>
      <c r="AK134">
        <f t="shared" si="113"/>
        <v>73.681399999999996</v>
      </c>
      <c r="AM134" s="20" t="s">
        <v>197</v>
      </c>
      <c r="AN134" t="s">
        <v>262</v>
      </c>
      <c r="AO134" t="s">
        <v>263</v>
      </c>
      <c r="AP134" t="s">
        <v>689</v>
      </c>
      <c r="AQ134" s="55">
        <v>13268.113754933482</v>
      </c>
      <c r="AR134" s="55">
        <v>1</v>
      </c>
      <c r="AS134" t="s">
        <v>197</v>
      </c>
      <c r="AT134" t="s">
        <v>1281</v>
      </c>
      <c r="AU134" t="s">
        <v>1153</v>
      </c>
      <c r="AV134">
        <v>78.913926372330494</v>
      </c>
      <c r="AW134">
        <v>79.058037468884905</v>
      </c>
      <c r="AX134">
        <v>81.573431154198701</v>
      </c>
      <c r="AY134">
        <v>83.283112799685398</v>
      </c>
      <c r="AZ134">
        <v>86.754880125769503</v>
      </c>
      <c r="BA134">
        <v>94.353465216821505</v>
      </c>
      <c r="BB134">
        <v>96.626490239748193</v>
      </c>
      <c r="BC134">
        <v>100</v>
      </c>
      <c r="BD134">
        <v>105.875802436787</v>
      </c>
      <c r="BE134">
        <v>111.908816978907</v>
      </c>
      <c r="BF134">
        <v>116.415563998428</v>
      </c>
      <c r="BG134">
        <v>119.486407922252</v>
      </c>
      <c r="BH134">
        <v>119.63639460138801</v>
      </c>
      <c r="BJ134" s="20" t="s">
        <v>197</v>
      </c>
      <c r="BK134" t="s">
        <v>689</v>
      </c>
      <c r="BL134">
        <v>2015</v>
      </c>
      <c r="BM134">
        <f>INDEX('Costs lists'!$C$5:$C$8,MATCH(Lists!BK134,'Costs lists'!$B$5:$B$8,0))</f>
        <v>3.2</v>
      </c>
      <c r="BN134">
        <f>INDEX('Costs lists'!$D$5:$D$8,MATCH(Lists!BK134,'Costs lists'!$B$5:$B$8,0))</f>
        <v>1.1200000000000001</v>
      </c>
      <c r="BO134">
        <f>INDEX('Costs lists'!$E$5:$E$8,MATCH(Lists!BK134,'Costs lists'!$B$5:$B$8,0))</f>
        <v>4.4400000000000004</v>
      </c>
      <c r="BW134" s="20" t="s">
        <v>197</v>
      </c>
      <c r="BX134" s="20">
        <v>2008</v>
      </c>
      <c r="BY134" s="52">
        <v>9.1213000000000015</v>
      </c>
      <c r="BZ134" s="52">
        <v>11.262500000000001</v>
      </c>
      <c r="CA134" s="52">
        <v>12.836600000000001</v>
      </c>
      <c r="CB134" s="52">
        <v>13.3772</v>
      </c>
      <c r="CC134" s="375">
        <f t="shared" si="131"/>
        <v>9.4276400000000002</v>
      </c>
      <c r="CD134" s="375">
        <v>132.37</v>
      </c>
      <c r="CE134" s="375">
        <v>138.09</v>
      </c>
      <c r="CF134" s="375">
        <v>178.56</v>
      </c>
      <c r="CG134" s="375">
        <f t="shared" si="130"/>
        <v>141.02166666666668</v>
      </c>
      <c r="CI134" s="20" t="s">
        <v>197</v>
      </c>
      <c r="CJ134" s="20">
        <v>2015</v>
      </c>
      <c r="CK134" s="59">
        <f t="shared" si="114"/>
        <v>11.565441116232501</v>
      </c>
      <c r="CL134" s="59">
        <f t="shared" si="115"/>
        <v>14.280396497381792</v>
      </c>
      <c r="CM134" s="59">
        <f t="shared" si="116"/>
        <v>16.276291913721739</v>
      </c>
      <c r="CN134" s="59">
        <f t="shared" si="117"/>
        <v>16.961750945596066</v>
      </c>
      <c r="CO134" s="59">
        <f t="shared" si="118"/>
        <v>11.953867900961285</v>
      </c>
      <c r="CP134" s="59">
        <f t="shared" si="119"/>
        <v>167.83982990973831</v>
      </c>
      <c r="CQ134" s="59">
        <f t="shared" si="120"/>
        <v>175.09255958476817</v>
      </c>
      <c r="CR134" s="59">
        <f t="shared" si="121"/>
        <v>226.40688999533785</v>
      </c>
      <c r="CS134" s="59">
        <f t="shared" si="122"/>
        <v>178.80979486984322</v>
      </c>
      <c r="CW134" s="20" t="s">
        <v>197</v>
      </c>
      <c r="CX134">
        <v>2014</v>
      </c>
      <c r="CY134">
        <v>3.8675349999999997</v>
      </c>
      <c r="CZ134">
        <v>1.7487169504165649</v>
      </c>
      <c r="DB134">
        <v>76547.1328125</v>
      </c>
      <c r="DC134">
        <v>0.38198006153106689</v>
      </c>
      <c r="DE134">
        <f t="shared" si="123"/>
        <v>16720.532442245905</v>
      </c>
      <c r="DH134" t="e">
        <f t="shared" si="124"/>
        <v>#DIV/0!</v>
      </c>
      <c r="DI134" t="e">
        <f t="shared" si="95"/>
        <v>#DIV/0!</v>
      </c>
      <c r="DJ134" t="e">
        <f t="shared" si="96"/>
        <v>#DIV/0!</v>
      </c>
      <c r="DL134" s="20" t="s">
        <v>197</v>
      </c>
      <c r="DM134" s="99" t="s">
        <v>780</v>
      </c>
      <c r="DN134" s="100" t="s">
        <v>754</v>
      </c>
      <c r="DO134" s="101"/>
      <c r="DP134" s="101"/>
      <c r="DQ134" s="101">
        <v>39.200000000000003</v>
      </c>
      <c r="DR134" s="101">
        <v>39.1</v>
      </c>
      <c r="DS134" s="101"/>
      <c r="DT134" s="101">
        <v>39.4</v>
      </c>
      <c r="DU134" s="101"/>
      <c r="DV134" s="101">
        <v>50.9</v>
      </c>
      <c r="DW134" s="101"/>
      <c r="DX134">
        <f t="shared" ca="1" si="125"/>
        <v>50.9</v>
      </c>
      <c r="DY134">
        <f t="shared" ca="1" si="126"/>
        <v>10.18</v>
      </c>
      <c r="DZ134" t="e">
        <f t="shared" ca="1" si="127"/>
        <v>#DIV/0!</v>
      </c>
      <c r="EB134" s="20" t="s">
        <v>197</v>
      </c>
      <c r="EC134" s="99" t="s">
        <v>780</v>
      </c>
      <c r="ED134" s="100" t="s">
        <v>754</v>
      </c>
      <c r="EE134" s="101">
        <v>63.4</v>
      </c>
      <c r="EF134" s="101">
        <v>65.3</v>
      </c>
      <c r="EG134" s="101">
        <v>67.7</v>
      </c>
      <c r="EH134" s="101">
        <v>59.9</v>
      </c>
      <c r="EI134" s="101">
        <v>59.4</v>
      </c>
      <c r="EJ134" s="101">
        <v>59.1</v>
      </c>
      <c r="EK134" s="101">
        <v>60.8</v>
      </c>
      <c r="EL134" s="101">
        <v>61.5</v>
      </c>
      <c r="EM134" s="101">
        <v>60.9</v>
      </c>
      <c r="EN134" s="101">
        <v>61.2</v>
      </c>
      <c r="EO134">
        <f ca="1">OFFSET(EE134,0,MATCH(MAX(EE134:EN134)+1,EE134:EN134,1)-1)</f>
        <v>61.2</v>
      </c>
      <c r="EQ134" s="20" t="s">
        <v>197</v>
      </c>
      <c r="ER134" s="20" t="e">
        <f t="shared" ca="1" si="128"/>
        <v>#DIV/0!</v>
      </c>
      <c r="ES134" t="e">
        <f t="shared" ca="1" si="129"/>
        <v>#DIV/0!</v>
      </c>
      <c r="EU134" s="20" t="s">
        <v>197</v>
      </c>
      <c r="EV134" s="109">
        <v>22237.238256774923</v>
      </c>
    </row>
    <row r="135" spans="1:152" x14ac:dyDescent="0.3">
      <c r="A135" s="20" t="s">
        <v>216</v>
      </c>
      <c r="B135" s="20" t="s">
        <v>634</v>
      </c>
      <c r="C135" s="81">
        <v>2015</v>
      </c>
      <c r="D135" s="82">
        <v>995.73099999999999</v>
      </c>
      <c r="E135" s="82">
        <v>948.25</v>
      </c>
      <c r="F135" s="82">
        <v>886.00199999999995</v>
      </c>
      <c r="G135" s="82">
        <v>812.40899999999999</v>
      </c>
      <c r="H135" s="82">
        <v>692.42700000000002</v>
      </c>
      <c r="I135" s="82">
        <v>598.351</v>
      </c>
      <c r="J135" s="82">
        <v>551.35799999999995</v>
      </c>
      <c r="K135" s="82">
        <v>496.88600000000002</v>
      </c>
      <c r="L135" s="82">
        <v>446.983</v>
      </c>
      <c r="M135" s="82">
        <v>334.55900000000003</v>
      </c>
      <c r="N135" s="82">
        <v>262.98599999999999</v>
      </c>
      <c r="O135" s="82">
        <v>206.858</v>
      </c>
      <c r="P135" s="82">
        <v>157.203</v>
      </c>
      <c r="Q135" s="82">
        <v>103.839</v>
      </c>
      <c r="R135" s="82">
        <v>64.731999999999999</v>
      </c>
      <c r="S135" s="82">
        <v>36.143000000000001</v>
      </c>
      <c r="T135" s="82">
        <v>16.722999999999999</v>
      </c>
      <c r="U135" s="82">
        <v>6.0439999999999996</v>
      </c>
      <c r="V135" s="82">
        <v>1.556</v>
      </c>
      <c r="W135" s="82">
        <v>0.255</v>
      </c>
      <c r="X135" s="82">
        <v>2.5999999999999999E-2</v>
      </c>
      <c r="Y135" s="82">
        <f t="shared" si="102"/>
        <v>7619.3210000000008</v>
      </c>
      <c r="Z135" s="52">
        <f t="shared" si="103"/>
        <v>99.572999999999993</v>
      </c>
      <c r="AA135" s="52">
        <f t="shared" si="104"/>
        <v>99.572999999999993</v>
      </c>
      <c r="AB135" s="52">
        <f t="shared" si="105"/>
        <v>199.14599999999999</v>
      </c>
      <c r="AC135" s="52">
        <f t="shared" si="106"/>
        <v>597.43899999999996</v>
      </c>
      <c r="AD135" s="52">
        <f t="shared" si="107"/>
        <v>1834.252</v>
      </c>
      <c r="AE135" s="52">
        <f t="shared" si="108"/>
        <v>3932.973</v>
      </c>
      <c r="AF135" s="52">
        <f t="shared" si="109"/>
        <v>627.04700000000003</v>
      </c>
      <c r="AG135" s="52">
        <f t="shared" si="110"/>
        <v>229.31800000000001</v>
      </c>
      <c r="AH135" s="52">
        <f t="shared" si="111"/>
        <v>7619.3210000000008</v>
      </c>
      <c r="AI135">
        <v>28.51</v>
      </c>
      <c r="AJ135" s="30">
        <f t="shared" si="112"/>
        <v>217226.84171000004</v>
      </c>
      <c r="AK135">
        <f t="shared" si="113"/>
        <v>199.14619999999999</v>
      </c>
      <c r="AM135" s="20" t="s">
        <v>216</v>
      </c>
      <c r="AN135" t="s">
        <v>452</v>
      </c>
      <c r="AO135" t="s">
        <v>453</v>
      </c>
      <c r="AP135" t="s">
        <v>688</v>
      </c>
      <c r="AQ135" s="55"/>
      <c r="AR135" s="55">
        <v>2.7684116666666698</v>
      </c>
      <c r="AS135" t="s">
        <v>216</v>
      </c>
      <c r="AT135" t="s">
        <v>1282</v>
      </c>
      <c r="AU135" t="s">
        <v>1153</v>
      </c>
      <c r="AV135">
        <v>74.156514156998597</v>
      </c>
      <c r="AW135">
        <v>75.757502361518206</v>
      </c>
      <c r="AX135">
        <v>77.106595296340302</v>
      </c>
      <c r="AY135">
        <v>78.932836001647004</v>
      </c>
      <c r="AZ135">
        <v>79.652190762225402</v>
      </c>
      <c r="BA135">
        <v>88.223896141642697</v>
      </c>
      <c r="BB135">
        <v>94.327512292004698</v>
      </c>
      <c r="BC135">
        <v>100</v>
      </c>
      <c r="BD135">
        <v>104.44083401029</v>
      </c>
      <c r="BE135">
        <v>109.179528838343</v>
      </c>
      <c r="BF135">
        <v>114.595180070403</v>
      </c>
      <c r="BG135">
        <v>120.563227728134</v>
      </c>
      <c r="BH135">
        <v>127.809369076631</v>
      </c>
      <c r="BJ135" s="20" t="s">
        <v>216</v>
      </c>
      <c r="BK135" t="s">
        <v>688</v>
      </c>
      <c r="BL135">
        <v>2015</v>
      </c>
      <c r="BM135">
        <f>INDEX('Costs lists'!$C$5:$C$8,MATCH(Lists!BK135,'Costs lists'!$B$5:$B$8,0))</f>
        <v>5.21</v>
      </c>
      <c r="BN135">
        <f>INDEX('Costs lists'!$D$5:$D$8,MATCH(Lists!BK135,'Costs lists'!$B$5:$B$8,0))</f>
        <v>5.16</v>
      </c>
      <c r="BO135">
        <f>INDEX('Costs lists'!$E$5:$E$8,MATCH(Lists!BK135,'Costs lists'!$B$5:$B$8,0))</f>
        <v>5.26</v>
      </c>
      <c r="BW135" s="20" t="s">
        <v>216</v>
      </c>
      <c r="BX135" s="20">
        <v>2008</v>
      </c>
      <c r="BY135" s="52">
        <v>5.6023999999999994</v>
      </c>
      <c r="BZ135" s="52">
        <v>6.9135999999999997</v>
      </c>
      <c r="CA135" s="52">
        <v>7.8821000000000003</v>
      </c>
      <c r="CB135" s="52">
        <v>8.2098999999999993</v>
      </c>
      <c r="CC135" s="375">
        <f t="shared" si="131"/>
        <v>5.7901399999999992</v>
      </c>
      <c r="CD135" s="375">
        <v>16.27</v>
      </c>
      <c r="CE135" s="375">
        <v>16.97</v>
      </c>
      <c r="CF135" s="375">
        <v>21.94</v>
      </c>
      <c r="CG135" s="375">
        <f t="shared" si="130"/>
        <v>17.331666666666667</v>
      </c>
      <c r="CI135" s="20" t="s">
        <v>216</v>
      </c>
      <c r="CJ135" s="20">
        <v>2015</v>
      </c>
      <c r="CK135" s="59">
        <f t="shared" si="114"/>
        <v>8.1161594605312235</v>
      </c>
      <c r="CL135" s="59">
        <f t="shared" si="115"/>
        <v>10.015686142783212</v>
      </c>
      <c r="CM135" s="59">
        <f t="shared" si="116"/>
        <v>11.418745623992068</v>
      </c>
      <c r="CN135" s="59">
        <f t="shared" si="117"/>
        <v>11.893627294555063</v>
      </c>
      <c r="CO135" s="59">
        <f t="shared" si="118"/>
        <v>8.3881371445809396</v>
      </c>
      <c r="CP135" s="59">
        <f t="shared" si="119"/>
        <v>23.570240329652115</v>
      </c>
      <c r="CQ135" s="59">
        <f t="shared" si="120"/>
        <v>24.584325654222273</v>
      </c>
      <c r="CR135" s="59">
        <f t="shared" si="121"/>
        <v>31.784331458670401</v>
      </c>
      <c r="CS135" s="59">
        <f t="shared" si="122"/>
        <v>25.108269738583523</v>
      </c>
      <c r="CW135" s="20" t="s">
        <v>216</v>
      </c>
      <c r="DE135" t="e">
        <f t="shared" si="123"/>
        <v>#DIV/0!</v>
      </c>
      <c r="DH135" t="e">
        <f t="shared" si="124"/>
        <v>#DIV/0!</v>
      </c>
      <c r="DI135" t="e">
        <f t="shared" si="95"/>
        <v>#DIV/0!</v>
      </c>
      <c r="DJ135" t="e">
        <f t="shared" si="96"/>
        <v>#DIV/0!</v>
      </c>
      <c r="DL135" s="20" t="s">
        <v>216</v>
      </c>
      <c r="DM135" s="99"/>
      <c r="DN135" s="100"/>
      <c r="DO135" s="101"/>
      <c r="DP135" s="101"/>
      <c r="DQ135" s="101"/>
      <c r="DR135" s="101"/>
      <c r="DS135" s="101"/>
      <c r="DT135" s="101"/>
      <c r="DU135" s="101"/>
      <c r="DV135" s="101"/>
      <c r="DW135" s="101"/>
      <c r="DX135" t="e">
        <f t="shared" ca="1" si="125"/>
        <v>#N/A</v>
      </c>
      <c r="DY135" t="e">
        <f t="shared" ca="1" si="126"/>
        <v>#N/A</v>
      </c>
      <c r="DZ135" t="e">
        <f t="shared" ca="1" si="127"/>
        <v>#N/A</v>
      </c>
      <c r="EB135" s="20" t="s">
        <v>216</v>
      </c>
      <c r="EC135" s="99"/>
      <c r="ED135" s="100"/>
      <c r="EE135" s="101"/>
      <c r="EF135" s="101"/>
      <c r="EG135" s="101"/>
      <c r="EH135" s="101"/>
      <c r="EI135" s="101"/>
      <c r="EJ135" s="101"/>
      <c r="EK135" s="101"/>
      <c r="EL135" s="101"/>
      <c r="EM135" s="101"/>
      <c r="EN135" s="101"/>
      <c r="EQ135" s="20" t="s">
        <v>216</v>
      </c>
      <c r="ER135" s="20" t="e">
        <f t="shared" ca="1" si="128"/>
        <v>#N/A</v>
      </c>
      <c r="ES135" t="e">
        <f t="shared" ca="1" si="129"/>
        <v>#N/A</v>
      </c>
      <c r="EU135" s="20" t="s">
        <v>216</v>
      </c>
      <c r="EV135" s="109"/>
    </row>
    <row r="136" spans="1:152" x14ac:dyDescent="0.3">
      <c r="A136" s="20" t="s">
        <v>205</v>
      </c>
      <c r="B136" s="20" t="s">
        <v>633</v>
      </c>
      <c r="C136" s="81">
        <v>2015</v>
      </c>
      <c r="D136" s="82">
        <v>673.78899999999999</v>
      </c>
      <c r="E136" s="82">
        <v>669.63400000000001</v>
      </c>
      <c r="F136" s="82">
        <v>657.19899999999996</v>
      </c>
      <c r="G136" s="82">
        <v>684.779</v>
      </c>
      <c r="H136" s="82">
        <v>651.88199999999995</v>
      </c>
      <c r="I136" s="82">
        <v>605.47199999999998</v>
      </c>
      <c r="J136" s="82">
        <v>529.55799999999999</v>
      </c>
      <c r="K136" s="82">
        <v>421.09800000000001</v>
      </c>
      <c r="L136" s="82">
        <v>335.57</v>
      </c>
      <c r="M136" s="82">
        <v>307.16800000000001</v>
      </c>
      <c r="N136" s="82">
        <v>270.67099999999999</v>
      </c>
      <c r="O136" s="82">
        <v>234.41200000000001</v>
      </c>
      <c r="P136" s="82">
        <v>198.185</v>
      </c>
      <c r="Q136" s="82">
        <v>145.25700000000001</v>
      </c>
      <c r="R136" s="82">
        <v>104.012</v>
      </c>
      <c r="S136" s="82">
        <v>74.147000000000006</v>
      </c>
      <c r="T136" s="82">
        <v>42.817</v>
      </c>
      <c r="U136" s="82">
        <v>23.361999999999998</v>
      </c>
      <c r="V136" s="82">
        <v>8.0020000000000007</v>
      </c>
      <c r="W136" s="82">
        <v>1.8320000000000001</v>
      </c>
      <c r="X136" s="82">
        <v>0.27700000000000002</v>
      </c>
      <c r="Y136" s="82">
        <f t="shared" ref="Y136:Y167" si="133">SUM(D136:X136)</f>
        <v>6639.1230000000005</v>
      </c>
      <c r="Z136" s="52">
        <f t="shared" ref="Z136:Z167" si="134">ROUND(D136/10,3)</f>
        <v>67.379000000000005</v>
      </c>
      <c r="AA136" s="52">
        <f t="shared" ref="AA136:AA167" si="135">ROUND(D136/10,3)</f>
        <v>67.379000000000005</v>
      </c>
      <c r="AB136" s="52">
        <f t="shared" ref="AB136:AB167" si="136">ROUND(D136/5,3)</f>
        <v>134.75800000000001</v>
      </c>
      <c r="AC136" s="52">
        <f t="shared" ref="AC136:AC167" si="137">ROUND(D136/5*3,3)</f>
        <v>404.27300000000002</v>
      </c>
      <c r="AD136" s="52">
        <f t="shared" ref="AD136:AD167" si="138">ROUND(E136+F136,3)</f>
        <v>1326.8330000000001</v>
      </c>
      <c r="AE136" s="52">
        <f t="shared" ref="AE136:AE167" si="139">ROUND(SUM(G136:M136),3)</f>
        <v>3535.527</v>
      </c>
      <c r="AF136" s="52">
        <f t="shared" ref="AF136:AF167" si="140">ROUND(SUM(N136:P136),3)</f>
        <v>703.26800000000003</v>
      </c>
      <c r="AG136" s="52">
        <f t="shared" ref="AG136:AG167" si="141">ROUND(SUM(Q136:X136),3)</f>
        <v>399.70600000000002</v>
      </c>
      <c r="AH136" s="52">
        <f t="shared" ref="AH136:AH167" si="142">SUM(Z136:AG136)</f>
        <v>6639.1230000000005</v>
      </c>
      <c r="AI136">
        <v>21.367999999999999</v>
      </c>
      <c r="AJ136" s="30">
        <f t="shared" ref="AJ136:AJ167" si="143">AH136*AI136</f>
        <v>141864.780264</v>
      </c>
      <c r="AK136">
        <f t="shared" ref="AK136:AK167" si="144">D136/5</f>
        <v>134.7578</v>
      </c>
      <c r="AM136" s="20" t="s">
        <v>205</v>
      </c>
      <c r="AN136" t="s">
        <v>454</v>
      </c>
      <c r="AO136" t="s">
        <v>455</v>
      </c>
      <c r="AP136" t="s">
        <v>689</v>
      </c>
      <c r="AQ136" s="55">
        <v>21240985.000451718</v>
      </c>
      <c r="AR136" s="55">
        <v>5204.91</v>
      </c>
      <c r="AS136" t="s">
        <v>205</v>
      </c>
      <c r="AT136" t="s">
        <v>1283</v>
      </c>
      <c r="AU136" t="s">
        <v>1153</v>
      </c>
      <c r="AV136">
        <v>64.038390550018406</v>
      </c>
      <c r="AW136">
        <v>66.806939830195603</v>
      </c>
      <c r="AX136">
        <v>71.354743447766694</v>
      </c>
      <c r="AY136">
        <v>78.198597268364693</v>
      </c>
      <c r="AZ136">
        <v>84.555186415651505</v>
      </c>
      <c r="BA136">
        <v>93.141380583241002</v>
      </c>
      <c r="BB136">
        <v>95.555555555555202</v>
      </c>
      <c r="BC136">
        <v>100</v>
      </c>
      <c r="BD136">
        <v>108.25396825396901</v>
      </c>
      <c r="BE136">
        <v>112.233296419344</v>
      </c>
      <c r="BF136">
        <v>115.245478036175</v>
      </c>
      <c r="BG136">
        <v>121.040974529347</v>
      </c>
      <c r="BH136">
        <v>124.828349944629</v>
      </c>
      <c r="BJ136" s="20" t="s">
        <v>205</v>
      </c>
      <c r="BK136" t="s">
        <v>689</v>
      </c>
      <c r="BL136">
        <v>2015</v>
      </c>
      <c r="BM136">
        <f>INDEX('Costs lists'!$C$5:$C$8,MATCH(Lists!BK136,'Costs lists'!$B$5:$B$8,0))</f>
        <v>3.2</v>
      </c>
      <c r="BN136">
        <f>INDEX('Costs lists'!$D$5:$D$8,MATCH(Lists!BK136,'Costs lists'!$B$5:$B$8,0))</f>
        <v>1.1200000000000001</v>
      </c>
      <c r="BO136">
        <f>INDEX('Costs lists'!$E$5:$E$8,MATCH(Lists!BK136,'Costs lists'!$B$5:$B$8,0))</f>
        <v>4.4400000000000004</v>
      </c>
      <c r="BW136" s="20" t="s">
        <v>205</v>
      </c>
      <c r="BX136" s="20">
        <v>2008</v>
      </c>
      <c r="BY136" s="52">
        <v>18201.099300000002</v>
      </c>
      <c r="BZ136" s="52">
        <v>22457.202300000004</v>
      </c>
      <c r="CA136" s="52">
        <v>25611.725700000003</v>
      </c>
      <c r="CB136" s="52">
        <v>26688.269400000001</v>
      </c>
      <c r="CC136" s="375">
        <f t="shared" si="131"/>
        <v>18811.349362500001</v>
      </c>
      <c r="CD136" s="375">
        <v>40.340000000000003</v>
      </c>
      <c r="CE136" s="375">
        <v>42.08</v>
      </c>
      <c r="CF136" s="375">
        <v>54.41</v>
      </c>
      <c r="CG136" s="375">
        <f t="shared" si="130"/>
        <v>42.974999999999994</v>
      </c>
      <c r="CI136" s="20" t="s">
        <v>205</v>
      </c>
      <c r="CJ136" s="20">
        <v>2015</v>
      </c>
      <c r="CK136" s="59">
        <f t="shared" ref="CK136:CK167" si="145">BY136*($BH136/$BA136)</f>
        <v>24393.166373208638</v>
      </c>
      <c r="CL136" s="59">
        <f t="shared" ref="CL136:CL167" si="146">BZ136*($BH136/$BA136)</f>
        <v>30097.208028566918</v>
      </c>
      <c r="CM136" s="59">
        <f t="shared" ref="CM136:CM167" si="147">CA136*($BH136/$BA136)</f>
        <v>34324.909490773636</v>
      </c>
      <c r="CN136" s="59">
        <f t="shared" ref="CN136:CN167" si="148">CB136*($BH136/$BA136)</f>
        <v>35767.696497717203</v>
      </c>
      <c r="CO136" s="59">
        <f t="shared" ref="CO136:CO167" si="149">CC136*($BH136/$BA136)</f>
        <v>25211.025287028388</v>
      </c>
      <c r="CP136" s="59">
        <f t="shared" ref="CP136:CP167" si="150">CD136*($BH136/$BA136)</f>
        <v>54.063785668991784</v>
      </c>
      <c r="CQ136" s="59">
        <f t="shared" ref="CQ136:CQ167" si="151">CE136*($BH136/$BA136)</f>
        <v>56.395738744451513</v>
      </c>
      <c r="CR136" s="59">
        <f t="shared" ref="CR136:CR167" si="152">CF136*($BH136/$BA136)</f>
        <v>72.920440710209292</v>
      </c>
      <c r="CS136" s="59">
        <f t="shared" ref="CS136:CS167" si="153">CG136*($BH136/$BA136)</f>
        <v>57.595220355104644</v>
      </c>
      <c r="CW136" s="20" t="s">
        <v>205</v>
      </c>
      <c r="CX136">
        <v>2014</v>
      </c>
      <c r="CY136">
        <v>6.5525180000000001</v>
      </c>
      <c r="CZ136">
        <v>3.054332971572876</v>
      </c>
      <c r="DB136">
        <v>53526.43359375</v>
      </c>
      <c r="DC136">
        <v>0.5648876428604126</v>
      </c>
      <c r="DE136">
        <f t="shared" ref="DE136:DE167" si="154">DB136*DC136/CZ136</f>
        <v>9899.5169108648715</v>
      </c>
      <c r="DH136" t="e">
        <f t="shared" ref="DH136:DH167" si="155">DE136/DA136</f>
        <v>#DIV/0!</v>
      </c>
      <c r="DI136" t="e">
        <f t="shared" si="95"/>
        <v>#DIV/0!</v>
      </c>
      <c r="DJ136" t="e">
        <f t="shared" si="96"/>
        <v>#DIV/0!</v>
      </c>
      <c r="DL136" s="20" t="s">
        <v>205</v>
      </c>
      <c r="DM136" s="99" t="s">
        <v>752</v>
      </c>
      <c r="DN136" s="100" t="s">
        <v>845</v>
      </c>
      <c r="DO136" s="101"/>
      <c r="DP136" s="101"/>
      <c r="DQ136" s="101">
        <v>45.3</v>
      </c>
      <c r="DR136" s="101">
        <v>45.2</v>
      </c>
      <c r="DS136" s="101">
        <v>47.8</v>
      </c>
      <c r="DT136" s="101">
        <v>45.1</v>
      </c>
      <c r="DU136" s="101">
        <v>44.5</v>
      </c>
      <c r="DV136" s="101"/>
      <c r="DW136" s="101"/>
      <c r="DX136">
        <f t="shared" ref="DX136:DX167" ca="1" si="156">OFFSET(DO136,0,MATCH(MAX(DO136:DW136)+1,DO136:DW136,1)-1)</f>
        <v>44.5</v>
      </c>
      <c r="DY136">
        <f t="shared" ref="DY136:DY167" ca="1" si="157">DX136/5</f>
        <v>8.9</v>
      </c>
      <c r="DZ136" t="e">
        <f t="shared" ref="DZ136:DZ167" ca="1" si="158">DY136*DI136</f>
        <v>#DIV/0!</v>
      </c>
      <c r="EB136" s="20" t="s">
        <v>205</v>
      </c>
      <c r="EC136" s="99" t="s">
        <v>752</v>
      </c>
      <c r="ED136" s="100" t="s">
        <v>754</v>
      </c>
      <c r="EE136" s="101"/>
      <c r="EF136" s="101">
        <v>57.4</v>
      </c>
      <c r="EG136" s="101">
        <v>58.2</v>
      </c>
      <c r="EH136" s="101">
        <v>58.9</v>
      </c>
      <c r="EI136" s="101">
        <v>57.1</v>
      </c>
      <c r="EJ136" s="101">
        <v>57.3</v>
      </c>
      <c r="EK136" s="101">
        <v>61.2</v>
      </c>
      <c r="EL136" s="101">
        <v>59.5</v>
      </c>
      <c r="EM136" s="101">
        <v>57.9</v>
      </c>
      <c r="EN136" s="101">
        <v>58.3</v>
      </c>
      <c r="EO136">
        <f t="shared" ref="EO136:EO147" ca="1" si="159">OFFSET(EE136,0,MATCH(MAX(EE136:EN136)+1,EE136:EN136,1)-1)</f>
        <v>58.3</v>
      </c>
      <c r="EQ136" s="20" t="s">
        <v>205</v>
      </c>
      <c r="ER136" s="20" t="e">
        <f t="shared" ref="ER136:ER167" ca="1" si="160">DZ136</f>
        <v>#DIV/0!</v>
      </c>
      <c r="ES136" t="e">
        <f t="shared" ref="ES136:ES167" ca="1" si="161">DZ136*EO136/100</f>
        <v>#DIV/0!</v>
      </c>
      <c r="EU136" s="20" t="s">
        <v>205</v>
      </c>
      <c r="EV136" s="109">
        <v>9198.4985340715848</v>
      </c>
    </row>
    <row r="137" spans="1:152" x14ac:dyDescent="0.3">
      <c r="A137" s="20" t="s">
        <v>206</v>
      </c>
      <c r="B137" s="20" t="s">
        <v>633</v>
      </c>
      <c r="C137" s="81">
        <v>2015</v>
      </c>
      <c r="D137" s="82">
        <v>3020.0320000000002</v>
      </c>
      <c r="E137" s="82">
        <v>2903.953</v>
      </c>
      <c r="F137" s="82">
        <v>2828.7310000000002</v>
      </c>
      <c r="G137" s="82">
        <v>2777.0369999999998</v>
      </c>
      <c r="H137" s="82">
        <v>2809.96</v>
      </c>
      <c r="I137" s="82">
        <v>2710.5419999999999</v>
      </c>
      <c r="J137" s="82">
        <v>2443.873</v>
      </c>
      <c r="K137" s="82">
        <v>2269.4180000000001</v>
      </c>
      <c r="L137" s="82">
        <v>1979.049</v>
      </c>
      <c r="M137" s="82">
        <v>1771.0119999999999</v>
      </c>
      <c r="N137" s="82">
        <v>1516.0509999999999</v>
      </c>
      <c r="O137" s="82">
        <v>1219.8119999999999</v>
      </c>
      <c r="P137" s="82">
        <v>985.697</v>
      </c>
      <c r="Q137" s="82">
        <v>743.71799999999996</v>
      </c>
      <c r="R137" s="82">
        <v>548.11900000000003</v>
      </c>
      <c r="S137" s="82">
        <v>400.375</v>
      </c>
      <c r="T137" s="82">
        <v>255.21</v>
      </c>
      <c r="U137" s="82">
        <v>137.46100000000001</v>
      </c>
      <c r="V137" s="82">
        <v>43.313000000000002</v>
      </c>
      <c r="W137" s="82">
        <v>11.151</v>
      </c>
      <c r="X137" s="82">
        <v>2.1560000000000001</v>
      </c>
      <c r="Y137" s="82">
        <f t="shared" si="133"/>
        <v>31376.67</v>
      </c>
      <c r="Z137" s="52">
        <f t="shared" si="134"/>
        <v>302.00299999999999</v>
      </c>
      <c r="AA137" s="52">
        <f t="shared" si="135"/>
        <v>302.00299999999999</v>
      </c>
      <c r="AB137" s="52">
        <f t="shared" si="136"/>
        <v>604.00599999999997</v>
      </c>
      <c r="AC137" s="52">
        <f t="shared" si="137"/>
        <v>1812.019</v>
      </c>
      <c r="AD137" s="52">
        <f t="shared" si="138"/>
        <v>5732.6840000000002</v>
      </c>
      <c r="AE137" s="52">
        <f t="shared" si="139"/>
        <v>16760.891</v>
      </c>
      <c r="AF137" s="52">
        <f t="shared" si="140"/>
        <v>3721.56</v>
      </c>
      <c r="AG137" s="52">
        <f t="shared" si="141"/>
        <v>2141.5030000000002</v>
      </c>
      <c r="AH137" s="52">
        <f t="shared" si="142"/>
        <v>31376.669000000002</v>
      </c>
      <c r="AI137">
        <v>19.914000000000001</v>
      </c>
      <c r="AJ137" s="30">
        <f t="shared" si="143"/>
        <v>624834.98646600009</v>
      </c>
      <c r="AK137">
        <f t="shared" si="144"/>
        <v>604.00639999999999</v>
      </c>
      <c r="AM137" s="20" t="s">
        <v>206</v>
      </c>
      <c r="AN137" t="s">
        <v>456</v>
      </c>
      <c r="AO137" t="s">
        <v>457</v>
      </c>
      <c r="AP137" t="s">
        <v>689</v>
      </c>
      <c r="AQ137" s="55">
        <v>19203.02568755703</v>
      </c>
      <c r="AR137" s="55">
        <v>3.1844392415223699</v>
      </c>
      <c r="AS137" t="s">
        <v>206</v>
      </c>
      <c r="AT137" t="s">
        <v>1284</v>
      </c>
      <c r="AU137" t="s">
        <v>1153</v>
      </c>
      <c r="AV137">
        <v>82.710323520853194</v>
      </c>
      <c r="AW137">
        <v>85.739566954200598</v>
      </c>
      <c r="AX137">
        <v>87.125377237050401</v>
      </c>
      <c r="AY137">
        <v>88.869852083689807</v>
      </c>
      <c r="AZ137">
        <v>90.451723406073995</v>
      </c>
      <c r="BA137">
        <v>95.685147945992199</v>
      </c>
      <c r="BB137">
        <v>98.494685435219097</v>
      </c>
      <c r="BC137">
        <v>100</v>
      </c>
      <c r="BD137">
        <v>103.37068502482801</v>
      </c>
      <c r="BE137">
        <v>107.147573193253</v>
      </c>
      <c r="BF137">
        <v>110.165387614396</v>
      </c>
      <c r="BG137">
        <v>113.71937456395899</v>
      </c>
      <c r="BH137">
        <v>117.762548939138</v>
      </c>
      <c r="BJ137" s="20" t="s">
        <v>206</v>
      </c>
      <c r="BK137" t="s">
        <v>689</v>
      </c>
      <c r="BL137">
        <v>2015</v>
      </c>
      <c r="BM137">
        <f>INDEX('Costs lists'!$C$5:$C$8,MATCH(Lists!BK137,'Costs lists'!$B$5:$B$8,0))</f>
        <v>3.2</v>
      </c>
      <c r="BN137">
        <f>INDEX('Costs lists'!$D$5:$D$8,MATCH(Lists!BK137,'Costs lists'!$B$5:$B$8,0))</f>
        <v>1.1200000000000001</v>
      </c>
      <c r="BO137">
        <f>INDEX('Costs lists'!$E$5:$E$8,MATCH(Lists!BK137,'Costs lists'!$B$5:$B$8,0))</f>
        <v>4.4400000000000004</v>
      </c>
      <c r="BW137" s="20" t="s">
        <v>206</v>
      </c>
      <c r="BX137" s="20">
        <v>2008</v>
      </c>
      <c r="BY137" s="52">
        <v>18.680200000000003</v>
      </c>
      <c r="BZ137" s="52">
        <v>23.069200000000002</v>
      </c>
      <c r="CA137" s="52">
        <v>26.287800000000001</v>
      </c>
      <c r="CB137" s="52">
        <v>27.381200000000003</v>
      </c>
      <c r="CC137" s="375">
        <f t="shared" si="131"/>
        <v>19.307365000000001</v>
      </c>
      <c r="CD137" s="375">
        <v>81.7</v>
      </c>
      <c r="CE137" s="375">
        <v>85.23</v>
      </c>
      <c r="CF137" s="375">
        <v>110.21</v>
      </c>
      <c r="CG137" s="375">
        <f t="shared" si="130"/>
        <v>87.039999999999992</v>
      </c>
      <c r="CI137" s="20" t="s">
        <v>206</v>
      </c>
      <c r="CJ137" s="20">
        <v>2015</v>
      </c>
      <c r="CK137" s="59">
        <f t="shared" si="145"/>
        <v>22.990276065984034</v>
      </c>
      <c r="CL137" s="59">
        <f t="shared" si="146"/>
        <v>28.391948513474098</v>
      </c>
      <c r="CM137" s="59">
        <f t="shared" si="147"/>
        <v>32.353174974966812</v>
      </c>
      <c r="CN137" s="59">
        <f t="shared" si="148"/>
        <v>33.698854777674867</v>
      </c>
      <c r="CO137" s="59">
        <f t="shared" si="149"/>
        <v>23.762146628875374</v>
      </c>
      <c r="CP137" s="59">
        <f t="shared" si="150"/>
        <v>100.55061265890598</v>
      </c>
      <c r="CQ137" s="59">
        <f t="shared" si="151"/>
        <v>104.89508833437645</v>
      </c>
      <c r="CR137" s="59">
        <f t="shared" si="152"/>
        <v>135.6387150690089</v>
      </c>
      <c r="CS137" s="59">
        <f t="shared" si="153"/>
        <v>107.12270900650154</v>
      </c>
      <c r="CW137" s="20" t="s">
        <v>206</v>
      </c>
      <c r="CX137">
        <v>2014</v>
      </c>
      <c r="CY137">
        <v>30.973147999999998</v>
      </c>
      <c r="CZ137">
        <v>14.726970672607422</v>
      </c>
      <c r="DA137">
        <v>1790.294121877497</v>
      </c>
      <c r="DB137">
        <v>335960.3125</v>
      </c>
      <c r="DC137">
        <v>0.30656313896179199</v>
      </c>
      <c r="DE137">
        <f t="shared" si="154"/>
        <v>6993.4985446908313</v>
      </c>
      <c r="DH137">
        <f t="shared" si="155"/>
        <v>3.9063405611568944</v>
      </c>
      <c r="DI137">
        <f t="shared" ref="DI137:DI195" si="162">DH137*($BH137/$BG137)</f>
        <v>4.0452264468571268</v>
      </c>
      <c r="DJ137">
        <f t="shared" ref="DJ137:DJ195" si="163">DI137/(CZ137/CY137)</f>
        <v>8.5077508618299316</v>
      </c>
      <c r="DL137" s="20" t="s">
        <v>206</v>
      </c>
      <c r="DM137" s="99" t="s">
        <v>781</v>
      </c>
      <c r="DN137" s="100" t="s">
        <v>754</v>
      </c>
      <c r="DO137" s="101"/>
      <c r="DP137" s="101"/>
      <c r="DQ137" s="101">
        <v>44.6</v>
      </c>
      <c r="DR137" s="101">
        <v>44</v>
      </c>
      <c r="DS137" s="101">
        <v>40.299999999999997</v>
      </c>
      <c r="DT137" s="101">
        <v>40.4</v>
      </c>
      <c r="DU137" s="101">
        <v>44.6</v>
      </c>
      <c r="DV137" s="101"/>
      <c r="DW137" s="101">
        <v>44.6</v>
      </c>
      <c r="DX137">
        <f t="shared" ca="1" si="156"/>
        <v>44.6</v>
      </c>
      <c r="DY137">
        <f t="shared" ca="1" si="157"/>
        <v>8.92</v>
      </c>
      <c r="DZ137">
        <f t="shared" ca="1" si="158"/>
        <v>36.08341990596557</v>
      </c>
      <c r="EB137" s="20" t="s">
        <v>206</v>
      </c>
      <c r="EC137" s="99" t="s">
        <v>835</v>
      </c>
      <c r="ED137" s="100" t="s">
        <v>832</v>
      </c>
      <c r="EE137" s="101">
        <v>61.8</v>
      </c>
      <c r="EF137" s="101">
        <v>63.1</v>
      </c>
      <c r="EG137" s="101">
        <v>62.4</v>
      </c>
      <c r="EH137" s="101">
        <v>62.7</v>
      </c>
      <c r="EI137" s="101">
        <v>64.5</v>
      </c>
      <c r="EJ137" s="101">
        <v>64.5</v>
      </c>
      <c r="EK137" s="101">
        <v>64.400000000000006</v>
      </c>
      <c r="EL137" s="101">
        <v>64.8</v>
      </c>
      <c r="EM137" s="101">
        <v>64.400000000000006</v>
      </c>
      <c r="EN137" s="101">
        <v>63.8</v>
      </c>
      <c r="EO137">
        <f t="shared" ca="1" si="159"/>
        <v>63.8</v>
      </c>
      <c r="EQ137" s="20" t="s">
        <v>206</v>
      </c>
      <c r="ER137" s="20">
        <f t="shared" ca="1" si="160"/>
        <v>36.08341990596557</v>
      </c>
      <c r="ES137">
        <f t="shared" ca="1" si="161"/>
        <v>23.021221900006037</v>
      </c>
      <c r="EU137" s="20" t="s">
        <v>206</v>
      </c>
      <c r="EV137" s="109">
        <v>12529.228630765334</v>
      </c>
    </row>
    <row r="138" spans="1:152" x14ac:dyDescent="0.3">
      <c r="A138" s="20" t="s">
        <v>113</v>
      </c>
      <c r="B138" s="20" t="s">
        <v>634</v>
      </c>
      <c r="C138" s="81">
        <v>2015</v>
      </c>
      <c r="D138" s="82">
        <v>11254.960999999999</v>
      </c>
      <c r="E138" s="82">
        <v>10651.592000000001</v>
      </c>
      <c r="F138" s="82">
        <v>10265.429</v>
      </c>
      <c r="G138" s="82">
        <v>10123.873</v>
      </c>
      <c r="H138" s="82">
        <v>9580.0059999999994</v>
      </c>
      <c r="I138" s="82">
        <v>8188.6880000000001</v>
      </c>
      <c r="J138" s="82">
        <v>7238.4269999999997</v>
      </c>
      <c r="K138" s="82">
        <v>6640.8119999999999</v>
      </c>
      <c r="L138" s="82">
        <v>5910.8540000000003</v>
      </c>
      <c r="M138" s="82">
        <v>5354.0209999999997</v>
      </c>
      <c r="N138" s="82">
        <v>4503.7839999999997</v>
      </c>
      <c r="O138" s="82">
        <v>3666.2979999999998</v>
      </c>
      <c r="P138" s="82">
        <v>2708.9749999999999</v>
      </c>
      <c r="Q138" s="82">
        <v>1953.501</v>
      </c>
      <c r="R138" s="82">
        <v>1216.8499999999999</v>
      </c>
      <c r="S138" s="82">
        <v>845.20399999999995</v>
      </c>
      <c r="T138" s="82">
        <v>424.94499999999999</v>
      </c>
      <c r="U138" s="82">
        <v>141.381</v>
      </c>
      <c r="V138" s="82">
        <v>26.565000000000001</v>
      </c>
      <c r="W138" s="82">
        <v>3.024</v>
      </c>
      <c r="X138" s="82">
        <v>0.20499999999999999</v>
      </c>
      <c r="Y138" s="82">
        <f t="shared" si="133"/>
        <v>100699.39500000002</v>
      </c>
      <c r="Z138" s="52">
        <f t="shared" si="134"/>
        <v>1125.4960000000001</v>
      </c>
      <c r="AA138" s="52">
        <f t="shared" si="135"/>
        <v>1125.4960000000001</v>
      </c>
      <c r="AB138" s="52">
        <f t="shared" si="136"/>
        <v>2250.9920000000002</v>
      </c>
      <c r="AC138" s="52">
        <f t="shared" si="137"/>
        <v>6752.9769999999999</v>
      </c>
      <c r="AD138" s="52">
        <f t="shared" si="138"/>
        <v>20917.021000000001</v>
      </c>
      <c r="AE138" s="52">
        <f t="shared" si="139"/>
        <v>53036.680999999997</v>
      </c>
      <c r="AF138" s="52">
        <f t="shared" si="140"/>
        <v>10879.057000000001</v>
      </c>
      <c r="AG138" s="52">
        <f t="shared" si="141"/>
        <v>4611.6750000000002</v>
      </c>
      <c r="AH138" s="52">
        <f t="shared" si="142"/>
        <v>100699.395</v>
      </c>
      <c r="AI138">
        <v>23.552</v>
      </c>
      <c r="AJ138" s="30">
        <f t="shared" si="143"/>
        <v>2371672.1510399999</v>
      </c>
      <c r="AK138">
        <f t="shared" si="144"/>
        <v>2250.9921999999997</v>
      </c>
      <c r="AM138" s="20" t="s">
        <v>113</v>
      </c>
      <c r="AN138" t="s">
        <v>458</v>
      </c>
      <c r="AO138" t="s">
        <v>459</v>
      </c>
      <c r="AP138" t="s">
        <v>688</v>
      </c>
      <c r="AQ138" s="55">
        <v>132149.32649297445</v>
      </c>
      <c r="AR138" s="55">
        <v>45.502839942143098</v>
      </c>
      <c r="AS138" t="s">
        <v>113</v>
      </c>
      <c r="AT138" t="s">
        <v>1285</v>
      </c>
      <c r="AU138" t="s">
        <v>1153</v>
      </c>
      <c r="AV138">
        <v>70.456431535269701</v>
      </c>
      <c r="AW138">
        <v>73.858921161825705</v>
      </c>
      <c r="AX138">
        <v>78.6721991701245</v>
      </c>
      <c r="AY138">
        <v>82.987551867219906</v>
      </c>
      <c r="AZ138">
        <v>85.394190871369304</v>
      </c>
      <c r="BA138">
        <v>92.448132780083</v>
      </c>
      <c r="BB138">
        <v>96.348547717842294</v>
      </c>
      <c r="BC138">
        <v>100</v>
      </c>
      <c r="BD138">
        <v>104.647302904564</v>
      </c>
      <c r="BE138">
        <v>107.966804979253</v>
      </c>
      <c r="BF138">
        <v>111.203319502075</v>
      </c>
      <c r="BG138">
        <v>115.767634854772</v>
      </c>
      <c r="BH138">
        <v>117.42738589211601</v>
      </c>
      <c r="BJ138" s="20" t="s">
        <v>113</v>
      </c>
      <c r="BK138" t="s">
        <v>688</v>
      </c>
      <c r="BL138">
        <v>2015</v>
      </c>
      <c r="BM138">
        <f>INDEX('Costs lists'!$C$5:$C$8,MATCH(Lists!BK138,'Costs lists'!$B$5:$B$8,0))</f>
        <v>5.21</v>
      </c>
      <c r="BN138">
        <f>INDEX('Costs lists'!$D$5:$D$8,MATCH(Lists!BK138,'Costs lists'!$B$5:$B$8,0))</f>
        <v>5.16</v>
      </c>
      <c r="BO138">
        <f>INDEX('Costs lists'!$E$5:$E$8,MATCH(Lists!BK138,'Costs lists'!$B$5:$B$8,0))</f>
        <v>5.26</v>
      </c>
      <c r="BW138" s="20" t="s">
        <v>113</v>
      </c>
      <c r="BX138" s="20">
        <v>2008</v>
      </c>
      <c r="BY138" s="52">
        <v>131.69399999999999</v>
      </c>
      <c r="BZ138" s="52">
        <v>162.74950000000001</v>
      </c>
      <c r="CA138" s="52">
        <v>185.39900000000003</v>
      </c>
      <c r="CB138" s="52">
        <v>193.1045</v>
      </c>
      <c r="CC138" s="375">
        <f t="shared" si="131"/>
        <v>136.1246625</v>
      </c>
      <c r="CD138" s="375">
        <v>28.46</v>
      </c>
      <c r="CE138" s="375">
        <v>29.69</v>
      </c>
      <c r="CF138" s="375">
        <v>38.39</v>
      </c>
      <c r="CG138" s="375">
        <f t="shared" si="130"/>
        <v>30.32</v>
      </c>
      <c r="CI138" s="20" t="s">
        <v>113</v>
      </c>
      <c r="CJ138" s="20">
        <v>2015</v>
      </c>
      <c r="CK138" s="59">
        <f t="shared" si="145"/>
        <v>167.27738779174121</v>
      </c>
      <c r="CL138" s="59">
        <f t="shared" si="146"/>
        <v>206.72400583482914</v>
      </c>
      <c r="CM138" s="59">
        <f t="shared" si="147"/>
        <v>235.49334380610378</v>
      </c>
      <c r="CN138" s="59">
        <f t="shared" si="148"/>
        <v>245.28085053859925</v>
      </c>
      <c r="CO138" s="59">
        <f t="shared" si="149"/>
        <v>172.90520416292611</v>
      </c>
      <c r="CP138" s="59">
        <f t="shared" si="150"/>
        <v>36.149820466786302</v>
      </c>
      <c r="CQ138" s="59">
        <f t="shared" si="151"/>
        <v>37.712163375224357</v>
      </c>
      <c r="CR138" s="59">
        <f t="shared" si="152"/>
        <v>48.76288150807892</v>
      </c>
      <c r="CS138" s="59">
        <f t="shared" si="153"/>
        <v>38.512387791741411</v>
      </c>
      <c r="CW138" s="20" t="s">
        <v>113</v>
      </c>
      <c r="CX138">
        <v>2014</v>
      </c>
      <c r="CY138">
        <v>99.138689999999997</v>
      </c>
      <c r="CZ138">
        <v>34.946426391601563</v>
      </c>
      <c r="DA138">
        <v>2115.2922771077992</v>
      </c>
      <c r="DB138">
        <v>654613.125</v>
      </c>
      <c r="DC138">
        <v>0.35672587156295776</v>
      </c>
      <c r="DE138">
        <f t="shared" si="154"/>
        <v>6682.1549916273007</v>
      </c>
      <c r="DH138">
        <f t="shared" si="155"/>
        <v>3.158974796978737</v>
      </c>
      <c r="DI138">
        <f t="shared" si="162"/>
        <v>3.2042647582257331</v>
      </c>
      <c r="DJ138">
        <f t="shared" si="163"/>
        <v>9.0901028615620785</v>
      </c>
      <c r="DL138" s="20" t="s">
        <v>113</v>
      </c>
      <c r="DM138" s="99" t="s">
        <v>782</v>
      </c>
      <c r="DN138" s="100" t="s">
        <v>847</v>
      </c>
      <c r="DO138" s="101"/>
      <c r="DP138" s="101"/>
      <c r="DQ138" s="101">
        <v>41.2</v>
      </c>
      <c r="DR138" s="101">
        <v>41.7</v>
      </c>
      <c r="DS138" s="101">
        <v>41.1</v>
      </c>
      <c r="DT138" s="101">
        <v>41.2</v>
      </c>
      <c r="DU138" s="101"/>
      <c r="DV138" s="101">
        <v>40.799999999999997</v>
      </c>
      <c r="DW138" s="101">
        <v>41</v>
      </c>
      <c r="DX138">
        <f t="shared" ca="1" si="156"/>
        <v>41</v>
      </c>
      <c r="DY138">
        <f t="shared" ca="1" si="157"/>
        <v>8.1999999999999993</v>
      </c>
      <c r="DZ138">
        <f t="shared" ca="1" si="158"/>
        <v>26.274971017451008</v>
      </c>
      <c r="EB138" s="20" t="s">
        <v>113</v>
      </c>
      <c r="EC138" s="99" t="s">
        <v>782</v>
      </c>
      <c r="ED138" s="100" t="s">
        <v>754</v>
      </c>
      <c r="EE138" s="101">
        <v>59.1</v>
      </c>
      <c r="EF138" s="101">
        <v>59</v>
      </c>
      <c r="EG138" s="101">
        <v>58.6</v>
      </c>
      <c r="EH138" s="101">
        <v>59.2</v>
      </c>
      <c r="EI138" s="101">
        <v>59.4</v>
      </c>
      <c r="EJ138" s="101">
        <v>60.1</v>
      </c>
      <c r="EK138" s="101">
        <v>59.7</v>
      </c>
      <c r="EL138" s="101">
        <v>59.4</v>
      </c>
      <c r="EM138" s="101">
        <v>60.4</v>
      </c>
      <c r="EN138" s="101">
        <v>59.7</v>
      </c>
      <c r="EO138">
        <f t="shared" ca="1" si="159"/>
        <v>59.7</v>
      </c>
      <c r="EQ138" s="20" t="s">
        <v>113</v>
      </c>
      <c r="ER138" s="20">
        <f t="shared" ca="1" si="160"/>
        <v>26.274971017451008</v>
      </c>
      <c r="ES138">
        <f t="shared" ca="1" si="161"/>
        <v>15.686157697418253</v>
      </c>
      <c r="EU138" s="20" t="s">
        <v>113</v>
      </c>
      <c r="EV138" s="109">
        <v>7387.3175934512828</v>
      </c>
    </row>
    <row r="139" spans="1:152" x14ac:dyDescent="0.3">
      <c r="A139" s="20" t="s">
        <v>140</v>
      </c>
      <c r="B139" s="20" t="s">
        <v>257</v>
      </c>
      <c r="C139" s="81">
        <v>2015</v>
      </c>
      <c r="D139" s="82">
        <v>1994.4970000000001</v>
      </c>
      <c r="E139" s="82">
        <v>2010.9639999999999</v>
      </c>
      <c r="F139" s="82">
        <v>1765.566</v>
      </c>
      <c r="G139" s="82">
        <v>1985.1489999999999</v>
      </c>
      <c r="H139" s="82">
        <v>2487.1909999999998</v>
      </c>
      <c r="I139" s="82">
        <v>2919.8780000000002</v>
      </c>
      <c r="J139" s="82">
        <v>3313.857</v>
      </c>
      <c r="K139" s="82">
        <v>3079.9450000000002</v>
      </c>
      <c r="L139" s="82">
        <v>2653.9070000000002</v>
      </c>
      <c r="M139" s="82">
        <v>2278.7130000000002</v>
      </c>
      <c r="N139" s="82">
        <v>2412.5050000000001</v>
      </c>
      <c r="O139" s="82">
        <v>2957.069</v>
      </c>
      <c r="P139" s="82">
        <v>2754.8580000000002</v>
      </c>
      <c r="Q139" s="82">
        <v>2068.7330000000002</v>
      </c>
      <c r="R139" s="82">
        <v>1217.1489999999999</v>
      </c>
      <c r="S139" s="82">
        <v>1155.3389999999999</v>
      </c>
      <c r="T139" s="82">
        <v>862.23599999999999</v>
      </c>
      <c r="U139" s="82">
        <v>484.64699999999999</v>
      </c>
      <c r="V139" s="82">
        <v>177.67500000000001</v>
      </c>
      <c r="W139" s="82">
        <v>27.385999999999999</v>
      </c>
      <c r="X139" s="82">
        <v>4.53</v>
      </c>
      <c r="Y139" s="82">
        <f t="shared" si="133"/>
        <v>38611.793999999987</v>
      </c>
      <c r="Z139" s="52">
        <f t="shared" si="134"/>
        <v>199.45</v>
      </c>
      <c r="AA139" s="52">
        <f t="shared" si="135"/>
        <v>199.45</v>
      </c>
      <c r="AB139" s="52">
        <f t="shared" si="136"/>
        <v>398.899</v>
      </c>
      <c r="AC139" s="52">
        <f t="shared" si="137"/>
        <v>1196.6980000000001</v>
      </c>
      <c r="AD139" s="52">
        <f t="shared" si="138"/>
        <v>3776.53</v>
      </c>
      <c r="AE139" s="52">
        <f t="shared" si="139"/>
        <v>18718.64</v>
      </c>
      <c r="AF139" s="52">
        <f t="shared" si="140"/>
        <v>8124.4319999999998</v>
      </c>
      <c r="AG139" s="52">
        <f t="shared" si="141"/>
        <v>5997.6949999999997</v>
      </c>
      <c r="AH139" s="52">
        <f t="shared" si="142"/>
        <v>38611.794000000002</v>
      </c>
      <c r="AI139">
        <v>9.9</v>
      </c>
      <c r="AJ139" s="30">
        <f t="shared" si="143"/>
        <v>382256.76060000004</v>
      </c>
      <c r="AK139">
        <f t="shared" si="144"/>
        <v>398.89940000000001</v>
      </c>
      <c r="AM139" s="20" t="s">
        <v>140</v>
      </c>
      <c r="AN139" t="s">
        <v>460</v>
      </c>
      <c r="AO139" t="s">
        <v>461</v>
      </c>
      <c r="AP139" t="s">
        <v>690</v>
      </c>
      <c r="AQ139" s="55">
        <v>47340.664867216205</v>
      </c>
      <c r="AR139" s="55">
        <v>3.7694999999999999</v>
      </c>
      <c r="AS139" t="s">
        <v>140</v>
      </c>
      <c r="AT139" t="s">
        <v>1286</v>
      </c>
      <c r="AU139" t="s">
        <v>1153</v>
      </c>
      <c r="AV139">
        <v>82.076783231739896</v>
      </c>
      <c r="AW139">
        <v>85.012298149930501</v>
      </c>
      <c r="AX139">
        <v>86.803550422414702</v>
      </c>
      <c r="AY139">
        <v>87.771361351727094</v>
      </c>
      <c r="AZ139">
        <v>89.867393861619107</v>
      </c>
      <c r="BA139">
        <v>93.776066730830905</v>
      </c>
      <c r="BB139">
        <v>97.363918297508505</v>
      </c>
      <c r="BC139">
        <v>100</v>
      </c>
      <c r="BD139">
        <v>104.258333333333</v>
      </c>
      <c r="BE139">
        <v>107.966666666667</v>
      </c>
      <c r="BF139">
        <v>109.083333333333</v>
      </c>
      <c r="BG139">
        <v>109.2</v>
      </c>
      <c r="BH139">
        <v>108.11750000000001</v>
      </c>
      <c r="BJ139" s="20" t="s">
        <v>140</v>
      </c>
      <c r="BK139" t="s">
        <v>690</v>
      </c>
      <c r="BL139">
        <v>2015</v>
      </c>
      <c r="BM139">
        <f>INDEX('Costs lists'!$C$5:$C$8,MATCH(Lists!BK139,'Costs lists'!$B$5:$B$8,0))</f>
        <v>3.55</v>
      </c>
      <c r="BN139">
        <f>INDEX('Costs lists'!$D$5:$D$8,MATCH(Lists!BK139,'Costs lists'!$B$5:$B$8,0))</f>
        <v>2.91</v>
      </c>
      <c r="BO139">
        <f>INDEX('Costs lists'!$E$5:$E$8,MATCH(Lists!BK139,'Costs lists'!$B$5:$B$8,0))</f>
        <v>7.59</v>
      </c>
      <c r="BW139" s="20" t="s">
        <v>140</v>
      </c>
      <c r="BX139" s="20">
        <v>2008</v>
      </c>
      <c r="BY139" s="52">
        <v>42.8536</v>
      </c>
      <c r="BZ139" s="52">
        <v>52.900000000000006</v>
      </c>
      <c r="CA139" s="52">
        <v>60.296800000000012</v>
      </c>
      <c r="CB139" s="52">
        <v>62.817600000000006</v>
      </c>
      <c r="CC139" s="375">
        <f t="shared" si="131"/>
        <v>44.291100000000007</v>
      </c>
      <c r="CD139" s="375">
        <v>200.73</v>
      </c>
      <c r="CE139" s="375">
        <v>209.41</v>
      </c>
      <c r="CF139" s="375">
        <v>270.77</v>
      </c>
      <c r="CG139" s="375">
        <f t="shared" si="130"/>
        <v>213.85</v>
      </c>
      <c r="CI139" s="20" t="s">
        <v>140</v>
      </c>
      <c r="CJ139" s="20">
        <v>2015</v>
      </c>
      <c r="CK139" s="59">
        <f t="shared" si="145"/>
        <v>49.407319580793718</v>
      </c>
      <c r="CL139" s="59">
        <f t="shared" si="146"/>
        <v>60.990143321074257</v>
      </c>
      <c r="CM139" s="59">
        <f t="shared" si="147"/>
        <v>69.518156404577525</v>
      </c>
      <c r="CN139" s="59">
        <f t="shared" si="148"/>
        <v>72.42446932109479</v>
      </c>
      <c r="CO139" s="59">
        <f t="shared" si="149"/>
        <v>51.064660431909871</v>
      </c>
      <c r="CP139" s="59">
        <f t="shared" si="150"/>
        <v>231.42819411794395</v>
      </c>
      <c r="CQ139" s="59">
        <f t="shared" si="151"/>
        <v>241.4356505267705</v>
      </c>
      <c r="CR139" s="59">
        <f t="shared" si="152"/>
        <v>312.17960504815261</v>
      </c>
      <c r="CS139" s="59">
        <f t="shared" si="153"/>
        <v>246.55467200778315</v>
      </c>
      <c r="CW139" s="20" t="s">
        <v>140</v>
      </c>
      <c r="CX139">
        <v>2014</v>
      </c>
      <c r="CY139">
        <v>38.619973999999999</v>
      </c>
      <c r="CZ139">
        <v>15.837790489196777</v>
      </c>
      <c r="DA139">
        <v>2039.2818057238062</v>
      </c>
      <c r="DB139">
        <v>937626.25</v>
      </c>
      <c r="DC139">
        <v>0.56311589479446411</v>
      </c>
      <c r="DE139">
        <f t="shared" si="154"/>
        <v>33337.493958622588</v>
      </c>
      <c r="DH139">
        <f t="shared" si="155"/>
        <v>16.347664096767659</v>
      </c>
      <c r="DI139">
        <f t="shared" si="162"/>
        <v>16.18560964269485</v>
      </c>
      <c r="DJ139">
        <f t="shared" si="163"/>
        <v>39.468120505913198</v>
      </c>
      <c r="DL139" s="20" t="s">
        <v>140</v>
      </c>
      <c r="DM139" s="99" t="s">
        <v>796</v>
      </c>
      <c r="DN139" s="100" t="s">
        <v>754</v>
      </c>
      <c r="DO139" s="101">
        <v>41.2</v>
      </c>
      <c r="DP139" s="101">
        <v>41</v>
      </c>
      <c r="DQ139" s="101">
        <v>40.6</v>
      </c>
      <c r="DR139" s="101">
        <v>40.5</v>
      </c>
      <c r="DS139" s="101">
        <v>40.299999999999997</v>
      </c>
      <c r="DT139" s="101">
        <v>40.299999999999997</v>
      </c>
      <c r="DU139" s="101">
        <v>40.200000000000003</v>
      </c>
      <c r="DV139" s="101">
        <v>40.4</v>
      </c>
      <c r="DW139" s="101">
        <v>40.4</v>
      </c>
      <c r="DX139">
        <f t="shared" ca="1" si="156"/>
        <v>40.4</v>
      </c>
      <c r="DY139">
        <f t="shared" ca="1" si="157"/>
        <v>8.08</v>
      </c>
      <c r="DZ139">
        <f t="shared" ca="1" si="158"/>
        <v>130.77972591297438</v>
      </c>
      <c r="EB139" s="20" t="s">
        <v>140</v>
      </c>
      <c r="EC139" s="99" t="s">
        <v>796</v>
      </c>
      <c r="ED139" s="100" t="s">
        <v>754</v>
      </c>
      <c r="EE139" s="101">
        <v>46.5</v>
      </c>
      <c r="EF139" s="101">
        <v>48.6</v>
      </c>
      <c r="EG139" s="101">
        <v>50.4</v>
      </c>
      <c r="EH139" s="101">
        <v>50.4</v>
      </c>
      <c r="EI139" s="101">
        <v>50</v>
      </c>
      <c r="EJ139" s="101">
        <v>50.2</v>
      </c>
      <c r="EK139" s="101">
        <v>50.2</v>
      </c>
      <c r="EL139" s="101">
        <v>50.2</v>
      </c>
      <c r="EM139" s="101">
        <v>51.2</v>
      </c>
      <c r="EN139" s="101">
        <v>52</v>
      </c>
      <c r="EO139">
        <f t="shared" ca="1" si="159"/>
        <v>52</v>
      </c>
      <c r="EQ139" s="20" t="s">
        <v>140</v>
      </c>
      <c r="ER139" s="20">
        <f t="shared" ca="1" si="160"/>
        <v>130.77972591297438</v>
      </c>
      <c r="ES139">
        <f t="shared" ca="1" si="161"/>
        <v>68.005457474746677</v>
      </c>
      <c r="EU139" s="20" t="s">
        <v>140</v>
      </c>
      <c r="EV139" s="109">
        <v>26260.998138489707</v>
      </c>
    </row>
    <row r="140" spans="1:152" x14ac:dyDescent="0.3">
      <c r="A140" s="20" t="s">
        <v>163</v>
      </c>
      <c r="B140" s="20" t="s">
        <v>257</v>
      </c>
      <c r="C140" s="81">
        <v>2015</v>
      </c>
      <c r="D140" s="82">
        <v>438.78100000000001</v>
      </c>
      <c r="E140" s="82">
        <v>488.90499999999997</v>
      </c>
      <c r="F140" s="82">
        <v>526.80499999999995</v>
      </c>
      <c r="G140" s="82">
        <v>545.125</v>
      </c>
      <c r="H140" s="82">
        <v>539.58799999999997</v>
      </c>
      <c r="I140" s="82">
        <v>565.904</v>
      </c>
      <c r="J140" s="82">
        <v>657.64400000000001</v>
      </c>
      <c r="K140" s="82">
        <v>766.41300000000001</v>
      </c>
      <c r="L140" s="82">
        <v>813.69600000000003</v>
      </c>
      <c r="M140" s="82">
        <v>753.85699999999997</v>
      </c>
      <c r="N140" s="82">
        <v>755.51599999999996</v>
      </c>
      <c r="O140" s="82">
        <v>696.36</v>
      </c>
      <c r="P140" s="82">
        <v>649.33299999999997</v>
      </c>
      <c r="Q140" s="82">
        <v>598.86199999999997</v>
      </c>
      <c r="R140" s="82">
        <v>503.685</v>
      </c>
      <c r="S140" s="82">
        <v>435.65300000000002</v>
      </c>
      <c r="T140" s="82">
        <v>335.05</v>
      </c>
      <c r="U140" s="82">
        <v>198.21899999999999</v>
      </c>
      <c r="V140" s="82">
        <v>65.543000000000006</v>
      </c>
      <c r="W140" s="82">
        <v>13.26</v>
      </c>
      <c r="X140" s="82">
        <v>1.6040000000000001</v>
      </c>
      <c r="Y140" s="82">
        <f t="shared" si="133"/>
        <v>10349.802999999994</v>
      </c>
      <c r="Z140" s="52">
        <f t="shared" si="134"/>
        <v>43.878</v>
      </c>
      <c r="AA140" s="52">
        <f t="shared" si="135"/>
        <v>43.878</v>
      </c>
      <c r="AB140" s="52">
        <f t="shared" si="136"/>
        <v>87.756</v>
      </c>
      <c r="AC140" s="52">
        <f t="shared" si="137"/>
        <v>263.26900000000001</v>
      </c>
      <c r="AD140" s="52">
        <f t="shared" si="138"/>
        <v>1015.71</v>
      </c>
      <c r="AE140" s="52">
        <f t="shared" si="139"/>
        <v>4642.2269999999999</v>
      </c>
      <c r="AF140" s="52">
        <f t="shared" si="140"/>
        <v>2101.2089999999998</v>
      </c>
      <c r="AG140" s="52">
        <f t="shared" si="141"/>
        <v>2151.8760000000002</v>
      </c>
      <c r="AH140" s="52">
        <f t="shared" si="142"/>
        <v>10349.803</v>
      </c>
      <c r="AI140">
        <v>7.9</v>
      </c>
      <c r="AJ140" s="30">
        <f t="shared" si="143"/>
        <v>81763.443700000003</v>
      </c>
      <c r="AK140">
        <f t="shared" si="144"/>
        <v>87.756200000000007</v>
      </c>
      <c r="AM140" s="20" t="s">
        <v>163</v>
      </c>
      <c r="AN140" t="s">
        <v>256</v>
      </c>
      <c r="AO140" t="s">
        <v>257</v>
      </c>
      <c r="AP140" t="s">
        <v>690</v>
      </c>
      <c r="AQ140" s="55">
        <v>17333.320493110881</v>
      </c>
      <c r="AR140" s="55">
        <v>0.90165896164127801</v>
      </c>
      <c r="AS140" t="s">
        <v>163</v>
      </c>
      <c r="AT140" t="s">
        <v>1287</v>
      </c>
      <c r="AU140" t="s">
        <v>1153</v>
      </c>
      <c r="AV140">
        <v>87.651076311907801</v>
      </c>
      <c r="AW140">
        <v>89.716116999585495</v>
      </c>
      <c r="AX140">
        <v>91.774085630113603</v>
      </c>
      <c r="AY140">
        <v>94.291737975364498</v>
      </c>
      <c r="AZ140">
        <v>96.936687349307803</v>
      </c>
      <c r="BA140">
        <v>99.447742856432797</v>
      </c>
      <c r="BB140">
        <v>98.616827109159004</v>
      </c>
      <c r="BC140">
        <v>100</v>
      </c>
      <c r="BD140">
        <v>103.653011004307</v>
      </c>
      <c r="BE140">
        <v>106.527659906895</v>
      </c>
      <c r="BF140">
        <v>106.81998956029</v>
      </c>
      <c r="BG140">
        <v>106.52286616219899</v>
      </c>
      <c r="BH140">
        <v>107.042632369495</v>
      </c>
      <c r="BJ140" s="20" t="s">
        <v>163</v>
      </c>
      <c r="BK140" t="s">
        <v>690</v>
      </c>
      <c r="BL140">
        <v>2015</v>
      </c>
      <c r="BM140">
        <f>INDEX('Costs lists'!$C$5:$C$8,MATCH(Lists!BK140,'Costs lists'!$B$5:$B$8,0))</f>
        <v>3.55</v>
      </c>
      <c r="BN140">
        <f>INDEX('Costs lists'!$D$5:$D$8,MATCH(Lists!BK140,'Costs lists'!$B$5:$B$8,0))</f>
        <v>2.91</v>
      </c>
      <c r="BO140">
        <f>INDEX('Costs lists'!$E$5:$E$8,MATCH(Lists!BK140,'Costs lists'!$B$5:$B$8,0))</f>
        <v>7.59</v>
      </c>
      <c r="BW140" s="20" t="s">
        <v>163</v>
      </c>
      <c r="BX140" s="20">
        <v>2008</v>
      </c>
      <c r="BY140" s="52">
        <v>19.84</v>
      </c>
      <c r="BZ140" s="52">
        <v>24.499200000000002</v>
      </c>
      <c r="CA140" s="52">
        <v>27.916799999999999</v>
      </c>
      <c r="CB140" s="52">
        <v>29.0944</v>
      </c>
      <c r="CC140" s="375">
        <f t="shared" si="131"/>
        <v>20.506240000000002</v>
      </c>
      <c r="CD140" s="375">
        <v>297.79000000000002</v>
      </c>
      <c r="CE140" s="375">
        <v>310.67</v>
      </c>
      <c r="CF140" s="375">
        <v>401.7</v>
      </c>
      <c r="CG140" s="375">
        <f t="shared" si="130"/>
        <v>317.255</v>
      </c>
      <c r="CI140" s="20" t="s">
        <v>163</v>
      </c>
      <c r="CJ140" s="20">
        <v>2015</v>
      </c>
      <c r="CK140" s="59">
        <f t="shared" si="145"/>
        <v>21.355193845642994</v>
      </c>
      <c r="CL140" s="59">
        <f t="shared" si="146"/>
        <v>26.370220013264962</v>
      </c>
      <c r="CM140" s="59">
        <f t="shared" si="147"/>
        <v>30.048824372482173</v>
      </c>
      <c r="CN140" s="59">
        <f t="shared" si="148"/>
        <v>31.31635845880421</v>
      </c>
      <c r="CO140" s="59">
        <f t="shared" si="149"/>
        <v>22.072315032524106</v>
      </c>
      <c r="CP140" s="59">
        <f t="shared" si="150"/>
        <v>320.53241810957803</v>
      </c>
      <c r="CQ140" s="59">
        <f t="shared" si="151"/>
        <v>334.39607217872526</v>
      </c>
      <c r="CR140" s="59">
        <f t="shared" si="152"/>
        <v>432.37809313481807</v>
      </c>
      <c r="CS140" s="59">
        <f t="shared" si="153"/>
        <v>341.48397295864254</v>
      </c>
      <c r="CW140" s="20" t="s">
        <v>163</v>
      </c>
      <c r="CX140">
        <v>2014</v>
      </c>
      <c r="CY140">
        <v>10.402343</v>
      </c>
      <c r="CZ140">
        <v>4.3413472175598145</v>
      </c>
      <c r="DA140">
        <v>1856.8968420679448</v>
      </c>
      <c r="DB140">
        <v>277951.375</v>
      </c>
      <c r="DC140">
        <v>0.5807642936706543</v>
      </c>
      <c r="DE140">
        <f t="shared" si="154"/>
        <v>37182.981661484228</v>
      </c>
      <c r="DH140">
        <f t="shared" si="155"/>
        <v>20.024258116608763</v>
      </c>
      <c r="DI140">
        <f t="shared" si="162"/>
        <v>20.121964206110128</v>
      </c>
      <c r="DJ140">
        <f t="shared" si="163"/>
        <v>48.214428152404821</v>
      </c>
      <c r="DL140" s="20" t="s">
        <v>163</v>
      </c>
      <c r="DM140" s="99" t="s">
        <v>796</v>
      </c>
      <c r="DN140" s="100" t="s">
        <v>754</v>
      </c>
      <c r="DO140" s="101">
        <v>38.6</v>
      </c>
      <c r="DP140" s="101">
        <v>38.5</v>
      </c>
      <c r="DQ140" s="101">
        <v>38.6</v>
      </c>
      <c r="DR140" s="101">
        <v>38.700000000000003</v>
      </c>
      <c r="DS140" s="101">
        <v>38.5</v>
      </c>
      <c r="DT140" s="101">
        <v>38.4</v>
      </c>
      <c r="DU140" s="101">
        <v>38.5</v>
      </c>
      <c r="DV140" s="101">
        <v>38.799999999999997</v>
      </c>
      <c r="DW140" s="101">
        <v>38.799999999999997</v>
      </c>
      <c r="DX140">
        <f t="shared" ca="1" si="156"/>
        <v>38.799999999999997</v>
      </c>
      <c r="DY140">
        <f t="shared" ca="1" si="157"/>
        <v>7.76</v>
      </c>
      <c r="DZ140">
        <f t="shared" ca="1" si="158"/>
        <v>156.1464422394146</v>
      </c>
      <c r="EB140" s="20" t="s">
        <v>163</v>
      </c>
      <c r="EC140" s="99" t="s">
        <v>796</v>
      </c>
      <c r="ED140" s="100" t="s">
        <v>754</v>
      </c>
      <c r="EE140" s="101">
        <v>57.3</v>
      </c>
      <c r="EF140" s="101">
        <v>57.3</v>
      </c>
      <c r="EG140" s="101">
        <v>57.4</v>
      </c>
      <c r="EH140" s="101">
        <v>55.6</v>
      </c>
      <c r="EI140" s="101">
        <v>54.6</v>
      </c>
      <c r="EJ140" s="101">
        <v>52.8</v>
      </c>
      <c r="EK140" s="101">
        <v>50.8</v>
      </c>
      <c r="EL140" s="101">
        <v>49.7</v>
      </c>
      <c r="EM140" s="101">
        <v>50.6</v>
      </c>
      <c r="EN140" s="101">
        <v>51.3</v>
      </c>
      <c r="EO140">
        <f t="shared" ca="1" si="159"/>
        <v>51.3</v>
      </c>
      <c r="EQ140" s="20" t="s">
        <v>163</v>
      </c>
      <c r="ER140" s="20">
        <f t="shared" ca="1" si="160"/>
        <v>156.1464422394146</v>
      </c>
      <c r="ES140">
        <f t="shared" ca="1" si="161"/>
        <v>80.103124868819691</v>
      </c>
      <c r="EU140" s="20" t="s">
        <v>163</v>
      </c>
      <c r="EV140" s="109">
        <v>29213.122052841394</v>
      </c>
    </row>
    <row r="141" spans="1:152" x14ac:dyDescent="0.3">
      <c r="A141" s="20" t="s">
        <v>129</v>
      </c>
      <c r="B141" s="20" t="s">
        <v>631</v>
      </c>
      <c r="C141" s="81">
        <v>2015</v>
      </c>
      <c r="D141" s="82">
        <v>132.38</v>
      </c>
      <c r="E141" s="82">
        <v>111.96599999999999</v>
      </c>
      <c r="F141" s="82">
        <v>102.616</v>
      </c>
      <c r="G141" s="82">
        <v>110.273</v>
      </c>
      <c r="H141" s="82">
        <v>216.37200000000001</v>
      </c>
      <c r="I141" s="82">
        <v>390.91399999999999</v>
      </c>
      <c r="J141" s="82">
        <v>383.70100000000002</v>
      </c>
      <c r="K141" s="82">
        <v>260.72800000000001</v>
      </c>
      <c r="L141" s="82">
        <v>205.071</v>
      </c>
      <c r="M141" s="82">
        <v>138.02600000000001</v>
      </c>
      <c r="N141" s="82">
        <v>81.542000000000002</v>
      </c>
      <c r="O141" s="82">
        <v>51.192999999999998</v>
      </c>
      <c r="P141" s="82">
        <v>24.126999999999999</v>
      </c>
      <c r="Q141" s="82">
        <v>9.6539999999999999</v>
      </c>
      <c r="R141" s="82">
        <v>7.9169999999999998</v>
      </c>
      <c r="S141" s="82">
        <v>6.3780000000000001</v>
      </c>
      <c r="T141" s="82">
        <v>1.4950000000000001</v>
      </c>
      <c r="U141" s="82">
        <v>0.72599999999999998</v>
      </c>
      <c r="V141" s="82">
        <v>0.19700000000000001</v>
      </c>
      <c r="W141" s="82">
        <v>6.9000000000000006E-2</v>
      </c>
      <c r="X141" s="82">
        <v>0.01</v>
      </c>
      <c r="Y141" s="82">
        <f t="shared" si="133"/>
        <v>2235.3550000000005</v>
      </c>
      <c r="Z141" s="52">
        <f t="shared" si="134"/>
        <v>13.238</v>
      </c>
      <c r="AA141" s="52">
        <f t="shared" si="135"/>
        <v>13.238</v>
      </c>
      <c r="AB141" s="52">
        <f t="shared" si="136"/>
        <v>26.475999999999999</v>
      </c>
      <c r="AC141" s="52">
        <f t="shared" si="137"/>
        <v>79.427999999999997</v>
      </c>
      <c r="AD141" s="52">
        <f t="shared" si="138"/>
        <v>214.58199999999999</v>
      </c>
      <c r="AE141" s="52">
        <f t="shared" si="139"/>
        <v>1705.085</v>
      </c>
      <c r="AF141" s="52">
        <f t="shared" si="140"/>
        <v>156.86199999999999</v>
      </c>
      <c r="AG141" s="52">
        <f t="shared" si="141"/>
        <v>26.446000000000002</v>
      </c>
      <c r="AH141" s="52">
        <f t="shared" si="142"/>
        <v>2235.355</v>
      </c>
      <c r="AI141">
        <v>11.885999999999999</v>
      </c>
      <c r="AJ141" s="30">
        <f t="shared" si="143"/>
        <v>26569.429529999998</v>
      </c>
      <c r="AK141">
        <f t="shared" si="144"/>
        <v>26.475999999999999</v>
      </c>
      <c r="AM141" s="20" t="s">
        <v>129</v>
      </c>
      <c r="AN141" t="s">
        <v>462</v>
      </c>
      <c r="AO141" t="s">
        <v>463</v>
      </c>
      <c r="AP141" t="s">
        <v>690</v>
      </c>
      <c r="AQ141" s="55">
        <v>268098.35574215284</v>
      </c>
      <c r="AR141" s="55">
        <v>3.64</v>
      </c>
      <c r="AS141" t="s">
        <v>129</v>
      </c>
      <c r="AT141" t="s">
        <v>1288</v>
      </c>
      <c r="AU141" t="s">
        <v>1153</v>
      </c>
      <c r="AV141">
        <v>63.329909210972403</v>
      </c>
      <c r="AW141">
        <v>67.635922938418204</v>
      </c>
      <c r="AX141">
        <v>73.597620566804594</v>
      </c>
      <c r="AY141">
        <v>82.308494821752504</v>
      </c>
      <c r="AZ141">
        <v>93.632631353184806</v>
      </c>
      <c r="BA141">
        <v>107.724478286189</v>
      </c>
      <c r="BB141">
        <v>102.48553741560301</v>
      </c>
      <c r="BC141">
        <v>100</v>
      </c>
      <c r="BD141">
        <v>101.916389889445</v>
      </c>
      <c r="BE141">
        <v>103.818746004272</v>
      </c>
      <c r="BF141">
        <v>107.069903790678</v>
      </c>
      <c r="BG141">
        <v>110.370306071673</v>
      </c>
      <c r="BH141">
        <v>112.449229379248</v>
      </c>
      <c r="BJ141" s="20" t="s">
        <v>129</v>
      </c>
      <c r="BK141" t="s">
        <v>690</v>
      </c>
      <c r="BL141">
        <v>2015</v>
      </c>
      <c r="BM141">
        <f>INDEX('Costs lists'!$C$5:$C$8,MATCH(Lists!BK141,'Costs lists'!$B$5:$B$8,0))</f>
        <v>3.55</v>
      </c>
      <c r="BN141">
        <f>INDEX('Costs lists'!$D$5:$D$8,MATCH(Lists!BK141,'Costs lists'!$B$5:$B$8,0))</f>
        <v>2.91</v>
      </c>
      <c r="BO141">
        <f>INDEX('Costs lists'!$E$5:$E$8,MATCH(Lists!BK141,'Costs lists'!$B$5:$B$8,0))</f>
        <v>7.59</v>
      </c>
      <c r="BW141" s="20" t="s">
        <v>129</v>
      </c>
      <c r="BX141" s="20">
        <v>2008</v>
      </c>
      <c r="BY141" s="52">
        <v>330.03110000000004</v>
      </c>
      <c r="BZ141" s="52">
        <v>407.51200000000006</v>
      </c>
      <c r="CA141" s="52">
        <v>464.38749999999999</v>
      </c>
      <c r="CB141" s="52">
        <v>483.9205</v>
      </c>
      <c r="CC141" s="375">
        <f t="shared" si="131"/>
        <v>341.11129000000005</v>
      </c>
      <c r="CD141" s="375">
        <v>1218.1300000000001</v>
      </c>
      <c r="CE141" s="375">
        <v>1270.81</v>
      </c>
      <c r="CF141" s="375">
        <v>1643.21</v>
      </c>
      <c r="CG141" s="375">
        <f t="shared" si="130"/>
        <v>1297.7566666666667</v>
      </c>
      <c r="CI141" s="20" t="s">
        <v>129</v>
      </c>
      <c r="CJ141" s="20">
        <v>2015</v>
      </c>
      <c r="CK141" s="59">
        <f t="shared" si="145"/>
        <v>344.506127637877</v>
      </c>
      <c r="CL141" s="59">
        <f t="shared" si="146"/>
        <v>425.38530788754923</v>
      </c>
      <c r="CM141" s="59">
        <f t="shared" si="147"/>
        <v>484.75534380982458</v>
      </c>
      <c r="CN141" s="59">
        <f t="shared" si="148"/>
        <v>505.14505311646462</v>
      </c>
      <c r="CO141" s="59">
        <f t="shared" si="149"/>
        <v>356.07229019162401</v>
      </c>
      <c r="CP141" s="59">
        <f t="shared" si="150"/>
        <v>1271.5566783237311</v>
      </c>
      <c r="CQ141" s="59">
        <f t="shared" si="151"/>
        <v>1326.5472013500862</v>
      </c>
      <c r="CR141" s="59">
        <f t="shared" si="152"/>
        <v>1715.280511430092</v>
      </c>
      <c r="CS141" s="59">
        <f t="shared" si="153"/>
        <v>1354.6757376791836</v>
      </c>
      <c r="CW141" s="20" t="s">
        <v>129</v>
      </c>
      <c r="CX141">
        <v>2014</v>
      </c>
      <c r="CY141">
        <v>2.1720649999999999</v>
      </c>
      <c r="CZ141">
        <v>1.6193963289260864</v>
      </c>
      <c r="DB141">
        <v>317202.3125</v>
      </c>
      <c r="DC141">
        <v>0.19303059577941895</v>
      </c>
      <c r="DE141">
        <f t="shared" si="154"/>
        <v>37810.232288898267</v>
      </c>
      <c r="DH141" t="e">
        <f t="shared" si="155"/>
        <v>#DIV/0!</v>
      </c>
      <c r="DI141" t="e">
        <f t="shared" si="162"/>
        <v>#DIV/0!</v>
      </c>
      <c r="DJ141" t="e">
        <f t="shared" si="163"/>
        <v>#DIV/0!</v>
      </c>
      <c r="DL141" s="20" t="s">
        <v>129</v>
      </c>
      <c r="DM141" s="99" t="s">
        <v>783</v>
      </c>
      <c r="DN141" s="100" t="s">
        <v>754</v>
      </c>
      <c r="DO141" s="101"/>
      <c r="DP141" s="101"/>
      <c r="DQ141" s="101"/>
      <c r="DR141" s="101"/>
      <c r="DS141" s="101">
        <v>51</v>
      </c>
      <c r="DT141" s="101">
        <v>50</v>
      </c>
      <c r="DU141" s="101">
        <v>40</v>
      </c>
      <c r="DV141" s="101">
        <v>50</v>
      </c>
      <c r="DW141" s="101">
        <v>50</v>
      </c>
      <c r="DX141">
        <f t="shared" ca="1" si="156"/>
        <v>50</v>
      </c>
      <c r="DY141">
        <f t="shared" ca="1" si="157"/>
        <v>10</v>
      </c>
      <c r="DZ141" t="e">
        <f t="shared" ca="1" si="158"/>
        <v>#DIV/0!</v>
      </c>
      <c r="EB141" s="20" t="s">
        <v>129</v>
      </c>
      <c r="EC141" s="99" t="s">
        <v>783</v>
      </c>
      <c r="ED141" s="100" t="s">
        <v>754</v>
      </c>
      <c r="EE141" s="101">
        <v>79.7</v>
      </c>
      <c r="EF141" s="101">
        <v>84.7</v>
      </c>
      <c r="EG141" s="101">
        <v>87.1</v>
      </c>
      <c r="EH141" s="101">
        <v>87.4</v>
      </c>
      <c r="EI141" s="101"/>
      <c r="EJ141" s="101">
        <v>86.2</v>
      </c>
      <c r="EK141" s="101">
        <v>86.1</v>
      </c>
      <c r="EL141" s="101">
        <v>86.9</v>
      </c>
      <c r="EM141" s="101">
        <v>96.6</v>
      </c>
      <c r="EN141" s="101"/>
      <c r="EO141">
        <f t="shared" ca="1" si="159"/>
        <v>96.6</v>
      </c>
      <c r="EQ141" s="20" t="s">
        <v>129</v>
      </c>
      <c r="ER141" s="20" t="e">
        <f t="shared" ca="1" si="160"/>
        <v>#DIV/0!</v>
      </c>
      <c r="ES141" t="e">
        <f t="shared" ca="1" si="161"/>
        <v>#DIV/0!</v>
      </c>
      <c r="EU141" s="20" t="s">
        <v>129</v>
      </c>
      <c r="EV141" s="109">
        <v>141542.66283305839</v>
      </c>
    </row>
    <row r="142" spans="1:152" x14ac:dyDescent="0.3">
      <c r="A142" s="20" t="s">
        <v>92</v>
      </c>
      <c r="B142" s="20" t="s">
        <v>634</v>
      </c>
      <c r="C142" s="81">
        <v>2015</v>
      </c>
      <c r="D142" s="82">
        <v>2287.2860000000001</v>
      </c>
      <c r="E142" s="82">
        <v>2272.4389999999999</v>
      </c>
      <c r="F142" s="82">
        <v>2477.6849999999999</v>
      </c>
      <c r="G142" s="82">
        <v>3261.9839999999999</v>
      </c>
      <c r="H142" s="82">
        <v>3523.1570000000002</v>
      </c>
      <c r="I142" s="82">
        <v>3269.1689999999999</v>
      </c>
      <c r="J142" s="82">
        <v>3722.92</v>
      </c>
      <c r="K142" s="82">
        <v>3859.8580000000002</v>
      </c>
      <c r="L142" s="82">
        <v>4212.223</v>
      </c>
      <c r="M142" s="82">
        <v>4211.45</v>
      </c>
      <c r="N142" s="82">
        <v>4117.4530000000004</v>
      </c>
      <c r="O142" s="82">
        <v>3753.069</v>
      </c>
      <c r="P142" s="82">
        <v>2722.7669999999998</v>
      </c>
      <c r="Q142" s="82">
        <v>2116.1280000000002</v>
      </c>
      <c r="R142" s="82">
        <v>1701.52</v>
      </c>
      <c r="S142" s="82">
        <v>1375.973</v>
      </c>
      <c r="T142" s="82">
        <v>851.57399999999996</v>
      </c>
      <c r="U142" s="82">
        <v>389.25700000000001</v>
      </c>
      <c r="V142" s="82">
        <v>137.65199999999999</v>
      </c>
      <c r="W142" s="82">
        <v>26.577999999999999</v>
      </c>
      <c r="X142" s="82">
        <v>3.2970000000000002</v>
      </c>
      <c r="Y142" s="82">
        <f t="shared" si="133"/>
        <v>50293.438999999991</v>
      </c>
      <c r="Z142" s="52">
        <f t="shared" si="134"/>
        <v>228.72900000000001</v>
      </c>
      <c r="AA142" s="52">
        <f t="shared" si="135"/>
        <v>228.72900000000001</v>
      </c>
      <c r="AB142" s="52">
        <f t="shared" si="136"/>
        <v>457.45699999999999</v>
      </c>
      <c r="AC142" s="52">
        <f t="shared" si="137"/>
        <v>1372.3720000000001</v>
      </c>
      <c r="AD142" s="52">
        <f t="shared" si="138"/>
        <v>4750.1239999999998</v>
      </c>
      <c r="AE142" s="52">
        <f t="shared" si="139"/>
        <v>26060.760999999999</v>
      </c>
      <c r="AF142" s="52">
        <f t="shared" si="140"/>
        <v>10593.289000000001</v>
      </c>
      <c r="AG142" s="52">
        <f t="shared" si="141"/>
        <v>6601.9790000000003</v>
      </c>
      <c r="AH142" s="52">
        <f t="shared" si="142"/>
        <v>50293.439999999995</v>
      </c>
      <c r="AI142">
        <v>8.6</v>
      </c>
      <c r="AJ142" s="30">
        <f t="shared" si="143"/>
        <v>432523.58399999992</v>
      </c>
      <c r="AK142">
        <f t="shared" si="144"/>
        <v>457.4572</v>
      </c>
      <c r="AM142" s="20" t="s">
        <v>92</v>
      </c>
      <c r="AN142" t="s">
        <v>492</v>
      </c>
      <c r="AO142" t="s">
        <v>493</v>
      </c>
      <c r="AP142" t="s">
        <v>690</v>
      </c>
      <c r="AQ142" s="55">
        <v>30791831.091680672</v>
      </c>
      <c r="AR142" s="55">
        <v>1131.1575</v>
      </c>
      <c r="AS142" t="s">
        <v>1126</v>
      </c>
      <c r="AT142" t="s">
        <v>1243</v>
      </c>
      <c r="AU142" t="s">
        <v>1153</v>
      </c>
      <c r="AV142">
        <v>80.937841783244806</v>
      </c>
      <c r="AW142">
        <v>83.843988962260298</v>
      </c>
      <c r="AX142">
        <v>86.153128046017997</v>
      </c>
      <c r="AY142">
        <v>88.084549452460394</v>
      </c>
      <c r="AZ142">
        <v>90.317357898253306</v>
      </c>
      <c r="BA142">
        <v>94.538606920095404</v>
      </c>
      <c r="BB142">
        <v>97.1447399129611</v>
      </c>
      <c r="BC142">
        <v>100</v>
      </c>
      <c r="BD142">
        <v>104.025846249594</v>
      </c>
      <c r="BE142">
        <v>106.30112162106499</v>
      </c>
      <c r="BF142">
        <v>107.684500029745</v>
      </c>
      <c r="BG142">
        <v>109.05717018345899</v>
      </c>
      <c r="BH142">
        <v>109.827340829112</v>
      </c>
      <c r="BJ142" s="20" t="s">
        <v>92</v>
      </c>
      <c r="BK142" t="s">
        <v>690</v>
      </c>
      <c r="BL142">
        <v>2015</v>
      </c>
      <c r="BM142">
        <f>INDEX('Costs lists'!$C$5:$C$8,MATCH(Lists!BK142,'Costs lists'!$B$5:$B$8,0))</f>
        <v>3.55</v>
      </c>
      <c r="BN142">
        <f>INDEX('Costs lists'!$D$5:$D$8,MATCH(Lists!BK142,'Costs lists'!$B$5:$B$8,0))</f>
        <v>2.91</v>
      </c>
      <c r="BO142">
        <f>INDEX('Costs lists'!$E$5:$E$8,MATCH(Lists!BK142,'Costs lists'!$B$5:$B$8,0))</f>
        <v>7.59</v>
      </c>
      <c r="BW142" s="20" t="s">
        <v>92</v>
      </c>
      <c r="BX142" s="20">
        <v>2008</v>
      </c>
      <c r="BY142" s="52">
        <v>25576.206999999999</v>
      </c>
      <c r="BZ142" s="52">
        <v>31578.008999999998</v>
      </c>
      <c r="CA142" s="52">
        <v>35987.962500000001</v>
      </c>
      <c r="CB142" s="52">
        <v>37496.029499999997</v>
      </c>
      <c r="CC142" s="375">
        <f t="shared" si="131"/>
        <v>26434.58655</v>
      </c>
      <c r="CD142" s="375">
        <v>332.39</v>
      </c>
      <c r="CE142" s="375">
        <v>346.76</v>
      </c>
      <c r="CF142" s="375">
        <v>448.38</v>
      </c>
      <c r="CG142" s="375">
        <f t="shared" si="130"/>
        <v>354.11666666666667</v>
      </c>
      <c r="CI142" s="20" t="s">
        <v>92</v>
      </c>
      <c r="CJ142" s="20">
        <v>2015</v>
      </c>
      <c r="CK142" s="59">
        <f t="shared" si="145"/>
        <v>29712.377776827994</v>
      </c>
      <c r="CL142" s="59">
        <f t="shared" si="146"/>
        <v>36684.78804726887</v>
      </c>
      <c r="CM142" s="59">
        <f t="shared" si="147"/>
        <v>41807.916913493835</v>
      </c>
      <c r="CN142" s="59">
        <f t="shared" si="148"/>
        <v>43559.867717487854</v>
      </c>
      <c r="CO142" s="59">
        <f t="shared" si="149"/>
        <v>30709.574017283183</v>
      </c>
      <c r="CP142" s="59">
        <f t="shared" si="150"/>
        <v>386.14393640307406</v>
      </c>
      <c r="CQ142" s="59">
        <f t="shared" si="151"/>
        <v>402.83784526348558</v>
      </c>
      <c r="CR142" s="59">
        <f t="shared" si="152"/>
        <v>520.89177834595012</v>
      </c>
      <c r="CS142" s="59">
        <f t="shared" si="153"/>
        <v>411.384228203622</v>
      </c>
      <c r="CW142" s="20" t="s">
        <v>92</v>
      </c>
      <c r="CX142">
        <v>2014</v>
      </c>
      <c r="CY142">
        <v>50.074400999999995</v>
      </c>
      <c r="CZ142">
        <v>26.139667510986328</v>
      </c>
      <c r="DA142">
        <v>2123.9950936350074</v>
      </c>
      <c r="DB142">
        <v>1731831.625</v>
      </c>
      <c r="DC142">
        <v>0.51924484968185425</v>
      </c>
      <c r="DE142">
        <f t="shared" si="154"/>
        <v>34401.533662180664</v>
      </c>
      <c r="DH142">
        <f t="shared" si="155"/>
        <v>16.196616350608345</v>
      </c>
      <c r="DI142">
        <f t="shared" si="162"/>
        <v>16.310998178517117</v>
      </c>
      <c r="DJ142">
        <f t="shared" si="163"/>
        <v>31.246130546918984</v>
      </c>
      <c r="DL142" s="20" t="s">
        <v>92</v>
      </c>
      <c r="DM142" s="99" t="s">
        <v>820</v>
      </c>
      <c r="DN142" s="100" t="s">
        <v>754</v>
      </c>
      <c r="DO142" s="101"/>
      <c r="DP142" s="101"/>
      <c r="DQ142" s="101"/>
      <c r="DR142" s="101"/>
      <c r="DS142" s="101">
        <v>43.9</v>
      </c>
      <c r="DT142" s="101">
        <v>44.6</v>
      </c>
      <c r="DU142" s="101"/>
      <c r="DV142" s="101"/>
      <c r="DW142" s="101">
        <v>43.6</v>
      </c>
      <c r="DX142">
        <f t="shared" ca="1" si="156"/>
        <v>43.6</v>
      </c>
      <c r="DY142">
        <f t="shared" ca="1" si="157"/>
        <v>8.7200000000000006</v>
      </c>
      <c r="DZ142">
        <f t="shared" ca="1" si="158"/>
        <v>142.23190411666928</v>
      </c>
      <c r="EB142" s="20" t="s">
        <v>92</v>
      </c>
      <c r="EC142" s="99" t="s">
        <v>820</v>
      </c>
      <c r="ED142" s="100" t="s">
        <v>754</v>
      </c>
      <c r="EE142" s="101">
        <v>59.7</v>
      </c>
      <c r="EF142" s="101">
        <v>59.8</v>
      </c>
      <c r="EG142" s="101">
        <v>59.5</v>
      </c>
      <c r="EH142" s="101">
        <v>58.6</v>
      </c>
      <c r="EI142" s="101">
        <v>58.7</v>
      </c>
      <c r="EJ142" s="101">
        <v>59.1</v>
      </c>
      <c r="EK142" s="101">
        <v>59.4</v>
      </c>
      <c r="EL142" s="101">
        <v>59.6</v>
      </c>
      <c r="EM142" s="101">
        <v>60.2</v>
      </c>
      <c r="EN142" s="101">
        <v>60.3</v>
      </c>
      <c r="EO142">
        <f t="shared" ca="1" si="159"/>
        <v>60.3</v>
      </c>
      <c r="EQ142" s="20" t="s">
        <v>92</v>
      </c>
      <c r="ER142" s="20">
        <f t="shared" ca="1" si="160"/>
        <v>142.23190411666928</v>
      </c>
      <c r="ES142">
        <f t="shared" ca="1" si="161"/>
        <v>85.765838182351587</v>
      </c>
      <c r="EU142" s="20" t="s">
        <v>92</v>
      </c>
      <c r="EV142" s="109">
        <v>34549.16023316286</v>
      </c>
    </row>
    <row r="143" spans="1:152" x14ac:dyDescent="0.3">
      <c r="A143" s="20" t="s">
        <v>141</v>
      </c>
      <c r="B143" s="20" t="s">
        <v>257</v>
      </c>
      <c r="C143" s="81">
        <v>2015</v>
      </c>
      <c r="D143" s="82">
        <v>222.93100000000001</v>
      </c>
      <c r="E143" s="82">
        <v>216.04300000000001</v>
      </c>
      <c r="F143" s="82">
        <v>201.202</v>
      </c>
      <c r="G143" s="82">
        <v>242.52600000000001</v>
      </c>
      <c r="H143" s="82">
        <v>332.09399999999999</v>
      </c>
      <c r="I143" s="82">
        <v>425.81200000000001</v>
      </c>
      <c r="J143" s="82">
        <v>358.76400000000001</v>
      </c>
      <c r="K143" s="82">
        <v>304.57499999999999</v>
      </c>
      <c r="L143" s="82">
        <v>264.64</v>
      </c>
      <c r="M143" s="82">
        <v>241.166</v>
      </c>
      <c r="N143" s="82">
        <v>305.85300000000001</v>
      </c>
      <c r="O143" s="82">
        <v>279.24400000000003</v>
      </c>
      <c r="P143" s="82">
        <v>268.86900000000003</v>
      </c>
      <c r="Q143" s="82">
        <v>121.371</v>
      </c>
      <c r="R143" s="82">
        <v>107.667</v>
      </c>
      <c r="S143" s="82">
        <v>85.923000000000002</v>
      </c>
      <c r="T143" s="82">
        <v>56.71</v>
      </c>
      <c r="U143" s="82">
        <v>26.254000000000001</v>
      </c>
      <c r="V143" s="82">
        <v>6.4619999999999997</v>
      </c>
      <c r="W143" s="82">
        <v>0.69099999999999995</v>
      </c>
      <c r="X143" s="82">
        <v>0.1</v>
      </c>
      <c r="Y143" s="82">
        <f t="shared" si="133"/>
        <v>4068.8969999999999</v>
      </c>
      <c r="Z143" s="52">
        <f t="shared" si="134"/>
        <v>22.292999999999999</v>
      </c>
      <c r="AA143" s="52">
        <f t="shared" si="135"/>
        <v>22.292999999999999</v>
      </c>
      <c r="AB143" s="52">
        <f t="shared" si="136"/>
        <v>44.585999999999999</v>
      </c>
      <c r="AC143" s="52">
        <f t="shared" si="137"/>
        <v>133.75899999999999</v>
      </c>
      <c r="AD143" s="52">
        <f t="shared" si="138"/>
        <v>417.245</v>
      </c>
      <c r="AE143" s="52">
        <f t="shared" si="139"/>
        <v>2169.5770000000002</v>
      </c>
      <c r="AF143" s="52">
        <f t="shared" si="140"/>
        <v>853.96600000000001</v>
      </c>
      <c r="AG143" s="52">
        <f t="shared" si="141"/>
        <v>405.178</v>
      </c>
      <c r="AH143" s="52">
        <f t="shared" si="142"/>
        <v>4068.8969999999999</v>
      </c>
      <c r="AI143">
        <v>10.725</v>
      </c>
      <c r="AJ143" s="30">
        <f t="shared" si="143"/>
        <v>43638.920324999999</v>
      </c>
      <c r="AK143">
        <f t="shared" si="144"/>
        <v>44.586200000000005</v>
      </c>
      <c r="AM143" s="20" t="s">
        <v>141</v>
      </c>
      <c r="AN143" t="s">
        <v>424</v>
      </c>
      <c r="AO143" t="s">
        <v>425</v>
      </c>
      <c r="AP143" t="s">
        <v>688</v>
      </c>
      <c r="AQ143" s="55">
        <v>34374.170959351832</v>
      </c>
      <c r="AR143" s="55">
        <v>18.818475145289302</v>
      </c>
      <c r="AS143" t="s">
        <v>1131</v>
      </c>
      <c r="AT143" t="s">
        <v>1264</v>
      </c>
      <c r="AU143" t="s">
        <v>1153</v>
      </c>
      <c r="AV143">
        <v>51.885101210702302</v>
      </c>
      <c r="AW143">
        <v>58.359881409127098</v>
      </c>
      <c r="AX143">
        <v>65.226464477987605</v>
      </c>
      <c r="AY143">
        <v>73.623755997024901</v>
      </c>
      <c r="AZ143">
        <v>82.558367742754697</v>
      </c>
      <c r="BA143">
        <v>93.205983198710101</v>
      </c>
      <c r="BB143">
        <v>93.151283625806997</v>
      </c>
      <c r="BC143">
        <v>100</v>
      </c>
      <c r="BD143">
        <v>107.61060720923901</v>
      </c>
      <c r="BE143">
        <v>112.603221392536</v>
      </c>
      <c r="BF143">
        <v>117.830026712083</v>
      </c>
      <c r="BG143">
        <v>123.826144416768</v>
      </c>
      <c r="BH143">
        <v>135.81079335270999</v>
      </c>
      <c r="BJ143" s="20" t="s">
        <v>141</v>
      </c>
      <c r="BK143" t="s">
        <v>688</v>
      </c>
      <c r="BL143">
        <v>2015</v>
      </c>
      <c r="BM143">
        <f>INDEX('Costs lists'!$C$5:$C$8,MATCH(Lists!BK143,'Costs lists'!$B$5:$B$8,0))</f>
        <v>5.21</v>
      </c>
      <c r="BN143">
        <f>INDEX('Costs lists'!$D$5:$D$8,MATCH(Lists!BK143,'Costs lists'!$B$5:$B$8,0))</f>
        <v>5.16</v>
      </c>
      <c r="BO143">
        <f>INDEX('Costs lists'!$E$5:$E$8,MATCH(Lists!BK143,'Costs lists'!$B$5:$B$8,0))</f>
        <v>5.26</v>
      </c>
      <c r="BW143" s="20" t="s">
        <v>141</v>
      </c>
      <c r="BX143" s="20">
        <v>2008</v>
      </c>
      <c r="BY143" s="52">
        <v>28.880400000000002</v>
      </c>
      <c r="BZ143" s="52">
        <v>35.630900000000004</v>
      </c>
      <c r="CA143" s="52">
        <v>40.620400000000004</v>
      </c>
      <c r="CB143" s="52">
        <v>42.322699999999998</v>
      </c>
      <c r="CC143" s="375">
        <f t="shared" si="131"/>
        <v>29.847482500000002</v>
      </c>
      <c r="CD143" s="375">
        <v>23.56</v>
      </c>
      <c r="CE143" s="375">
        <v>24.57</v>
      </c>
      <c r="CF143" s="375">
        <v>31.78</v>
      </c>
      <c r="CG143" s="375">
        <f t="shared" si="130"/>
        <v>25.098333333333333</v>
      </c>
      <c r="CI143" s="20" t="s">
        <v>141</v>
      </c>
      <c r="CJ143" s="20">
        <v>2015</v>
      </c>
      <c r="CK143" s="59">
        <f t="shared" si="145"/>
        <v>42.081740911219605</v>
      </c>
      <c r="CL143" s="59">
        <f t="shared" si="146"/>
        <v>51.917920189248576</v>
      </c>
      <c r="CM143" s="59">
        <f t="shared" si="147"/>
        <v>59.188139655617817</v>
      </c>
      <c r="CN143" s="59">
        <f t="shared" si="148"/>
        <v>61.668567473555548</v>
      </c>
      <c r="CO143" s="59">
        <f t="shared" si="149"/>
        <v>43.490880507789406</v>
      </c>
      <c r="CP143" s="59">
        <f t="shared" si="150"/>
        <v>34.329365793698621</v>
      </c>
      <c r="CQ143" s="59">
        <f t="shared" si="151"/>
        <v>35.801040643088932</v>
      </c>
      <c r="CR143" s="59">
        <f t="shared" si="152"/>
        <v>46.306759122399932</v>
      </c>
      <c r="CS143" s="59">
        <f t="shared" si="153"/>
        <v>36.570877156713891</v>
      </c>
      <c r="CW143" s="20" t="s">
        <v>141</v>
      </c>
      <c r="CX143">
        <v>2014</v>
      </c>
      <c r="CY143">
        <v>4.0723399999999996</v>
      </c>
      <c r="CZ143">
        <v>1.3404591083526611</v>
      </c>
      <c r="DB143">
        <v>21805.91796875</v>
      </c>
      <c r="DC143">
        <v>0.62980073690414429</v>
      </c>
      <c r="DE143">
        <f t="shared" si="154"/>
        <v>10245.283216783482</v>
      </c>
      <c r="DH143" t="e">
        <f t="shared" si="155"/>
        <v>#DIV/0!</v>
      </c>
      <c r="DI143" t="e">
        <f t="shared" si="162"/>
        <v>#DIV/0!</v>
      </c>
      <c r="DJ143" t="e">
        <f t="shared" si="163"/>
        <v>#DIV/0!</v>
      </c>
      <c r="DL143" s="20" t="s">
        <v>141</v>
      </c>
      <c r="DM143" s="99" t="s">
        <v>756</v>
      </c>
      <c r="DN143" s="100" t="s">
        <v>847</v>
      </c>
      <c r="DO143" s="101"/>
      <c r="DP143" s="101"/>
      <c r="DQ143" s="101">
        <v>39</v>
      </c>
      <c r="DR143" s="101">
        <v>39</v>
      </c>
      <c r="DS143" s="101">
        <v>40</v>
      </c>
      <c r="DT143" s="101">
        <v>39</v>
      </c>
      <c r="DU143" s="101">
        <v>39</v>
      </c>
      <c r="DV143" s="101">
        <v>38.200000000000003</v>
      </c>
      <c r="DW143" s="101">
        <v>38</v>
      </c>
      <c r="DX143">
        <f t="shared" ca="1" si="156"/>
        <v>38</v>
      </c>
      <c r="DY143">
        <f t="shared" ca="1" si="157"/>
        <v>7.6</v>
      </c>
      <c r="DZ143" t="e">
        <f t="shared" ca="1" si="158"/>
        <v>#DIV/0!</v>
      </c>
      <c r="EB143" s="20" t="s">
        <v>141</v>
      </c>
      <c r="EC143" s="99" t="s">
        <v>756</v>
      </c>
      <c r="ED143" s="100" t="s">
        <v>754</v>
      </c>
      <c r="EE143" s="101">
        <v>42.9</v>
      </c>
      <c r="EF143" s="101">
        <v>42.5</v>
      </c>
      <c r="EG143" s="101">
        <v>42.5</v>
      </c>
      <c r="EH143" s="101">
        <v>40</v>
      </c>
      <c r="EI143" s="101">
        <v>38.4</v>
      </c>
      <c r="EJ143" s="101">
        <v>39.4</v>
      </c>
      <c r="EK143" s="101">
        <v>38.4</v>
      </c>
      <c r="EL143" s="101">
        <v>39.299999999999997</v>
      </c>
      <c r="EM143" s="101">
        <v>39.6</v>
      </c>
      <c r="EN143" s="101">
        <v>40.299999999999997</v>
      </c>
      <c r="EO143">
        <f t="shared" ca="1" si="159"/>
        <v>40.299999999999997</v>
      </c>
      <c r="EQ143" s="20" t="s">
        <v>141</v>
      </c>
      <c r="ER143" s="20" t="e">
        <f t="shared" ca="1" si="160"/>
        <v>#DIV/0!</v>
      </c>
      <c r="ES143" t="e">
        <f t="shared" ca="1" si="161"/>
        <v>#DIV/0!</v>
      </c>
      <c r="EU143" s="20" t="s">
        <v>141</v>
      </c>
      <c r="EV143" s="109">
        <v>5048.9082064245022</v>
      </c>
    </row>
    <row r="144" spans="1:152" x14ac:dyDescent="0.3">
      <c r="A144" s="20" t="s">
        <v>142</v>
      </c>
      <c r="B144" s="20" t="s">
        <v>257</v>
      </c>
      <c r="C144" s="81">
        <v>2015</v>
      </c>
      <c r="D144" s="82">
        <v>924.24400000000003</v>
      </c>
      <c r="E144" s="82">
        <v>1050.2090000000001</v>
      </c>
      <c r="F144" s="82">
        <v>1053.818</v>
      </c>
      <c r="G144" s="82">
        <v>1053.8230000000001</v>
      </c>
      <c r="H144" s="82">
        <v>989.81299999999999</v>
      </c>
      <c r="I144" s="82">
        <v>1271.124</v>
      </c>
      <c r="J144" s="82">
        <v>1232.251</v>
      </c>
      <c r="K144" s="82">
        <v>1518.7760000000001</v>
      </c>
      <c r="L144" s="82">
        <v>1547.569</v>
      </c>
      <c r="M144" s="82">
        <v>1619.7850000000001</v>
      </c>
      <c r="N144" s="82">
        <v>1101.117</v>
      </c>
      <c r="O144" s="82">
        <v>1385.9860000000001</v>
      </c>
      <c r="P144" s="82">
        <v>1384.6189999999999</v>
      </c>
      <c r="Q144" s="82">
        <v>1070.9960000000001</v>
      </c>
      <c r="R144" s="82">
        <v>743.29300000000001</v>
      </c>
      <c r="S144" s="82">
        <v>757.80499999999995</v>
      </c>
      <c r="T144" s="82">
        <v>491.9</v>
      </c>
      <c r="U144" s="82">
        <v>237.33</v>
      </c>
      <c r="V144" s="82">
        <v>67.91</v>
      </c>
      <c r="W144" s="82">
        <v>7.7469999999999999</v>
      </c>
      <c r="X144" s="82">
        <v>1.2090000000000001</v>
      </c>
      <c r="Y144" s="82">
        <f t="shared" si="133"/>
        <v>19511.324000000004</v>
      </c>
      <c r="Z144" s="52">
        <f t="shared" si="134"/>
        <v>92.424000000000007</v>
      </c>
      <c r="AA144" s="52">
        <f t="shared" si="135"/>
        <v>92.424000000000007</v>
      </c>
      <c r="AB144" s="52">
        <f t="shared" si="136"/>
        <v>184.84899999999999</v>
      </c>
      <c r="AC144" s="52">
        <f t="shared" si="137"/>
        <v>554.54600000000005</v>
      </c>
      <c r="AD144" s="52">
        <f t="shared" si="138"/>
        <v>2104.027</v>
      </c>
      <c r="AE144" s="52">
        <f t="shared" si="139"/>
        <v>9233.1409999999996</v>
      </c>
      <c r="AF144" s="52">
        <f t="shared" si="140"/>
        <v>3871.7220000000002</v>
      </c>
      <c r="AG144" s="52">
        <f t="shared" si="141"/>
        <v>3378.19</v>
      </c>
      <c r="AH144" s="52">
        <f t="shared" si="142"/>
        <v>19511.323</v>
      </c>
      <c r="AI144">
        <v>9.1999999999999993</v>
      </c>
      <c r="AJ144" s="30">
        <f t="shared" si="143"/>
        <v>179504.1716</v>
      </c>
      <c r="AK144">
        <f t="shared" si="144"/>
        <v>184.84880000000001</v>
      </c>
      <c r="AM144" s="20" t="s">
        <v>142</v>
      </c>
      <c r="AN144" t="s">
        <v>464</v>
      </c>
      <c r="AO144" t="s">
        <v>465</v>
      </c>
      <c r="AP144" t="s">
        <v>689</v>
      </c>
      <c r="AQ144" s="55">
        <v>35973.818827342984</v>
      </c>
      <c r="AR144" s="55">
        <v>4.00566666666667</v>
      </c>
      <c r="AS144" t="s">
        <v>142</v>
      </c>
      <c r="AT144" t="s">
        <v>1289</v>
      </c>
      <c r="AU144" t="s">
        <v>1153</v>
      </c>
      <c r="AV144">
        <v>60.751159901249501</v>
      </c>
      <c r="AW144">
        <v>67.9664948910021</v>
      </c>
      <c r="AX144">
        <v>74.076041722006806</v>
      </c>
      <c r="AY144">
        <v>78.9536441823535</v>
      </c>
      <c r="AZ144">
        <v>82.771668230946503</v>
      </c>
      <c r="BA144">
        <v>89.267857880725302</v>
      </c>
      <c r="BB144">
        <v>94.2558453900958</v>
      </c>
      <c r="BC144">
        <v>100</v>
      </c>
      <c r="BD144">
        <v>105.78777737988</v>
      </c>
      <c r="BE144">
        <v>109.314530568899</v>
      </c>
      <c r="BF144">
        <v>113.671108037688</v>
      </c>
      <c r="BG144">
        <v>114.886207875922</v>
      </c>
      <c r="BH144">
        <v>114.204566503254</v>
      </c>
      <c r="BJ144" s="20" t="s">
        <v>142</v>
      </c>
      <c r="BK144" t="s">
        <v>689</v>
      </c>
      <c r="BL144">
        <v>2015</v>
      </c>
      <c r="BM144">
        <f>INDEX('Costs lists'!$C$5:$C$8,MATCH(Lists!BK144,'Costs lists'!$B$5:$B$8,0))</f>
        <v>3.2</v>
      </c>
      <c r="BN144">
        <f>INDEX('Costs lists'!$D$5:$D$8,MATCH(Lists!BK144,'Costs lists'!$B$5:$B$8,0))</f>
        <v>1.1200000000000001</v>
      </c>
      <c r="BO144">
        <f>INDEX('Costs lists'!$E$5:$E$8,MATCH(Lists!BK144,'Costs lists'!$B$5:$B$8,0))</f>
        <v>4.4400000000000004</v>
      </c>
      <c r="BW144" s="20" t="s">
        <v>142</v>
      </c>
      <c r="BX144" s="20">
        <v>2008</v>
      </c>
      <c r="BY144" s="52">
        <v>31.434000000000001</v>
      </c>
      <c r="BZ144" s="52">
        <v>38.796500000000002</v>
      </c>
      <c r="CA144" s="52">
        <v>44.221500000000006</v>
      </c>
      <c r="CB144" s="52">
        <v>46.081500000000005</v>
      </c>
      <c r="CC144" s="375">
        <f t="shared" si="131"/>
        <v>32.488</v>
      </c>
      <c r="CD144" s="375">
        <v>165.86</v>
      </c>
      <c r="CE144" s="375">
        <v>173.03</v>
      </c>
      <c r="CF144" s="375">
        <v>223.74</v>
      </c>
      <c r="CG144" s="375">
        <f t="shared" ref="CG144:CG175" si="164">CD144*(2/3)+CE144*(1/6)+CF144*(1/6)</f>
        <v>176.70166666666665</v>
      </c>
      <c r="CI144" s="20" t="s">
        <v>142</v>
      </c>
      <c r="CJ144" s="20">
        <v>2015</v>
      </c>
      <c r="CK144" s="59">
        <f t="shared" si="145"/>
        <v>40.214993713189777</v>
      </c>
      <c r="CL144" s="59">
        <f t="shared" si="146"/>
        <v>49.634186027669635</v>
      </c>
      <c r="CM144" s="59">
        <f t="shared" si="147"/>
        <v>56.574643522549529</v>
      </c>
      <c r="CN144" s="59">
        <f t="shared" si="148"/>
        <v>58.954228949365493</v>
      </c>
      <c r="CO144" s="59">
        <f t="shared" si="149"/>
        <v>41.563425455052155</v>
      </c>
      <c r="CP144" s="59">
        <f t="shared" si="150"/>
        <v>212.19249402779337</v>
      </c>
      <c r="CQ144" s="59">
        <f t="shared" si="151"/>
        <v>221.3654120440678</v>
      </c>
      <c r="CR144" s="59">
        <f t="shared" si="152"/>
        <v>286.24109859989443</v>
      </c>
      <c r="CS144" s="59">
        <f t="shared" si="153"/>
        <v>226.06274779252257</v>
      </c>
      <c r="CW144" s="20" t="s">
        <v>142</v>
      </c>
      <c r="CX144">
        <v>2014</v>
      </c>
      <c r="CY144">
        <v>19.651554000000001</v>
      </c>
      <c r="CZ144">
        <v>7.8326330184936523</v>
      </c>
      <c r="DA144">
        <v>1816.4960166262556</v>
      </c>
      <c r="DB144">
        <v>393395.21875</v>
      </c>
      <c r="DC144">
        <v>0.45667847990989685</v>
      </c>
      <c r="DE144">
        <f t="shared" si="154"/>
        <v>22936.748099698671</v>
      </c>
      <c r="DH144">
        <f t="shared" si="155"/>
        <v>12.62691901868228</v>
      </c>
      <c r="DI144">
        <f t="shared" si="162"/>
        <v>12.552001144974081</v>
      </c>
      <c r="DJ144">
        <f t="shared" si="163"/>
        <v>31.492133963906571</v>
      </c>
      <c r="DL144" s="20" t="s">
        <v>142</v>
      </c>
      <c r="DM144" s="99" t="s">
        <v>796</v>
      </c>
      <c r="DN144" s="100" t="s">
        <v>754</v>
      </c>
      <c r="DO144" s="101">
        <v>40.299999999999997</v>
      </c>
      <c r="DP144" s="101">
        <v>40</v>
      </c>
      <c r="DQ144" s="101">
        <v>39.799999999999997</v>
      </c>
      <c r="DR144" s="101">
        <v>39.6</v>
      </c>
      <c r="DS144" s="101">
        <v>39.4</v>
      </c>
      <c r="DT144" s="101">
        <v>39.299999999999997</v>
      </c>
      <c r="DU144" s="101">
        <v>39.200000000000003</v>
      </c>
      <c r="DV144" s="101">
        <v>39.200000000000003</v>
      </c>
      <c r="DW144" s="101">
        <v>38.700000000000003</v>
      </c>
      <c r="DX144">
        <f t="shared" ca="1" si="156"/>
        <v>38.700000000000003</v>
      </c>
      <c r="DY144">
        <f t="shared" ca="1" si="157"/>
        <v>7.74</v>
      </c>
      <c r="DZ144">
        <f t="shared" ca="1" si="158"/>
        <v>97.152488862099389</v>
      </c>
      <c r="EB144" s="20" t="s">
        <v>142</v>
      </c>
      <c r="EC144" s="99" t="s">
        <v>796</v>
      </c>
      <c r="ED144" s="100" t="s">
        <v>754</v>
      </c>
      <c r="EE144" s="101">
        <v>51</v>
      </c>
      <c r="EF144" s="101">
        <v>51.3</v>
      </c>
      <c r="EG144" s="101">
        <v>51.4</v>
      </c>
      <c r="EH144" s="101">
        <v>50.7</v>
      </c>
      <c r="EI144" s="101">
        <v>51</v>
      </c>
      <c r="EJ144" s="101">
        <v>50.2</v>
      </c>
      <c r="EK144" s="101">
        <v>50.9</v>
      </c>
      <c r="EL144" s="101">
        <v>50.7</v>
      </c>
      <c r="EM144" s="101">
        <v>51.1</v>
      </c>
      <c r="EN144" s="101">
        <v>50.8</v>
      </c>
      <c r="EO144">
        <f t="shared" ca="1" si="159"/>
        <v>50.8</v>
      </c>
      <c r="EQ144" s="20" t="s">
        <v>142</v>
      </c>
      <c r="ER144" s="20">
        <f t="shared" ca="1" si="160"/>
        <v>97.152488862099389</v>
      </c>
      <c r="ES144">
        <f t="shared" ca="1" si="161"/>
        <v>49.353464341946484</v>
      </c>
      <c r="EU144" s="20" t="s">
        <v>142</v>
      </c>
      <c r="EV144" s="109">
        <v>21403.081148649864</v>
      </c>
    </row>
    <row r="145" spans="1:152" x14ac:dyDescent="0.3">
      <c r="A145" s="20" t="s">
        <v>143</v>
      </c>
      <c r="B145" s="20" t="s">
        <v>257</v>
      </c>
      <c r="C145" s="81">
        <v>2015</v>
      </c>
      <c r="D145" s="82">
        <v>9165.5889999999999</v>
      </c>
      <c r="E145" s="82">
        <v>7938.0240000000003</v>
      </c>
      <c r="F145" s="82">
        <v>6928.1729999999998</v>
      </c>
      <c r="G145" s="82">
        <v>6324.0410000000002</v>
      </c>
      <c r="H145" s="82">
        <v>8940.2909999999993</v>
      </c>
      <c r="I145" s="82">
        <v>12589.063</v>
      </c>
      <c r="J145" s="82">
        <v>11933.546</v>
      </c>
      <c r="K145" s="82">
        <v>10674.939</v>
      </c>
      <c r="L145" s="82">
        <v>9960.7330000000002</v>
      </c>
      <c r="M145" s="82">
        <v>8518.6209999999992</v>
      </c>
      <c r="N145" s="82">
        <v>10990.486000000001</v>
      </c>
      <c r="O145" s="82">
        <v>10763.262000000001</v>
      </c>
      <c r="P145" s="82">
        <v>9555.9240000000009</v>
      </c>
      <c r="Q145" s="82">
        <v>5841.8720000000003</v>
      </c>
      <c r="R145" s="82">
        <v>3981.3820000000001</v>
      </c>
      <c r="S145" s="82">
        <v>4953.7550000000001</v>
      </c>
      <c r="T145" s="82">
        <v>2531.0610000000001</v>
      </c>
      <c r="U145" s="82">
        <v>1503.2750000000001</v>
      </c>
      <c r="V145" s="82">
        <v>316.16800000000001</v>
      </c>
      <c r="W145" s="82">
        <v>41.241999999999997</v>
      </c>
      <c r="X145" s="82">
        <v>5.4710000000000001</v>
      </c>
      <c r="Y145" s="82">
        <f t="shared" si="133"/>
        <v>143456.91800000001</v>
      </c>
      <c r="Z145" s="52">
        <f t="shared" si="134"/>
        <v>916.55899999999997</v>
      </c>
      <c r="AA145" s="52">
        <f t="shared" si="135"/>
        <v>916.55899999999997</v>
      </c>
      <c r="AB145" s="52">
        <f t="shared" si="136"/>
        <v>1833.1179999999999</v>
      </c>
      <c r="AC145" s="52">
        <f t="shared" si="137"/>
        <v>5499.3530000000001</v>
      </c>
      <c r="AD145" s="52">
        <f t="shared" si="138"/>
        <v>14866.197</v>
      </c>
      <c r="AE145" s="52">
        <f t="shared" si="139"/>
        <v>68941.233999999997</v>
      </c>
      <c r="AF145" s="52">
        <f t="shared" si="140"/>
        <v>31309.671999999999</v>
      </c>
      <c r="AG145" s="52">
        <f t="shared" si="141"/>
        <v>19174.225999999999</v>
      </c>
      <c r="AH145" s="52">
        <f t="shared" si="142"/>
        <v>143456.91799999998</v>
      </c>
      <c r="AI145">
        <v>13.3</v>
      </c>
      <c r="AJ145" s="30">
        <f t="shared" si="143"/>
        <v>1907977.0093999999</v>
      </c>
      <c r="AK145">
        <f t="shared" si="144"/>
        <v>1833.1178</v>
      </c>
      <c r="AM145" s="20" t="s">
        <v>143</v>
      </c>
      <c r="AN145" t="s">
        <v>466</v>
      </c>
      <c r="AO145" t="s">
        <v>467</v>
      </c>
      <c r="AP145" t="s">
        <v>689</v>
      </c>
      <c r="AQ145" s="55">
        <v>568505.51869620604</v>
      </c>
      <c r="AR145" s="55">
        <v>60.937650108895198</v>
      </c>
      <c r="AS145" t="s">
        <v>143</v>
      </c>
      <c r="AT145" t="s">
        <v>1290</v>
      </c>
      <c r="AU145" t="s">
        <v>1153</v>
      </c>
      <c r="AV145">
        <v>49.1810841983852</v>
      </c>
      <c r="AW145">
        <v>54.522619505318602</v>
      </c>
      <c r="AX145">
        <v>61.437908496732</v>
      </c>
      <c r="AY145">
        <v>67.389465590157599</v>
      </c>
      <c r="AZ145">
        <v>73.448673587081899</v>
      </c>
      <c r="BA145">
        <v>83.813917723952301</v>
      </c>
      <c r="BB145">
        <v>93.587081891580198</v>
      </c>
      <c r="BC145">
        <v>100</v>
      </c>
      <c r="BD145">
        <v>108.43521722414501</v>
      </c>
      <c r="BE145">
        <v>113.93310265282599</v>
      </c>
      <c r="BF145">
        <v>121.63783160323</v>
      </c>
      <c r="BG145">
        <v>131.157247212611</v>
      </c>
      <c r="BH145">
        <v>151.51864667435601</v>
      </c>
      <c r="BJ145" s="20" t="s">
        <v>143</v>
      </c>
      <c r="BK145" t="s">
        <v>689</v>
      </c>
      <c r="BL145">
        <v>2015</v>
      </c>
      <c r="BM145">
        <f>INDEX('Costs lists'!$C$5:$C$8,MATCH(Lists!BK145,'Costs lists'!$B$5:$B$8,0))</f>
        <v>3.2</v>
      </c>
      <c r="BN145">
        <f>INDEX('Costs lists'!$D$5:$D$8,MATCH(Lists!BK145,'Costs lists'!$B$5:$B$8,0))</f>
        <v>1.1200000000000001</v>
      </c>
      <c r="BO145">
        <f>INDEX('Costs lists'!$E$5:$E$8,MATCH(Lists!BK145,'Costs lists'!$B$5:$B$8,0))</f>
        <v>4.4400000000000004</v>
      </c>
      <c r="BW145" s="20" t="s">
        <v>143</v>
      </c>
      <c r="BX145" s="20">
        <v>2008</v>
      </c>
      <c r="BY145" s="52">
        <v>370.71710000000002</v>
      </c>
      <c r="BZ145" s="52">
        <v>457.7002</v>
      </c>
      <c r="CA145" s="52">
        <v>521.61199999999997</v>
      </c>
      <c r="CB145" s="52">
        <v>543.53689999999995</v>
      </c>
      <c r="CC145" s="375">
        <f t="shared" si="131"/>
        <v>383.15912250000002</v>
      </c>
      <c r="CD145" s="375">
        <v>232.01</v>
      </c>
      <c r="CE145" s="375">
        <v>242.05</v>
      </c>
      <c r="CF145" s="375">
        <v>312.98</v>
      </c>
      <c r="CG145" s="375">
        <f t="shared" si="164"/>
        <v>247.17833333333331</v>
      </c>
      <c r="CI145" s="20" t="s">
        <v>143</v>
      </c>
      <c r="CJ145" s="20">
        <v>2015</v>
      </c>
      <c r="CK145" s="59">
        <f t="shared" si="145"/>
        <v>670.18169316513786</v>
      </c>
      <c r="CL145" s="59">
        <f t="shared" si="146"/>
        <v>827.42958174311946</v>
      </c>
      <c r="CM145" s="59">
        <f t="shared" si="147"/>
        <v>942.96921651376169</v>
      </c>
      <c r="CN145" s="59">
        <f t="shared" si="148"/>
        <v>982.60501050458731</v>
      </c>
      <c r="CO145" s="59">
        <f t="shared" si="149"/>
        <v>692.67435861123874</v>
      </c>
      <c r="CP145" s="59">
        <f t="shared" si="150"/>
        <v>419.42725229357808</v>
      </c>
      <c r="CQ145" s="59">
        <f t="shared" si="151"/>
        <v>437.57754587155978</v>
      </c>
      <c r="CR145" s="59">
        <f t="shared" si="152"/>
        <v>565.80466972477086</v>
      </c>
      <c r="CS145" s="59">
        <f t="shared" si="153"/>
        <v>446.84853746177379</v>
      </c>
      <c r="CW145" s="20" t="s">
        <v>143</v>
      </c>
      <c r="CX145">
        <v>2014</v>
      </c>
      <c r="CY145">
        <v>143.42943499999998</v>
      </c>
      <c r="CZ145">
        <v>71.89483642578125</v>
      </c>
      <c r="DA145">
        <v>1985</v>
      </c>
      <c r="DB145">
        <v>3409058</v>
      </c>
      <c r="DC145">
        <v>0.65714794397354126</v>
      </c>
      <c r="DE145">
        <f t="shared" si="154"/>
        <v>31160.171814275167</v>
      </c>
      <c r="DH145">
        <f t="shared" si="155"/>
        <v>15.697819553791016</v>
      </c>
      <c r="DI145">
        <f t="shared" si="162"/>
        <v>18.134814698214861</v>
      </c>
      <c r="DJ145">
        <f t="shared" si="163"/>
        <v>36.178762694311082</v>
      </c>
      <c r="DL145" s="20" t="s">
        <v>143</v>
      </c>
      <c r="DM145" s="99" t="s">
        <v>836</v>
      </c>
      <c r="DN145" s="100" t="s">
        <v>847</v>
      </c>
      <c r="DO145" s="101"/>
      <c r="DP145" s="101"/>
      <c r="DQ145" s="101">
        <v>38</v>
      </c>
      <c r="DR145" s="101">
        <v>38</v>
      </c>
      <c r="DS145" s="101">
        <v>38</v>
      </c>
      <c r="DT145" s="101">
        <v>38</v>
      </c>
      <c r="DU145" s="101">
        <v>38.1</v>
      </c>
      <c r="DV145" s="101">
        <v>38</v>
      </c>
      <c r="DW145" s="101">
        <v>38</v>
      </c>
      <c r="DX145">
        <f t="shared" ca="1" si="156"/>
        <v>38</v>
      </c>
      <c r="DY145">
        <f t="shared" ca="1" si="157"/>
        <v>7.6</v>
      </c>
      <c r="DZ145">
        <f t="shared" ca="1" si="158"/>
        <v>137.82459170643293</v>
      </c>
      <c r="EB145" s="20" t="s">
        <v>143</v>
      </c>
      <c r="EC145" s="99" t="s">
        <v>836</v>
      </c>
      <c r="ED145" s="100" t="s">
        <v>754</v>
      </c>
      <c r="EE145" s="101">
        <v>56.7</v>
      </c>
      <c r="EF145" s="101">
        <v>58.2</v>
      </c>
      <c r="EG145" s="101">
        <v>58.6</v>
      </c>
      <c r="EH145" s="101">
        <v>61.9</v>
      </c>
      <c r="EI145" s="101">
        <v>62.6</v>
      </c>
      <c r="EJ145" s="101">
        <v>63.9</v>
      </c>
      <c r="EK145" s="101">
        <v>64.900000000000006</v>
      </c>
      <c r="EL145" s="101">
        <v>64.8</v>
      </c>
      <c r="EM145" s="101">
        <v>65.3</v>
      </c>
      <c r="EN145" s="101">
        <v>65.3</v>
      </c>
      <c r="EO145">
        <f t="shared" ca="1" si="159"/>
        <v>65.3</v>
      </c>
      <c r="EQ145" s="20" t="s">
        <v>143</v>
      </c>
      <c r="ER145" s="20">
        <f t="shared" ca="1" si="160"/>
        <v>137.82459170643293</v>
      </c>
      <c r="ES145">
        <f t="shared" ca="1" si="161"/>
        <v>89.999458384300709</v>
      </c>
      <c r="EU145" s="20" t="s">
        <v>143</v>
      </c>
      <c r="EV145" s="109">
        <v>24451.3749516772</v>
      </c>
    </row>
    <row r="146" spans="1:152" x14ac:dyDescent="0.3">
      <c r="A146" s="20" t="s">
        <v>44</v>
      </c>
      <c r="B146" s="20" t="s">
        <v>632</v>
      </c>
      <c r="C146" s="81">
        <v>2015</v>
      </c>
      <c r="D146" s="82">
        <v>1694.8810000000001</v>
      </c>
      <c r="E146" s="82">
        <v>1644.8409999999999</v>
      </c>
      <c r="F146" s="82">
        <v>1426.28</v>
      </c>
      <c r="G146" s="82">
        <v>1228.009</v>
      </c>
      <c r="H146" s="82">
        <v>1011.755</v>
      </c>
      <c r="I146" s="82">
        <v>1097.768</v>
      </c>
      <c r="J146" s="82">
        <v>904.44600000000003</v>
      </c>
      <c r="K146" s="82">
        <v>632.44100000000003</v>
      </c>
      <c r="L146" s="82">
        <v>464.214</v>
      </c>
      <c r="M146" s="82">
        <v>349.96800000000002</v>
      </c>
      <c r="N146" s="82">
        <v>365.57100000000003</v>
      </c>
      <c r="O146" s="82">
        <v>262.28399999999999</v>
      </c>
      <c r="P146" s="82">
        <v>203.315</v>
      </c>
      <c r="Q146" s="82">
        <v>133.709</v>
      </c>
      <c r="R146" s="82">
        <v>92.322000000000003</v>
      </c>
      <c r="S146" s="82">
        <v>44.604999999999997</v>
      </c>
      <c r="T146" s="82">
        <v>39.268000000000001</v>
      </c>
      <c r="U146" s="82">
        <v>8.0549999999999997</v>
      </c>
      <c r="V146" s="82">
        <v>5.3520000000000003</v>
      </c>
      <c r="W146" s="82">
        <v>0.57399999999999995</v>
      </c>
      <c r="X146" s="82">
        <v>8.0000000000000002E-3</v>
      </c>
      <c r="Y146" s="82">
        <f t="shared" si="133"/>
        <v>11609.666000000003</v>
      </c>
      <c r="Z146" s="52">
        <f t="shared" si="134"/>
        <v>169.488</v>
      </c>
      <c r="AA146" s="52">
        <f t="shared" si="135"/>
        <v>169.488</v>
      </c>
      <c r="AB146" s="52">
        <f t="shared" si="136"/>
        <v>338.976</v>
      </c>
      <c r="AC146" s="52">
        <f t="shared" si="137"/>
        <v>1016.929</v>
      </c>
      <c r="AD146" s="52">
        <f t="shared" si="138"/>
        <v>3071.1210000000001</v>
      </c>
      <c r="AE146" s="52">
        <f t="shared" si="139"/>
        <v>5688.6009999999997</v>
      </c>
      <c r="AF146" s="52">
        <f t="shared" si="140"/>
        <v>831.17</v>
      </c>
      <c r="AG146" s="52">
        <f t="shared" si="141"/>
        <v>323.89299999999997</v>
      </c>
      <c r="AH146" s="52">
        <f t="shared" si="142"/>
        <v>11609.665999999999</v>
      </c>
      <c r="AI146">
        <v>31.89</v>
      </c>
      <c r="AJ146" s="30">
        <f t="shared" si="143"/>
        <v>370232.24874000001</v>
      </c>
      <c r="AK146">
        <f t="shared" si="144"/>
        <v>338.97620000000001</v>
      </c>
      <c r="AM146" s="20" t="s">
        <v>44</v>
      </c>
      <c r="AN146" t="s">
        <v>468</v>
      </c>
      <c r="AO146" t="s">
        <v>469</v>
      </c>
      <c r="AP146" t="s">
        <v>691</v>
      </c>
      <c r="AQ146" s="55">
        <v>502770.7084768847</v>
      </c>
      <c r="AR146" s="55">
        <v>720.97510889672799</v>
      </c>
      <c r="AS146" t="s">
        <v>44</v>
      </c>
      <c r="AT146" t="s">
        <v>1291</v>
      </c>
      <c r="AU146" t="s">
        <v>1153</v>
      </c>
      <c r="AV146">
        <v>52.769788225615201</v>
      </c>
      <c r="AW146">
        <v>59.234462101485903</v>
      </c>
      <c r="AX146">
        <v>64.573909341154106</v>
      </c>
      <c r="AY146">
        <v>70.309897703049103</v>
      </c>
      <c r="AZ146">
        <v>76.694544093241404</v>
      </c>
      <c r="BA146">
        <v>88.539963644666599</v>
      </c>
      <c r="BB146">
        <v>97.742971887549899</v>
      </c>
      <c r="BC146">
        <v>100</v>
      </c>
      <c r="BD146">
        <v>105.67068273092301</v>
      </c>
      <c r="BE146">
        <v>112.29718875502</v>
      </c>
      <c r="BF146">
        <v>117.052727814645</v>
      </c>
      <c r="BG146">
        <v>119.141066013805</v>
      </c>
      <c r="BH146">
        <v>122.141142547258</v>
      </c>
      <c r="BJ146" s="20" t="s">
        <v>44</v>
      </c>
      <c r="BK146" t="s">
        <v>691</v>
      </c>
      <c r="BL146">
        <v>2015</v>
      </c>
      <c r="BM146">
        <f>INDEX('Costs lists'!$C$5:$C$8,MATCH(Lists!BK146,'Costs lists'!$B$5:$B$8,0))</f>
        <v>4.2</v>
      </c>
      <c r="BN146">
        <f>INDEX('Costs lists'!$D$5:$D$8,MATCH(Lists!BK146,'Costs lists'!$B$5:$B$8,0))</f>
        <v>4.2</v>
      </c>
      <c r="BO146">
        <f>INDEX('Costs lists'!$E$5:$E$8,MATCH(Lists!BK146,'Costs lists'!$B$5:$B$8,0))</f>
        <v>4.2</v>
      </c>
      <c r="BW146" s="20" t="s">
        <v>44</v>
      </c>
      <c r="BX146" s="20">
        <v>2008</v>
      </c>
      <c r="BY146" s="52">
        <v>497.14799999999997</v>
      </c>
      <c r="BZ146" s="52">
        <v>611.6869999999999</v>
      </c>
      <c r="CA146" s="52">
        <v>696.98199999999997</v>
      </c>
      <c r="CB146" s="52">
        <v>728.66300000000001</v>
      </c>
      <c r="CC146" s="375">
        <f t="shared" si="131"/>
        <v>513.65867500000002</v>
      </c>
      <c r="CD146" s="375">
        <v>6.98</v>
      </c>
      <c r="CE146" s="375">
        <v>7.29</v>
      </c>
      <c r="CF146" s="375">
        <v>9.42</v>
      </c>
      <c r="CG146" s="375">
        <f t="shared" si="164"/>
        <v>7.4383333333333326</v>
      </c>
      <c r="CI146" s="20" t="s">
        <v>44</v>
      </c>
      <c r="CJ146" s="20">
        <v>2015</v>
      </c>
      <c r="CK146" s="59">
        <f t="shared" si="145"/>
        <v>685.81714104579885</v>
      </c>
      <c r="CL146" s="59">
        <f t="shared" si="146"/>
        <v>843.82403138478185</v>
      </c>
      <c r="CM146" s="59">
        <f t="shared" si="147"/>
        <v>961.48873695636507</v>
      </c>
      <c r="CN146" s="59">
        <f t="shared" si="148"/>
        <v>1005.1927704543817</v>
      </c>
      <c r="CO146" s="59">
        <f t="shared" si="149"/>
        <v>708.59366619572677</v>
      </c>
      <c r="CP146" s="59">
        <f t="shared" si="150"/>
        <v>9.6289307097678698</v>
      </c>
      <c r="CQ146" s="59">
        <f t="shared" si="151"/>
        <v>10.05657662954266</v>
      </c>
      <c r="CR146" s="59">
        <f t="shared" si="152"/>
        <v>12.994917949285576</v>
      </c>
      <c r="CS146" s="59">
        <f t="shared" si="153"/>
        <v>10.261202902983284</v>
      </c>
      <c r="CW146" s="20" t="s">
        <v>44</v>
      </c>
      <c r="CX146">
        <v>2014</v>
      </c>
      <c r="CY146">
        <v>11.341543999999999</v>
      </c>
      <c r="CZ146">
        <v>5.4920358657836914</v>
      </c>
      <c r="DB146">
        <v>18451.283203125</v>
      </c>
      <c r="DC146">
        <v>0.77097785472869873</v>
      </c>
      <c r="DE146">
        <f t="shared" si="154"/>
        <v>2590.210823196629</v>
      </c>
      <c r="DH146" t="e">
        <f t="shared" si="155"/>
        <v>#DIV/0!</v>
      </c>
      <c r="DI146" t="e">
        <f t="shared" si="162"/>
        <v>#DIV/0!</v>
      </c>
      <c r="DJ146" t="e">
        <f t="shared" si="163"/>
        <v>#DIV/0!</v>
      </c>
      <c r="DL146" s="20" t="s">
        <v>44</v>
      </c>
      <c r="DM146" s="99"/>
      <c r="DN146" s="100"/>
      <c r="DO146" s="101"/>
      <c r="DP146" s="101"/>
      <c r="DQ146" s="101"/>
      <c r="DR146" s="101"/>
      <c r="DS146" s="101"/>
      <c r="DT146" s="101"/>
      <c r="DU146" s="101"/>
      <c r="DV146" s="101"/>
      <c r="DW146" s="101"/>
      <c r="DX146" t="e">
        <f t="shared" ca="1" si="156"/>
        <v>#N/A</v>
      </c>
      <c r="DY146" t="e">
        <f t="shared" ca="1" si="157"/>
        <v>#N/A</v>
      </c>
      <c r="DZ146" t="e">
        <f t="shared" ca="1" si="158"/>
        <v>#N/A</v>
      </c>
      <c r="EB146" s="20" t="s">
        <v>44</v>
      </c>
      <c r="EC146" s="99" t="s">
        <v>803</v>
      </c>
      <c r="ED146" s="100" t="s">
        <v>754</v>
      </c>
      <c r="EE146" s="101"/>
      <c r="EF146" s="101"/>
      <c r="EG146" s="101"/>
      <c r="EH146" s="101"/>
      <c r="EI146" s="101"/>
      <c r="EJ146" s="101"/>
      <c r="EK146" s="101">
        <v>71</v>
      </c>
      <c r="EL146" s="101"/>
      <c r="EM146" s="101"/>
      <c r="EN146" s="101"/>
      <c r="EO146">
        <f t="shared" ca="1" si="159"/>
        <v>71</v>
      </c>
      <c r="EQ146" s="20" t="s">
        <v>44</v>
      </c>
      <c r="ER146" s="20" t="e">
        <f t="shared" ca="1" si="160"/>
        <v>#N/A</v>
      </c>
      <c r="ES146" t="e">
        <f t="shared" ca="1" si="161"/>
        <v>#N/A</v>
      </c>
      <c r="EU146" s="20" t="s">
        <v>44</v>
      </c>
      <c r="EV146" s="109">
        <v>1762.3141259966599</v>
      </c>
    </row>
    <row r="147" spans="1:152" x14ac:dyDescent="0.3">
      <c r="A147" s="20" t="s">
        <v>186</v>
      </c>
      <c r="B147" s="20" t="s">
        <v>633</v>
      </c>
      <c r="C147" s="81">
        <v>2015</v>
      </c>
      <c r="D147" s="82">
        <v>13.771000000000001</v>
      </c>
      <c r="E147" s="82">
        <v>14.053000000000001</v>
      </c>
      <c r="F147" s="82">
        <v>14.958</v>
      </c>
      <c r="G147" s="82">
        <v>15.959</v>
      </c>
      <c r="H147" s="82">
        <v>16.439</v>
      </c>
      <c r="I147" s="82">
        <v>13.91</v>
      </c>
      <c r="J147" s="82">
        <v>13.884</v>
      </c>
      <c r="K147" s="82">
        <v>13.164</v>
      </c>
      <c r="L147" s="82">
        <v>12.785</v>
      </c>
      <c r="M147" s="82">
        <v>12.587999999999999</v>
      </c>
      <c r="N147" s="82">
        <v>11.403</v>
      </c>
      <c r="O147" s="82">
        <v>8.8840000000000003</v>
      </c>
      <c r="P147" s="82">
        <v>6.556</v>
      </c>
      <c r="Q147" s="82">
        <v>5.2969999999999997</v>
      </c>
      <c r="R147" s="82">
        <v>4.0030000000000001</v>
      </c>
      <c r="S147" s="82">
        <v>3.1269999999999998</v>
      </c>
      <c r="T147" s="82">
        <v>2.0299999999999998</v>
      </c>
      <c r="U147" s="82">
        <v>1.3049999999999999</v>
      </c>
      <c r="V147" s="82">
        <v>0.59199999999999997</v>
      </c>
      <c r="W147" s="82">
        <v>0.23799999999999999</v>
      </c>
      <c r="X147" s="82">
        <v>5.2999999999999999E-2</v>
      </c>
      <c r="Y147" s="82">
        <f t="shared" si="133"/>
        <v>184.99900000000002</v>
      </c>
      <c r="Z147" s="52">
        <f t="shared" si="134"/>
        <v>1.377</v>
      </c>
      <c r="AA147" s="52">
        <f t="shared" si="135"/>
        <v>1.377</v>
      </c>
      <c r="AB147" s="52">
        <f t="shared" si="136"/>
        <v>2.754</v>
      </c>
      <c r="AC147" s="52">
        <f t="shared" si="137"/>
        <v>8.2629999999999999</v>
      </c>
      <c r="AD147" s="52">
        <f t="shared" si="138"/>
        <v>29.010999999999999</v>
      </c>
      <c r="AE147" s="52">
        <f t="shared" si="139"/>
        <v>98.728999999999999</v>
      </c>
      <c r="AF147" s="52">
        <f t="shared" si="140"/>
        <v>26.843</v>
      </c>
      <c r="AG147" s="52">
        <f t="shared" si="141"/>
        <v>16.645</v>
      </c>
      <c r="AH147" s="52">
        <f t="shared" si="142"/>
        <v>184.999</v>
      </c>
      <c r="AI147">
        <v>15.167999999999999</v>
      </c>
      <c r="AJ147" s="30">
        <f t="shared" si="143"/>
        <v>2806.0648319999996</v>
      </c>
      <c r="AK147">
        <f t="shared" si="144"/>
        <v>2.7542</v>
      </c>
      <c r="AM147" s="20" t="s">
        <v>186</v>
      </c>
      <c r="AN147" t="s">
        <v>266</v>
      </c>
      <c r="AO147" t="s">
        <v>267</v>
      </c>
      <c r="AP147" t="s">
        <v>689</v>
      </c>
      <c r="AQ147" s="55">
        <v>20886.958307882745</v>
      </c>
      <c r="AR147" s="55">
        <v>2.7</v>
      </c>
      <c r="AS147" t="s">
        <v>1133</v>
      </c>
      <c r="AT147" t="s">
        <v>1308</v>
      </c>
      <c r="AU147" t="s">
        <v>1153</v>
      </c>
      <c r="AV147">
        <v>82.640995300312895</v>
      </c>
      <c r="AW147">
        <v>83.847858069771704</v>
      </c>
      <c r="AX147">
        <v>87.126954662031494</v>
      </c>
      <c r="AY147">
        <v>89.164263195684001</v>
      </c>
      <c r="AZ147">
        <v>91.903958099986099</v>
      </c>
      <c r="BA147">
        <v>98.498950922084603</v>
      </c>
      <c r="BB147">
        <v>96.851977472432395</v>
      </c>
      <c r="BC147">
        <v>100</v>
      </c>
      <c r="BD147">
        <v>102.769407941442</v>
      </c>
      <c r="BE147">
        <v>107.062739592043</v>
      </c>
      <c r="BF147">
        <v>108.638722806796</v>
      </c>
      <c r="BG147">
        <v>112.46115256590301</v>
      </c>
      <c r="BH147">
        <v>111.35418709082001</v>
      </c>
      <c r="BJ147" s="20" t="s">
        <v>186</v>
      </c>
      <c r="BK147" t="s">
        <v>689</v>
      </c>
      <c r="BL147">
        <v>2015</v>
      </c>
      <c r="BM147">
        <f>INDEX('Costs lists'!$C$5:$C$8,MATCH(Lists!BK147,'Costs lists'!$B$5:$B$8,0))</f>
        <v>3.2</v>
      </c>
      <c r="BN147">
        <f>INDEX('Costs lists'!$D$5:$D$8,MATCH(Lists!BK147,'Costs lists'!$B$5:$B$8,0))</f>
        <v>1.1200000000000001</v>
      </c>
      <c r="BO147">
        <f>INDEX('Costs lists'!$E$5:$E$8,MATCH(Lists!BK147,'Costs lists'!$B$5:$B$8,0))</f>
        <v>4.4400000000000004</v>
      </c>
      <c r="BW147" s="20" t="s">
        <v>186</v>
      </c>
      <c r="BX147" s="20">
        <v>2008</v>
      </c>
      <c r="BY147" s="52">
        <v>21.744499999999999</v>
      </c>
      <c r="BZ147" s="52">
        <v>26.847000000000005</v>
      </c>
      <c r="CA147" s="52">
        <v>30.583600000000001</v>
      </c>
      <c r="CB147" s="52">
        <v>31.871000000000002</v>
      </c>
      <c r="CC147" s="375">
        <f t="shared" si="131"/>
        <v>22.473764999999997</v>
      </c>
      <c r="CD147" s="375">
        <v>98.06</v>
      </c>
      <c r="CE147" s="375">
        <v>102.3</v>
      </c>
      <c r="CF147" s="375">
        <v>132.28</v>
      </c>
      <c r="CG147" s="375">
        <f t="shared" si="164"/>
        <v>104.47</v>
      </c>
      <c r="CI147" s="20" t="s">
        <v>186</v>
      </c>
      <c r="CJ147" s="20">
        <v>2015</v>
      </c>
      <c r="CK147" s="59">
        <f t="shared" si="145"/>
        <v>24.582405178220462</v>
      </c>
      <c r="CL147" s="59">
        <f t="shared" si="146"/>
        <v>30.350839606322744</v>
      </c>
      <c r="CM147" s="59">
        <f t="shared" si="147"/>
        <v>34.575108510594561</v>
      </c>
      <c r="CN147" s="59">
        <f t="shared" si="148"/>
        <v>36.030528889377287</v>
      </c>
      <c r="CO147" s="59">
        <f t="shared" si="149"/>
        <v>25.406847575713847</v>
      </c>
      <c r="CP147" s="59">
        <f t="shared" si="150"/>
        <v>110.85794806853681</v>
      </c>
      <c r="CQ147" s="59">
        <f t="shared" si="151"/>
        <v>115.65131641251597</v>
      </c>
      <c r="CR147" s="59">
        <f t="shared" si="152"/>
        <v>149.54404824093461</v>
      </c>
      <c r="CS147" s="59">
        <f t="shared" si="153"/>
        <v>118.10452615459964</v>
      </c>
      <c r="CW147" s="20" t="s">
        <v>186</v>
      </c>
      <c r="CX147">
        <v>2014</v>
      </c>
      <c r="CY147">
        <v>0.183645</v>
      </c>
      <c r="CZ147">
        <v>7.9438403248786926E-2</v>
      </c>
      <c r="DA147">
        <v>1878.4809063338528</v>
      </c>
      <c r="DB147">
        <v>1898.5697021484375</v>
      </c>
      <c r="DE147">
        <f t="shared" si="154"/>
        <v>0</v>
      </c>
      <c r="DH147">
        <f t="shared" si="155"/>
        <v>0</v>
      </c>
      <c r="DI147">
        <f t="shared" si="162"/>
        <v>0</v>
      </c>
      <c r="DJ147">
        <f t="shared" si="163"/>
        <v>0</v>
      </c>
      <c r="DL147" s="20" t="s">
        <v>186</v>
      </c>
      <c r="DM147" s="99"/>
      <c r="DN147" s="100"/>
      <c r="DO147" s="101"/>
      <c r="DP147" s="101"/>
      <c r="DQ147" s="101"/>
      <c r="DR147" s="101"/>
      <c r="DS147" s="101"/>
      <c r="DT147" s="101"/>
      <c r="DU147" s="101"/>
      <c r="DV147" s="101"/>
      <c r="DW147" s="101"/>
      <c r="DX147" t="e">
        <f t="shared" ca="1" si="156"/>
        <v>#N/A</v>
      </c>
      <c r="DY147" t="e">
        <f t="shared" ca="1" si="157"/>
        <v>#N/A</v>
      </c>
      <c r="DZ147" t="e">
        <f t="shared" ca="1" si="158"/>
        <v>#N/A</v>
      </c>
      <c r="EB147" s="20" t="s">
        <v>186</v>
      </c>
      <c r="EC147" s="99" t="s">
        <v>756</v>
      </c>
      <c r="ED147" s="100" t="s">
        <v>754</v>
      </c>
      <c r="EE147" s="101"/>
      <c r="EF147" s="101"/>
      <c r="EG147" s="101">
        <v>51.4</v>
      </c>
      <c r="EH147" s="101">
        <v>53.8</v>
      </c>
      <c r="EI147" s="101"/>
      <c r="EJ147" s="101">
        <v>54.4</v>
      </c>
      <c r="EK147" s="101">
        <v>55.9</v>
      </c>
      <c r="EL147" s="101">
        <v>53.9</v>
      </c>
      <c r="EM147" s="101"/>
      <c r="EN147" s="101">
        <v>46.5</v>
      </c>
      <c r="EO147">
        <f t="shared" ca="1" si="159"/>
        <v>46.5</v>
      </c>
      <c r="EQ147" s="20" t="s">
        <v>186</v>
      </c>
      <c r="ER147" s="20" t="e">
        <f t="shared" ca="1" si="160"/>
        <v>#N/A</v>
      </c>
      <c r="ES147" t="e">
        <f t="shared" ca="1" si="161"/>
        <v>#N/A</v>
      </c>
      <c r="EU147" s="20" t="s">
        <v>186</v>
      </c>
      <c r="EV147" s="109">
        <v>10944.334130820836</v>
      </c>
    </row>
    <row r="148" spans="1:152" x14ac:dyDescent="0.3">
      <c r="A148" s="20" t="s">
        <v>187</v>
      </c>
      <c r="B148" s="20" t="s">
        <v>633</v>
      </c>
      <c r="C148" s="81">
        <v>2015</v>
      </c>
      <c r="D148" s="82">
        <v>8.5120000000000005</v>
      </c>
      <c r="E148" s="82">
        <v>9.0909999999999993</v>
      </c>
      <c r="F148" s="82">
        <v>9.2469999999999999</v>
      </c>
      <c r="G148" s="82">
        <v>9.7750000000000004</v>
      </c>
      <c r="H148" s="82">
        <v>9.5229999999999997</v>
      </c>
      <c r="I148" s="82">
        <v>8.8849999999999998</v>
      </c>
      <c r="J148" s="82">
        <v>8.4990000000000006</v>
      </c>
      <c r="K148" s="82">
        <v>7.7389999999999999</v>
      </c>
      <c r="L148" s="82">
        <v>6.9939999999999998</v>
      </c>
      <c r="M148" s="82">
        <v>6.62</v>
      </c>
      <c r="N148" s="82">
        <v>7.0750000000000002</v>
      </c>
      <c r="O148" s="82">
        <v>5.5259999999999998</v>
      </c>
      <c r="P148" s="82">
        <v>3.95</v>
      </c>
      <c r="Q148" s="82">
        <v>2.7320000000000002</v>
      </c>
      <c r="R148" s="82">
        <v>1.8220000000000001</v>
      </c>
      <c r="S148" s="82">
        <v>1.74</v>
      </c>
      <c r="T148" s="82">
        <v>1.016</v>
      </c>
      <c r="U148" s="82">
        <v>0.41499999999999998</v>
      </c>
      <c r="V148" s="82">
        <v>0.215</v>
      </c>
      <c r="W148" s="82">
        <v>7.3999999999999996E-2</v>
      </c>
      <c r="X148" s="82">
        <v>1.2E-2</v>
      </c>
      <c r="Y148" s="82">
        <f t="shared" si="133"/>
        <v>109.46200000000002</v>
      </c>
      <c r="Z148" s="52">
        <f t="shared" si="134"/>
        <v>0.85099999999999998</v>
      </c>
      <c r="AA148" s="52">
        <f t="shared" si="135"/>
        <v>0.85099999999999998</v>
      </c>
      <c r="AB148" s="52">
        <f t="shared" si="136"/>
        <v>1.702</v>
      </c>
      <c r="AC148" s="52">
        <f t="shared" si="137"/>
        <v>5.1070000000000002</v>
      </c>
      <c r="AD148" s="52">
        <f t="shared" si="138"/>
        <v>18.338000000000001</v>
      </c>
      <c r="AE148" s="52">
        <f t="shared" si="139"/>
        <v>58.034999999999997</v>
      </c>
      <c r="AF148" s="52">
        <f t="shared" si="140"/>
        <v>16.550999999999998</v>
      </c>
      <c r="AG148" s="52">
        <f t="shared" si="141"/>
        <v>8.0259999999999998</v>
      </c>
      <c r="AH148" s="52">
        <f t="shared" si="142"/>
        <v>109.461</v>
      </c>
      <c r="AI148">
        <v>16.04</v>
      </c>
      <c r="AJ148" s="30">
        <f t="shared" si="143"/>
        <v>1755.7544399999999</v>
      </c>
      <c r="AK148">
        <f t="shared" si="144"/>
        <v>1.7024000000000001</v>
      </c>
      <c r="AM148" s="20" t="s">
        <v>187</v>
      </c>
      <c r="AN148" t="s">
        <v>266</v>
      </c>
      <c r="AO148" t="s">
        <v>267</v>
      </c>
      <c r="AP148" t="s">
        <v>689</v>
      </c>
      <c r="AQ148" s="55">
        <v>18195.772048747509</v>
      </c>
      <c r="AR148" s="55">
        <v>2.7</v>
      </c>
      <c r="AS148" t="s">
        <v>1134</v>
      </c>
      <c r="AT148" t="s">
        <v>1309</v>
      </c>
      <c r="AU148" t="s">
        <v>1153</v>
      </c>
      <c r="AV148">
        <v>75.764371682738997</v>
      </c>
      <c r="AW148">
        <v>78.007026986618797</v>
      </c>
      <c r="AX148">
        <v>80.919364082629102</v>
      </c>
      <c r="AY148">
        <v>83.386284916896898</v>
      </c>
      <c r="AZ148">
        <v>89.153023846901405</v>
      </c>
      <c r="BA148">
        <v>98.127382821260397</v>
      </c>
      <c r="BB148">
        <v>98.541028132864597</v>
      </c>
      <c r="BC148">
        <v>100</v>
      </c>
      <c r="BD148">
        <v>103.186031115524</v>
      </c>
      <c r="BE148">
        <v>105.86726249586199</v>
      </c>
      <c r="BF148">
        <v>106.719629261834</v>
      </c>
      <c r="BG148">
        <v>106.926514399206</v>
      </c>
      <c r="BH148">
        <v>105.072823568354</v>
      </c>
      <c r="BJ148" s="20" t="s">
        <v>187</v>
      </c>
      <c r="BK148" t="s">
        <v>689</v>
      </c>
      <c r="BL148">
        <v>2015</v>
      </c>
      <c r="BM148">
        <f>INDEX('Costs lists'!$C$5:$C$8,MATCH(Lists!BK148,'Costs lists'!$B$5:$B$8,0))</f>
        <v>3.2</v>
      </c>
      <c r="BN148">
        <f>INDEX('Costs lists'!$D$5:$D$8,MATCH(Lists!BK148,'Costs lists'!$B$5:$B$8,0))</f>
        <v>1.1200000000000001</v>
      </c>
      <c r="BO148">
        <f>INDEX('Costs lists'!$E$5:$E$8,MATCH(Lists!BK148,'Costs lists'!$B$5:$B$8,0))</f>
        <v>4.4400000000000004</v>
      </c>
      <c r="BW148" s="20" t="s">
        <v>187</v>
      </c>
      <c r="BX148" s="20">
        <v>2008</v>
      </c>
      <c r="BY148" s="52">
        <v>20.227500000000003</v>
      </c>
      <c r="BZ148" s="52">
        <v>24.986000000000001</v>
      </c>
      <c r="CA148" s="52">
        <v>28.473500000000001</v>
      </c>
      <c r="CB148" s="52">
        <v>29.667000000000002</v>
      </c>
      <c r="CC148" s="375">
        <f t="shared" ref="CC148:CC179" si="165">BY148*(9/10)+BZ148*(0.5/10)+CA148*(0.25/10)+CB148*(0.25/10)</f>
        <v>20.907562500000008</v>
      </c>
      <c r="CD148" s="375">
        <v>90.41</v>
      </c>
      <c r="CE148" s="375">
        <v>94.32</v>
      </c>
      <c r="CF148" s="375">
        <v>121.96</v>
      </c>
      <c r="CG148" s="375">
        <f t="shared" si="164"/>
        <v>96.32</v>
      </c>
      <c r="CI148" s="20" t="s">
        <v>187</v>
      </c>
      <c r="CJ148" s="20">
        <v>2015</v>
      </c>
      <c r="CK148" s="59">
        <f t="shared" si="145"/>
        <v>21.659199273664896</v>
      </c>
      <c r="CL148" s="59">
        <f t="shared" si="146"/>
        <v>26.754505156435105</v>
      </c>
      <c r="CM148" s="59">
        <f t="shared" si="147"/>
        <v>30.48884985879112</v>
      </c>
      <c r="CN148" s="59">
        <f t="shared" si="148"/>
        <v>31.766825601375182</v>
      </c>
      <c r="CO148" s="59">
        <f t="shared" si="149"/>
        <v>22.387396490624326</v>
      </c>
      <c r="CP148" s="59">
        <f t="shared" si="150"/>
        <v>96.809205602869511</v>
      </c>
      <c r="CQ148" s="59">
        <f t="shared" si="151"/>
        <v>100.99595478888013</v>
      </c>
      <c r="CR148" s="59">
        <f t="shared" si="152"/>
        <v>130.59230964855618</v>
      </c>
      <c r="CS148" s="59">
        <f t="shared" si="153"/>
        <v>103.13751447481906</v>
      </c>
      <c r="CW148" s="20" t="s">
        <v>187</v>
      </c>
      <c r="CX148">
        <v>2014</v>
      </c>
      <c r="CY148">
        <v>0.10936</v>
      </c>
      <c r="CZ148">
        <v>4.4157002121210098E-2</v>
      </c>
      <c r="DB148">
        <v>934.77301025390625</v>
      </c>
      <c r="DE148">
        <f t="shared" si="154"/>
        <v>0</v>
      </c>
      <c r="DH148" t="e">
        <f t="shared" si="155"/>
        <v>#DIV/0!</v>
      </c>
      <c r="DI148" t="e">
        <f t="shared" si="162"/>
        <v>#DIV/0!</v>
      </c>
      <c r="DJ148" t="e">
        <f t="shared" si="163"/>
        <v>#DIV/0!</v>
      </c>
      <c r="DL148" s="20" t="s">
        <v>187</v>
      </c>
      <c r="DM148" s="99"/>
      <c r="DN148" s="100"/>
      <c r="DO148" s="101"/>
      <c r="DP148" s="101"/>
      <c r="DQ148" s="101"/>
      <c r="DR148" s="101"/>
      <c r="DS148" s="101"/>
      <c r="DT148" s="101"/>
      <c r="DU148" s="101"/>
      <c r="DV148" s="101"/>
      <c r="DW148" s="101"/>
      <c r="DX148" t="e">
        <f t="shared" ca="1" si="156"/>
        <v>#N/A</v>
      </c>
      <c r="DY148" t="e">
        <f t="shared" ca="1" si="157"/>
        <v>#N/A</v>
      </c>
      <c r="DZ148" t="e">
        <f t="shared" ca="1" si="158"/>
        <v>#N/A</v>
      </c>
      <c r="EB148" s="20" t="s">
        <v>187</v>
      </c>
      <c r="EC148" s="99"/>
      <c r="ED148" s="100"/>
      <c r="EE148" s="101"/>
      <c r="EF148" s="101"/>
      <c r="EG148" s="101"/>
      <c r="EH148" s="101"/>
      <c r="EI148" s="101"/>
      <c r="EJ148" s="101"/>
      <c r="EK148" s="101"/>
      <c r="EL148" s="101"/>
      <c r="EM148" s="101"/>
      <c r="EN148" s="101"/>
      <c r="EQ148" s="20" t="s">
        <v>187</v>
      </c>
      <c r="ER148" s="20" t="e">
        <f t="shared" ca="1" si="160"/>
        <v>#N/A</v>
      </c>
      <c r="ES148" t="e">
        <f t="shared" ca="1" si="161"/>
        <v>#N/A</v>
      </c>
      <c r="EU148" s="20" t="s">
        <v>187</v>
      </c>
      <c r="EV148" s="109">
        <v>11139.63747312888</v>
      </c>
    </row>
    <row r="149" spans="1:152" x14ac:dyDescent="0.3">
      <c r="A149" s="20" t="s">
        <v>221</v>
      </c>
      <c r="B149" s="20" t="s">
        <v>634</v>
      </c>
      <c r="C149" s="81">
        <v>2015</v>
      </c>
      <c r="D149" s="82">
        <v>24.175999999999998</v>
      </c>
      <c r="E149" s="82">
        <v>25.209</v>
      </c>
      <c r="F149" s="82">
        <v>22.670999999999999</v>
      </c>
      <c r="G149" s="82">
        <v>20.596</v>
      </c>
      <c r="H149" s="82">
        <v>16.972999999999999</v>
      </c>
      <c r="I149" s="82">
        <v>12.308</v>
      </c>
      <c r="J149" s="82">
        <v>10.904999999999999</v>
      </c>
      <c r="K149" s="82">
        <v>10.35</v>
      </c>
      <c r="L149" s="82">
        <v>10.11</v>
      </c>
      <c r="M149" s="82">
        <v>9.6270000000000007</v>
      </c>
      <c r="N149" s="82">
        <v>8.2129999999999992</v>
      </c>
      <c r="O149" s="82">
        <v>6.827</v>
      </c>
      <c r="P149" s="82">
        <v>5.15</v>
      </c>
      <c r="Q149" s="82">
        <v>3.387</v>
      </c>
      <c r="R149" s="82">
        <v>2.7469999999999999</v>
      </c>
      <c r="S149" s="82">
        <v>1.931</v>
      </c>
      <c r="T149" s="82">
        <v>1.163</v>
      </c>
      <c r="U149" s="82">
        <v>0.63500000000000001</v>
      </c>
      <c r="V149" s="82">
        <v>0.20200000000000001</v>
      </c>
      <c r="W149" s="82">
        <v>4.2000000000000003E-2</v>
      </c>
      <c r="X149" s="82">
        <v>6.0000000000000001E-3</v>
      </c>
      <c r="Y149" s="82">
        <f t="shared" si="133"/>
        <v>193.22800000000004</v>
      </c>
      <c r="Z149" s="52">
        <f t="shared" si="134"/>
        <v>2.4180000000000001</v>
      </c>
      <c r="AA149" s="52">
        <f t="shared" si="135"/>
        <v>2.4180000000000001</v>
      </c>
      <c r="AB149" s="52">
        <f t="shared" si="136"/>
        <v>4.835</v>
      </c>
      <c r="AC149" s="52">
        <f t="shared" si="137"/>
        <v>14.506</v>
      </c>
      <c r="AD149" s="52">
        <f t="shared" si="138"/>
        <v>47.88</v>
      </c>
      <c r="AE149" s="52">
        <f t="shared" si="139"/>
        <v>90.869</v>
      </c>
      <c r="AF149" s="52">
        <f t="shared" si="140"/>
        <v>20.190000000000001</v>
      </c>
      <c r="AG149" s="52">
        <f t="shared" si="141"/>
        <v>10.113</v>
      </c>
      <c r="AH149" s="52">
        <f t="shared" si="142"/>
        <v>193.22899999999998</v>
      </c>
      <c r="AI149">
        <v>25.608000000000001</v>
      </c>
      <c r="AJ149" s="30">
        <f t="shared" si="143"/>
        <v>4948.208232</v>
      </c>
      <c r="AK149">
        <f t="shared" si="144"/>
        <v>4.8351999999999995</v>
      </c>
      <c r="AM149" s="20" t="s">
        <v>221</v>
      </c>
      <c r="AN149" t="s">
        <v>470</v>
      </c>
      <c r="AO149" t="s">
        <v>471</v>
      </c>
      <c r="AP149" t="s">
        <v>688</v>
      </c>
      <c r="AQ149" s="55">
        <v>10086.229738961227</v>
      </c>
      <c r="AR149" s="55">
        <v>2.5608736880983001</v>
      </c>
      <c r="AS149" t="s">
        <v>221</v>
      </c>
      <c r="AT149" t="s">
        <v>1292</v>
      </c>
      <c r="AU149" t="s">
        <v>1153</v>
      </c>
      <c r="AV149">
        <v>64.491792405902601</v>
      </c>
      <c r="AW149">
        <v>75.012435748631802</v>
      </c>
      <c r="AX149">
        <v>76.405239595423396</v>
      </c>
      <c r="AY149">
        <v>79.232299784446795</v>
      </c>
      <c r="AZ149">
        <v>83.651135798374696</v>
      </c>
      <c r="BA149">
        <v>93.326148234123295</v>
      </c>
      <c r="BB149">
        <v>99.228983584811502</v>
      </c>
      <c r="BC149">
        <v>100</v>
      </c>
      <c r="BD149">
        <v>105.19814292820401</v>
      </c>
      <c r="BE149">
        <v>107.353672691095</v>
      </c>
      <c r="BF149">
        <v>108.00862211905201</v>
      </c>
      <c r="BG149">
        <v>107.569225667385</v>
      </c>
      <c r="BH149">
        <v>108.340225499345</v>
      </c>
      <c r="BJ149" s="20" t="s">
        <v>221</v>
      </c>
      <c r="BK149" t="s">
        <v>688</v>
      </c>
      <c r="BL149">
        <v>2015</v>
      </c>
      <c r="BM149">
        <f>INDEX('Costs lists'!$C$5:$C$8,MATCH(Lists!BK149,'Costs lists'!$B$5:$B$8,0))</f>
        <v>5.21</v>
      </c>
      <c r="BN149">
        <f>INDEX('Costs lists'!$D$5:$D$8,MATCH(Lists!BK149,'Costs lists'!$B$5:$B$8,0))</f>
        <v>5.16</v>
      </c>
      <c r="BO149">
        <f>INDEX('Costs lists'!$E$5:$E$8,MATCH(Lists!BK149,'Costs lists'!$B$5:$B$8,0))</f>
        <v>5.26</v>
      </c>
      <c r="BW149" s="20" t="s">
        <v>221</v>
      </c>
      <c r="BX149" s="20">
        <v>2008</v>
      </c>
      <c r="BY149" s="52">
        <v>12.494200000000001</v>
      </c>
      <c r="BZ149" s="52">
        <v>15.429799999999998</v>
      </c>
      <c r="CA149" s="52">
        <v>17.595700000000001</v>
      </c>
      <c r="CB149" s="52">
        <v>18.329599999999999</v>
      </c>
      <c r="CC149" s="375">
        <f t="shared" si="165"/>
        <v>12.914402500000001</v>
      </c>
      <c r="CD149" s="375">
        <v>38.18</v>
      </c>
      <c r="CE149" s="375">
        <v>39.840000000000003</v>
      </c>
      <c r="CF149" s="375">
        <v>51.51</v>
      </c>
      <c r="CG149" s="375">
        <f t="shared" si="164"/>
        <v>40.678333333333335</v>
      </c>
      <c r="CI149" s="20" t="s">
        <v>221</v>
      </c>
      <c r="CJ149" s="20">
        <v>2015</v>
      </c>
      <c r="CK149" s="59">
        <f t="shared" si="145"/>
        <v>14.504235640778157</v>
      </c>
      <c r="CL149" s="59">
        <f t="shared" si="146"/>
        <v>17.912107625144369</v>
      </c>
      <c r="CM149" s="59">
        <f t="shared" si="147"/>
        <v>20.426452198975539</v>
      </c>
      <c r="CN149" s="59">
        <f t="shared" si="148"/>
        <v>21.278420195067092</v>
      </c>
      <c r="CO149" s="59">
        <f t="shared" si="149"/>
        <v>14.992039267808625</v>
      </c>
      <c r="CP149" s="59">
        <f t="shared" si="150"/>
        <v>44.322302889733635</v>
      </c>
      <c r="CQ149" s="59">
        <f t="shared" si="151"/>
        <v>46.249359537113364</v>
      </c>
      <c r="CR149" s="59">
        <f t="shared" si="152"/>
        <v>59.796799943692491</v>
      </c>
      <c r="CS149" s="59">
        <f t="shared" si="153"/>
        <v>47.222561839956732</v>
      </c>
      <c r="CW149" s="20" t="s">
        <v>221</v>
      </c>
      <c r="DE149" t="e">
        <f t="shared" si="154"/>
        <v>#DIV/0!</v>
      </c>
      <c r="DH149" t="e">
        <f t="shared" si="155"/>
        <v>#DIV/0!</v>
      </c>
      <c r="DI149" t="e">
        <f t="shared" si="162"/>
        <v>#DIV/0!</v>
      </c>
      <c r="DJ149" t="e">
        <f t="shared" si="163"/>
        <v>#DIV/0!</v>
      </c>
      <c r="DL149" s="20" t="s">
        <v>221</v>
      </c>
      <c r="DM149" s="99" t="s">
        <v>756</v>
      </c>
      <c r="DN149" s="100" t="s">
        <v>754</v>
      </c>
      <c r="DO149" s="101"/>
      <c r="DP149" s="101"/>
      <c r="DQ149" s="101"/>
      <c r="DR149" s="101"/>
      <c r="DS149" s="101"/>
      <c r="DT149" s="101">
        <v>44.3</v>
      </c>
      <c r="DU149" s="101"/>
      <c r="DV149" s="101">
        <v>39.299999999999997</v>
      </c>
      <c r="DW149" s="101"/>
      <c r="DX149">
        <f t="shared" ca="1" si="156"/>
        <v>39.299999999999997</v>
      </c>
      <c r="DY149">
        <f t="shared" ca="1" si="157"/>
        <v>7.8599999999999994</v>
      </c>
      <c r="DZ149" t="e">
        <f t="shared" ca="1" si="158"/>
        <v>#DIV/0!</v>
      </c>
      <c r="EB149" s="20" t="s">
        <v>221</v>
      </c>
      <c r="EC149" s="99" t="s">
        <v>756</v>
      </c>
      <c r="ED149" s="100" t="s">
        <v>754</v>
      </c>
      <c r="EE149" s="101"/>
      <c r="EF149" s="101"/>
      <c r="EG149" s="101"/>
      <c r="EH149" s="101"/>
      <c r="EI149" s="101"/>
      <c r="EJ149" s="101"/>
      <c r="EK149" s="101">
        <v>29.4</v>
      </c>
      <c r="EL149" s="101"/>
      <c r="EM149" s="101">
        <v>29.4</v>
      </c>
      <c r="EN149" s="101"/>
      <c r="EO149">
        <f t="shared" ref="EO149:EO154" ca="1" si="166">OFFSET(EE149,0,MATCH(MAX(EE149:EN149)+1,EE149:EN149,1)-1)</f>
        <v>29.4</v>
      </c>
      <c r="EQ149" s="20" t="s">
        <v>221</v>
      </c>
      <c r="ER149" s="20" t="e">
        <f t="shared" ca="1" si="160"/>
        <v>#DIV/0!</v>
      </c>
      <c r="ES149" t="e">
        <f t="shared" ca="1" si="161"/>
        <v>#DIV/0!</v>
      </c>
      <c r="EU149" s="20" t="s">
        <v>221</v>
      </c>
      <c r="EV149" s="109">
        <v>5934.8746548457684</v>
      </c>
    </row>
    <row r="150" spans="1:152" x14ac:dyDescent="0.3">
      <c r="A150" s="20" t="s">
        <v>60</v>
      </c>
      <c r="B150" s="20" t="s">
        <v>632</v>
      </c>
      <c r="C150" s="81">
        <v>2015</v>
      </c>
      <c r="D150" s="82">
        <v>29.576000000000001</v>
      </c>
      <c r="E150" s="82">
        <v>27.030999999999999</v>
      </c>
      <c r="F150" s="82">
        <v>24.532</v>
      </c>
      <c r="G150" s="82">
        <v>20.204999999999998</v>
      </c>
      <c r="H150" s="82">
        <v>16.757000000000001</v>
      </c>
      <c r="I150" s="82">
        <v>15.824</v>
      </c>
      <c r="J150" s="82">
        <v>11.8</v>
      </c>
      <c r="K150" s="82">
        <v>12.398</v>
      </c>
      <c r="L150" s="82">
        <v>7.984</v>
      </c>
      <c r="M150" s="82">
        <v>6.5469999999999997</v>
      </c>
      <c r="N150" s="82">
        <v>5.3339999999999996</v>
      </c>
      <c r="O150" s="82">
        <v>3.9049999999999998</v>
      </c>
      <c r="P150" s="82">
        <v>2.5779999999999998</v>
      </c>
      <c r="Q150" s="82">
        <v>1.6439999999999999</v>
      </c>
      <c r="R150" s="82">
        <v>1.37</v>
      </c>
      <c r="S150" s="82">
        <v>1.462</v>
      </c>
      <c r="T150" s="82">
        <v>0.88900000000000001</v>
      </c>
      <c r="U150" s="82">
        <v>0.38400000000000001</v>
      </c>
      <c r="V150" s="82">
        <v>0.108</v>
      </c>
      <c r="W150" s="82">
        <v>1.4999999999999999E-2</v>
      </c>
      <c r="X150" s="82">
        <v>1E-3</v>
      </c>
      <c r="Y150" s="82">
        <f t="shared" si="133"/>
        <v>190.34400000000002</v>
      </c>
      <c r="Z150" s="52">
        <f t="shared" si="134"/>
        <v>2.9580000000000002</v>
      </c>
      <c r="AA150" s="52">
        <f t="shared" si="135"/>
        <v>2.9580000000000002</v>
      </c>
      <c r="AB150" s="52">
        <f t="shared" si="136"/>
        <v>5.915</v>
      </c>
      <c r="AC150" s="52">
        <f t="shared" si="137"/>
        <v>17.745999999999999</v>
      </c>
      <c r="AD150" s="52">
        <f t="shared" si="138"/>
        <v>51.563000000000002</v>
      </c>
      <c r="AE150" s="52">
        <f t="shared" si="139"/>
        <v>91.515000000000001</v>
      </c>
      <c r="AF150" s="52">
        <f t="shared" si="140"/>
        <v>11.817</v>
      </c>
      <c r="AG150" s="52">
        <f t="shared" si="141"/>
        <v>5.8730000000000002</v>
      </c>
      <c r="AH150" s="52">
        <f t="shared" si="142"/>
        <v>190.345</v>
      </c>
      <c r="AI150">
        <v>34.051000000000002</v>
      </c>
      <c r="AJ150" s="30">
        <f t="shared" si="143"/>
        <v>6481.4375950000003</v>
      </c>
      <c r="AK150">
        <f t="shared" si="144"/>
        <v>5.9152000000000005</v>
      </c>
      <c r="AM150" s="20" t="s">
        <v>60</v>
      </c>
      <c r="AN150" t="s">
        <v>472</v>
      </c>
      <c r="AO150" t="s">
        <v>473</v>
      </c>
      <c r="AP150" t="s">
        <v>688</v>
      </c>
      <c r="AQ150" s="55">
        <v>36870683.46859549</v>
      </c>
      <c r="AR150" s="55">
        <v>22090.644560211302</v>
      </c>
      <c r="AS150" t="s">
        <v>60</v>
      </c>
      <c r="AT150" t="s">
        <v>1293</v>
      </c>
      <c r="AU150" t="s">
        <v>1153</v>
      </c>
      <c r="AV150">
        <v>29.515341600088501</v>
      </c>
      <c r="AW150">
        <v>33.436716263318203</v>
      </c>
      <c r="AX150">
        <v>39.171850360482601</v>
      </c>
      <c r="AY150">
        <v>48.211552896952803</v>
      </c>
      <c r="AZ150">
        <v>57.154079358521599</v>
      </c>
      <c r="BA150">
        <v>75.437728756553696</v>
      </c>
      <c r="BB150">
        <v>88.230063356473195</v>
      </c>
      <c r="BC150">
        <v>100</v>
      </c>
      <c r="BD150">
        <v>114.320902166387</v>
      </c>
      <c r="BE150">
        <v>126.482285822568</v>
      </c>
      <c r="BF150">
        <v>136.73472831755399</v>
      </c>
      <c r="BG150">
        <v>146.304107512684</v>
      </c>
      <c r="BH150">
        <v>153.97883014034301</v>
      </c>
      <c r="BJ150" s="20" t="s">
        <v>60</v>
      </c>
      <c r="BK150" t="s">
        <v>688</v>
      </c>
      <c r="BL150">
        <v>2015</v>
      </c>
      <c r="BM150">
        <f>INDEX('Costs lists'!$C$5:$C$8,MATCH(Lists!BK150,'Costs lists'!$B$5:$B$8,0))</f>
        <v>5.21</v>
      </c>
      <c r="BN150">
        <f>INDEX('Costs lists'!$D$5:$D$8,MATCH(Lists!BK150,'Costs lists'!$B$5:$B$8,0))</f>
        <v>5.16</v>
      </c>
      <c r="BO150">
        <f>INDEX('Costs lists'!$E$5:$E$8,MATCH(Lists!BK150,'Costs lists'!$B$5:$B$8,0))</f>
        <v>5.26</v>
      </c>
      <c r="BW150" s="20" t="s">
        <v>60</v>
      </c>
      <c r="BX150" s="20">
        <v>2008</v>
      </c>
      <c r="BY150" s="52">
        <v>30220.134000000002</v>
      </c>
      <c r="BZ150" s="52">
        <v>37320.044999999998</v>
      </c>
      <c r="CA150" s="52">
        <v>42508.441500000001</v>
      </c>
      <c r="CB150" s="52">
        <v>44237.907000000007</v>
      </c>
      <c r="CC150" s="375">
        <f t="shared" si="165"/>
        <v>31232.781562500004</v>
      </c>
      <c r="CD150" s="375">
        <v>13.69</v>
      </c>
      <c r="CE150" s="375">
        <v>14.28</v>
      </c>
      <c r="CF150" s="375">
        <v>18.46</v>
      </c>
      <c r="CG150" s="375">
        <f t="shared" si="164"/>
        <v>14.58333333333333</v>
      </c>
      <c r="CI150" s="20" t="s">
        <v>60</v>
      </c>
      <c r="CJ150" s="20">
        <v>2015</v>
      </c>
      <c r="CK150" s="59">
        <f t="shared" si="145"/>
        <v>61683.470018311629</v>
      </c>
      <c r="CL150" s="59">
        <f t="shared" si="146"/>
        <v>76175.369600927006</v>
      </c>
      <c r="CM150" s="59">
        <f t="shared" si="147"/>
        <v>86765.603911299797</v>
      </c>
      <c r="CN150" s="59">
        <f t="shared" si="148"/>
        <v>90295.682014757404</v>
      </c>
      <c r="CO150" s="59">
        <f t="shared" si="149"/>
        <v>63750.423644678252</v>
      </c>
      <c r="CP150" s="59">
        <f t="shared" si="150"/>
        <v>27.94318200411309</v>
      </c>
      <c r="CQ150" s="59">
        <f t="shared" si="151"/>
        <v>29.147453544100433</v>
      </c>
      <c r="CR150" s="59">
        <f t="shared" si="152"/>
        <v>37.679411234180257</v>
      </c>
      <c r="CS150" s="59">
        <f t="shared" si="153"/>
        <v>29.766598799122171</v>
      </c>
      <c r="CW150" s="20" t="s">
        <v>60</v>
      </c>
      <c r="CX150">
        <v>2014</v>
      </c>
      <c r="CY150">
        <v>0.18634199999999998</v>
      </c>
      <c r="CZ150">
        <v>5.5428002029657364E-2</v>
      </c>
      <c r="DB150">
        <v>634.81005859375</v>
      </c>
      <c r="DC150">
        <v>0.73831826448440552</v>
      </c>
      <c r="DE150">
        <f t="shared" si="154"/>
        <v>8455.8678569615859</v>
      </c>
      <c r="DH150" t="e">
        <f t="shared" si="155"/>
        <v>#DIV/0!</v>
      </c>
      <c r="DI150" t="e">
        <f t="shared" si="162"/>
        <v>#DIV/0!</v>
      </c>
      <c r="DJ150" t="e">
        <f t="shared" si="163"/>
        <v>#DIV/0!</v>
      </c>
      <c r="DL150" s="20" t="s">
        <v>60</v>
      </c>
      <c r="DM150" s="99"/>
      <c r="DN150" s="100"/>
      <c r="DO150" s="101"/>
      <c r="DP150" s="101"/>
      <c r="DQ150" s="101"/>
      <c r="DR150" s="101"/>
      <c r="DS150" s="101"/>
      <c r="DT150" s="101"/>
      <c r="DU150" s="101"/>
      <c r="DV150" s="101"/>
      <c r="DW150" s="101"/>
      <c r="DX150" t="e">
        <f t="shared" ca="1" si="156"/>
        <v>#N/A</v>
      </c>
      <c r="DY150" t="e">
        <f t="shared" ca="1" si="157"/>
        <v>#N/A</v>
      </c>
      <c r="DZ150" t="e">
        <f t="shared" ca="1" si="158"/>
        <v>#N/A</v>
      </c>
      <c r="EB150" s="20" t="s">
        <v>60</v>
      </c>
      <c r="EC150" s="99" t="s">
        <v>837</v>
      </c>
      <c r="ED150" s="100" t="s">
        <v>754</v>
      </c>
      <c r="EE150" s="101">
        <v>29.2</v>
      </c>
      <c r="EF150" s="101"/>
      <c r="EG150" s="101"/>
      <c r="EH150" s="101"/>
      <c r="EI150" s="101"/>
      <c r="EJ150" s="101"/>
      <c r="EK150" s="101"/>
      <c r="EL150" s="101"/>
      <c r="EM150" s="101"/>
      <c r="EN150" s="101"/>
      <c r="EO150">
        <f t="shared" ca="1" si="166"/>
        <v>29.2</v>
      </c>
      <c r="EQ150" s="20" t="s">
        <v>60</v>
      </c>
      <c r="ER150" s="20" t="e">
        <f t="shared" ca="1" si="160"/>
        <v>#N/A</v>
      </c>
      <c r="ES150" t="e">
        <f t="shared" ca="1" si="161"/>
        <v>#N/A</v>
      </c>
      <c r="EU150" s="20" t="s">
        <v>60</v>
      </c>
      <c r="EV150" s="109">
        <v>3218.5736002492908</v>
      </c>
    </row>
    <row r="151" spans="1:152" x14ac:dyDescent="0.3">
      <c r="A151" s="20" t="s">
        <v>130</v>
      </c>
      <c r="B151" s="20" t="s">
        <v>631</v>
      </c>
      <c r="C151" s="81">
        <v>2015</v>
      </c>
      <c r="D151" s="82">
        <v>3161.462</v>
      </c>
      <c r="E151" s="82">
        <v>3100.1080000000002</v>
      </c>
      <c r="F151" s="82">
        <v>2753.3029999999999</v>
      </c>
      <c r="G151" s="82">
        <v>2531.2950000000001</v>
      </c>
      <c r="H151" s="82">
        <v>2398.4949999999999</v>
      </c>
      <c r="I151" s="82">
        <v>2745.837</v>
      </c>
      <c r="J151" s="82">
        <v>2905.8380000000002</v>
      </c>
      <c r="K151" s="82">
        <v>2993.9360000000001</v>
      </c>
      <c r="L151" s="82">
        <v>2816.047</v>
      </c>
      <c r="M151" s="82">
        <v>2056.1109999999999</v>
      </c>
      <c r="N151" s="82">
        <v>1478.7470000000001</v>
      </c>
      <c r="O151" s="82">
        <v>1016.708</v>
      </c>
      <c r="P151" s="82">
        <v>679.70299999999997</v>
      </c>
      <c r="Q151" s="82">
        <v>353.17200000000003</v>
      </c>
      <c r="R151" s="82">
        <v>242.18100000000001</v>
      </c>
      <c r="S151" s="82">
        <v>160.54499999999999</v>
      </c>
      <c r="T151" s="82">
        <v>91.081999999999994</v>
      </c>
      <c r="U151" s="82">
        <v>40.752000000000002</v>
      </c>
      <c r="V151" s="82">
        <v>12.673999999999999</v>
      </c>
      <c r="W151" s="82">
        <v>2.1869999999999998</v>
      </c>
      <c r="X151" s="82">
        <v>0.189</v>
      </c>
      <c r="Y151" s="82">
        <f t="shared" si="133"/>
        <v>31540.371999999996</v>
      </c>
      <c r="Z151" s="52">
        <f t="shared" si="134"/>
        <v>316.14600000000002</v>
      </c>
      <c r="AA151" s="52">
        <f t="shared" si="135"/>
        <v>316.14600000000002</v>
      </c>
      <c r="AB151" s="52">
        <f t="shared" si="136"/>
        <v>632.29200000000003</v>
      </c>
      <c r="AC151" s="52">
        <f t="shared" si="137"/>
        <v>1896.877</v>
      </c>
      <c r="AD151" s="52">
        <f t="shared" si="138"/>
        <v>5853.4110000000001</v>
      </c>
      <c r="AE151" s="52">
        <f t="shared" si="139"/>
        <v>18447.559000000001</v>
      </c>
      <c r="AF151" s="52">
        <f t="shared" si="140"/>
        <v>3175.1579999999999</v>
      </c>
      <c r="AG151" s="52">
        <f t="shared" si="141"/>
        <v>902.78200000000004</v>
      </c>
      <c r="AH151" s="52">
        <f t="shared" si="142"/>
        <v>31540.370999999999</v>
      </c>
      <c r="AI151">
        <v>20.138999999999999</v>
      </c>
      <c r="AJ151" s="30">
        <f t="shared" si="143"/>
        <v>635191.53156899998</v>
      </c>
      <c r="AK151">
        <f t="shared" si="144"/>
        <v>632.29240000000004</v>
      </c>
      <c r="AM151" s="20" t="s">
        <v>130</v>
      </c>
      <c r="AN151" t="s">
        <v>474</v>
      </c>
      <c r="AO151" t="s">
        <v>475</v>
      </c>
      <c r="AP151" t="s">
        <v>690</v>
      </c>
      <c r="AQ151" s="55">
        <v>76806.544957681544</v>
      </c>
      <c r="AR151" s="55">
        <v>3.75</v>
      </c>
      <c r="AS151" t="s">
        <v>130</v>
      </c>
      <c r="AT151" t="s">
        <v>1294</v>
      </c>
      <c r="AU151" t="s">
        <v>1153</v>
      </c>
      <c r="AV151">
        <v>76.450286955172999</v>
      </c>
      <c r="AW151">
        <v>76.702342174654902</v>
      </c>
      <c r="AX151">
        <v>77.238767385347202</v>
      </c>
      <c r="AY151">
        <v>78.943694741740302</v>
      </c>
      <c r="AZ151">
        <v>82.2346310945657</v>
      </c>
      <c r="BA151">
        <v>90.350162866449494</v>
      </c>
      <c r="BB151">
        <v>94.9278734295021</v>
      </c>
      <c r="BC151">
        <v>100</v>
      </c>
      <c r="BD151">
        <v>105.823591055885</v>
      </c>
      <c r="BE151">
        <v>108.877620161729</v>
      </c>
      <c r="BF151">
        <v>112.69515654403401</v>
      </c>
      <c r="BG151">
        <v>115.70470949785</v>
      </c>
      <c r="BH151">
        <v>118.232437471376</v>
      </c>
      <c r="BJ151" s="20" t="s">
        <v>130</v>
      </c>
      <c r="BK151" t="s">
        <v>690</v>
      </c>
      <c r="BL151">
        <v>2015</v>
      </c>
      <c r="BM151">
        <f>INDEX('Costs lists'!$C$5:$C$8,MATCH(Lists!BK151,'Costs lists'!$B$5:$B$8,0))</f>
        <v>3.55</v>
      </c>
      <c r="BN151">
        <f>INDEX('Costs lists'!$D$5:$D$8,MATCH(Lists!BK151,'Costs lists'!$B$5:$B$8,0))</f>
        <v>2.91</v>
      </c>
      <c r="BO151">
        <f>INDEX('Costs lists'!$E$5:$E$8,MATCH(Lists!BK151,'Costs lists'!$B$5:$B$8,0))</f>
        <v>7.59</v>
      </c>
      <c r="BW151" s="20" t="s">
        <v>130</v>
      </c>
      <c r="BX151" s="20">
        <v>2008</v>
      </c>
      <c r="BY151" s="52">
        <v>87.900999999999996</v>
      </c>
      <c r="BZ151" s="52">
        <v>108.51899999999999</v>
      </c>
      <c r="CA151" s="52">
        <v>123.67749999999998</v>
      </c>
      <c r="CB151" s="52">
        <v>128.89299999999997</v>
      </c>
      <c r="CC151" s="375">
        <f t="shared" si="165"/>
        <v>90.851112499999999</v>
      </c>
      <c r="CD151" s="375">
        <v>269.27</v>
      </c>
      <c r="CE151" s="375">
        <v>280.91000000000003</v>
      </c>
      <c r="CF151" s="375">
        <v>363.24</v>
      </c>
      <c r="CG151" s="375">
        <f t="shared" si="164"/>
        <v>286.87166666666667</v>
      </c>
      <c r="CI151" s="20" t="s">
        <v>130</v>
      </c>
      <c r="CJ151" s="20">
        <v>2015</v>
      </c>
      <c r="CK151" s="59">
        <f t="shared" si="145"/>
        <v>115.02745713401089</v>
      </c>
      <c r="CL151" s="59">
        <f t="shared" si="146"/>
        <v>142.00822084760955</v>
      </c>
      <c r="CM151" s="59">
        <f t="shared" si="147"/>
        <v>161.8446699092346</v>
      </c>
      <c r="CN151" s="59">
        <f t="shared" si="148"/>
        <v>168.66968558234905</v>
      </c>
      <c r="CO151" s="59">
        <f t="shared" si="149"/>
        <v>118.88798135027987</v>
      </c>
      <c r="CP151" s="59">
        <f t="shared" si="150"/>
        <v>352.36736080903643</v>
      </c>
      <c r="CQ151" s="59">
        <f t="shared" si="151"/>
        <v>367.59949242346505</v>
      </c>
      <c r="CR151" s="59">
        <f t="shared" si="152"/>
        <v>475.33672574098267</v>
      </c>
      <c r="CS151" s="59">
        <f t="shared" si="153"/>
        <v>375.40094356676559</v>
      </c>
      <c r="CW151" s="20" t="s">
        <v>130</v>
      </c>
      <c r="CX151">
        <v>2014</v>
      </c>
      <c r="CY151">
        <v>30.886544999999998</v>
      </c>
      <c r="CZ151">
        <v>11.461883544921875</v>
      </c>
      <c r="DB151">
        <v>1444626.75</v>
      </c>
      <c r="DC151">
        <v>0.27961787581443787</v>
      </c>
      <c r="DE151">
        <f t="shared" si="154"/>
        <v>35242.32833081609</v>
      </c>
      <c r="DH151" t="e">
        <f t="shared" si="155"/>
        <v>#DIV/0!</v>
      </c>
      <c r="DI151" t="e">
        <f t="shared" si="162"/>
        <v>#DIV/0!</v>
      </c>
      <c r="DJ151" t="e">
        <f t="shared" si="163"/>
        <v>#DIV/0!</v>
      </c>
      <c r="DL151" s="20" t="s">
        <v>130</v>
      </c>
      <c r="DM151" s="99" t="s">
        <v>756</v>
      </c>
      <c r="DN151" s="100" t="s">
        <v>854</v>
      </c>
      <c r="DO151" s="101"/>
      <c r="DP151" s="101"/>
      <c r="DQ151" s="101"/>
      <c r="DR151" s="101"/>
      <c r="DS151" s="101"/>
      <c r="DT151" s="101"/>
      <c r="DU151" s="101">
        <v>49.1</v>
      </c>
      <c r="DV151" s="101">
        <v>46.8</v>
      </c>
      <c r="DW151" s="101"/>
      <c r="DX151">
        <f t="shared" ca="1" si="156"/>
        <v>46.8</v>
      </c>
      <c r="DY151">
        <f t="shared" ca="1" si="157"/>
        <v>9.36</v>
      </c>
      <c r="DZ151" t="e">
        <f t="shared" ca="1" si="158"/>
        <v>#DIV/0!</v>
      </c>
      <c r="EB151" s="20" t="s">
        <v>130</v>
      </c>
      <c r="EC151" s="99" t="s">
        <v>756</v>
      </c>
      <c r="ED151" s="100" t="s">
        <v>754</v>
      </c>
      <c r="EE151" s="101"/>
      <c r="EF151" s="101">
        <v>47.7</v>
      </c>
      <c r="EG151" s="101">
        <v>47.7</v>
      </c>
      <c r="EH151" s="101">
        <v>47.2</v>
      </c>
      <c r="EI151" s="101"/>
      <c r="EJ151" s="101">
        <v>50.1</v>
      </c>
      <c r="EK151" s="101">
        <v>51.1</v>
      </c>
      <c r="EL151" s="101">
        <v>51</v>
      </c>
      <c r="EM151" s="101">
        <v>51</v>
      </c>
      <c r="EN151" s="101">
        <v>51</v>
      </c>
      <c r="EO151">
        <f t="shared" ca="1" si="166"/>
        <v>51</v>
      </c>
      <c r="EQ151" s="20" t="s">
        <v>130</v>
      </c>
      <c r="ER151" s="20" t="e">
        <f t="shared" ca="1" si="160"/>
        <v>#DIV/0!</v>
      </c>
      <c r="ES151" t="e">
        <f t="shared" ca="1" si="161"/>
        <v>#DIV/0!</v>
      </c>
      <c r="EU151" s="20" t="s">
        <v>130</v>
      </c>
      <c r="EV151" s="109">
        <v>53538.790429448243</v>
      </c>
    </row>
    <row r="152" spans="1:152" x14ac:dyDescent="0.3">
      <c r="A152" s="20" t="s">
        <v>85</v>
      </c>
      <c r="B152" s="20" t="s">
        <v>632</v>
      </c>
      <c r="C152" s="81">
        <v>2015</v>
      </c>
      <c r="D152" s="82">
        <v>2601.3119999999999</v>
      </c>
      <c r="E152" s="82">
        <v>2171.0940000000001</v>
      </c>
      <c r="F152" s="82">
        <v>1848.481</v>
      </c>
      <c r="G152" s="82">
        <v>1581.3879999999999</v>
      </c>
      <c r="H152" s="82">
        <v>1388.979</v>
      </c>
      <c r="I152" s="82">
        <v>1204.373</v>
      </c>
      <c r="J152" s="82">
        <v>1000.575</v>
      </c>
      <c r="K152" s="82">
        <v>818.92100000000005</v>
      </c>
      <c r="L152" s="82">
        <v>642.36599999999999</v>
      </c>
      <c r="M152" s="82">
        <v>491.30099999999999</v>
      </c>
      <c r="N152" s="82">
        <v>388.43400000000003</v>
      </c>
      <c r="O152" s="82">
        <v>308.077</v>
      </c>
      <c r="P152" s="82">
        <v>240.15100000000001</v>
      </c>
      <c r="Q152" s="82">
        <v>174.881</v>
      </c>
      <c r="R152" s="82">
        <v>133.982</v>
      </c>
      <c r="S152" s="82">
        <v>83.694999999999993</v>
      </c>
      <c r="T152" s="82">
        <v>38.234000000000002</v>
      </c>
      <c r="U152" s="82">
        <v>11.129</v>
      </c>
      <c r="V152" s="82">
        <v>1.7529999999999999</v>
      </c>
      <c r="W152" s="82">
        <v>0.14199999999999999</v>
      </c>
      <c r="X152" s="82">
        <v>5.0000000000000001E-3</v>
      </c>
      <c r="Y152" s="82">
        <f t="shared" si="133"/>
        <v>15129.272999999997</v>
      </c>
      <c r="Z152" s="52">
        <f t="shared" si="134"/>
        <v>260.13099999999997</v>
      </c>
      <c r="AA152" s="52">
        <f t="shared" si="135"/>
        <v>260.13099999999997</v>
      </c>
      <c r="AB152" s="52">
        <f t="shared" si="136"/>
        <v>520.26199999999994</v>
      </c>
      <c r="AC152" s="52">
        <f t="shared" si="137"/>
        <v>1560.787</v>
      </c>
      <c r="AD152" s="52">
        <f t="shared" si="138"/>
        <v>4019.5749999999998</v>
      </c>
      <c r="AE152" s="52">
        <f t="shared" si="139"/>
        <v>7127.9030000000002</v>
      </c>
      <c r="AF152" s="52">
        <f t="shared" si="140"/>
        <v>936.66200000000003</v>
      </c>
      <c r="AG152" s="52">
        <f t="shared" si="141"/>
        <v>443.82100000000003</v>
      </c>
      <c r="AH152" s="52">
        <f t="shared" si="142"/>
        <v>15129.272000000001</v>
      </c>
      <c r="AI152">
        <v>38.085000000000001</v>
      </c>
      <c r="AJ152" s="30">
        <f t="shared" si="143"/>
        <v>576198.32412</v>
      </c>
      <c r="AK152">
        <f t="shared" si="144"/>
        <v>520.26239999999996</v>
      </c>
      <c r="AM152" s="20" t="s">
        <v>85</v>
      </c>
      <c r="AN152" t="s">
        <v>290</v>
      </c>
      <c r="AO152" t="s">
        <v>291</v>
      </c>
      <c r="AP152" t="s">
        <v>691</v>
      </c>
      <c r="AQ152" s="55">
        <v>532056.06993145007</v>
      </c>
      <c r="AR152" s="55">
        <v>591.44950750132796</v>
      </c>
      <c r="AS152" t="s">
        <v>85</v>
      </c>
      <c r="AT152" t="s">
        <v>1295</v>
      </c>
      <c r="AU152" t="s">
        <v>1153</v>
      </c>
      <c r="AV152">
        <v>86.473220768884801</v>
      </c>
      <c r="AW152">
        <v>86.912404045985696</v>
      </c>
      <c r="AX152">
        <v>88.393828234415594</v>
      </c>
      <c r="AY152">
        <v>90.261995905665799</v>
      </c>
      <c r="AZ152">
        <v>95.545305179446999</v>
      </c>
      <c r="BA152">
        <v>101.058038553206</v>
      </c>
      <c r="BB152">
        <v>98.786232140725502</v>
      </c>
      <c r="BC152">
        <v>100</v>
      </c>
      <c r="BD152">
        <v>103.40322829787</v>
      </c>
      <c r="BE152">
        <v>104.87297950859001</v>
      </c>
      <c r="BF152">
        <v>105.605650288101</v>
      </c>
      <c r="BG152">
        <v>104.465378753092</v>
      </c>
      <c r="BH152">
        <v>104.616965810922</v>
      </c>
      <c r="BJ152" s="20" t="s">
        <v>85</v>
      </c>
      <c r="BK152" t="s">
        <v>691</v>
      </c>
      <c r="BL152">
        <v>2015</v>
      </c>
      <c r="BM152">
        <f>INDEX('Costs lists'!$C$5:$C$8,MATCH(Lists!BK152,'Costs lists'!$B$5:$B$8,0))</f>
        <v>4.2</v>
      </c>
      <c r="BN152">
        <f>INDEX('Costs lists'!$D$5:$D$8,MATCH(Lists!BK152,'Costs lists'!$B$5:$B$8,0))</f>
        <v>4.2</v>
      </c>
      <c r="BO152">
        <f>INDEX('Costs lists'!$E$5:$E$8,MATCH(Lists!BK152,'Costs lists'!$B$5:$B$8,0))</f>
        <v>4.2</v>
      </c>
      <c r="BW152" s="20" t="s">
        <v>85</v>
      </c>
      <c r="BX152" s="20">
        <v>2008</v>
      </c>
      <c r="BY152" s="52">
        <v>853.58699999999999</v>
      </c>
      <c r="BZ152" s="52">
        <v>1054.1122</v>
      </c>
      <c r="CA152" s="52">
        <v>1203.1512000000002</v>
      </c>
      <c r="CB152" s="52">
        <v>1254.6374000000001</v>
      </c>
      <c r="CC152" s="375">
        <f t="shared" si="165"/>
        <v>882.37862500000006</v>
      </c>
      <c r="CD152" s="375">
        <v>12.77</v>
      </c>
      <c r="CE152" s="375">
        <v>13.32</v>
      </c>
      <c r="CF152" s="375">
        <v>17.23</v>
      </c>
      <c r="CG152" s="375">
        <f t="shared" si="164"/>
        <v>13.604999999999997</v>
      </c>
      <c r="CI152" s="20" t="s">
        <v>85</v>
      </c>
      <c r="CJ152" s="20">
        <v>2015</v>
      </c>
      <c r="CK152" s="59">
        <f t="shared" si="145"/>
        <v>883.64748885000495</v>
      </c>
      <c r="CL152" s="59">
        <f t="shared" si="146"/>
        <v>1091.2345179766728</v>
      </c>
      <c r="CM152" s="59">
        <f t="shared" si="147"/>
        <v>1245.5221747600071</v>
      </c>
      <c r="CN152" s="59">
        <f t="shared" si="148"/>
        <v>1298.8215471033407</v>
      </c>
      <c r="CO152" s="59">
        <f t="shared" si="149"/>
        <v>913.45305891042187</v>
      </c>
      <c r="CP152" s="59">
        <f t="shared" si="150"/>
        <v>13.219716833333406</v>
      </c>
      <c r="CQ152" s="59">
        <f t="shared" si="151"/>
        <v>13.789086000000077</v>
      </c>
      <c r="CR152" s="59">
        <f t="shared" si="152"/>
        <v>17.836783166666766</v>
      </c>
      <c r="CS152" s="59">
        <f t="shared" si="153"/>
        <v>14.084122750000075</v>
      </c>
      <c r="CW152" s="20" t="s">
        <v>85</v>
      </c>
      <c r="CX152">
        <v>2014</v>
      </c>
      <c r="CY152">
        <v>14.672556999999999</v>
      </c>
      <c r="CZ152">
        <v>4.7831177711486816</v>
      </c>
      <c r="DB152">
        <v>33882.80078125</v>
      </c>
      <c r="DC152">
        <v>0.40085184574127197</v>
      </c>
      <c r="DE152">
        <f t="shared" si="154"/>
        <v>2839.5669690537675</v>
      </c>
      <c r="DH152" t="e">
        <f t="shared" si="155"/>
        <v>#DIV/0!</v>
      </c>
      <c r="DI152" t="e">
        <f t="shared" si="162"/>
        <v>#DIV/0!</v>
      </c>
      <c r="DJ152" t="e">
        <f t="shared" si="163"/>
        <v>#DIV/0!</v>
      </c>
      <c r="DL152" s="20" t="s">
        <v>85</v>
      </c>
      <c r="DM152" s="99"/>
      <c r="DN152" s="100"/>
      <c r="DO152" s="101"/>
      <c r="DP152" s="101"/>
      <c r="DQ152" s="101"/>
      <c r="DR152" s="101"/>
      <c r="DS152" s="101"/>
      <c r="DT152" s="101"/>
      <c r="DU152" s="101"/>
      <c r="DV152" s="101"/>
      <c r="DW152" s="101"/>
      <c r="DX152" t="e">
        <f t="shared" ca="1" si="156"/>
        <v>#N/A</v>
      </c>
      <c r="DY152" t="e">
        <f t="shared" ca="1" si="157"/>
        <v>#N/A</v>
      </c>
      <c r="DZ152" t="e">
        <f t="shared" ca="1" si="158"/>
        <v>#N/A</v>
      </c>
      <c r="EB152" s="20" t="s">
        <v>85</v>
      </c>
      <c r="EC152" s="99" t="s">
        <v>838</v>
      </c>
      <c r="ED152" s="100" t="s">
        <v>754</v>
      </c>
      <c r="EE152" s="101">
        <v>45</v>
      </c>
      <c r="EF152" s="101"/>
      <c r="EG152" s="101"/>
      <c r="EH152" s="101"/>
      <c r="EI152" s="101"/>
      <c r="EJ152" s="101">
        <v>49.3</v>
      </c>
      <c r="EK152" s="101"/>
      <c r="EL152" s="101"/>
      <c r="EM152" s="101"/>
      <c r="EN152" s="101"/>
      <c r="EO152">
        <f t="shared" ca="1" si="166"/>
        <v>49.3</v>
      </c>
      <c r="EQ152" s="20" t="s">
        <v>85</v>
      </c>
      <c r="ER152" s="20" t="e">
        <f t="shared" ca="1" si="160"/>
        <v>#N/A</v>
      </c>
      <c r="ES152" t="e">
        <f t="shared" ca="1" si="161"/>
        <v>#N/A</v>
      </c>
      <c r="EU152" s="20" t="s">
        <v>85</v>
      </c>
      <c r="EV152" s="109">
        <v>2420.7948770864514</v>
      </c>
    </row>
    <row r="153" spans="1:152" x14ac:dyDescent="0.3">
      <c r="A153" s="20" t="s">
        <v>164</v>
      </c>
      <c r="B153" s="20" t="s">
        <v>257</v>
      </c>
      <c r="C153" s="81">
        <v>2015</v>
      </c>
      <c r="D153" s="82">
        <v>450.85599999999999</v>
      </c>
      <c r="E153" s="82">
        <v>469.46600000000001</v>
      </c>
      <c r="F153" s="82">
        <v>522.41499999999996</v>
      </c>
      <c r="G153" s="82">
        <v>555.15499999999997</v>
      </c>
      <c r="H153" s="82">
        <v>562.88099999999997</v>
      </c>
      <c r="I153" s="82">
        <v>598.06899999999996</v>
      </c>
      <c r="J153" s="82">
        <v>571.75900000000001</v>
      </c>
      <c r="K153" s="82">
        <v>621.952</v>
      </c>
      <c r="L153" s="82">
        <v>624.77</v>
      </c>
      <c r="M153" s="82">
        <v>593.53899999999999</v>
      </c>
      <c r="N153" s="82">
        <v>561.149</v>
      </c>
      <c r="O153" s="82">
        <v>555.78700000000003</v>
      </c>
      <c r="P153" s="82">
        <v>651.221</v>
      </c>
      <c r="Q153" s="82">
        <v>550.23</v>
      </c>
      <c r="R153" s="82">
        <v>333.517</v>
      </c>
      <c r="S153" s="82">
        <v>300.214</v>
      </c>
      <c r="T153" s="82">
        <v>209.42099999999999</v>
      </c>
      <c r="U153" s="82">
        <v>92.653999999999996</v>
      </c>
      <c r="V153" s="82">
        <v>23.228999999999999</v>
      </c>
      <c r="W153" s="82">
        <v>2.4249999999999998</v>
      </c>
      <c r="X153" s="82">
        <v>0.26600000000000001</v>
      </c>
      <c r="Y153" s="82">
        <f t="shared" si="133"/>
        <v>8850.9749999999985</v>
      </c>
      <c r="Z153" s="52">
        <f t="shared" si="134"/>
        <v>45.085999999999999</v>
      </c>
      <c r="AA153" s="52">
        <f t="shared" si="135"/>
        <v>45.085999999999999</v>
      </c>
      <c r="AB153" s="52">
        <f t="shared" si="136"/>
        <v>90.171000000000006</v>
      </c>
      <c r="AC153" s="52">
        <f t="shared" si="137"/>
        <v>270.51400000000001</v>
      </c>
      <c r="AD153" s="52">
        <f t="shared" si="138"/>
        <v>991.88099999999997</v>
      </c>
      <c r="AE153" s="52">
        <f t="shared" si="139"/>
        <v>4128.125</v>
      </c>
      <c r="AF153" s="52">
        <f t="shared" si="140"/>
        <v>1768.1569999999999</v>
      </c>
      <c r="AG153" s="52">
        <f t="shared" si="141"/>
        <v>1511.9559999999999</v>
      </c>
      <c r="AH153" s="52">
        <f t="shared" si="142"/>
        <v>8850.9760000000006</v>
      </c>
      <c r="AI153">
        <v>9.3000000000000007</v>
      </c>
      <c r="AJ153" s="30">
        <f t="shared" si="143"/>
        <v>82314.07680000001</v>
      </c>
      <c r="AK153">
        <f t="shared" si="144"/>
        <v>90.171199999999999</v>
      </c>
      <c r="AM153" s="20" t="s">
        <v>164</v>
      </c>
      <c r="AN153" t="s">
        <v>476</v>
      </c>
      <c r="AO153" t="s">
        <v>477</v>
      </c>
      <c r="AP153" t="s">
        <v>689</v>
      </c>
      <c r="AQ153" s="55">
        <v>569873.08507518203</v>
      </c>
      <c r="AR153" s="55">
        <v>108.811425</v>
      </c>
      <c r="AS153" t="s">
        <v>164</v>
      </c>
      <c r="AT153" t="s">
        <v>1296</v>
      </c>
      <c r="AU153" t="s">
        <v>1153</v>
      </c>
      <c r="AV153">
        <v>50.584855216284602</v>
      </c>
      <c r="AW153">
        <v>56.162524832982498</v>
      </c>
      <c r="AX153">
        <v>65.215912967646204</v>
      </c>
      <c r="AY153">
        <v>72.861841602383095</v>
      </c>
      <c r="AZ153">
        <v>77.518956627237102</v>
      </c>
      <c r="BA153">
        <v>87.139824082499004</v>
      </c>
      <c r="BB153">
        <v>94.212920837124699</v>
      </c>
      <c r="BC153">
        <v>100</v>
      </c>
      <c r="BD153">
        <v>111.137397634213</v>
      </c>
      <c r="BE153">
        <v>119.284197755536</v>
      </c>
      <c r="BF153">
        <v>128.462238398544</v>
      </c>
      <c r="BG153">
        <v>131.13739763421299</v>
      </c>
      <c r="BH153">
        <v>132.96329996966901</v>
      </c>
      <c r="BJ153" s="20" t="s">
        <v>164</v>
      </c>
      <c r="BK153" t="s">
        <v>689</v>
      </c>
      <c r="BL153">
        <v>2015</v>
      </c>
      <c r="BM153">
        <f>INDEX('Costs lists'!$C$5:$C$8,MATCH(Lists!BK153,'Costs lists'!$B$5:$B$8,0))</f>
        <v>3.2</v>
      </c>
      <c r="BN153">
        <f>INDEX('Costs lists'!$D$5:$D$8,MATCH(Lists!BK153,'Costs lists'!$B$5:$B$8,0))</f>
        <v>1.1200000000000001</v>
      </c>
      <c r="BO153">
        <f>INDEX('Costs lists'!$E$5:$E$8,MATCH(Lists!BK153,'Costs lists'!$B$5:$B$8,0))</f>
        <v>4.4400000000000004</v>
      </c>
      <c r="BW153" s="20" t="s">
        <v>164</v>
      </c>
      <c r="BX153" s="20">
        <v>2008</v>
      </c>
      <c r="BY153" s="52">
        <v>393.13079999999997</v>
      </c>
      <c r="BZ153" s="52">
        <v>485.40600000000001</v>
      </c>
      <c r="CA153" s="52">
        <v>553.0104</v>
      </c>
      <c r="CB153" s="52">
        <v>576.39959999999996</v>
      </c>
      <c r="CC153" s="375">
        <f t="shared" si="165"/>
        <v>406.32326999999998</v>
      </c>
      <c r="CD153" s="375">
        <v>83.01</v>
      </c>
      <c r="CE153" s="375">
        <v>86.6</v>
      </c>
      <c r="CF153" s="375">
        <v>111.98</v>
      </c>
      <c r="CG153" s="375">
        <f t="shared" si="164"/>
        <v>88.436666666666667</v>
      </c>
      <c r="CI153" s="20" t="s">
        <v>164</v>
      </c>
      <c r="CJ153" s="20">
        <v>2015</v>
      </c>
      <c r="CK153" s="59">
        <f t="shared" si="145"/>
        <v>599.86313993734757</v>
      </c>
      <c r="CL153" s="59">
        <f t="shared" si="146"/>
        <v>740.66231214758079</v>
      </c>
      <c r="CM153" s="59">
        <f t="shared" si="147"/>
        <v>843.8172612321614</v>
      </c>
      <c r="CN153" s="59">
        <f t="shared" si="148"/>
        <v>879.50594029933848</v>
      </c>
      <c r="CO153" s="59">
        <f t="shared" si="149"/>
        <v>619.99302158927935</v>
      </c>
      <c r="CP153" s="59">
        <f t="shared" si="150"/>
        <v>126.66176052906368</v>
      </c>
      <c r="CQ153" s="59">
        <f t="shared" si="151"/>
        <v>132.13960320222762</v>
      </c>
      <c r="CR153" s="59">
        <f t="shared" si="152"/>
        <v>170.86596728158716</v>
      </c>
      <c r="CS153" s="59">
        <f t="shared" si="153"/>
        <v>134.9421021000116</v>
      </c>
      <c r="CW153" s="20" t="s">
        <v>164</v>
      </c>
      <c r="CX153">
        <v>2014</v>
      </c>
      <c r="CY153">
        <v>7.1271369999999994</v>
      </c>
      <c r="CZ153">
        <v>1.8742319345474243</v>
      </c>
      <c r="DB153">
        <v>95445.0546875</v>
      </c>
      <c r="DC153">
        <v>0.59343528747558594</v>
      </c>
      <c r="DE153">
        <f t="shared" si="154"/>
        <v>30220.626605787027</v>
      </c>
      <c r="DH153" t="e">
        <f t="shared" si="155"/>
        <v>#DIV/0!</v>
      </c>
      <c r="DI153" t="e">
        <f t="shared" si="162"/>
        <v>#DIV/0!</v>
      </c>
      <c r="DJ153" t="e">
        <f t="shared" si="163"/>
        <v>#DIV/0!</v>
      </c>
      <c r="DL153" s="20" t="s">
        <v>164</v>
      </c>
      <c r="DM153" s="99" t="s">
        <v>756</v>
      </c>
      <c r="DN153" s="100" t="s">
        <v>754</v>
      </c>
      <c r="DO153" s="101"/>
      <c r="DP153" s="101"/>
      <c r="DQ153" s="101">
        <v>43.2</v>
      </c>
      <c r="DR153" s="101">
        <v>42.9</v>
      </c>
      <c r="DS153" s="101">
        <v>42.7</v>
      </c>
      <c r="DT153" s="101">
        <v>43.1</v>
      </c>
      <c r="DU153" s="101">
        <v>42.3</v>
      </c>
      <c r="DV153" s="101">
        <v>39.4</v>
      </c>
      <c r="DW153" s="101">
        <v>42.6</v>
      </c>
      <c r="DX153">
        <f t="shared" ca="1" si="156"/>
        <v>42.6</v>
      </c>
      <c r="DY153">
        <f t="shared" ca="1" si="157"/>
        <v>8.52</v>
      </c>
      <c r="DZ153" t="e">
        <f t="shared" ca="1" si="158"/>
        <v>#DIV/0!</v>
      </c>
      <c r="EB153" s="20" t="s">
        <v>164</v>
      </c>
      <c r="EC153" s="99" t="s">
        <v>756</v>
      </c>
      <c r="ED153" s="100" t="s">
        <v>754</v>
      </c>
      <c r="EE153" s="101">
        <v>40.4</v>
      </c>
      <c r="EF153" s="101">
        <v>41.8</v>
      </c>
      <c r="EG153" s="101">
        <v>44.4</v>
      </c>
      <c r="EH153" s="101">
        <v>41.2</v>
      </c>
      <c r="EI153" s="101">
        <v>37.9</v>
      </c>
      <c r="EJ153" s="101">
        <v>35.799999999999997</v>
      </c>
      <c r="EK153" s="101">
        <v>35.5</v>
      </c>
      <c r="EL153" s="101">
        <v>37.700000000000003</v>
      </c>
      <c r="EM153" s="101">
        <v>39.700000000000003</v>
      </c>
      <c r="EN153" s="101">
        <v>42.5</v>
      </c>
      <c r="EO153">
        <f t="shared" ca="1" si="166"/>
        <v>42.5</v>
      </c>
      <c r="EQ153" s="20" t="s">
        <v>164</v>
      </c>
      <c r="ER153" s="20" t="e">
        <f t="shared" ca="1" si="160"/>
        <v>#DIV/0!</v>
      </c>
      <c r="ES153" t="e">
        <f t="shared" ca="1" si="161"/>
        <v>#DIV/0!</v>
      </c>
      <c r="EU153" s="20" t="s">
        <v>164</v>
      </c>
      <c r="EV153" s="109">
        <v>13720.945211905901</v>
      </c>
    </row>
    <row r="154" spans="1:152" x14ac:dyDescent="0.3">
      <c r="A154" s="20" t="s">
        <v>45</v>
      </c>
      <c r="B154" s="20" t="s">
        <v>632</v>
      </c>
      <c r="C154" s="81">
        <v>2015</v>
      </c>
      <c r="D154" s="82">
        <v>8.3789999999999996</v>
      </c>
      <c r="E154" s="82">
        <v>7.6989999999999998</v>
      </c>
      <c r="F154" s="82">
        <v>6.54</v>
      </c>
      <c r="G154" s="82">
        <v>6.6079999999999997</v>
      </c>
      <c r="H154" s="82">
        <v>7.3789999999999996</v>
      </c>
      <c r="I154" s="82">
        <v>7.5</v>
      </c>
      <c r="J154" s="82">
        <v>7.8419999999999996</v>
      </c>
      <c r="K154" s="82">
        <v>7.7060000000000004</v>
      </c>
      <c r="L154" s="82">
        <v>7.5510000000000002</v>
      </c>
      <c r="M154" s="82">
        <v>6.9829999999999997</v>
      </c>
      <c r="N154" s="82">
        <v>6.399</v>
      </c>
      <c r="O154" s="82">
        <v>5.3390000000000004</v>
      </c>
      <c r="P154" s="82">
        <v>3.91</v>
      </c>
      <c r="Q154" s="82">
        <v>1.87</v>
      </c>
      <c r="R154" s="82">
        <v>1.6619999999999999</v>
      </c>
      <c r="S154" s="82">
        <v>1.363</v>
      </c>
      <c r="T154" s="82">
        <v>0.94299999999999995</v>
      </c>
      <c r="U154" s="82">
        <v>0.55100000000000005</v>
      </c>
      <c r="V154" s="82">
        <v>0.192</v>
      </c>
      <c r="W154" s="82">
        <v>4.7E-2</v>
      </c>
      <c r="X154" s="82">
        <v>8.0000000000000002E-3</v>
      </c>
      <c r="Y154" s="82">
        <f t="shared" si="133"/>
        <v>96.470999999999989</v>
      </c>
      <c r="Z154" s="52">
        <f t="shared" si="134"/>
        <v>0.83799999999999997</v>
      </c>
      <c r="AA154" s="52">
        <f t="shared" si="135"/>
        <v>0.83799999999999997</v>
      </c>
      <c r="AB154" s="52">
        <f t="shared" si="136"/>
        <v>1.6759999999999999</v>
      </c>
      <c r="AC154" s="52">
        <f t="shared" si="137"/>
        <v>5.0270000000000001</v>
      </c>
      <c r="AD154" s="52">
        <f t="shared" si="138"/>
        <v>14.239000000000001</v>
      </c>
      <c r="AE154" s="52">
        <f t="shared" si="139"/>
        <v>51.569000000000003</v>
      </c>
      <c r="AF154" s="52">
        <f t="shared" si="140"/>
        <v>15.648</v>
      </c>
      <c r="AG154" s="52">
        <f t="shared" si="141"/>
        <v>6.6360000000000001</v>
      </c>
      <c r="AH154" s="52">
        <f t="shared" si="142"/>
        <v>96.471000000000004</v>
      </c>
      <c r="AI154">
        <v>17</v>
      </c>
      <c r="AJ154" s="30">
        <f t="shared" si="143"/>
        <v>1640.0070000000001</v>
      </c>
      <c r="AK154">
        <f t="shared" si="144"/>
        <v>1.6758</v>
      </c>
      <c r="AM154" s="20" t="s">
        <v>45</v>
      </c>
      <c r="AN154" t="s">
        <v>478</v>
      </c>
      <c r="AO154" t="s">
        <v>479</v>
      </c>
      <c r="AP154" t="s">
        <v>690</v>
      </c>
      <c r="AQ154" s="55">
        <v>205183.09979768569</v>
      </c>
      <c r="AR154" s="55">
        <v>13.313924999999999</v>
      </c>
      <c r="AS154" t="s">
        <v>45</v>
      </c>
      <c r="AT154" t="s">
        <v>1297</v>
      </c>
      <c r="AU154" t="s">
        <v>1153</v>
      </c>
      <c r="AV154">
        <v>51.625236549369902</v>
      </c>
      <c r="AW154">
        <v>53.616578819232203</v>
      </c>
      <c r="AX154">
        <v>54.102981837131701</v>
      </c>
      <c r="AY154">
        <v>53.9117464625729</v>
      </c>
      <c r="AZ154">
        <v>56.780174991959498</v>
      </c>
      <c r="BA154">
        <v>77.768829432973206</v>
      </c>
      <c r="BB154">
        <v>102.463886316225</v>
      </c>
      <c r="BC154">
        <v>100</v>
      </c>
      <c r="BD154">
        <v>102.55926772231</v>
      </c>
      <c r="BE154">
        <v>109.851611765871</v>
      </c>
      <c r="BF154">
        <v>114.618005623296</v>
      </c>
      <c r="BG154">
        <v>116.206421540945</v>
      </c>
      <c r="BH154">
        <v>120.903009231433</v>
      </c>
      <c r="BJ154" s="20" t="s">
        <v>45</v>
      </c>
      <c r="BK154" t="s">
        <v>690</v>
      </c>
      <c r="BL154">
        <v>2015</v>
      </c>
      <c r="BM154">
        <f>INDEX('Costs lists'!$C$5:$C$8,MATCH(Lists!BK154,'Costs lists'!$B$5:$B$8,0))</f>
        <v>3.55</v>
      </c>
      <c r="BN154">
        <f>INDEX('Costs lists'!$D$5:$D$8,MATCH(Lists!BK154,'Costs lists'!$B$5:$B$8,0))</f>
        <v>2.91</v>
      </c>
      <c r="BO154">
        <f>INDEX('Costs lists'!$E$5:$E$8,MATCH(Lists!BK154,'Costs lists'!$B$5:$B$8,0))</f>
        <v>7.59</v>
      </c>
      <c r="BW154" s="20" t="s">
        <v>45</v>
      </c>
      <c r="BX154" s="20">
        <v>2008</v>
      </c>
      <c r="BY154" s="52">
        <v>130.69799999999998</v>
      </c>
      <c r="BZ154" s="52">
        <v>161.36909999999997</v>
      </c>
      <c r="CA154" s="52">
        <v>183.93119999999999</v>
      </c>
      <c r="CB154" s="52">
        <v>191.65859999999998</v>
      </c>
      <c r="CC154" s="375">
        <f t="shared" si="165"/>
        <v>135.08639999999997</v>
      </c>
      <c r="CD154" s="375">
        <v>251.19</v>
      </c>
      <c r="CE154" s="375">
        <v>262.05</v>
      </c>
      <c r="CF154" s="375">
        <v>338.85</v>
      </c>
      <c r="CG154" s="375">
        <f t="shared" si="164"/>
        <v>267.61</v>
      </c>
      <c r="CI154" s="20" t="s">
        <v>45</v>
      </c>
      <c r="CJ154" s="20">
        <v>2015</v>
      </c>
      <c r="CK154" s="59">
        <f t="shared" si="145"/>
        <v>203.18913909008936</v>
      </c>
      <c r="CL154" s="59">
        <f t="shared" si="146"/>
        <v>250.87184581816507</v>
      </c>
      <c r="CM154" s="59">
        <f t="shared" si="147"/>
        <v>285.94792712824255</v>
      </c>
      <c r="CN154" s="59">
        <f t="shared" si="148"/>
        <v>297.96129958539382</v>
      </c>
      <c r="CO154" s="59">
        <f t="shared" si="149"/>
        <v>210.01154813982959</v>
      </c>
      <c r="CP154" s="59">
        <f t="shared" si="150"/>
        <v>390.51155984054503</v>
      </c>
      <c r="CQ154" s="59">
        <f t="shared" si="151"/>
        <v>407.39501674515242</v>
      </c>
      <c r="CR154" s="59">
        <f t="shared" si="152"/>
        <v>526.79183905397781</v>
      </c>
      <c r="CS154" s="59">
        <f t="shared" si="153"/>
        <v>416.03884919355175</v>
      </c>
      <c r="CW154" s="20" t="s">
        <v>45</v>
      </c>
      <c r="CX154">
        <v>2014</v>
      </c>
      <c r="CY154">
        <v>9.5867999999999995E-2</v>
      </c>
      <c r="CZ154">
        <v>4.5427434146404266E-2</v>
      </c>
      <c r="DB154">
        <v>2345.4033203125</v>
      </c>
      <c r="DE154">
        <f t="shared" si="154"/>
        <v>0</v>
      </c>
      <c r="DH154" t="e">
        <f t="shared" si="155"/>
        <v>#DIV/0!</v>
      </c>
      <c r="DI154" t="e">
        <f t="shared" si="162"/>
        <v>#DIV/0!</v>
      </c>
      <c r="DJ154" t="e">
        <f t="shared" si="163"/>
        <v>#DIV/0!</v>
      </c>
      <c r="DL154" s="20" t="s">
        <v>45</v>
      </c>
      <c r="DM154" s="99" t="s">
        <v>756</v>
      </c>
      <c r="DN154" s="100" t="s">
        <v>855</v>
      </c>
      <c r="DO154" s="101"/>
      <c r="DP154" s="101"/>
      <c r="DQ154" s="101"/>
      <c r="DR154" s="101"/>
      <c r="DS154" s="101">
        <v>41.8</v>
      </c>
      <c r="DT154" s="101"/>
      <c r="DU154" s="101"/>
      <c r="DV154" s="101"/>
      <c r="DW154" s="101"/>
      <c r="DX154">
        <f t="shared" ca="1" si="156"/>
        <v>41.8</v>
      </c>
      <c r="DY154">
        <f t="shared" ca="1" si="157"/>
        <v>8.36</v>
      </c>
      <c r="DZ154" t="e">
        <f t="shared" ca="1" si="158"/>
        <v>#DIV/0!</v>
      </c>
      <c r="EB154" s="20" t="s">
        <v>45</v>
      </c>
      <c r="EC154" s="99" t="s">
        <v>756</v>
      </c>
      <c r="ED154" s="100" t="s">
        <v>754</v>
      </c>
      <c r="EE154" s="101"/>
      <c r="EF154" s="101"/>
      <c r="EG154" s="101"/>
      <c r="EH154" s="101"/>
      <c r="EI154" s="101"/>
      <c r="EJ154" s="101">
        <v>62.3</v>
      </c>
      <c r="EK154" s="101"/>
      <c r="EL154" s="101"/>
      <c r="EM154" s="101"/>
      <c r="EN154" s="101">
        <v>68</v>
      </c>
      <c r="EO154">
        <f t="shared" ca="1" si="166"/>
        <v>68</v>
      </c>
      <c r="EQ154" s="20" t="s">
        <v>45</v>
      </c>
      <c r="ER154" s="20" t="e">
        <f t="shared" ca="1" si="160"/>
        <v>#DIV/0!</v>
      </c>
      <c r="ES154" t="e">
        <f t="shared" ca="1" si="161"/>
        <v>#DIV/0!</v>
      </c>
      <c r="EU154" s="20" t="s">
        <v>45</v>
      </c>
      <c r="EV154" s="109">
        <v>27329.003501938671</v>
      </c>
    </row>
    <row r="155" spans="1:152" x14ac:dyDescent="0.3">
      <c r="A155" s="20" t="s">
        <v>86</v>
      </c>
      <c r="B155" s="20" t="s">
        <v>632</v>
      </c>
      <c r="C155" s="81">
        <v>2015</v>
      </c>
      <c r="D155" s="82">
        <v>1004.248</v>
      </c>
      <c r="E155" s="82">
        <v>921.10900000000004</v>
      </c>
      <c r="F155" s="82">
        <v>808.40099999999995</v>
      </c>
      <c r="G155" s="82">
        <v>698.59100000000001</v>
      </c>
      <c r="H155" s="82">
        <v>593.73699999999997</v>
      </c>
      <c r="I155" s="82">
        <v>514.63199999999995</v>
      </c>
      <c r="J155" s="82">
        <v>437.46100000000001</v>
      </c>
      <c r="K155" s="82">
        <v>357.77199999999999</v>
      </c>
      <c r="L155" s="82">
        <v>285.58499999999998</v>
      </c>
      <c r="M155" s="82">
        <v>223.62299999999999</v>
      </c>
      <c r="N155" s="82">
        <v>179.69399999999999</v>
      </c>
      <c r="O155" s="82">
        <v>144.399</v>
      </c>
      <c r="P155" s="82">
        <v>111.66500000000001</v>
      </c>
      <c r="Q155" s="82">
        <v>83.811999999999998</v>
      </c>
      <c r="R155" s="82">
        <v>52.701000000000001</v>
      </c>
      <c r="S155" s="82">
        <v>25.472999999999999</v>
      </c>
      <c r="T155" s="82">
        <v>8.4819999999999993</v>
      </c>
      <c r="U155" s="82">
        <v>1.639</v>
      </c>
      <c r="V155" s="82">
        <v>0.153</v>
      </c>
      <c r="W155" s="82">
        <v>7.0000000000000001E-3</v>
      </c>
      <c r="X155" s="82">
        <v>0</v>
      </c>
      <c r="Y155" s="82">
        <f t="shared" si="133"/>
        <v>6453.1840000000002</v>
      </c>
      <c r="Z155" s="52">
        <f t="shared" si="134"/>
        <v>100.425</v>
      </c>
      <c r="AA155" s="52">
        <f t="shared" si="135"/>
        <v>100.425</v>
      </c>
      <c r="AB155" s="52">
        <f t="shared" si="136"/>
        <v>200.85</v>
      </c>
      <c r="AC155" s="52">
        <f t="shared" si="137"/>
        <v>602.54899999999998</v>
      </c>
      <c r="AD155" s="52">
        <f t="shared" si="138"/>
        <v>1729.51</v>
      </c>
      <c r="AE155" s="52">
        <f t="shared" si="139"/>
        <v>3111.4009999999998</v>
      </c>
      <c r="AF155" s="52">
        <f t="shared" si="140"/>
        <v>435.75799999999998</v>
      </c>
      <c r="AG155" s="52">
        <f t="shared" si="141"/>
        <v>172.267</v>
      </c>
      <c r="AH155" s="52">
        <f t="shared" si="142"/>
        <v>6453.1849999999995</v>
      </c>
      <c r="AI155">
        <v>36.052</v>
      </c>
      <c r="AJ155" s="30">
        <f t="shared" si="143"/>
        <v>232650.22561999998</v>
      </c>
      <c r="AK155">
        <f t="shared" si="144"/>
        <v>200.84960000000001</v>
      </c>
      <c r="AM155" s="20" t="s">
        <v>86</v>
      </c>
      <c r="AN155" t="s">
        <v>480</v>
      </c>
      <c r="AO155" t="s">
        <v>481</v>
      </c>
      <c r="AP155" t="s">
        <v>691</v>
      </c>
      <c r="AQ155" s="55">
        <v>3318399.4738404481</v>
      </c>
      <c r="AR155" s="55">
        <v>5080.7471357085897</v>
      </c>
      <c r="AS155" t="s">
        <v>86</v>
      </c>
      <c r="AT155" t="s">
        <v>1298</v>
      </c>
      <c r="AU155" t="s">
        <v>1153</v>
      </c>
      <c r="AY155">
        <v>61.2081473229238</v>
      </c>
      <c r="AZ155">
        <v>68.338880848470794</v>
      </c>
      <c r="BA155">
        <v>78.476525131350598</v>
      </c>
      <c r="BB155">
        <v>85.737392798773399</v>
      </c>
      <c r="BC155">
        <v>100</v>
      </c>
      <c r="BD155">
        <v>116.191808057152</v>
      </c>
      <c r="BE155">
        <v>131.14578243556701</v>
      </c>
      <c r="BF155">
        <v>144.609751029188</v>
      </c>
      <c r="BG155">
        <v>155.208842310997</v>
      </c>
      <c r="BH155">
        <v>167.64783519513901</v>
      </c>
      <c r="BJ155" s="20" t="s">
        <v>86</v>
      </c>
      <c r="BK155" t="s">
        <v>691</v>
      </c>
      <c r="BL155">
        <v>2015</v>
      </c>
      <c r="BM155">
        <f>INDEX('Costs lists'!$C$5:$C$8,MATCH(Lists!BK155,'Costs lists'!$B$5:$B$8,0))</f>
        <v>4.2</v>
      </c>
      <c r="BN155">
        <f>INDEX('Costs lists'!$D$5:$D$8,MATCH(Lists!BK155,'Costs lists'!$B$5:$B$8,0))</f>
        <v>4.2</v>
      </c>
      <c r="BO155">
        <f>INDEX('Costs lists'!$E$5:$E$8,MATCH(Lists!BK155,'Costs lists'!$B$5:$B$8,0))</f>
        <v>4.2</v>
      </c>
      <c r="BW155" s="20" t="s">
        <v>86</v>
      </c>
      <c r="BX155" s="20">
        <v>2008</v>
      </c>
      <c r="BY155" s="52">
        <v>2059.8424</v>
      </c>
      <c r="BZ155" s="52">
        <v>2541.3639999999996</v>
      </c>
      <c r="CA155" s="52">
        <v>2902.5051999999996</v>
      </c>
      <c r="CB155" s="52">
        <v>3022.8855999999996</v>
      </c>
      <c r="CC155" s="375">
        <f t="shared" si="165"/>
        <v>2129.06113</v>
      </c>
      <c r="CD155" s="375">
        <v>4.75</v>
      </c>
      <c r="CE155" s="375">
        <v>4.96</v>
      </c>
      <c r="CF155" s="375">
        <v>6.41</v>
      </c>
      <c r="CG155" s="375">
        <f t="shared" si="164"/>
        <v>5.0616666666666665</v>
      </c>
      <c r="CI155" s="20" t="s">
        <v>86</v>
      </c>
      <c r="CJ155" s="20">
        <v>2015</v>
      </c>
      <c r="CK155" s="59">
        <f t="shared" si="145"/>
        <v>4400.400229561189</v>
      </c>
      <c r="CL155" s="59">
        <f t="shared" si="146"/>
        <v>5429.0652182897784</v>
      </c>
      <c r="CM155" s="59">
        <f t="shared" si="147"/>
        <v>6200.5639598362204</v>
      </c>
      <c r="CN155" s="59">
        <f t="shared" si="148"/>
        <v>6457.7302070183678</v>
      </c>
      <c r="CO155" s="59">
        <f t="shared" si="149"/>
        <v>4548.2708216909241</v>
      </c>
      <c r="CP155" s="59">
        <f t="shared" si="150"/>
        <v>10.14733024740905</v>
      </c>
      <c r="CQ155" s="59">
        <f t="shared" si="151"/>
        <v>10.595949058347133</v>
      </c>
      <c r="CR155" s="59">
        <f t="shared" si="152"/>
        <v>13.693555133872001</v>
      </c>
      <c r="CS155" s="59">
        <f t="shared" si="153"/>
        <v>10.813137530309222</v>
      </c>
      <c r="CW155" s="20" t="s">
        <v>86</v>
      </c>
      <c r="CX155">
        <v>2014</v>
      </c>
      <c r="CY155">
        <v>6.3156270000000001</v>
      </c>
      <c r="CZ155">
        <v>2.3328030109405518</v>
      </c>
      <c r="DB155">
        <v>8545.490234375</v>
      </c>
      <c r="DC155">
        <v>0.51644456386566162</v>
      </c>
      <c r="DE155">
        <f t="shared" si="154"/>
        <v>1891.8322534789172</v>
      </c>
      <c r="DH155" t="e">
        <f t="shared" si="155"/>
        <v>#DIV/0!</v>
      </c>
      <c r="DI155" t="e">
        <f t="shared" si="162"/>
        <v>#DIV/0!</v>
      </c>
      <c r="DJ155" t="e">
        <f t="shared" si="163"/>
        <v>#DIV/0!</v>
      </c>
      <c r="DL155" s="20" t="s">
        <v>86</v>
      </c>
      <c r="DM155" s="99"/>
      <c r="DN155" s="100"/>
      <c r="DO155" s="101"/>
      <c r="DP155" s="101"/>
      <c r="DQ155" s="101"/>
      <c r="DR155" s="101"/>
      <c r="DS155" s="101"/>
      <c r="DT155" s="101"/>
      <c r="DU155" s="101"/>
      <c r="DV155" s="101"/>
      <c r="DW155" s="101"/>
      <c r="DX155" t="e">
        <f t="shared" ca="1" si="156"/>
        <v>#N/A</v>
      </c>
      <c r="DY155" t="e">
        <f t="shared" ca="1" si="157"/>
        <v>#N/A</v>
      </c>
      <c r="DZ155" t="e">
        <f t="shared" ca="1" si="158"/>
        <v>#N/A</v>
      </c>
      <c r="EB155" s="20" t="s">
        <v>86</v>
      </c>
      <c r="EC155" s="99"/>
      <c r="ED155" s="100"/>
      <c r="EE155" s="101"/>
      <c r="EF155" s="101"/>
      <c r="EG155" s="101"/>
      <c r="EH155" s="101"/>
      <c r="EI155" s="101"/>
      <c r="EJ155" s="101"/>
      <c r="EK155" s="101"/>
      <c r="EL155" s="101"/>
      <c r="EM155" s="101"/>
      <c r="EN155" s="101"/>
      <c r="EQ155" s="20" t="s">
        <v>86</v>
      </c>
      <c r="ER155" s="20" t="e">
        <f t="shared" ca="1" si="160"/>
        <v>#N/A</v>
      </c>
      <c r="ES155" t="e">
        <f t="shared" ca="1" si="161"/>
        <v>#N/A</v>
      </c>
      <c r="EU155" s="20" t="s">
        <v>86</v>
      </c>
      <c r="EV155" s="109">
        <v>1569.3187440686252</v>
      </c>
    </row>
    <row r="156" spans="1:152" x14ac:dyDescent="0.3">
      <c r="A156" s="20" t="s">
        <v>114</v>
      </c>
      <c r="B156" s="20" t="s">
        <v>634</v>
      </c>
      <c r="C156" s="81">
        <v>2015</v>
      </c>
      <c r="D156" s="82">
        <v>268.726</v>
      </c>
      <c r="E156" s="82">
        <v>285.23200000000003</v>
      </c>
      <c r="F156" s="82">
        <v>317.029</v>
      </c>
      <c r="G156" s="82">
        <v>357.37400000000002</v>
      </c>
      <c r="H156" s="82">
        <v>381.07</v>
      </c>
      <c r="I156" s="82">
        <v>360.05599999999998</v>
      </c>
      <c r="J156" s="82">
        <v>396.666</v>
      </c>
      <c r="K156" s="82">
        <v>434.363</v>
      </c>
      <c r="L156" s="82">
        <v>461.87400000000002</v>
      </c>
      <c r="M156" s="82">
        <v>448.94400000000002</v>
      </c>
      <c r="N156" s="82">
        <v>463.76600000000002</v>
      </c>
      <c r="O156" s="82">
        <v>428.029</v>
      </c>
      <c r="P156" s="82">
        <v>346.05399999999997</v>
      </c>
      <c r="Q156" s="82">
        <v>258.01400000000001</v>
      </c>
      <c r="R156" s="82">
        <v>148.04400000000001</v>
      </c>
      <c r="S156" s="82">
        <v>115.387</v>
      </c>
      <c r="T156" s="82">
        <v>72.995000000000005</v>
      </c>
      <c r="U156" s="82">
        <v>37.435000000000002</v>
      </c>
      <c r="V156" s="82">
        <v>16.594000000000001</v>
      </c>
      <c r="W156" s="82">
        <v>4.9589999999999996</v>
      </c>
      <c r="X156" s="82">
        <v>1.129</v>
      </c>
      <c r="Y156" s="82">
        <f t="shared" si="133"/>
        <v>5603.7400000000007</v>
      </c>
      <c r="Z156" s="52">
        <f t="shared" si="134"/>
        <v>26.873000000000001</v>
      </c>
      <c r="AA156" s="52">
        <f t="shared" si="135"/>
        <v>26.873000000000001</v>
      </c>
      <c r="AB156" s="52">
        <f t="shared" si="136"/>
        <v>53.744999999999997</v>
      </c>
      <c r="AC156" s="52">
        <f t="shared" si="137"/>
        <v>161.23599999999999</v>
      </c>
      <c r="AD156" s="52">
        <f t="shared" si="138"/>
        <v>602.26099999999997</v>
      </c>
      <c r="AE156" s="52">
        <f t="shared" si="139"/>
        <v>2840.3470000000002</v>
      </c>
      <c r="AF156" s="52">
        <f t="shared" si="140"/>
        <v>1237.8489999999999</v>
      </c>
      <c r="AG156" s="52">
        <f t="shared" si="141"/>
        <v>654.55700000000002</v>
      </c>
      <c r="AH156" s="52">
        <f t="shared" si="142"/>
        <v>5603.741</v>
      </c>
      <c r="AI156">
        <v>9.8000000000000007</v>
      </c>
      <c r="AJ156" s="30">
        <f t="shared" si="143"/>
        <v>54916.661800000002</v>
      </c>
      <c r="AK156">
        <f t="shared" si="144"/>
        <v>53.745199999999997</v>
      </c>
      <c r="AM156" s="20" t="s">
        <v>114</v>
      </c>
      <c r="AN156" t="s">
        <v>482</v>
      </c>
      <c r="AO156" t="s">
        <v>483</v>
      </c>
      <c r="AP156" t="s">
        <v>690</v>
      </c>
      <c r="AQ156" s="55">
        <v>72711.446174725861</v>
      </c>
      <c r="AR156" s="55">
        <v>1.374825</v>
      </c>
      <c r="AS156" t="s">
        <v>114</v>
      </c>
      <c r="AT156" t="s">
        <v>1299</v>
      </c>
      <c r="AU156" t="s">
        <v>1153</v>
      </c>
      <c r="AV156">
        <v>86.207969135865298</v>
      </c>
      <c r="AW156">
        <v>87.641372486074502</v>
      </c>
      <c r="AX156">
        <v>88.013941461384107</v>
      </c>
      <c r="AY156">
        <v>88.912490166542597</v>
      </c>
      <c r="AZ156">
        <v>90.775335043090806</v>
      </c>
      <c r="BA156">
        <v>96.692607003891098</v>
      </c>
      <c r="BB156">
        <v>97.276264591439698</v>
      </c>
      <c r="BC156">
        <v>100</v>
      </c>
      <c r="BD156">
        <v>105.252918287938</v>
      </c>
      <c r="BE156">
        <v>110.01945525291799</v>
      </c>
      <c r="BF156">
        <v>112.63625718757901</v>
      </c>
      <c r="BG156">
        <v>113.773997159171</v>
      </c>
      <c r="BH156">
        <v>113.205127173375</v>
      </c>
      <c r="BJ156" s="20" t="s">
        <v>114</v>
      </c>
      <c r="BK156" t="s">
        <v>690</v>
      </c>
      <c r="BL156">
        <v>2015</v>
      </c>
      <c r="BM156">
        <f>INDEX('Costs lists'!$C$5:$C$8,MATCH(Lists!BK156,'Costs lists'!$B$5:$B$8,0))</f>
        <v>3.55</v>
      </c>
      <c r="BN156">
        <f>INDEX('Costs lists'!$D$5:$D$8,MATCH(Lists!BK156,'Costs lists'!$B$5:$B$8,0))</f>
        <v>2.91</v>
      </c>
      <c r="BO156">
        <f>INDEX('Costs lists'!$E$5:$E$8,MATCH(Lists!BK156,'Costs lists'!$B$5:$B$8,0))</f>
        <v>7.59</v>
      </c>
      <c r="BW156" s="20" t="s">
        <v>114</v>
      </c>
      <c r="BX156" s="20">
        <v>2008</v>
      </c>
      <c r="BY156" s="52">
        <v>65.90140000000001</v>
      </c>
      <c r="BZ156" s="52">
        <v>81.368500000000012</v>
      </c>
      <c r="CA156" s="52">
        <v>92.726299999999995</v>
      </c>
      <c r="CB156" s="52">
        <v>96.628500000000017</v>
      </c>
      <c r="CC156" s="375">
        <f t="shared" si="165"/>
        <v>68.113555000000005</v>
      </c>
      <c r="CD156" s="375">
        <v>747.48</v>
      </c>
      <c r="CE156" s="375">
        <v>779.8</v>
      </c>
      <c r="CF156" s="375">
        <v>1008.32</v>
      </c>
      <c r="CG156" s="375">
        <f t="shared" si="164"/>
        <v>796.33999999999992</v>
      </c>
      <c r="CI156" s="20" t="s">
        <v>114</v>
      </c>
      <c r="CJ156" s="20">
        <v>2015</v>
      </c>
      <c r="CK156" s="59">
        <f t="shared" si="145"/>
        <v>77.155602678116196</v>
      </c>
      <c r="CL156" s="59">
        <f t="shared" si="146"/>
        <v>95.264071120102116</v>
      </c>
      <c r="CM156" s="59">
        <f t="shared" si="147"/>
        <v>108.56148064550683</v>
      </c>
      <c r="CN156" s="59">
        <f t="shared" si="148"/>
        <v>113.13007240183593</v>
      </c>
      <c r="CO156" s="59">
        <f t="shared" si="149"/>
        <v>79.745534792493245</v>
      </c>
      <c r="CP156" s="59">
        <f t="shared" si="150"/>
        <v>875.12966173462598</v>
      </c>
      <c r="CQ156" s="59">
        <f t="shared" si="151"/>
        <v>912.96905632346193</v>
      </c>
      <c r="CR156" s="59">
        <f t="shared" si="152"/>
        <v>1180.5141816774471</v>
      </c>
      <c r="CS156" s="59">
        <f t="shared" si="153"/>
        <v>932.33364748990209</v>
      </c>
      <c r="CW156" s="20" t="s">
        <v>114</v>
      </c>
      <c r="CX156">
        <v>2014</v>
      </c>
      <c r="CY156">
        <v>5.5065859999999995</v>
      </c>
      <c r="CZ156">
        <v>3.4023830890655518</v>
      </c>
      <c r="DA156">
        <v>2262.5291239760354</v>
      </c>
      <c r="DB156">
        <v>363712.1875</v>
      </c>
      <c r="DC156">
        <v>0.43947425484657288</v>
      </c>
      <c r="DE156">
        <f t="shared" si="154"/>
        <v>46979.466566793737</v>
      </c>
      <c r="DH156">
        <f t="shared" si="155"/>
        <v>20.764137826537581</v>
      </c>
      <c r="DI156">
        <f t="shared" si="162"/>
        <v>20.660317137404867</v>
      </c>
      <c r="DJ156">
        <f t="shared" si="163"/>
        <v>33.437684742207999</v>
      </c>
      <c r="DL156" s="20" t="s">
        <v>114</v>
      </c>
      <c r="DM156" s="99" t="s">
        <v>785</v>
      </c>
      <c r="DN156" s="100" t="s">
        <v>856</v>
      </c>
      <c r="DO156" s="101"/>
      <c r="DP156" s="101"/>
      <c r="DQ156" s="101"/>
      <c r="DR156" s="101"/>
      <c r="DS156" s="101"/>
      <c r="DT156" s="101"/>
      <c r="DU156" s="101">
        <v>45.3</v>
      </c>
      <c r="DV156" s="101">
        <v>43</v>
      </c>
      <c r="DW156" s="101">
        <v>44.2</v>
      </c>
      <c r="DX156">
        <f t="shared" ca="1" si="156"/>
        <v>44.2</v>
      </c>
      <c r="DY156">
        <f t="shared" ca="1" si="157"/>
        <v>8.84</v>
      </c>
      <c r="DZ156">
        <f t="shared" ca="1" si="158"/>
        <v>182.63720349465902</v>
      </c>
      <c r="EB156" s="20" t="s">
        <v>114</v>
      </c>
      <c r="EC156" s="99" t="s">
        <v>785</v>
      </c>
      <c r="ED156" s="100" t="s">
        <v>776</v>
      </c>
      <c r="EE156" s="101">
        <v>62.1</v>
      </c>
      <c r="EF156" s="101">
        <v>61.2</v>
      </c>
      <c r="EG156" s="101">
        <v>63</v>
      </c>
      <c r="EH156" s="101">
        <v>61.6</v>
      </c>
      <c r="EI156" s="101">
        <v>63.5</v>
      </c>
      <c r="EJ156" s="101">
        <v>63.5</v>
      </c>
      <c r="EK156" s="101">
        <v>64.099999999999994</v>
      </c>
      <c r="EL156" s="101">
        <v>64.099999999999994</v>
      </c>
      <c r="EM156" s="101">
        <v>71.7</v>
      </c>
      <c r="EN156" s="101">
        <v>65.7</v>
      </c>
      <c r="EO156">
        <f ca="1">OFFSET(EE156,0,MATCH(MAX(EE156:EN156)+1,EE156:EN156,1)-1)</f>
        <v>65.7</v>
      </c>
      <c r="EQ156" s="20" t="s">
        <v>114</v>
      </c>
      <c r="ER156" s="20">
        <f t="shared" ca="1" si="160"/>
        <v>182.63720349465902</v>
      </c>
      <c r="ES156">
        <f t="shared" ca="1" si="161"/>
        <v>119.99264269599098</v>
      </c>
      <c r="EU156" s="20" t="s">
        <v>114</v>
      </c>
      <c r="EV156" s="109">
        <v>85382.302269398424</v>
      </c>
    </row>
    <row r="157" spans="1:152" x14ac:dyDescent="0.3">
      <c r="A157" s="20" t="s">
        <v>144</v>
      </c>
      <c r="B157" s="20" t="s">
        <v>257</v>
      </c>
      <c r="C157" s="81">
        <v>2015</v>
      </c>
      <c r="D157" s="82">
        <v>282.95400000000001</v>
      </c>
      <c r="E157" s="82">
        <v>279.54399999999998</v>
      </c>
      <c r="F157" s="82">
        <v>258.14999999999998</v>
      </c>
      <c r="G157" s="82">
        <v>285.12299999999999</v>
      </c>
      <c r="H157" s="82">
        <v>360.55399999999997</v>
      </c>
      <c r="I157" s="82">
        <v>411.72300000000001</v>
      </c>
      <c r="J157" s="82">
        <v>447.45600000000002</v>
      </c>
      <c r="K157" s="82">
        <v>474.00200000000001</v>
      </c>
      <c r="L157" s="82">
        <v>415.80200000000002</v>
      </c>
      <c r="M157" s="82">
        <v>349.26400000000001</v>
      </c>
      <c r="N157" s="82">
        <v>367.29500000000002</v>
      </c>
      <c r="O157" s="82">
        <v>380.26900000000001</v>
      </c>
      <c r="P157" s="82">
        <v>362.85300000000001</v>
      </c>
      <c r="Q157" s="82">
        <v>262.23500000000001</v>
      </c>
      <c r="R157" s="82">
        <v>190.86600000000001</v>
      </c>
      <c r="S157" s="82">
        <v>133.005</v>
      </c>
      <c r="T157" s="82">
        <v>94.748000000000005</v>
      </c>
      <c r="U157" s="82">
        <v>48.984000000000002</v>
      </c>
      <c r="V157" s="82">
        <v>19.085999999999999</v>
      </c>
      <c r="W157" s="82">
        <v>2.004</v>
      </c>
      <c r="X157" s="82">
        <v>0.34100000000000003</v>
      </c>
      <c r="Y157" s="82">
        <f t="shared" si="133"/>
        <v>5426.2580000000007</v>
      </c>
      <c r="Z157" s="52">
        <f t="shared" si="134"/>
        <v>28.295000000000002</v>
      </c>
      <c r="AA157" s="52">
        <f t="shared" si="135"/>
        <v>28.295000000000002</v>
      </c>
      <c r="AB157" s="52">
        <f t="shared" si="136"/>
        <v>56.591000000000001</v>
      </c>
      <c r="AC157" s="52">
        <f t="shared" si="137"/>
        <v>169.77199999999999</v>
      </c>
      <c r="AD157" s="52">
        <f t="shared" si="138"/>
        <v>537.69399999999996</v>
      </c>
      <c r="AE157" s="52">
        <f t="shared" si="139"/>
        <v>2743.924</v>
      </c>
      <c r="AF157" s="52">
        <f t="shared" si="140"/>
        <v>1110.4169999999999</v>
      </c>
      <c r="AG157" s="52">
        <f t="shared" si="141"/>
        <v>751.26900000000001</v>
      </c>
      <c r="AH157" s="52">
        <f t="shared" si="142"/>
        <v>5426.2569999999996</v>
      </c>
      <c r="AI157">
        <v>10.199999999999999</v>
      </c>
      <c r="AJ157" s="30">
        <f t="shared" si="143"/>
        <v>55347.821399999993</v>
      </c>
      <c r="AK157">
        <f t="shared" si="144"/>
        <v>56.590800000000002</v>
      </c>
      <c r="AM157" s="20" t="s">
        <v>144</v>
      </c>
      <c r="AN157" t="s">
        <v>256</v>
      </c>
      <c r="AO157" t="s">
        <v>257</v>
      </c>
      <c r="AP157" t="s">
        <v>690</v>
      </c>
      <c r="AQ157" s="55">
        <v>14507.465889696174</v>
      </c>
      <c r="AR157" s="55">
        <v>0.90165896164127801</v>
      </c>
      <c r="AS157" t="s">
        <v>1132</v>
      </c>
      <c r="AT157" t="s">
        <v>1300</v>
      </c>
      <c r="AU157" t="s">
        <v>1153</v>
      </c>
      <c r="AV157">
        <v>78.579743888242206</v>
      </c>
      <c r="AW157">
        <v>84.511336548589199</v>
      </c>
      <c r="AX157">
        <v>86.800820444592304</v>
      </c>
      <c r="AY157">
        <v>90.692388713343306</v>
      </c>
      <c r="AZ157">
        <v>93.1925273019569</v>
      </c>
      <c r="BA157">
        <v>97.477687233216898</v>
      </c>
      <c r="BB157">
        <v>99.052053883252995</v>
      </c>
      <c r="BC157">
        <v>100</v>
      </c>
      <c r="BD157">
        <v>103.919285991463</v>
      </c>
      <c r="BE157">
        <v>107.666722102112</v>
      </c>
      <c r="BF157">
        <v>109.17456621764001</v>
      </c>
      <c r="BG157">
        <v>109.091413049504</v>
      </c>
      <c r="BH157">
        <v>108.736626198791</v>
      </c>
      <c r="BJ157" s="20" t="s">
        <v>144</v>
      </c>
      <c r="BK157" t="s">
        <v>690</v>
      </c>
      <c r="BL157">
        <v>2015</v>
      </c>
      <c r="BM157">
        <f>INDEX('Costs lists'!$C$5:$C$8,MATCH(Lists!BK157,'Costs lists'!$B$5:$B$8,0))</f>
        <v>3.55</v>
      </c>
      <c r="BN157">
        <f>INDEX('Costs lists'!$D$5:$D$8,MATCH(Lists!BK157,'Costs lists'!$B$5:$B$8,0))</f>
        <v>2.91</v>
      </c>
      <c r="BO157">
        <f>INDEX('Costs lists'!$E$5:$E$8,MATCH(Lists!BK157,'Costs lists'!$B$5:$B$8,0))</f>
        <v>7.59</v>
      </c>
      <c r="BW157" s="20" t="s">
        <v>144</v>
      </c>
      <c r="BX157" s="20">
        <v>2008</v>
      </c>
      <c r="BY157" s="52">
        <v>15.519600000000001</v>
      </c>
      <c r="BZ157" s="52">
        <v>19.159199999999998</v>
      </c>
      <c r="CA157" s="52">
        <v>21.837600000000002</v>
      </c>
      <c r="CB157" s="52">
        <v>22.755600000000001</v>
      </c>
      <c r="CC157" s="375">
        <f t="shared" si="165"/>
        <v>16.040430000000001</v>
      </c>
      <c r="CD157" s="375">
        <v>268.23</v>
      </c>
      <c r="CE157" s="375">
        <v>279.83</v>
      </c>
      <c r="CF157" s="375">
        <v>361.83</v>
      </c>
      <c r="CG157" s="375">
        <f t="shared" si="164"/>
        <v>285.76333333333332</v>
      </c>
      <c r="CI157" s="20" t="s">
        <v>144</v>
      </c>
      <c r="CJ157" s="20">
        <v>2015</v>
      </c>
      <c r="CK157" s="59">
        <f t="shared" si="145"/>
        <v>17.3121561646951</v>
      </c>
      <c r="CL157" s="59">
        <f t="shared" si="146"/>
        <v>21.372139899908912</v>
      </c>
      <c r="CM157" s="59">
        <f t="shared" si="147"/>
        <v>24.359902411282878</v>
      </c>
      <c r="CN157" s="59">
        <f t="shared" si="148"/>
        <v>25.383933917197343</v>
      </c>
      <c r="CO157" s="59">
        <f t="shared" si="149"/>
        <v>17.893143451433044</v>
      </c>
      <c r="CP157" s="59">
        <f t="shared" si="150"/>
        <v>299.21129720200054</v>
      </c>
      <c r="CQ157" s="59">
        <f t="shared" si="151"/>
        <v>312.15112886715059</v>
      </c>
      <c r="CR157" s="59">
        <f t="shared" si="152"/>
        <v>403.62235270700455</v>
      </c>
      <c r="CS157" s="59">
        <f t="shared" si="153"/>
        <v>318.76977839702619</v>
      </c>
      <c r="CW157" s="20" t="s">
        <v>144</v>
      </c>
      <c r="CX157">
        <v>2014</v>
      </c>
      <c r="CY157">
        <v>5.4228610000000002</v>
      </c>
      <c r="CZ157">
        <v>2.1948921680450439</v>
      </c>
      <c r="DA157">
        <v>1763.2116591323122</v>
      </c>
      <c r="DB157">
        <v>135270.0625</v>
      </c>
      <c r="DC157">
        <v>0.54685127735137939</v>
      </c>
      <c r="DE157">
        <f t="shared" si="154"/>
        <v>33702.159742732219</v>
      </c>
      <c r="DH157">
        <f t="shared" si="155"/>
        <v>19.114074914475822</v>
      </c>
      <c r="DI157">
        <f t="shared" si="162"/>
        <v>19.051912162581484</v>
      </c>
      <c r="DJ157">
        <f t="shared" si="163"/>
        <v>47.071046562579255</v>
      </c>
      <c r="DL157" s="20" t="s">
        <v>144</v>
      </c>
      <c r="DM157" s="99" t="s">
        <v>796</v>
      </c>
      <c r="DN157" s="100" t="s">
        <v>754</v>
      </c>
      <c r="DO157" s="101">
        <v>40.4</v>
      </c>
      <c r="DP157" s="101">
        <v>40</v>
      </c>
      <c r="DQ157" s="101">
        <v>39.4</v>
      </c>
      <c r="DR157" s="101">
        <v>39.6</v>
      </c>
      <c r="DS157" s="101">
        <v>39.6</v>
      </c>
      <c r="DT157" s="101">
        <v>39.6</v>
      </c>
      <c r="DU157" s="101">
        <v>39.6</v>
      </c>
      <c r="DV157" s="101">
        <v>39</v>
      </c>
      <c r="DW157" s="101">
        <v>38.9</v>
      </c>
      <c r="DX157">
        <f t="shared" ca="1" si="156"/>
        <v>38.9</v>
      </c>
      <c r="DY157">
        <f t="shared" ca="1" si="157"/>
        <v>7.7799999999999994</v>
      </c>
      <c r="DZ157">
        <f t="shared" ca="1" si="158"/>
        <v>148.22387662488393</v>
      </c>
      <c r="EB157" s="20" t="s">
        <v>144</v>
      </c>
      <c r="EC157" s="99" t="s">
        <v>796</v>
      </c>
      <c r="ED157" s="100" t="s">
        <v>754</v>
      </c>
      <c r="EE157" s="101">
        <v>51.2</v>
      </c>
      <c r="EF157" s="101">
        <v>52.3</v>
      </c>
      <c r="EG157" s="101">
        <v>53.7</v>
      </c>
      <c r="EH157" s="101">
        <v>51.8</v>
      </c>
      <c r="EI157" s="101">
        <v>50.5</v>
      </c>
      <c r="EJ157" s="101">
        <v>50.8</v>
      </c>
      <c r="EK157" s="101">
        <v>50.9</v>
      </c>
      <c r="EL157" s="101">
        <v>50.8</v>
      </c>
      <c r="EM157" s="101">
        <v>51.5</v>
      </c>
      <c r="EN157" s="101">
        <v>52.8</v>
      </c>
      <c r="EO157">
        <f ca="1">OFFSET(EE157,0,MATCH(MAX(EE157:EN157)+1,EE157:EN157,1)-1)</f>
        <v>52.8</v>
      </c>
      <c r="EQ157" s="20" t="s">
        <v>144</v>
      </c>
      <c r="ER157" s="20">
        <f t="shared" ca="1" si="160"/>
        <v>148.22387662488393</v>
      </c>
      <c r="ES157">
        <f t="shared" ca="1" si="161"/>
        <v>78.262206857938708</v>
      </c>
      <c r="EU157" s="20" t="s">
        <v>144</v>
      </c>
      <c r="EV157" s="109">
        <v>29104.755896354171</v>
      </c>
    </row>
    <row r="158" spans="1:152" x14ac:dyDescent="0.3">
      <c r="A158" s="20" t="s">
        <v>165</v>
      </c>
      <c r="B158" s="20" t="s">
        <v>257</v>
      </c>
      <c r="C158" s="81">
        <v>2015</v>
      </c>
      <c r="D158" s="82">
        <v>110.996</v>
      </c>
      <c r="E158" s="82">
        <v>103.79</v>
      </c>
      <c r="F158" s="82">
        <v>90.885999999999996</v>
      </c>
      <c r="G158" s="82">
        <v>93.665000000000006</v>
      </c>
      <c r="H158" s="82">
        <v>104.884</v>
      </c>
      <c r="I158" s="82">
        <v>131.35900000000001</v>
      </c>
      <c r="J158" s="82">
        <v>149.16</v>
      </c>
      <c r="K158" s="82">
        <v>158.65899999999999</v>
      </c>
      <c r="L158" s="82">
        <v>145.553</v>
      </c>
      <c r="M158" s="82">
        <v>153.88499999999999</v>
      </c>
      <c r="N158" s="82">
        <v>152.84</v>
      </c>
      <c r="O158" s="82">
        <v>151.22200000000001</v>
      </c>
      <c r="P158" s="82">
        <v>149.126</v>
      </c>
      <c r="Q158" s="82">
        <v>101.872</v>
      </c>
      <c r="R158" s="82">
        <v>92.971000000000004</v>
      </c>
      <c r="S158" s="82">
        <v>74.347999999999999</v>
      </c>
      <c r="T158" s="82">
        <v>57.908000000000001</v>
      </c>
      <c r="U158" s="82">
        <v>31.503</v>
      </c>
      <c r="V158" s="82">
        <v>11.252000000000001</v>
      </c>
      <c r="W158" s="82">
        <v>1.363</v>
      </c>
      <c r="X158" s="82">
        <v>0.28399999999999997</v>
      </c>
      <c r="Y158" s="82">
        <f t="shared" si="133"/>
        <v>2067.5259999999998</v>
      </c>
      <c r="Z158" s="52">
        <f t="shared" si="134"/>
        <v>11.1</v>
      </c>
      <c r="AA158" s="52">
        <f t="shared" si="135"/>
        <v>11.1</v>
      </c>
      <c r="AB158" s="52">
        <f t="shared" si="136"/>
        <v>22.199000000000002</v>
      </c>
      <c r="AC158" s="52">
        <f t="shared" si="137"/>
        <v>66.597999999999999</v>
      </c>
      <c r="AD158" s="52">
        <f t="shared" si="138"/>
        <v>194.67599999999999</v>
      </c>
      <c r="AE158" s="52">
        <f t="shared" si="139"/>
        <v>937.16499999999996</v>
      </c>
      <c r="AF158" s="52">
        <f t="shared" si="140"/>
        <v>453.18799999999999</v>
      </c>
      <c r="AG158" s="52">
        <f t="shared" si="141"/>
        <v>371.50099999999998</v>
      </c>
      <c r="AH158" s="52">
        <f t="shared" si="142"/>
        <v>2067.527</v>
      </c>
      <c r="AI158">
        <v>10.3</v>
      </c>
      <c r="AJ158" s="30">
        <f t="shared" si="143"/>
        <v>21295.528100000003</v>
      </c>
      <c r="AK158">
        <f t="shared" si="144"/>
        <v>22.199199999999998</v>
      </c>
      <c r="AM158" s="20" t="s">
        <v>165</v>
      </c>
      <c r="AN158" t="s">
        <v>256</v>
      </c>
      <c r="AO158" t="s">
        <v>257</v>
      </c>
      <c r="AP158" t="s">
        <v>690</v>
      </c>
      <c r="AQ158" s="55">
        <v>18691.267492468007</v>
      </c>
      <c r="AR158" s="55">
        <v>0.90165896164127801</v>
      </c>
      <c r="AS158" t="s">
        <v>165</v>
      </c>
      <c r="AT158" t="s">
        <v>1301</v>
      </c>
      <c r="AU158" t="s">
        <v>1153</v>
      </c>
      <c r="AV158">
        <v>81.768335467256904</v>
      </c>
      <c r="AW158">
        <v>84.703022937870301</v>
      </c>
      <c r="AX158">
        <v>86.801501703522106</v>
      </c>
      <c r="AY158">
        <v>88.939042121481705</v>
      </c>
      <c r="AZ158">
        <v>92.150777977908504</v>
      </c>
      <c r="BA158">
        <v>97.358998285627507</v>
      </c>
      <c r="BB158">
        <v>98.192313534862507</v>
      </c>
      <c r="BC158">
        <v>100</v>
      </c>
      <c r="BD158">
        <v>101.810579920864</v>
      </c>
      <c r="BE158">
        <v>104.455921818826</v>
      </c>
      <c r="BF158">
        <v>106.294712933024</v>
      </c>
      <c r="BG158">
        <v>106.507381928923</v>
      </c>
      <c r="BH158">
        <v>105.955539358805</v>
      </c>
      <c r="BJ158" s="20" t="s">
        <v>165</v>
      </c>
      <c r="BK158" t="s">
        <v>690</v>
      </c>
      <c r="BL158">
        <v>2015</v>
      </c>
      <c r="BM158">
        <f>INDEX('Costs lists'!$C$5:$C$8,MATCH(Lists!BK158,'Costs lists'!$B$5:$B$8,0))</f>
        <v>3.55</v>
      </c>
      <c r="BN158">
        <f>INDEX('Costs lists'!$D$5:$D$8,MATCH(Lists!BK158,'Costs lists'!$B$5:$B$8,0))</f>
        <v>2.91</v>
      </c>
      <c r="BO158">
        <f>INDEX('Costs lists'!$E$5:$E$8,MATCH(Lists!BK158,'Costs lists'!$B$5:$B$8,0))</f>
        <v>7.59</v>
      </c>
      <c r="BW158" s="20" t="s">
        <v>165</v>
      </c>
      <c r="BX158" s="20">
        <v>2008</v>
      </c>
      <c r="BY158" s="52">
        <v>22.163399999999999</v>
      </c>
      <c r="BZ158" s="52">
        <v>27.360900000000001</v>
      </c>
      <c r="CA158" s="52">
        <v>31.184999999999999</v>
      </c>
      <c r="CB158" s="52">
        <v>32.495399999999997</v>
      </c>
      <c r="CC158" s="375">
        <f t="shared" si="165"/>
        <v>22.907114999999997</v>
      </c>
      <c r="CD158" s="375">
        <v>354.39</v>
      </c>
      <c r="CE158" s="375">
        <v>369.71</v>
      </c>
      <c r="CF158" s="375">
        <v>478.06</v>
      </c>
      <c r="CG158" s="375">
        <f t="shared" si="164"/>
        <v>377.55500000000001</v>
      </c>
      <c r="CI158" s="20" t="s">
        <v>165</v>
      </c>
      <c r="CJ158" s="20">
        <v>2015</v>
      </c>
      <c r="CK158" s="59">
        <f t="shared" si="145"/>
        <v>24.12036937906343</v>
      </c>
      <c r="CL158" s="59">
        <f t="shared" si="146"/>
        <v>29.776794830378758</v>
      </c>
      <c r="CM158" s="59">
        <f t="shared" si="147"/>
        <v>33.938552707891979</v>
      </c>
      <c r="CN158" s="59">
        <f t="shared" si="148"/>
        <v>35.364657548950866</v>
      </c>
      <c r="CO158" s="59">
        <f t="shared" si="149"/>
        <v>24.929752439097093</v>
      </c>
      <c r="CP158" s="59">
        <f t="shared" si="150"/>
        <v>385.6816961407676</v>
      </c>
      <c r="CQ158" s="59">
        <f t="shared" si="151"/>
        <v>402.35441146816555</v>
      </c>
      <c r="CR158" s="59">
        <f t="shared" si="152"/>
        <v>520.27142881304599</v>
      </c>
      <c r="CS158" s="59">
        <f t="shared" si="153"/>
        <v>410.89210414071368</v>
      </c>
      <c r="CW158" s="20" t="s">
        <v>165</v>
      </c>
      <c r="CX158">
        <v>2014</v>
      </c>
      <c r="CY158">
        <v>2.066068</v>
      </c>
      <c r="CZ158">
        <v>0.96692955493927002</v>
      </c>
      <c r="DA158">
        <v>1560.6450087584494</v>
      </c>
      <c r="DB158">
        <v>56765.64453125</v>
      </c>
      <c r="DC158">
        <v>0.66561728715896606</v>
      </c>
      <c r="DE158">
        <f t="shared" si="154"/>
        <v>39076.470590552934</v>
      </c>
      <c r="DH158">
        <f t="shared" si="155"/>
        <v>25.03866694299667</v>
      </c>
      <c r="DI158">
        <f t="shared" si="162"/>
        <v>24.908935068380011</v>
      </c>
      <c r="DJ158">
        <f t="shared" si="163"/>
        <v>53.223684596226896</v>
      </c>
      <c r="DL158" s="20" t="s">
        <v>165</v>
      </c>
      <c r="DM158" s="99" t="s">
        <v>796</v>
      </c>
      <c r="DN158" s="100" t="s">
        <v>754</v>
      </c>
      <c r="DO158" s="101">
        <v>40.200000000000003</v>
      </c>
      <c r="DP158" s="101">
        <v>40.1</v>
      </c>
      <c r="DQ158" s="101">
        <v>39.4</v>
      </c>
      <c r="DR158" s="101">
        <v>39.1</v>
      </c>
      <c r="DS158" s="101">
        <v>38.9</v>
      </c>
      <c r="DT158" s="101">
        <v>39</v>
      </c>
      <c r="DU158" s="101">
        <v>39.1</v>
      </c>
      <c r="DV158" s="101">
        <v>39.1</v>
      </c>
      <c r="DW158" s="101">
        <v>39.1</v>
      </c>
      <c r="DX158">
        <f t="shared" ca="1" si="156"/>
        <v>39.1</v>
      </c>
      <c r="DY158">
        <f t="shared" ca="1" si="157"/>
        <v>7.82</v>
      </c>
      <c r="DZ158">
        <f t="shared" ca="1" si="158"/>
        <v>194.78787223473168</v>
      </c>
      <c r="EB158" s="20" t="s">
        <v>165</v>
      </c>
      <c r="EC158" s="99" t="s">
        <v>796</v>
      </c>
      <c r="ED158" s="100" t="s">
        <v>754</v>
      </c>
      <c r="EE158" s="101">
        <v>55.8</v>
      </c>
      <c r="EF158" s="101">
        <v>56.8</v>
      </c>
      <c r="EG158" s="101">
        <v>56.9</v>
      </c>
      <c r="EH158" s="101">
        <v>56</v>
      </c>
      <c r="EI158" s="101">
        <v>54.9</v>
      </c>
      <c r="EJ158" s="101">
        <v>53.2</v>
      </c>
      <c r="EK158" s="101">
        <v>52.5</v>
      </c>
      <c r="EL158" s="101">
        <v>51.5</v>
      </c>
      <c r="EM158" s="101">
        <v>52.1</v>
      </c>
      <c r="EN158" s="101">
        <v>52.2</v>
      </c>
      <c r="EO158">
        <f ca="1">OFFSET(EE158,0,MATCH(MAX(EE158:EN158)+1,EE158:EN158,1)-1)</f>
        <v>52.2</v>
      </c>
      <c r="EQ158" s="20" t="s">
        <v>165</v>
      </c>
      <c r="ER158" s="20">
        <f t="shared" ca="1" si="160"/>
        <v>194.78787223473168</v>
      </c>
      <c r="ES158">
        <f t="shared" ca="1" si="161"/>
        <v>101.67926930652995</v>
      </c>
      <c r="EU158" s="20" t="s">
        <v>165</v>
      </c>
      <c r="EV158" s="109">
        <v>31144.071042384767</v>
      </c>
    </row>
    <row r="159" spans="1:152" x14ac:dyDescent="0.3">
      <c r="A159" s="20" t="s">
        <v>217</v>
      </c>
      <c r="B159" s="20" t="s">
        <v>634</v>
      </c>
      <c r="C159" s="81">
        <v>2015</v>
      </c>
      <c r="D159" s="82">
        <v>81.736000000000004</v>
      </c>
      <c r="E159" s="82">
        <v>78.007999999999996</v>
      </c>
      <c r="F159" s="82">
        <v>70.710999999999999</v>
      </c>
      <c r="G159" s="82">
        <v>62.783999999999999</v>
      </c>
      <c r="H159" s="82">
        <v>52.317999999999998</v>
      </c>
      <c r="I159" s="82">
        <v>43.155999999999999</v>
      </c>
      <c r="J159" s="82">
        <v>39.606999999999999</v>
      </c>
      <c r="K159" s="82">
        <v>37.265999999999998</v>
      </c>
      <c r="L159" s="82">
        <v>31.896000000000001</v>
      </c>
      <c r="M159" s="82">
        <v>23.239000000000001</v>
      </c>
      <c r="N159" s="82">
        <v>18.495999999999999</v>
      </c>
      <c r="O159" s="82">
        <v>14.180999999999999</v>
      </c>
      <c r="P159" s="82">
        <v>10.38</v>
      </c>
      <c r="Q159" s="82">
        <v>8.1020000000000003</v>
      </c>
      <c r="R159" s="82">
        <v>5.9210000000000003</v>
      </c>
      <c r="S159" s="82">
        <v>3.1720000000000002</v>
      </c>
      <c r="T159" s="82">
        <v>1.8480000000000001</v>
      </c>
      <c r="U159" s="82">
        <v>0.61699999999999999</v>
      </c>
      <c r="V159" s="82">
        <v>0.13900000000000001</v>
      </c>
      <c r="W159" s="82">
        <v>1.2999999999999999E-2</v>
      </c>
      <c r="X159" s="82">
        <v>1E-3</v>
      </c>
      <c r="Y159" s="82">
        <f t="shared" si="133"/>
        <v>583.59100000000001</v>
      </c>
      <c r="Z159" s="52">
        <f t="shared" si="134"/>
        <v>8.1739999999999995</v>
      </c>
      <c r="AA159" s="52">
        <f t="shared" si="135"/>
        <v>8.1739999999999995</v>
      </c>
      <c r="AB159" s="52">
        <f t="shared" si="136"/>
        <v>16.347000000000001</v>
      </c>
      <c r="AC159" s="52">
        <f t="shared" si="137"/>
        <v>49.042000000000002</v>
      </c>
      <c r="AD159" s="52">
        <f t="shared" si="138"/>
        <v>148.71899999999999</v>
      </c>
      <c r="AE159" s="52">
        <f t="shared" si="139"/>
        <v>290.26600000000002</v>
      </c>
      <c r="AF159" s="52">
        <f t="shared" si="140"/>
        <v>43.057000000000002</v>
      </c>
      <c r="AG159" s="52">
        <f t="shared" si="141"/>
        <v>19.812999999999999</v>
      </c>
      <c r="AH159" s="52">
        <f t="shared" si="142"/>
        <v>583.59199999999998</v>
      </c>
      <c r="AI159">
        <v>29.920999999999999</v>
      </c>
      <c r="AJ159" s="30">
        <f t="shared" si="143"/>
        <v>17461.656231999998</v>
      </c>
      <c r="AK159">
        <f t="shared" si="144"/>
        <v>16.347200000000001</v>
      </c>
      <c r="AM159" s="20" t="s">
        <v>217</v>
      </c>
      <c r="AN159" t="s">
        <v>484</v>
      </c>
      <c r="AO159" t="s">
        <v>485</v>
      </c>
      <c r="AP159" t="s">
        <v>688</v>
      </c>
      <c r="AQ159" s="55">
        <v>15313.807101206154</v>
      </c>
      <c r="AR159" s="55">
        <v>7.9146889773578799</v>
      </c>
      <c r="AS159" t="s">
        <v>217</v>
      </c>
      <c r="AT159" t="s">
        <v>1302</v>
      </c>
      <c r="AU159" t="s">
        <v>1153</v>
      </c>
      <c r="AV159">
        <v>57.281378174954199</v>
      </c>
      <c r="AW159">
        <v>61.282964765045101</v>
      </c>
      <c r="AX159">
        <v>65.775412643520497</v>
      </c>
      <c r="AY159">
        <v>73.155405405405403</v>
      </c>
      <c r="AZ159">
        <v>78.763513513513502</v>
      </c>
      <c r="BA159">
        <v>92.405405405405403</v>
      </c>
      <c r="BB159">
        <v>98.959459459459495</v>
      </c>
      <c r="BC159">
        <v>100</v>
      </c>
      <c r="BD159">
        <v>107.34270706018</v>
      </c>
      <c r="BE159">
        <v>113.688814368881</v>
      </c>
      <c r="BF159">
        <v>119.818192049045</v>
      </c>
      <c r="BG159">
        <v>126.007882882883</v>
      </c>
      <c r="BH159">
        <v>125.30405405405401</v>
      </c>
      <c r="BJ159" s="20" t="s">
        <v>217</v>
      </c>
      <c r="BK159" t="s">
        <v>688</v>
      </c>
      <c r="BL159">
        <v>2015</v>
      </c>
      <c r="BM159">
        <f>INDEX('Costs lists'!$C$5:$C$8,MATCH(Lists!BK159,'Costs lists'!$B$5:$B$8,0))</f>
        <v>5.21</v>
      </c>
      <c r="BN159">
        <f>INDEX('Costs lists'!$D$5:$D$8,MATCH(Lists!BK159,'Costs lists'!$B$5:$B$8,0))</f>
        <v>5.16</v>
      </c>
      <c r="BO159">
        <f>INDEX('Costs lists'!$E$5:$E$8,MATCH(Lists!BK159,'Costs lists'!$B$5:$B$8,0))</f>
        <v>5.26</v>
      </c>
      <c r="BW159" s="20" t="s">
        <v>217</v>
      </c>
      <c r="BX159" s="20">
        <v>2008</v>
      </c>
      <c r="BY159" s="52">
        <v>16.934200000000001</v>
      </c>
      <c r="BZ159" s="52">
        <v>20.887999999999998</v>
      </c>
      <c r="CA159" s="52">
        <v>23.7974</v>
      </c>
      <c r="CB159" s="52">
        <v>24.804500000000001</v>
      </c>
      <c r="CC159" s="375">
        <f t="shared" si="165"/>
        <v>17.500227500000001</v>
      </c>
      <c r="CD159" s="375">
        <v>21.06</v>
      </c>
      <c r="CE159" s="375">
        <v>21.97</v>
      </c>
      <c r="CF159" s="375">
        <v>28.41</v>
      </c>
      <c r="CG159" s="375">
        <f t="shared" si="164"/>
        <v>22.436666666666664</v>
      </c>
      <c r="CI159" s="20" t="s">
        <v>217</v>
      </c>
      <c r="CJ159" s="20">
        <v>2015</v>
      </c>
      <c r="CK159" s="59">
        <f t="shared" si="145"/>
        <v>22.963201155308564</v>
      </c>
      <c r="CL159" s="59">
        <f t="shared" si="146"/>
        <v>28.324653407429061</v>
      </c>
      <c r="CM159" s="59">
        <f t="shared" si="147"/>
        <v>32.269872989178111</v>
      </c>
      <c r="CN159" s="59">
        <f t="shared" si="148"/>
        <v>33.635525921322014</v>
      </c>
      <c r="CO159" s="59">
        <f t="shared" si="149"/>
        <v>23.730748682911663</v>
      </c>
      <c r="CP159" s="59">
        <f t="shared" si="150"/>
        <v>28.557889733840295</v>
      </c>
      <c r="CQ159" s="59">
        <f t="shared" si="151"/>
        <v>29.791872623574132</v>
      </c>
      <c r="CR159" s="59">
        <f t="shared" si="152"/>
        <v>38.524674612459769</v>
      </c>
      <c r="CS159" s="59">
        <f t="shared" si="153"/>
        <v>30.424684361899178</v>
      </c>
      <c r="CW159" s="20" t="s">
        <v>217</v>
      </c>
      <c r="DE159" t="e">
        <f t="shared" si="154"/>
        <v>#DIV/0!</v>
      </c>
      <c r="DH159" t="e">
        <f t="shared" si="155"/>
        <v>#DIV/0!</v>
      </c>
      <c r="DI159" t="e">
        <f t="shared" si="162"/>
        <v>#DIV/0!</v>
      </c>
      <c r="DJ159" t="e">
        <f t="shared" si="163"/>
        <v>#DIV/0!</v>
      </c>
      <c r="DL159" s="20" t="s">
        <v>217</v>
      </c>
      <c r="DM159" s="99"/>
      <c r="DN159" s="100"/>
      <c r="DO159" s="101"/>
      <c r="DP159" s="101"/>
      <c r="DQ159" s="101"/>
      <c r="DR159" s="101"/>
      <c r="DS159" s="101"/>
      <c r="DT159" s="101"/>
      <c r="DU159" s="101"/>
      <c r="DV159" s="101"/>
      <c r="DW159" s="101"/>
      <c r="DX159" t="e">
        <f t="shared" ca="1" si="156"/>
        <v>#N/A</v>
      </c>
      <c r="DY159" t="e">
        <f t="shared" ca="1" si="157"/>
        <v>#N/A</v>
      </c>
      <c r="DZ159" t="e">
        <f t="shared" ca="1" si="158"/>
        <v>#N/A</v>
      </c>
      <c r="EB159" s="20" t="s">
        <v>217</v>
      </c>
      <c r="EC159" s="99" t="s">
        <v>768</v>
      </c>
      <c r="ED159" s="100" t="s">
        <v>754</v>
      </c>
      <c r="EE159" s="101"/>
      <c r="EF159" s="101"/>
      <c r="EG159" s="101"/>
      <c r="EH159" s="101">
        <v>23.7</v>
      </c>
      <c r="EI159" s="101"/>
      <c r="EJ159" s="101"/>
      <c r="EK159" s="101"/>
      <c r="EL159" s="101"/>
      <c r="EM159" s="101"/>
      <c r="EN159" s="101"/>
      <c r="EO159">
        <f ca="1">OFFSET(EE159,0,MATCH(MAX(EE159:EN159)+1,EE159:EN159,1)-1)</f>
        <v>23.7</v>
      </c>
      <c r="EQ159" s="20" t="s">
        <v>217</v>
      </c>
      <c r="ER159" s="20" t="e">
        <f t="shared" ca="1" si="160"/>
        <v>#N/A</v>
      </c>
      <c r="ES159" t="e">
        <f t="shared" ca="1" si="161"/>
        <v>#N/A</v>
      </c>
      <c r="EU159" s="20" t="s">
        <v>217</v>
      </c>
      <c r="EV159" s="109">
        <v>2200.934181049814</v>
      </c>
    </row>
    <row r="160" spans="1:152" x14ac:dyDescent="0.3">
      <c r="A160" s="20" t="s">
        <v>46</v>
      </c>
      <c r="B160" s="20" t="s">
        <v>631</v>
      </c>
      <c r="C160" s="81">
        <v>2015</v>
      </c>
      <c r="D160" s="82">
        <v>1971.0229999999999</v>
      </c>
      <c r="E160" s="82">
        <v>1669.722</v>
      </c>
      <c r="F160" s="82">
        <v>1397.3789999999999</v>
      </c>
      <c r="G160" s="82">
        <v>1201.8420000000001</v>
      </c>
      <c r="H160" s="82">
        <v>946.35</v>
      </c>
      <c r="I160" s="82">
        <v>757.27</v>
      </c>
      <c r="J160" s="82">
        <v>611.29100000000005</v>
      </c>
      <c r="K160" s="82">
        <v>497.05500000000001</v>
      </c>
      <c r="L160" s="82">
        <v>411.029</v>
      </c>
      <c r="M160" s="82">
        <v>341.48500000000001</v>
      </c>
      <c r="N160" s="82">
        <v>277.22800000000001</v>
      </c>
      <c r="O160" s="82">
        <v>223.887</v>
      </c>
      <c r="P160" s="82">
        <v>176.911</v>
      </c>
      <c r="Q160" s="82">
        <v>130.239</v>
      </c>
      <c r="R160" s="82">
        <v>84.861999999999995</v>
      </c>
      <c r="S160" s="82">
        <v>53.603999999999999</v>
      </c>
      <c r="T160" s="82">
        <v>24.507999999999999</v>
      </c>
      <c r="U160" s="82">
        <v>8.9510000000000005</v>
      </c>
      <c r="V160" s="82">
        <v>2.14</v>
      </c>
      <c r="W160" s="82">
        <v>0.30199999999999999</v>
      </c>
      <c r="X160" s="82">
        <v>2.5999999999999999E-2</v>
      </c>
      <c r="Y160" s="82">
        <f t="shared" si="133"/>
        <v>10787.103999999998</v>
      </c>
      <c r="Z160" s="52">
        <f t="shared" si="134"/>
        <v>197.102</v>
      </c>
      <c r="AA160" s="52">
        <f t="shared" si="135"/>
        <v>197.102</v>
      </c>
      <c r="AB160" s="52">
        <f t="shared" si="136"/>
        <v>394.20499999999998</v>
      </c>
      <c r="AC160" s="52">
        <f t="shared" si="137"/>
        <v>1182.614</v>
      </c>
      <c r="AD160" s="52">
        <f t="shared" si="138"/>
        <v>3067.1010000000001</v>
      </c>
      <c r="AE160" s="52">
        <f t="shared" si="139"/>
        <v>4766.3220000000001</v>
      </c>
      <c r="AF160" s="52">
        <f t="shared" si="140"/>
        <v>678.02599999999995</v>
      </c>
      <c r="AG160" s="52">
        <f t="shared" si="141"/>
        <v>304.63200000000001</v>
      </c>
      <c r="AH160" s="52">
        <f t="shared" si="142"/>
        <v>10787.103999999999</v>
      </c>
      <c r="AI160">
        <v>43.61</v>
      </c>
      <c r="AJ160" s="30">
        <f t="shared" si="143"/>
        <v>470425.60543999996</v>
      </c>
      <c r="AK160">
        <f t="shared" si="144"/>
        <v>394.20459999999997</v>
      </c>
      <c r="AM160" s="20" t="s">
        <v>46</v>
      </c>
      <c r="AN160" t="s">
        <v>486</v>
      </c>
      <c r="AO160" t="s">
        <v>487</v>
      </c>
      <c r="AP160" t="s">
        <v>691</v>
      </c>
      <c r="AQ160" s="55">
        <v>12219542.427698852</v>
      </c>
      <c r="AR160" s="55"/>
      <c r="AS160" t="s">
        <v>46</v>
      </c>
      <c r="AT160" t="s">
        <v>1303</v>
      </c>
      <c r="AU160" t="s">
        <v>1153</v>
      </c>
      <c r="BJ160" s="20" t="s">
        <v>46</v>
      </c>
      <c r="BK160" t="s">
        <v>691</v>
      </c>
      <c r="BL160">
        <v>2015</v>
      </c>
      <c r="BM160">
        <f>INDEX('Costs lists'!$C$5:$C$8,MATCH(Lists!BK160,'Costs lists'!$B$5:$B$8,0))</f>
        <v>4.2</v>
      </c>
      <c r="BN160">
        <f>INDEX('Costs lists'!$D$5:$D$8,MATCH(Lists!BK160,'Costs lists'!$B$5:$B$8,0))</f>
        <v>4.2</v>
      </c>
      <c r="BO160">
        <f>INDEX('Costs lists'!$E$5:$E$8,MATCH(Lists!BK160,'Costs lists'!$B$5:$B$8,0))</f>
        <v>4.2</v>
      </c>
      <c r="BW160" s="20" t="s">
        <v>46</v>
      </c>
      <c r="BX160" s="20">
        <v>2008</v>
      </c>
      <c r="BY160" s="52">
        <v>0</v>
      </c>
      <c r="BZ160" s="52">
        <v>0</v>
      </c>
      <c r="CA160" s="52">
        <v>0</v>
      </c>
      <c r="CB160" s="52">
        <v>0</v>
      </c>
      <c r="CC160" s="375">
        <f t="shared" si="165"/>
        <v>0</v>
      </c>
      <c r="CD160" s="375"/>
      <c r="CE160" s="375"/>
      <c r="CF160" s="375"/>
      <c r="CG160" s="375">
        <f t="shared" si="164"/>
        <v>0</v>
      </c>
      <c r="CI160" s="20" t="s">
        <v>46</v>
      </c>
      <c r="CJ160" s="20">
        <v>2015</v>
      </c>
      <c r="CK160" s="59" t="e">
        <f t="shared" si="145"/>
        <v>#DIV/0!</v>
      </c>
      <c r="CL160" s="59" t="e">
        <f t="shared" si="146"/>
        <v>#DIV/0!</v>
      </c>
      <c r="CM160" s="59" t="e">
        <f t="shared" si="147"/>
        <v>#DIV/0!</v>
      </c>
      <c r="CN160" s="59" t="e">
        <f t="shared" si="148"/>
        <v>#DIV/0!</v>
      </c>
      <c r="CO160" s="59" t="e">
        <f t="shared" si="149"/>
        <v>#DIV/0!</v>
      </c>
      <c r="CP160" s="59" t="e">
        <f t="shared" si="150"/>
        <v>#DIV/0!</v>
      </c>
      <c r="CQ160" s="59" t="e">
        <f t="shared" si="151"/>
        <v>#DIV/0!</v>
      </c>
      <c r="CR160" s="59" t="e">
        <f t="shared" si="152"/>
        <v>#DIV/0!</v>
      </c>
      <c r="CS160" s="59" t="e">
        <f t="shared" si="153"/>
        <v>#DIV/0!</v>
      </c>
      <c r="CW160" s="20" t="s">
        <v>46</v>
      </c>
      <c r="DE160" t="e">
        <f t="shared" si="154"/>
        <v>#DIV/0!</v>
      </c>
      <c r="DH160" t="e">
        <f t="shared" si="155"/>
        <v>#DIV/0!</v>
      </c>
      <c r="DI160" t="e">
        <f t="shared" si="162"/>
        <v>#DIV/0!</v>
      </c>
      <c r="DJ160" t="e">
        <f t="shared" si="163"/>
        <v>#DIV/0!</v>
      </c>
      <c r="DL160" s="20" t="s">
        <v>46</v>
      </c>
      <c r="DM160" s="99"/>
      <c r="DN160" s="100"/>
      <c r="DO160" s="101"/>
      <c r="DP160" s="101"/>
      <c r="DQ160" s="101"/>
      <c r="DR160" s="101"/>
      <c r="DS160" s="101"/>
      <c r="DT160" s="101"/>
      <c r="DU160" s="101"/>
      <c r="DV160" s="101"/>
      <c r="DW160" s="101"/>
      <c r="DX160" t="e">
        <f t="shared" ca="1" si="156"/>
        <v>#N/A</v>
      </c>
      <c r="DY160" t="e">
        <f t="shared" ca="1" si="157"/>
        <v>#N/A</v>
      </c>
      <c r="DZ160" t="e">
        <f t="shared" ca="1" si="158"/>
        <v>#N/A</v>
      </c>
      <c r="EB160" s="20" t="s">
        <v>46</v>
      </c>
      <c r="EC160" s="99"/>
      <c r="ED160" s="100"/>
      <c r="EE160" s="101"/>
      <c r="EF160" s="101"/>
      <c r="EG160" s="101"/>
      <c r="EH160" s="101"/>
      <c r="EI160" s="101"/>
      <c r="EJ160" s="101"/>
      <c r="EK160" s="101"/>
      <c r="EL160" s="101"/>
      <c r="EM160" s="101"/>
      <c r="EN160" s="101"/>
      <c r="EQ160" s="20" t="s">
        <v>46</v>
      </c>
      <c r="ER160" s="20" t="e">
        <f t="shared" ca="1" si="160"/>
        <v>#N/A</v>
      </c>
      <c r="ES160" t="e">
        <f t="shared" ca="1" si="161"/>
        <v>#N/A</v>
      </c>
      <c r="EU160" s="20" t="s">
        <v>46</v>
      </c>
      <c r="EV160" s="109"/>
    </row>
    <row r="161" spans="1:152" x14ac:dyDescent="0.3">
      <c r="A161" s="20" t="s">
        <v>70</v>
      </c>
      <c r="B161" s="20" t="s">
        <v>632</v>
      </c>
      <c r="C161" s="81">
        <v>2015</v>
      </c>
      <c r="D161" s="413">
        <v>5370.1210000000001</v>
      </c>
      <c r="E161" s="413">
        <v>5511.8490000000002</v>
      </c>
      <c r="F161" s="413">
        <v>5050.6049999999996</v>
      </c>
      <c r="G161" s="413">
        <v>5276.99</v>
      </c>
      <c r="H161" s="413">
        <v>5265.0280000000002</v>
      </c>
      <c r="I161" s="413">
        <v>5352.8270000000002</v>
      </c>
      <c r="J161" s="413">
        <v>4633.6750000000002</v>
      </c>
      <c r="K161" s="413">
        <v>3514.97</v>
      </c>
      <c r="L161" s="413">
        <v>3106.752</v>
      </c>
      <c r="M161" s="413">
        <v>2794.0189999999998</v>
      </c>
      <c r="N161" s="413">
        <v>2456.125</v>
      </c>
      <c r="O161" s="413">
        <v>1948.663</v>
      </c>
      <c r="P161" s="413">
        <v>1466.0830000000001</v>
      </c>
      <c r="Q161" s="413">
        <v>1011.612</v>
      </c>
      <c r="R161" s="413">
        <v>696.11400000000003</v>
      </c>
      <c r="S161" s="413">
        <v>510.96800000000002</v>
      </c>
      <c r="T161" s="413">
        <v>299.101</v>
      </c>
      <c r="U161" s="413">
        <v>188.809</v>
      </c>
      <c r="V161" s="413">
        <v>30.074999999999999</v>
      </c>
      <c r="W161" s="413">
        <v>5.3719999999999999</v>
      </c>
      <c r="X161" s="413">
        <v>0.64800000000000002</v>
      </c>
      <c r="Y161" s="82">
        <f t="shared" si="133"/>
        <v>54490.40600000001</v>
      </c>
      <c r="Z161" s="412">
        <f t="shared" si="134"/>
        <v>537.01199999999994</v>
      </c>
      <c r="AA161" s="412">
        <f t="shared" si="135"/>
        <v>537.01199999999994</v>
      </c>
      <c r="AB161" s="412">
        <f t="shared" si="136"/>
        <v>1074.0239999999999</v>
      </c>
      <c r="AC161" s="412">
        <f t="shared" si="137"/>
        <v>3222.0729999999999</v>
      </c>
      <c r="AD161" s="412">
        <f t="shared" si="138"/>
        <v>10562.454</v>
      </c>
      <c r="AE161" s="412">
        <f t="shared" si="139"/>
        <v>29944.260999999999</v>
      </c>
      <c r="AF161" s="412">
        <f t="shared" si="140"/>
        <v>5870.8710000000001</v>
      </c>
      <c r="AG161" s="412">
        <f t="shared" si="141"/>
        <v>2742.6990000000001</v>
      </c>
      <c r="AH161" s="52">
        <f t="shared" si="142"/>
        <v>54490.405999999995</v>
      </c>
      <c r="AI161">
        <v>20.657</v>
      </c>
      <c r="AJ161" s="30">
        <f t="shared" si="143"/>
        <v>1125608.3167419999</v>
      </c>
      <c r="AK161">
        <f t="shared" si="144"/>
        <v>1074.0242000000001</v>
      </c>
      <c r="AM161" s="20" t="s">
        <v>70</v>
      </c>
      <c r="AN161" t="s">
        <v>488</v>
      </c>
      <c r="AO161" t="s">
        <v>489</v>
      </c>
      <c r="AP161" t="s">
        <v>689</v>
      </c>
      <c r="AQ161" s="55">
        <v>72958.512710762283</v>
      </c>
      <c r="AR161" s="55">
        <v>12.7589308811644</v>
      </c>
      <c r="AS161" t="s">
        <v>70</v>
      </c>
      <c r="AT161" t="s">
        <v>1304</v>
      </c>
      <c r="AU161" t="s">
        <v>1153</v>
      </c>
      <c r="AV161">
        <v>68.325786618296306</v>
      </c>
      <c r="AW161">
        <v>69.272359653409495</v>
      </c>
      <c r="AX161">
        <v>71.627134937804499</v>
      </c>
      <c r="AY161">
        <v>74.951797864088903</v>
      </c>
      <c r="AZ161">
        <v>80.272191130414996</v>
      </c>
      <c r="BA161">
        <v>89.532752941916797</v>
      </c>
      <c r="BB161">
        <v>95.916438226675496</v>
      </c>
      <c r="BC161">
        <v>100</v>
      </c>
      <c r="BD161">
        <v>105.000472634465</v>
      </c>
      <c r="BE161">
        <v>110.936761508649</v>
      </c>
      <c r="BF161">
        <v>117.317326779469</v>
      </c>
      <c r="BG161">
        <v>124.435201814916</v>
      </c>
      <c r="BH161">
        <v>130.14462614613799</v>
      </c>
      <c r="BJ161" s="20" t="s">
        <v>70</v>
      </c>
      <c r="BK161" t="s">
        <v>689</v>
      </c>
      <c r="BL161">
        <v>2015</v>
      </c>
      <c r="BM161">
        <f>INDEX('Costs lists'!$C$5:$C$8,MATCH(Lists!BK161,'Costs lists'!$B$5:$B$8,0))</f>
        <v>3.2</v>
      </c>
      <c r="BN161">
        <f>INDEX('Costs lists'!$D$5:$D$8,MATCH(Lists!BK161,'Costs lists'!$B$5:$B$8,0))</f>
        <v>1.1200000000000001</v>
      </c>
      <c r="BO161">
        <f>INDEX('Costs lists'!$E$5:$E$8,MATCH(Lists!BK161,'Costs lists'!$B$5:$B$8,0))</f>
        <v>4.4400000000000004</v>
      </c>
      <c r="BW161" s="20" t="s">
        <v>70</v>
      </c>
      <c r="BX161" s="20">
        <v>2008</v>
      </c>
      <c r="BY161" s="52">
        <v>63.802900000000008</v>
      </c>
      <c r="BZ161" s="52">
        <v>78.754599999999996</v>
      </c>
      <c r="CA161" s="52">
        <v>89.755099999999999</v>
      </c>
      <c r="CB161" s="52">
        <v>93.526699999999991</v>
      </c>
      <c r="CC161" s="375">
        <f t="shared" si="165"/>
        <v>65.942385000000002</v>
      </c>
      <c r="CD161" s="375">
        <v>101.59</v>
      </c>
      <c r="CE161" s="375">
        <v>105.99</v>
      </c>
      <c r="CF161" s="375">
        <v>137.05000000000001</v>
      </c>
      <c r="CG161" s="375">
        <f t="shared" si="164"/>
        <v>108.23333333333332</v>
      </c>
      <c r="CI161" s="20" t="s">
        <v>70</v>
      </c>
      <c r="CJ161" s="20">
        <v>2015</v>
      </c>
      <c r="CK161" s="59">
        <f t="shared" si="145"/>
        <v>92.74376465254322</v>
      </c>
      <c r="CL161" s="59">
        <f t="shared" si="146"/>
        <v>114.47752512354735</v>
      </c>
      <c r="CM161" s="59">
        <f t="shared" si="147"/>
        <v>130.46782937398584</v>
      </c>
      <c r="CN161" s="59">
        <f t="shared" si="148"/>
        <v>135.9502194027076</v>
      </c>
      <c r="CO161" s="59">
        <f t="shared" si="149"/>
        <v>95.853715662883602</v>
      </c>
      <c r="CP161" s="59">
        <f t="shared" si="150"/>
        <v>147.67101575401534</v>
      </c>
      <c r="CQ161" s="59">
        <f t="shared" si="151"/>
        <v>154.06684673460069</v>
      </c>
      <c r="CR161" s="59">
        <f t="shared" si="152"/>
        <v>199.21559906573287</v>
      </c>
      <c r="CS161" s="59">
        <f t="shared" si="153"/>
        <v>157.32775146939915</v>
      </c>
      <c r="CW161" s="20" t="s">
        <v>70</v>
      </c>
      <c r="CX161">
        <v>2014</v>
      </c>
      <c r="CY161">
        <v>53.969054</v>
      </c>
      <c r="CZ161">
        <v>18.256717681884766</v>
      </c>
      <c r="DA161">
        <v>2215.2038727811209</v>
      </c>
      <c r="DB161">
        <v>645623.0625</v>
      </c>
      <c r="DC161">
        <v>0.55227071046829224</v>
      </c>
      <c r="DE161">
        <f t="shared" si="154"/>
        <v>19530.274479480238</v>
      </c>
      <c r="DH161">
        <f t="shared" si="155"/>
        <v>8.816468190334362</v>
      </c>
      <c r="DI161">
        <f t="shared" si="162"/>
        <v>9.2209916472594422</v>
      </c>
      <c r="DJ161">
        <f t="shared" si="163"/>
        <v>27.258360720464303</v>
      </c>
      <c r="DL161" s="20" t="s">
        <v>70</v>
      </c>
      <c r="DM161" s="99" t="s">
        <v>786</v>
      </c>
      <c r="DN161" s="100" t="s">
        <v>754</v>
      </c>
      <c r="DO161" s="101"/>
      <c r="DP161" s="101"/>
      <c r="DQ161" s="101"/>
      <c r="DR161" s="101"/>
      <c r="DS161" s="101">
        <v>44</v>
      </c>
      <c r="DT161" s="101">
        <v>43.6</v>
      </c>
      <c r="DU161" s="101">
        <v>43</v>
      </c>
      <c r="DV161" s="101">
        <v>45</v>
      </c>
      <c r="DW161" s="101">
        <v>40</v>
      </c>
      <c r="DX161">
        <f t="shared" ca="1" si="156"/>
        <v>40</v>
      </c>
      <c r="DY161">
        <f t="shared" ca="1" si="157"/>
        <v>8</v>
      </c>
      <c r="DZ161">
        <f t="shared" ca="1" si="158"/>
        <v>73.767933178075538</v>
      </c>
      <c r="EB161" s="20" t="s">
        <v>70</v>
      </c>
      <c r="EC161" s="99" t="s">
        <v>786</v>
      </c>
      <c r="ED161" s="100" t="s">
        <v>754</v>
      </c>
      <c r="EE161" s="101">
        <v>44.9</v>
      </c>
      <c r="EF161" s="101">
        <v>41.2</v>
      </c>
      <c r="EG161" s="101">
        <v>41.5</v>
      </c>
      <c r="EH161" s="101">
        <v>42.7</v>
      </c>
      <c r="EI161" s="101">
        <v>40.799999999999997</v>
      </c>
      <c r="EJ161" s="101">
        <v>40.799999999999997</v>
      </c>
      <c r="EK161" s="101">
        <v>41</v>
      </c>
      <c r="EL161" s="101">
        <v>42.7</v>
      </c>
      <c r="EM161" s="101">
        <v>40</v>
      </c>
      <c r="EN161" s="101">
        <v>40.9</v>
      </c>
      <c r="EO161">
        <f ca="1">OFFSET(EE161,0,MATCH(MAX(EE161:EN161)+1,EE161:EN161,1)-1)</f>
        <v>40.9</v>
      </c>
      <c r="EQ161" s="20" t="s">
        <v>70</v>
      </c>
      <c r="ER161" s="20">
        <f t="shared" ca="1" si="160"/>
        <v>73.767933178075538</v>
      </c>
      <c r="ES161">
        <f t="shared" ca="1" si="161"/>
        <v>30.171084669832894</v>
      </c>
      <c r="EU161" s="20" t="s">
        <v>70</v>
      </c>
      <c r="EV161" s="109">
        <v>13208.684837504024</v>
      </c>
    </row>
    <row r="162" spans="1:152" x14ac:dyDescent="0.3">
      <c r="A162" s="20" t="s">
        <v>47</v>
      </c>
      <c r="B162" s="20" t="s">
        <v>631</v>
      </c>
      <c r="C162" s="81">
        <v>2015</v>
      </c>
      <c r="D162" s="82">
        <v>1955.8209999999999</v>
      </c>
      <c r="E162" s="82">
        <v>1718.4849999999999</v>
      </c>
      <c r="F162" s="82">
        <v>1519.02</v>
      </c>
      <c r="G162" s="82">
        <v>1354.7159999999999</v>
      </c>
      <c r="H162" s="82">
        <v>1158.442</v>
      </c>
      <c r="I162" s="82">
        <v>963.02200000000005</v>
      </c>
      <c r="J162" s="82">
        <v>771.86699999999996</v>
      </c>
      <c r="K162" s="82">
        <v>646.76599999999996</v>
      </c>
      <c r="L162" s="82">
        <v>537.42200000000003</v>
      </c>
      <c r="M162" s="82">
        <v>448.43099999999998</v>
      </c>
      <c r="N162" s="82">
        <v>355.00900000000001</v>
      </c>
      <c r="O162" s="82">
        <v>276.99400000000003</v>
      </c>
      <c r="P162" s="82">
        <v>206.309</v>
      </c>
      <c r="Q162" s="82">
        <v>175.44800000000001</v>
      </c>
      <c r="R162" s="82">
        <v>127.38</v>
      </c>
      <c r="S162" s="82">
        <v>74.962999999999994</v>
      </c>
      <c r="T162" s="82">
        <v>35.216000000000001</v>
      </c>
      <c r="U162" s="82">
        <v>11.657</v>
      </c>
      <c r="V162" s="82">
        <v>2.5049999999999999</v>
      </c>
      <c r="W162" s="82">
        <v>0.317</v>
      </c>
      <c r="X162" s="82">
        <v>2.1999999999999999E-2</v>
      </c>
      <c r="Y162" s="82">
        <f t="shared" si="133"/>
        <v>12339.811999999998</v>
      </c>
      <c r="Z162" s="52">
        <f t="shared" si="134"/>
        <v>195.58199999999999</v>
      </c>
      <c r="AA162" s="52">
        <f t="shared" si="135"/>
        <v>195.58199999999999</v>
      </c>
      <c r="AB162" s="52">
        <f t="shared" si="136"/>
        <v>391.16399999999999</v>
      </c>
      <c r="AC162" s="52">
        <f t="shared" si="137"/>
        <v>1173.4929999999999</v>
      </c>
      <c r="AD162" s="52">
        <f t="shared" si="138"/>
        <v>3237.5050000000001</v>
      </c>
      <c r="AE162" s="52">
        <f t="shared" si="139"/>
        <v>5880.6660000000002</v>
      </c>
      <c r="AF162" s="52">
        <f t="shared" si="140"/>
        <v>838.31200000000001</v>
      </c>
      <c r="AG162" s="52">
        <f t="shared" si="141"/>
        <v>427.50799999999998</v>
      </c>
      <c r="AH162" s="52">
        <f t="shared" si="142"/>
        <v>12339.812</v>
      </c>
      <c r="AI162">
        <v>36.756</v>
      </c>
      <c r="AJ162" s="30">
        <f t="shared" si="143"/>
        <v>453562.12987200002</v>
      </c>
      <c r="AK162">
        <f t="shared" si="144"/>
        <v>391.16419999999999</v>
      </c>
      <c r="AM162" s="20" t="s">
        <v>47</v>
      </c>
      <c r="AN162" t="s">
        <v>494</v>
      </c>
      <c r="AO162" t="s">
        <v>495</v>
      </c>
      <c r="AP162" t="s">
        <v>691</v>
      </c>
      <c r="AQ162" s="55">
        <v>2987.5612066758877</v>
      </c>
      <c r="AR162" s="55">
        <v>4.0892583333333299</v>
      </c>
      <c r="AS162" t="s">
        <v>47</v>
      </c>
      <c r="AT162" t="s">
        <v>1305</v>
      </c>
      <c r="AU162" t="s">
        <v>1153</v>
      </c>
      <c r="BA162">
        <v>94.131423570451105</v>
      </c>
      <c r="BB162">
        <v>98.843900192403197</v>
      </c>
      <c r="BC162">
        <v>100</v>
      </c>
      <c r="BD162">
        <v>147.30607565915199</v>
      </c>
      <c r="BE162">
        <v>213.707576336541</v>
      </c>
      <c r="BF162">
        <v>213.62353302398</v>
      </c>
      <c r="BG162">
        <v>220.58568103657899</v>
      </c>
      <c r="BH162">
        <v>331.21071994819499</v>
      </c>
      <c r="BJ162" s="20" t="s">
        <v>47</v>
      </c>
      <c r="BK162" t="s">
        <v>691</v>
      </c>
      <c r="BL162">
        <v>2015</v>
      </c>
      <c r="BM162">
        <f>INDEX('Costs lists'!$C$5:$C$8,MATCH(Lists!BK162,'Costs lists'!$B$5:$B$8,0))</f>
        <v>4.2</v>
      </c>
      <c r="BN162">
        <f>INDEX('Costs lists'!$D$5:$D$8,MATCH(Lists!BK162,'Costs lists'!$B$5:$B$8,0))</f>
        <v>4.2</v>
      </c>
      <c r="BO162">
        <f>INDEX('Costs lists'!$E$5:$E$8,MATCH(Lists!BK162,'Costs lists'!$B$5:$B$8,0))</f>
        <v>4.2</v>
      </c>
      <c r="BW162" s="20" t="s">
        <v>47</v>
      </c>
      <c r="BX162" s="20">
        <v>2008</v>
      </c>
      <c r="BY162" s="52"/>
      <c r="BZ162" s="52"/>
      <c r="CA162" s="52"/>
      <c r="CB162" s="52"/>
      <c r="CC162" s="375">
        <f t="shared" si="165"/>
        <v>0</v>
      </c>
      <c r="CD162" s="375"/>
      <c r="CE162" s="375"/>
      <c r="CF162" s="375"/>
      <c r="CG162" s="375">
        <f t="shared" si="164"/>
        <v>0</v>
      </c>
      <c r="CI162" s="20" t="s">
        <v>47</v>
      </c>
      <c r="CJ162" s="20">
        <v>2015</v>
      </c>
      <c r="CK162" s="59">
        <f t="shared" si="145"/>
        <v>0</v>
      </c>
      <c r="CL162" s="59">
        <f t="shared" si="146"/>
        <v>0</v>
      </c>
      <c r="CM162" s="59">
        <f t="shared" si="147"/>
        <v>0</v>
      </c>
      <c r="CN162" s="59">
        <f t="shared" si="148"/>
        <v>0</v>
      </c>
      <c r="CO162" s="59">
        <f t="shared" si="149"/>
        <v>0</v>
      </c>
      <c r="CP162" s="59">
        <f t="shared" si="150"/>
        <v>0</v>
      </c>
      <c r="CQ162" s="59">
        <f t="shared" si="151"/>
        <v>0</v>
      </c>
      <c r="CR162" s="59">
        <f t="shared" si="152"/>
        <v>0</v>
      </c>
      <c r="CS162" s="59">
        <f t="shared" si="153"/>
        <v>0</v>
      </c>
      <c r="CW162" s="20" t="s">
        <v>47</v>
      </c>
      <c r="DE162" t="e">
        <f t="shared" si="154"/>
        <v>#DIV/0!</v>
      </c>
      <c r="DH162" t="e">
        <f t="shared" si="155"/>
        <v>#DIV/0!</v>
      </c>
      <c r="DI162" t="e">
        <f t="shared" si="162"/>
        <v>#DIV/0!</v>
      </c>
      <c r="DJ162" t="e">
        <f t="shared" si="163"/>
        <v>#DIV/0!</v>
      </c>
      <c r="DL162" s="20" t="s">
        <v>47</v>
      </c>
      <c r="DM162" s="99"/>
      <c r="DN162" s="100"/>
      <c r="DO162" s="101"/>
      <c r="DP162" s="101"/>
      <c r="DQ162" s="101"/>
      <c r="DR162" s="101"/>
      <c r="DS162" s="101"/>
      <c r="DT162" s="101"/>
      <c r="DU162" s="101"/>
      <c r="DV162" s="101"/>
      <c r="DW162" s="101"/>
      <c r="DX162" t="e">
        <f t="shared" ca="1" si="156"/>
        <v>#N/A</v>
      </c>
      <c r="DY162" t="e">
        <f t="shared" ca="1" si="157"/>
        <v>#N/A</v>
      </c>
      <c r="DZ162" t="e">
        <f t="shared" ca="1" si="158"/>
        <v>#N/A</v>
      </c>
      <c r="EB162" s="20" t="s">
        <v>47</v>
      </c>
      <c r="EC162" s="99" t="s">
        <v>825</v>
      </c>
      <c r="ED162" s="100" t="s">
        <v>754</v>
      </c>
      <c r="EE162" s="101"/>
      <c r="EF162" s="101"/>
      <c r="EG162" s="101">
        <v>61.5</v>
      </c>
      <c r="EH162" s="101"/>
      <c r="EI162" s="101"/>
      <c r="EJ162" s="101"/>
      <c r="EK162" s="101"/>
      <c r="EL162" s="101"/>
      <c r="EM162" s="101"/>
      <c r="EN162" s="101"/>
      <c r="EO162">
        <f ca="1">OFFSET(EE162,0,MATCH(MAX(EE162:EN162)+1,EE162:EN162,1)-1)</f>
        <v>61.5</v>
      </c>
      <c r="EQ162" s="20" t="s">
        <v>47</v>
      </c>
      <c r="ER162" s="20" t="e">
        <f t="shared" ca="1" si="160"/>
        <v>#N/A</v>
      </c>
      <c r="ES162" t="e">
        <f t="shared" ca="1" si="161"/>
        <v>#N/A</v>
      </c>
      <c r="EU162" s="20" t="s">
        <v>47</v>
      </c>
      <c r="EV162" s="109">
        <v>1853.7986266024066</v>
      </c>
    </row>
    <row r="163" spans="1:152" x14ac:dyDescent="0.3">
      <c r="A163" s="20" t="s">
        <v>166</v>
      </c>
      <c r="B163" s="20" t="s">
        <v>257</v>
      </c>
      <c r="C163" s="81">
        <v>2015</v>
      </c>
      <c r="D163" s="82">
        <v>2144.2710000000002</v>
      </c>
      <c r="E163" s="82">
        <v>2437.3710000000001</v>
      </c>
      <c r="F163" s="82">
        <v>2282.0410000000002</v>
      </c>
      <c r="G163" s="82">
        <v>2091.2930000000001</v>
      </c>
      <c r="H163" s="82">
        <v>2233.6289999999999</v>
      </c>
      <c r="I163" s="82">
        <v>2462.9119999999998</v>
      </c>
      <c r="J163" s="82">
        <v>3050.0520000000001</v>
      </c>
      <c r="K163" s="82">
        <v>3868.6759999999999</v>
      </c>
      <c r="L163" s="82">
        <v>3951.9540000000002</v>
      </c>
      <c r="M163" s="82">
        <v>3706.0749999999998</v>
      </c>
      <c r="N163" s="82">
        <v>3527.7910000000002</v>
      </c>
      <c r="O163" s="82">
        <v>3119.8330000000001</v>
      </c>
      <c r="P163" s="82">
        <v>2579.7800000000002</v>
      </c>
      <c r="Q163" s="82">
        <v>2354.105</v>
      </c>
      <c r="R163" s="82">
        <v>1979.932</v>
      </c>
      <c r="S163" s="82">
        <v>1602.394</v>
      </c>
      <c r="T163" s="82">
        <v>1435.5409999999999</v>
      </c>
      <c r="U163" s="82">
        <v>858.61</v>
      </c>
      <c r="V163" s="82">
        <v>348.40199999999999</v>
      </c>
      <c r="W163" s="82">
        <v>77.177000000000007</v>
      </c>
      <c r="X163" s="82">
        <v>9.86</v>
      </c>
      <c r="Y163" s="82">
        <f t="shared" si="133"/>
        <v>46121.699000000008</v>
      </c>
      <c r="Z163" s="52">
        <f t="shared" si="134"/>
        <v>214.42699999999999</v>
      </c>
      <c r="AA163" s="52">
        <f t="shared" si="135"/>
        <v>214.42699999999999</v>
      </c>
      <c r="AB163" s="52">
        <f t="shared" si="136"/>
        <v>428.85399999999998</v>
      </c>
      <c r="AC163" s="52">
        <f t="shared" si="137"/>
        <v>1286.5630000000001</v>
      </c>
      <c r="AD163" s="52">
        <f t="shared" si="138"/>
        <v>4719.4120000000003</v>
      </c>
      <c r="AE163" s="52">
        <f t="shared" si="139"/>
        <v>21364.591</v>
      </c>
      <c r="AF163" s="52">
        <f t="shared" si="140"/>
        <v>9227.4040000000005</v>
      </c>
      <c r="AG163" s="52">
        <f t="shared" si="141"/>
        <v>8666.0210000000006</v>
      </c>
      <c r="AH163" s="52">
        <f t="shared" si="142"/>
        <v>46121.699000000001</v>
      </c>
      <c r="AI163">
        <v>9.1999999999999993</v>
      </c>
      <c r="AJ163" s="30">
        <f t="shared" si="143"/>
        <v>424319.63079999998</v>
      </c>
      <c r="AK163">
        <f t="shared" si="144"/>
        <v>428.85420000000005</v>
      </c>
      <c r="AM163" s="20" t="s">
        <v>166</v>
      </c>
      <c r="AN163" t="s">
        <v>256</v>
      </c>
      <c r="AO163" t="s">
        <v>257</v>
      </c>
      <c r="AP163" t="s">
        <v>690</v>
      </c>
      <c r="AQ163" s="55">
        <v>23159.916005501163</v>
      </c>
      <c r="AR163" s="55">
        <v>0.90165896164127801</v>
      </c>
      <c r="AS163" t="s">
        <v>166</v>
      </c>
      <c r="AT163" t="s">
        <v>1306</v>
      </c>
      <c r="AU163" t="s">
        <v>1153</v>
      </c>
      <c r="AV163">
        <v>83.526514697985107</v>
      </c>
      <c r="AW163">
        <v>86.063621070564494</v>
      </c>
      <c r="AX163">
        <v>88.963719371223206</v>
      </c>
      <c r="AY163">
        <v>92.091127642122302</v>
      </c>
      <c r="AZ163">
        <v>94.657735432563101</v>
      </c>
      <c r="BA163">
        <v>98.515663615378202</v>
      </c>
      <c r="BB163">
        <v>98.231941622184706</v>
      </c>
      <c r="BC163">
        <v>100</v>
      </c>
      <c r="BD163">
        <v>103.19614641224101</v>
      </c>
      <c r="BE163">
        <v>105.720324344817</v>
      </c>
      <c r="BF163">
        <v>107.209444053708</v>
      </c>
      <c r="BG163">
        <v>107.04769682936499</v>
      </c>
      <c r="BH163">
        <v>106.511964511277</v>
      </c>
      <c r="BJ163" s="20" t="s">
        <v>166</v>
      </c>
      <c r="BK163" t="s">
        <v>690</v>
      </c>
      <c r="BL163">
        <v>2015</v>
      </c>
      <c r="BM163">
        <f>INDEX('Costs lists'!$C$5:$C$8,MATCH(Lists!BK163,'Costs lists'!$B$5:$B$8,0))</f>
        <v>3.55</v>
      </c>
      <c r="BN163">
        <f>INDEX('Costs lists'!$D$5:$D$8,MATCH(Lists!BK163,'Costs lists'!$B$5:$B$8,0))</f>
        <v>2.91</v>
      </c>
      <c r="BO163">
        <f>INDEX('Costs lists'!$E$5:$E$8,MATCH(Lists!BK163,'Costs lists'!$B$5:$B$8,0))</f>
        <v>7.59</v>
      </c>
      <c r="BW163" s="20" t="s">
        <v>166</v>
      </c>
      <c r="BX163" s="20">
        <v>2008</v>
      </c>
      <c r="BY163" s="52">
        <v>28.007999999999999</v>
      </c>
      <c r="BZ163" s="52">
        <v>34.581600000000002</v>
      </c>
      <c r="CA163" s="52">
        <v>39.412799999999997</v>
      </c>
      <c r="CB163" s="52">
        <v>41.068799999999996</v>
      </c>
      <c r="CC163" s="375">
        <f t="shared" si="165"/>
        <v>28.948320000000002</v>
      </c>
      <c r="CD163" s="375">
        <v>407.11</v>
      </c>
      <c r="CE163" s="375">
        <v>424.71</v>
      </c>
      <c r="CF163" s="375">
        <v>549.16999999999996</v>
      </c>
      <c r="CG163" s="375">
        <f t="shared" si="164"/>
        <v>433.71999999999991</v>
      </c>
      <c r="CI163" s="20" t="s">
        <v>166</v>
      </c>
      <c r="CJ163" s="20">
        <v>2015</v>
      </c>
      <c r="CK163" s="59">
        <f t="shared" si="145"/>
        <v>30.281348087738742</v>
      </c>
      <c r="CL163" s="59">
        <f t="shared" si="146"/>
        <v>37.388512818871256</v>
      </c>
      <c r="CM163" s="59">
        <f t="shared" si="147"/>
        <v>42.611850753799963</v>
      </c>
      <c r="CN163" s="59">
        <f t="shared" si="148"/>
        <v>44.402264651018449</v>
      </c>
      <c r="CO163" s="59">
        <f t="shared" si="149"/>
        <v>31.297991805028897</v>
      </c>
      <c r="CP163" s="59">
        <f t="shared" si="150"/>
        <v>440.15422807766782</v>
      </c>
      <c r="CQ163" s="59">
        <f t="shared" si="151"/>
        <v>459.18278157467586</v>
      </c>
      <c r="CR163" s="59">
        <f t="shared" si="152"/>
        <v>593.74492749726812</v>
      </c>
      <c r="CS163" s="59">
        <f t="shared" si="153"/>
        <v>468.92410356376911</v>
      </c>
      <c r="CW163" s="20" t="s">
        <v>166</v>
      </c>
      <c r="CX163">
        <v>2014</v>
      </c>
      <c r="CY163">
        <v>46.259715999999997</v>
      </c>
      <c r="CZ163">
        <v>17.612688064575195</v>
      </c>
      <c r="DA163">
        <v>1688.7942009848423</v>
      </c>
      <c r="DB163">
        <v>1501317.5</v>
      </c>
      <c r="DC163">
        <v>0.57961100339889526</v>
      </c>
      <c r="DE163">
        <f t="shared" si="154"/>
        <v>49406.435826541114</v>
      </c>
      <c r="DH163">
        <f t="shared" si="155"/>
        <v>29.255450899659124</v>
      </c>
      <c r="DI163">
        <f t="shared" si="162"/>
        <v>29.109038683503115</v>
      </c>
      <c r="DJ163">
        <f t="shared" si="163"/>
        <v>76.454874894438575</v>
      </c>
      <c r="DL163" s="20" t="s">
        <v>166</v>
      </c>
      <c r="DM163" s="99" t="s">
        <v>796</v>
      </c>
      <c r="DN163" s="100" t="s">
        <v>754</v>
      </c>
      <c r="DO163" s="101">
        <v>38.799999999999997</v>
      </c>
      <c r="DP163" s="101">
        <v>38.700000000000003</v>
      </c>
      <c r="DQ163" s="101">
        <v>38.200000000000003</v>
      </c>
      <c r="DR163" s="101">
        <v>38</v>
      </c>
      <c r="DS163" s="101">
        <v>37.799999999999997</v>
      </c>
      <c r="DT163" s="101">
        <v>37.5</v>
      </c>
      <c r="DU163" s="101">
        <v>37.5</v>
      </c>
      <c r="DV163" s="101">
        <v>37.4</v>
      </c>
      <c r="DW163" s="101">
        <v>37.299999999999997</v>
      </c>
      <c r="DX163">
        <f t="shared" ca="1" si="156"/>
        <v>37.299999999999997</v>
      </c>
      <c r="DY163">
        <f t="shared" ca="1" si="157"/>
        <v>7.4599999999999991</v>
      </c>
      <c r="DZ163">
        <f t="shared" ca="1" si="158"/>
        <v>217.15342857893322</v>
      </c>
      <c r="EB163" s="20" t="s">
        <v>166</v>
      </c>
      <c r="EC163" s="99" t="s">
        <v>796</v>
      </c>
      <c r="ED163" s="100" t="s">
        <v>754</v>
      </c>
      <c r="EE163" s="101">
        <v>53</v>
      </c>
      <c r="EF163" s="101">
        <v>53.8</v>
      </c>
      <c r="EG163" s="101">
        <v>52.7</v>
      </c>
      <c r="EH163" s="101">
        <v>48.9</v>
      </c>
      <c r="EI163" s="101">
        <v>47.8</v>
      </c>
      <c r="EJ163" s="101">
        <v>46.9</v>
      </c>
      <c r="EK163" s="101">
        <v>44.9</v>
      </c>
      <c r="EL163" s="101">
        <v>43.9</v>
      </c>
      <c r="EM163" s="101">
        <v>44.5</v>
      </c>
      <c r="EN163" s="101">
        <v>45.8</v>
      </c>
      <c r="EO163">
        <f ca="1">OFFSET(EE163,0,MATCH(MAX(EE163:EN163)+1,EE163:EN163,1)-1)</f>
        <v>45.8</v>
      </c>
      <c r="EQ163" s="20" t="s">
        <v>166</v>
      </c>
      <c r="ER163" s="20">
        <f t="shared" ca="1" si="160"/>
        <v>217.15342857893322</v>
      </c>
      <c r="ES163">
        <f t="shared" ca="1" si="161"/>
        <v>99.456270289151405</v>
      </c>
      <c r="EU163" s="20" t="s">
        <v>166</v>
      </c>
      <c r="EV163" s="109">
        <v>34526.501899856281</v>
      </c>
    </row>
    <row r="164" spans="1:152" x14ac:dyDescent="0.3">
      <c r="A164" s="20" t="s">
        <v>106</v>
      </c>
      <c r="B164" s="20" t="s">
        <v>635</v>
      </c>
      <c r="C164" s="81">
        <v>2015</v>
      </c>
      <c r="D164" s="82">
        <v>1643.0129999999999</v>
      </c>
      <c r="E164" s="82">
        <v>1748.8530000000001</v>
      </c>
      <c r="F164" s="82">
        <v>1698.606</v>
      </c>
      <c r="G164" s="82">
        <v>1584.9549999999999</v>
      </c>
      <c r="H164" s="82">
        <v>1534.643</v>
      </c>
      <c r="I164" s="82">
        <v>1448.9760000000001</v>
      </c>
      <c r="J164" s="82">
        <v>1516.8610000000001</v>
      </c>
      <c r="K164" s="82">
        <v>1550.65</v>
      </c>
      <c r="L164" s="82">
        <v>1365.1410000000001</v>
      </c>
      <c r="M164" s="82">
        <v>1324.251</v>
      </c>
      <c r="N164" s="82">
        <v>1259.0129999999999</v>
      </c>
      <c r="O164" s="82">
        <v>1152.8869999999999</v>
      </c>
      <c r="P164" s="82">
        <v>959.99199999999996</v>
      </c>
      <c r="Q164" s="82">
        <v>822.03200000000004</v>
      </c>
      <c r="R164" s="82">
        <v>509.10899999999998</v>
      </c>
      <c r="S164" s="82">
        <v>280.40300000000002</v>
      </c>
      <c r="T164" s="82">
        <v>179.857</v>
      </c>
      <c r="U164" s="82">
        <v>95.143000000000001</v>
      </c>
      <c r="V164" s="82">
        <v>32.398000000000003</v>
      </c>
      <c r="W164" s="82">
        <v>7.2169999999999996</v>
      </c>
      <c r="X164" s="82">
        <v>1.01</v>
      </c>
      <c r="Y164" s="82">
        <f t="shared" si="133"/>
        <v>20715.009999999995</v>
      </c>
      <c r="Z164" s="52">
        <f t="shared" si="134"/>
        <v>164.30099999999999</v>
      </c>
      <c r="AA164" s="52">
        <f t="shared" si="135"/>
        <v>164.30099999999999</v>
      </c>
      <c r="AB164" s="52">
        <f t="shared" si="136"/>
        <v>328.60300000000001</v>
      </c>
      <c r="AC164" s="52">
        <f t="shared" si="137"/>
        <v>985.80799999999999</v>
      </c>
      <c r="AD164" s="52">
        <f t="shared" si="138"/>
        <v>3447.4589999999998</v>
      </c>
      <c r="AE164" s="52">
        <f t="shared" si="139"/>
        <v>10325.477000000001</v>
      </c>
      <c r="AF164" s="52">
        <f t="shared" si="140"/>
        <v>3371.8919999999998</v>
      </c>
      <c r="AG164" s="52">
        <f t="shared" si="141"/>
        <v>1927.1690000000001</v>
      </c>
      <c r="AH164" s="52">
        <f t="shared" si="142"/>
        <v>20715.010000000002</v>
      </c>
      <c r="AI164">
        <v>15.938000000000001</v>
      </c>
      <c r="AJ164" s="30">
        <f t="shared" si="143"/>
        <v>330155.82938000007</v>
      </c>
      <c r="AK164">
        <f t="shared" si="144"/>
        <v>328.6026</v>
      </c>
      <c r="AM164" s="20" t="s">
        <v>106</v>
      </c>
      <c r="AN164" t="s">
        <v>496</v>
      </c>
      <c r="AO164" t="s">
        <v>497</v>
      </c>
      <c r="AP164" t="s">
        <v>688</v>
      </c>
      <c r="AQ164" s="55">
        <v>533397.8822856053</v>
      </c>
      <c r="AR164" s="55">
        <v>135.856912797089</v>
      </c>
      <c r="AS164" t="s">
        <v>106</v>
      </c>
      <c r="AT164" t="s">
        <v>1307</v>
      </c>
      <c r="AU164" t="s">
        <v>1153</v>
      </c>
      <c r="AV164">
        <v>48.503468542413103</v>
      </c>
      <c r="AW164">
        <v>52.178055344143601</v>
      </c>
      <c r="AX164">
        <v>58.251417197779197</v>
      </c>
      <c r="AY164">
        <v>64.088316153920999</v>
      </c>
      <c r="AZ164">
        <v>74.241258652680997</v>
      </c>
      <c r="BA164">
        <v>90.993424142790303</v>
      </c>
      <c r="BB164">
        <v>94.1463128229218</v>
      </c>
      <c r="BC164">
        <v>100</v>
      </c>
      <c r="BD164">
        <v>106.716768435886</v>
      </c>
      <c r="BE164">
        <v>114.766322217004</v>
      </c>
      <c r="BF164">
        <v>122.69844997651499</v>
      </c>
      <c r="BG164">
        <v>126.72029121653399</v>
      </c>
      <c r="BH164">
        <v>127.888680131518</v>
      </c>
      <c r="BJ164" s="20" t="s">
        <v>106</v>
      </c>
      <c r="BK164" t="s">
        <v>688</v>
      </c>
      <c r="BL164">
        <v>2015</v>
      </c>
      <c r="BM164">
        <f>INDEX('Costs lists'!$C$5:$C$8,MATCH(Lists!BK164,'Costs lists'!$B$5:$B$8,0))</f>
        <v>5.21</v>
      </c>
      <c r="BN164">
        <f>INDEX('Costs lists'!$D$5:$D$8,MATCH(Lists!BK164,'Costs lists'!$B$5:$B$8,0))</f>
        <v>5.16</v>
      </c>
      <c r="BO164">
        <f>INDEX('Costs lists'!$E$5:$E$8,MATCH(Lists!BK164,'Costs lists'!$B$5:$B$8,0))</f>
        <v>5.26</v>
      </c>
      <c r="BW164" s="20" t="s">
        <v>106</v>
      </c>
      <c r="BX164" s="20">
        <v>2008</v>
      </c>
      <c r="BY164" s="52">
        <v>340.35570000000001</v>
      </c>
      <c r="BZ164" s="52">
        <v>419.81989999999996</v>
      </c>
      <c r="CA164" s="52">
        <v>478.7</v>
      </c>
      <c r="CB164" s="52">
        <v>498.80539999999996</v>
      </c>
      <c r="CC164" s="375">
        <f t="shared" si="165"/>
        <v>351.74876000000006</v>
      </c>
      <c r="CD164" s="375">
        <v>39.1</v>
      </c>
      <c r="CE164" s="375">
        <v>40.79</v>
      </c>
      <c r="CF164" s="375">
        <v>52.75</v>
      </c>
      <c r="CG164" s="375">
        <f t="shared" si="164"/>
        <v>41.656666666666666</v>
      </c>
      <c r="CI164" s="20" t="s">
        <v>106</v>
      </c>
      <c r="CJ164" s="20">
        <v>2015</v>
      </c>
      <c r="CK164" s="59">
        <f t="shared" si="145"/>
        <v>478.36029535424109</v>
      </c>
      <c r="CL164" s="59">
        <f t="shared" si="146"/>
        <v>590.04497753258704</v>
      </c>
      <c r="CM164" s="59">
        <f t="shared" si="147"/>
        <v>672.7992902310001</v>
      </c>
      <c r="CN164" s="59">
        <f t="shared" si="148"/>
        <v>701.05686042070204</v>
      </c>
      <c r="CO164" s="59">
        <f t="shared" si="149"/>
        <v>494.37291846173895</v>
      </c>
      <c r="CP164" s="59">
        <f t="shared" si="150"/>
        <v>54.953942444186559</v>
      </c>
      <c r="CQ164" s="59">
        <f t="shared" si="151"/>
        <v>57.329189572848321</v>
      </c>
      <c r="CR164" s="59">
        <f t="shared" si="152"/>
        <v>74.138630791070099</v>
      </c>
      <c r="CS164" s="59">
        <f t="shared" si="153"/>
        <v>58.547265023444105</v>
      </c>
      <c r="CW164" s="20" t="s">
        <v>106</v>
      </c>
      <c r="CX164">
        <v>2014</v>
      </c>
      <c r="CY164">
        <v>20.618990999999998</v>
      </c>
      <c r="CZ164">
        <v>6.968264102935791</v>
      </c>
      <c r="DA164">
        <v>2075.498917620258</v>
      </c>
      <c r="DB164">
        <v>221234.96875</v>
      </c>
      <c r="DC164">
        <v>0.68269038200378418</v>
      </c>
      <c r="DE164">
        <f t="shared" si="154"/>
        <v>21674.693022168947</v>
      </c>
      <c r="DH164">
        <f t="shared" si="155"/>
        <v>10.443124223365478</v>
      </c>
      <c r="DI164">
        <f t="shared" si="162"/>
        <v>10.5394121221956</v>
      </c>
      <c r="DJ164">
        <f t="shared" si="163"/>
        <v>31.185965468973325</v>
      </c>
      <c r="DL164" s="20" t="s">
        <v>106</v>
      </c>
      <c r="DM164" s="99" t="s">
        <v>787</v>
      </c>
      <c r="DN164" s="100" t="s">
        <v>847</v>
      </c>
      <c r="DO164" s="101"/>
      <c r="DP164" s="101"/>
      <c r="DQ164" s="101">
        <v>39.799999999999997</v>
      </c>
      <c r="DR164" s="101">
        <v>41.2</v>
      </c>
      <c r="DS164" s="101">
        <v>40.5</v>
      </c>
      <c r="DT164" s="101">
        <v>42</v>
      </c>
      <c r="DU164" s="101">
        <v>41.1</v>
      </c>
      <c r="DV164" s="101">
        <v>41.6</v>
      </c>
      <c r="DW164" s="101"/>
      <c r="DX164">
        <f t="shared" ca="1" si="156"/>
        <v>41.6</v>
      </c>
      <c r="DY164">
        <f t="shared" ca="1" si="157"/>
        <v>8.32</v>
      </c>
      <c r="DZ164">
        <f t="shared" ca="1" si="158"/>
        <v>87.687908856667391</v>
      </c>
      <c r="EB164" s="20" t="s">
        <v>106</v>
      </c>
      <c r="EC164" s="99" t="s">
        <v>787</v>
      </c>
      <c r="ED164" s="100" t="s">
        <v>754</v>
      </c>
      <c r="EE164" s="101">
        <v>47.8</v>
      </c>
      <c r="EF164" s="101">
        <v>46.8</v>
      </c>
      <c r="EG164" s="101">
        <v>47.6</v>
      </c>
      <c r="EH164" s="101">
        <v>49.4</v>
      </c>
      <c r="EI164" s="101">
        <v>45.7</v>
      </c>
      <c r="EJ164" s="101">
        <v>50.8</v>
      </c>
      <c r="EK164" s="101">
        <v>50.5</v>
      </c>
      <c r="EL164" s="101">
        <v>51.4</v>
      </c>
      <c r="EM164" s="101">
        <v>51</v>
      </c>
      <c r="EN164" s="101">
        <v>51.3</v>
      </c>
      <c r="EO164">
        <f ca="1">OFFSET(EE164,0,MATCH(MAX(EE164:EN164)+1,EE164:EN164,1)-1)</f>
        <v>51.3</v>
      </c>
      <c r="EQ164" s="20" t="s">
        <v>106</v>
      </c>
      <c r="ER164" s="20">
        <f t="shared" ca="1" si="160"/>
        <v>87.687908856667391</v>
      </c>
      <c r="ES164">
        <f t="shared" ca="1" si="161"/>
        <v>44.983897243470373</v>
      </c>
      <c r="EU164" s="20" t="s">
        <v>106</v>
      </c>
      <c r="EV164" s="109">
        <v>11762.777581534972</v>
      </c>
    </row>
    <row r="165" spans="1:152" x14ac:dyDescent="0.3">
      <c r="A165" s="20" t="s">
        <v>131</v>
      </c>
      <c r="B165" s="20" t="s">
        <v>631</v>
      </c>
      <c r="C165" s="81">
        <v>2015</v>
      </c>
      <c r="D165" s="82">
        <v>703.44100000000003</v>
      </c>
      <c r="E165" s="82">
        <v>618.95299999999997</v>
      </c>
      <c r="F165" s="82">
        <v>555.38699999999994</v>
      </c>
      <c r="G165" s="82">
        <v>530.49900000000002</v>
      </c>
      <c r="H165" s="82">
        <v>483.92</v>
      </c>
      <c r="I165" s="82">
        <v>383.43099999999998</v>
      </c>
      <c r="J165" s="82">
        <v>306.30599999999998</v>
      </c>
      <c r="K165" s="82">
        <v>257.69499999999999</v>
      </c>
      <c r="L165" s="82">
        <v>209.85</v>
      </c>
      <c r="M165" s="82">
        <v>174.70699999999999</v>
      </c>
      <c r="N165" s="82">
        <v>138.18100000000001</v>
      </c>
      <c r="O165" s="82">
        <v>95.581999999999994</v>
      </c>
      <c r="P165" s="82">
        <v>72.337999999999994</v>
      </c>
      <c r="Q165" s="82">
        <v>58.017000000000003</v>
      </c>
      <c r="R165" s="82">
        <v>39.219000000000001</v>
      </c>
      <c r="S165" s="82">
        <v>24.491</v>
      </c>
      <c r="T165" s="82">
        <v>11.513</v>
      </c>
      <c r="U165" s="82">
        <v>3.8919999999999999</v>
      </c>
      <c r="V165" s="82">
        <v>0.92600000000000005</v>
      </c>
      <c r="W165" s="82">
        <v>0.11</v>
      </c>
      <c r="X165" s="82">
        <v>8.0000000000000002E-3</v>
      </c>
      <c r="Y165" s="82">
        <f t="shared" si="133"/>
        <v>4668.4659999999994</v>
      </c>
      <c r="Z165" s="52">
        <f t="shared" si="134"/>
        <v>70.343999999999994</v>
      </c>
      <c r="AA165" s="52">
        <f t="shared" si="135"/>
        <v>70.343999999999994</v>
      </c>
      <c r="AB165" s="52">
        <f t="shared" si="136"/>
        <v>140.68799999999999</v>
      </c>
      <c r="AC165" s="52">
        <f t="shared" si="137"/>
        <v>422.065</v>
      </c>
      <c r="AD165" s="52">
        <f t="shared" si="138"/>
        <v>1174.3399999999999</v>
      </c>
      <c r="AE165" s="52">
        <f t="shared" si="139"/>
        <v>2346.4079999999999</v>
      </c>
      <c r="AF165" s="52">
        <f t="shared" si="140"/>
        <v>306.101</v>
      </c>
      <c r="AG165" s="52">
        <f t="shared" si="141"/>
        <v>138.17599999999999</v>
      </c>
      <c r="AH165" s="52">
        <f t="shared" si="142"/>
        <v>4668.4660000000003</v>
      </c>
      <c r="AI165">
        <v>32.661000000000001</v>
      </c>
      <c r="AJ165" s="30">
        <f t="shared" si="143"/>
        <v>152476.76802600001</v>
      </c>
      <c r="AK165">
        <f t="shared" si="144"/>
        <v>140.68819999999999</v>
      </c>
      <c r="AM165" s="20" t="s">
        <v>131</v>
      </c>
      <c r="AN165" t="s">
        <v>380</v>
      </c>
      <c r="AO165" t="s">
        <v>381</v>
      </c>
      <c r="AP165" t="s">
        <v>688</v>
      </c>
      <c r="AQ165" s="55">
        <v>11142.678628891017</v>
      </c>
      <c r="AR165" s="55"/>
      <c r="AS165" t="s">
        <v>1139</v>
      </c>
      <c r="AT165" t="s">
        <v>1336</v>
      </c>
      <c r="AU165" t="s">
        <v>1153</v>
      </c>
      <c r="AV165">
        <v>75.256833169958597</v>
      </c>
      <c r="AW165">
        <v>77.517680127596705</v>
      </c>
      <c r="AX165">
        <v>80.701525592810896</v>
      </c>
      <c r="AY165">
        <v>83.802353605084903</v>
      </c>
      <c r="AZ165">
        <v>85.360862675071601</v>
      </c>
      <c r="BA165">
        <v>93.803050189891707</v>
      </c>
      <c r="BB165">
        <v>96.386325080214107</v>
      </c>
      <c r="BC165">
        <v>100</v>
      </c>
      <c r="BD165">
        <v>102.877243584959</v>
      </c>
      <c r="BE165">
        <v>105.736292389859</v>
      </c>
      <c r="BF165">
        <v>107.559608314025</v>
      </c>
      <c r="BG165">
        <v>109.423600300128</v>
      </c>
      <c r="BH165">
        <v>110.990121099896</v>
      </c>
      <c r="BJ165" s="20" t="s">
        <v>131</v>
      </c>
      <c r="BK165" t="s">
        <v>688</v>
      </c>
      <c r="BL165">
        <v>2015</v>
      </c>
      <c r="BM165">
        <f>INDEX('Costs lists'!$C$5:$C$8,MATCH(Lists!BK165,'Costs lists'!$B$5:$B$8,0))</f>
        <v>5.21</v>
      </c>
      <c r="BN165">
        <f>INDEX('Costs lists'!$D$5:$D$8,MATCH(Lists!BK165,'Costs lists'!$B$5:$B$8,0))</f>
        <v>5.16</v>
      </c>
      <c r="BO165">
        <f>INDEX('Costs lists'!$E$5:$E$8,MATCH(Lists!BK165,'Costs lists'!$B$5:$B$8,0))</f>
        <v>5.26</v>
      </c>
      <c r="BW165" s="20" t="s">
        <v>131</v>
      </c>
      <c r="BX165" s="20">
        <v>2008</v>
      </c>
      <c r="BY165" s="52"/>
      <c r="BZ165" s="52"/>
      <c r="CA165" s="52"/>
      <c r="CB165" s="52"/>
      <c r="CC165" s="375">
        <f t="shared" si="165"/>
        <v>0</v>
      </c>
      <c r="CD165" s="375"/>
      <c r="CE165" s="375"/>
      <c r="CF165" s="375"/>
      <c r="CG165" s="375">
        <f t="shared" si="164"/>
        <v>0</v>
      </c>
      <c r="CI165" s="20" t="s">
        <v>131</v>
      </c>
      <c r="CJ165" s="20">
        <v>2015</v>
      </c>
      <c r="CK165" s="59">
        <f t="shared" si="145"/>
        <v>0</v>
      </c>
      <c r="CL165" s="59">
        <f t="shared" si="146"/>
        <v>0</v>
      </c>
      <c r="CM165" s="59">
        <f t="shared" si="147"/>
        <v>0</v>
      </c>
      <c r="CN165" s="59">
        <f t="shared" si="148"/>
        <v>0</v>
      </c>
      <c r="CO165" s="59">
        <f t="shared" si="149"/>
        <v>0</v>
      </c>
      <c r="CP165" s="59">
        <f t="shared" si="150"/>
        <v>0</v>
      </c>
      <c r="CQ165" s="59">
        <f t="shared" si="151"/>
        <v>0</v>
      </c>
      <c r="CR165" s="59">
        <f t="shared" si="152"/>
        <v>0</v>
      </c>
      <c r="CS165" s="59">
        <f t="shared" si="153"/>
        <v>0</v>
      </c>
      <c r="CW165" s="20" t="s">
        <v>131</v>
      </c>
      <c r="CX165">
        <v>2014</v>
      </c>
      <c r="CY165">
        <v>4.5420590000000001</v>
      </c>
      <c r="DB165">
        <v>19448.37890625</v>
      </c>
      <c r="DE165" t="e">
        <f t="shared" si="154"/>
        <v>#DIV/0!</v>
      </c>
      <c r="DH165" t="e">
        <f t="shared" si="155"/>
        <v>#DIV/0!</v>
      </c>
      <c r="DI165" t="e">
        <f t="shared" si="162"/>
        <v>#DIV/0!</v>
      </c>
      <c r="DJ165" t="e">
        <f t="shared" si="163"/>
        <v>#DIV/0!</v>
      </c>
      <c r="DL165" s="20" t="s">
        <v>131</v>
      </c>
      <c r="DM165" s="99" t="s">
        <v>779</v>
      </c>
      <c r="DN165" s="100" t="s">
        <v>754</v>
      </c>
      <c r="DO165" s="101"/>
      <c r="DP165" s="101"/>
      <c r="DQ165" s="101">
        <v>42</v>
      </c>
      <c r="DR165" s="101">
        <v>42</v>
      </c>
      <c r="DS165" s="101"/>
      <c r="DT165" s="101">
        <v>41.7</v>
      </c>
      <c r="DU165" s="101">
        <v>41.6</v>
      </c>
      <c r="DV165" s="101"/>
      <c r="DW165" s="101">
        <v>41.7</v>
      </c>
      <c r="DX165">
        <f t="shared" ca="1" si="156"/>
        <v>41.7</v>
      </c>
      <c r="DY165">
        <f t="shared" ca="1" si="157"/>
        <v>8.34</v>
      </c>
      <c r="DZ165" t="e">
        <f t="shared" ca="1" si="158"/>
        <v>#DIV/0!</v>
      </c>
      <c r="EB165" s="20" t="s">
        <v>131</v>
      </c>
      <c r="EC165" s="99" t="s">
        <v>779</v>
      </c>
      <c r="ED165" s="100" t="s">
        <v>754</v>
      </c>
      <c r="EE165" s="101">
        <v>31.6</v>
      </c>
      <c r="EF165" s="101"/>
      <c r="EG165" s="101"/>
      <c r="EH165" s="101">
        <v>31.4</v>
      </c>
      <c r="EI165" s="101">
        <v>31.3</v>
      </c>
      <c r="EJ165" s="101">
        <v>28.3</v>
      </c>
      <c r="EK165" s="101">
        <v>28.1</v>
      </c>
      <c r="EL165" s="101">
        <v>28</v>
      </c>
      <c r="EM165" s="101">
        <v>28.2</v>
      </c>
      <c r="EN165" s="101">
        <v>33.9</v>
      </c>
      <c r="EO165">
        <f ca="1">OFFSET(EE165,0,MATCH(MAX(EE165:EN165)+1,EE165:EN165,1)-1)</f>
        <v>33.9</v>
      </c>
      <c r="EQ165" s="20" t="s">
        <v>131</v>
      </c>
      <c r="ER165" s="20" t="e">
        <f t="shared" ca="1" si="160"/>
        <v>#DIV/0!</v>
      </c>
      <c r="ES165" t="e">
        <f t="shared" ca="1" si="161"/>
        <v>#DIV/0!</v>
      </c>
      <c r="EU165" s="20" t="s">
        <v>131</v>
      </c>
      <c r="EV165" s="109">
        <v>5020.1196188762133</v>
      </c>
    </row>
    <row r="166" spans="1:152" x14ac:dyDescent="0.3">
      <c r="A166" s="20" t="s">
        <v>65</v>
      </c>
      <c r="B166" s="20" t="s">
        <v>631</v>
      </c>
      <c r="C166" s="81">
        <v>2015</v>
      </c>
      <c r="D166" s="82">
        <v>5952.1689999999999</v>
      </c>
      <c r="E166" s="82">
        <v>5409.518</v>
      </c>
      <c r="F166" s="82">
        <v>4934.7529999999997</v>
      </c>
      <c r="G166" s="82">
        <v>4304.9440000000004</v>
      </c>
      <c r="H166" s="82">
        <v>3710.6840000000002</v>
      </c>
      <c r="I166" s="82">
        <v>3129.5509999999999</v>
      </c>
      <c r="J166" s="82">
        <v>2726.8910000000001</v>
      </c>
      <c r="K166" s="82">
        <v>2338.2579999999998</v>
      </c>
      <c r="L166" s="82">
        <v>1926.61</v>
      </c>
      <c r="M166" s="82">
        <v>1545.7280000000001</v>
      </c>
      <c r="N166" s="82">
        <v>1218.665</v>
      </c>
      <c r="O166" s="82">
        <v>956.35199999999998</v>
      </c>
      <c r="P166" s="82">
        <v>741.72400000000005</v>
      </c>
      <c r="Q166" s="82">
        <v>550.74400000000003</v>
      </c>
      <c r="R166" s="82">
        <v>376.637</v>
      </c>
      <c r="S166" s="82">
        <v>232.78</v>
      </c>
      <c r="T166" s="82">
        <v>118.648</v>
      </c>
      <c r="U166" s="82">
        <v>45.792999999999999</v>
      </c>
      <c r="V166" s="82">
        <v>12.243</v>
      </c>
      <c r="W166" s="82">
        <v>2.0019999999999998</v>
      </c>
      <c r="X166" s="82">
        <v>0.188</v>
      </c>
      <c r="Y166" s="82">
        <f t="shared" si="133"/>
        <v>40234.882000000005</v>
      </c>
      <c r="Z166" s="52">
        <f t="shared" si="134"/>
        <v>595.21699999999998</v>
      </c>
      <c r="AA166" s="52">
        <f t="shared" si="135"/>
        <v>595.21699999999998</v>
      </c>
      <c r="AB166" s="52">
        <f t="shared" si="136"/>
        <v>1190.434</v>
      </c>
      <c r="AC166" s="52">
        <f t="shared" si="137"/>
        <v>3571.3009999999999</v>
      </c>
      <c r="AD166" s="52">
        <f t="shared" si="138"/>
        <v>10344.271000000001</v>
      </c>
      <c r="AE166" s="52">
        <f t="shared" si="139"/>
        <v>19682.666000000001</v>
      </c>
      <c r="AF166" s="52">
        <f t="shared" si="140"/>
        <v>2916.741</v>
      </c>
      <c r="AG166" s="52">
        <f t="shared" si="141"/>
        <v>1339.0350000000001</v>
      </c>
      <c r="AH166" s="52">
        <f t="shared" si="142"/>
        <v>40234.882000000005</v>
      </c>
      <c r="AI166">
        <v>33.054000000000002</v>
      </c>
      <c r="AJ166" s="30">
        <f t="shared" si="143"/>
        <v>1329923.7896280002</v>
      </c>
      <c r="AK166">
        <f t="shared" si="144"/>
        <v>1190.4338</v>
      </c>
      <c r="AM166" s="20" t="s">
        <v>65</v>
      </c>
      <c r="AN166" t="s">
        <v>498</v>
      </c>
      <c r="AO166" t="s">
        <v>499</v>
      </c>
      <c r="AP166" t="s">
        <v>688</v>
      </c>
      <c r="AQ166" s="55">
        <v>14488.3416061715</v>
      </c>
      <c r="AR166" s="55">
        <v>6.0257325979166696</v>
      </c>
      <c r="AS166" t="s">
        <v>65</v>
      </c>
      <c r="AT166" t="s">
        <v>1310</v>
      </c>
      <c r="AU166" t="s">
        <v>1153</v>
      </c>
      <c r="AV166">
        <v>50.992594066806703</v>
      </c>
      <c r="AW166">
        <v>55.285153891705299</v>
      </c>
      <c r="AX166">
        <v>59.993643583207501</v>
      </c>
      <c r="AY166">
        <v>64.311228174972399</v>
      </c>
      <c r="AZ166">
        <v>69.4407068402747</v>
      </c>
      <c r="BA166">
        <v>79.375250227557203</v>
      </c>
      <c r="BB166">
        <v>88.303812052167601</v>
      </c>
      <c r="BC166">
        <v>100</v>
      </c>
      <c r="BD166">
        <v>122.112120739557</v>
      </c>
      <c r="BE166">
        <v>167.77395167013</v>
      </c>
      <c r="BF166">
        <v>218.03668951956399</v>
      </c>
      <c r="BG166">
        <v>298.509155817362</v>
      </c>
      <c r="BH166">
        <v>348.992404089437</v>
      </c>
      <c r="BJ166" s="20" t="s">
        <v>65</v>
      </c>
      <c r="BK166" t="s">
        <v>688</v>
      </c>
      <c r="BL166">
        <v>2015</v>
      </c>
      <c r="BM166">
        <f>INDEX('Costs lists'!$C$5:$C$8,MATCH(Lists!BK166,'Costs lists'!$B$5:$B$8,0))</f>
        <v>5.21</v>
      </c>
      <c r="BN166">
        <f>INDEX('Costs lists'!$D$5:$D$8,MATCH(Lists!BK166,'Costs lists'!$B$5:$B$8,0))</f>
        <v>5.16</v>
      </c>
      <c r="BO166">
        <f>INDEX('Costs lists'!$E$5:$E$8,MATCH(Lists!BK166,'Costs lists'!$B$5:$B$8,0))</f>
        <v>5.26</v>
      </c>
      <c r="BW166" s="20" t="s">
        <v>65</v>
      </c>
      <c r="BX166" s="20">
        <v>2008</v>
      </c>
      <c r="BY166" s="52">
        <v>5.0369999999999999</v>
      </c>
      <c r="BZ166" s="52">
        <v>6.2237999999999989</v>
      </c>
      <c r="CA166" s="52">
        <v>7.0931999999999986</v>
      </c>
      <c r="CB166" s="52">
        <v>7.3967999999999998</v>
      </c>
      <c r="CC166" s="375">
        <f t="shared" si="165"/>
        <v>5.2067399999999999</v>
      </c>
      <c r="CD166" s="375">
        <v>15.63</v>
      </c>
      <c r="CE166" s="375">
        <v>16.309999999999999</v>
      </c>
      <c r="CF166" s="375">
        <v>21.09</v>
      </c>
      <c r="CG166" s="375">
        <f t="shared" si="164"/>
        <v>16.653333333333332</v>
      </c>
      <c r="CI166" s="20" t="s">
        <v>65</v>
      </c>
      <c r="CJ166" s="20">
        <v>2015</v>
      </c>
      <c r="CK166" s="59">
        <f t="shared" si="145"/>
        <v>22.146383593864901</v>
      </c>
      <c r="CL166" s="59">
        <f t="shared" si="146"/>
        <v>27.364435618720737</v>
      </c>
      <c r="CM166" s="59">
        <f t="shared" si="147"/>
        <v>31.18696210204536</v>
      </c>
      <c r="CN166" s="59">
        <f t="shared" si="148"/>
        <v>32.521812620031746</v>
      </c>
      <c r="CO166" s="59">
        <f t="shared" si="149"/>
        <v>22.892686383466376</v>
      </c>
      <c r="CP166" s="59">
        <f t="shared" si="150"/>
        <v>68.721059275780902</v>
      </c>
      <c r="CQ166" s="59">
        <f t="shared" si="151"/>
        <v>71.710843044656841</v>
      </c>
      <c r="CR166" s="59">
        <f t="shared" si="152"/>
        <v>92.727264243520096</v>
      </c>
      <c r="CS166" s="59">
        <f t="shared" si="153"/>
        <v>73.220390731883427</v>
      </c>
      <c r="CW166" s="20" t="s">
        <v>65</v>
      </c>
      <c r="CX166">
        <v>2014</v>
      </c>
      <c r="CY166">
        <v>50.307668623412198</v>
      </c>
      <c r="CZ166">
        <v>12.348893165588379</v>
      </c>
      <c r="DB166">
        <v>185208.359375</v>
      </c>
      <c r="DC166">
        <v>0.59192276000976563</v>
      </c>
      <c r="DE166">
        <f t="shared" si="154"/>
        <v>8877.6412418583859</v>
      </c>
      <c r="DH166" t="e">
        <f t="shared" si="155"/>
        <v>#DIV/0!</v>
      </c>
      <c r="DI166" t="e">
        <f t="shared" si="162"/>
        <v>#DIV/0!</v>
      </c>
      <c r="DJ166" t="e">
        <f t="shared" si="163"/>
        <v>#DIV/0!</v>
      </c>
      <c r="DL166" s="20" t="s">
        <v>65</v>
      </c>
      <c r="DM166" s="99"/>
      <c r="DN166" s="100"/>
      <c r="DO166" s="101"/>
      <c r="DP166" s="101"/>
      <c r="DQ166" s="101"/>
      <c r="DR166" s="101"/>
      <c r="DS166" s="101"/>
      <c r="DT166" s="101"/>
      <c r="DU166" s="101"/>
      <c r="DV166" s="101"/>
      <c r="DW166" s="101"/>
      <c r="DX166" t="e">
        <f t="shared" ca="1" si="156"/>
        <v>#N/A</v>
      </c>
      <c r="DY166" t="e">
        <f t="shared" ca="1" si="157"/>
        <v>#N/A</v>
      </c>
      <c r="DZ166" t="e">
        <f t="shared" ca="1" si="158"/>
        <v>#N/A</v>
      </c>
      <c r="EB166" s="20" t="s">
        <v>65</v>
      </c>
      <c r="EC166" s="99"/>
      <c r="ED166" s="100"/>
      <c r="EE166" s="101"/>
      <c r="EF166" s="101"/>
      <c r="EG166" s="101"/>
      <c r="EH166" s="101"/>
      <c r="EI166" s="101"/>
      <c r="EJ166" s="101"/>
      <c r="EK166" s="101"/>
      <c r="EL166" s="101"/>
      <c r="EM166" s="101"/>
      <c r="EN166" s="101"/>
      <c r="EQ166" s="20" t="s">
        <v>65</v>
      </c>
      <c r="ER166" s="20" t="e">
        <f t="shared" ca="1" si="160"/>
        <v>#N/A</v>
      </c>
      <c r="ES166" t="e">
        <f t="shared" ca="1" si="161"/>
        <v>#N/A</v>
      </c>
      <c r="EU166" s="20" t="s">
        <v>65</v>
      </c>
      <c r="EV166" s="109">
        <v>4387.8963956029202</v>
      </c>
    </row>
    <row r="167" spans="1:152" x14ac:dyDescent="0.3">
      <c r="A167" s="20" t="s">
        <v>207</v>
      </c>
      <c r="B167" s="20" t="s">
        <v>633</v>
      </c>
      <c r="C167" s="81">
        <v>2015</v>
      </c>
      <c r="D167" s="82">
        <v>48.185000000000002</v>
      </c>
      <c r="E167" s="82">
        <v>48.576000000000001</v>
      </c>
      <c r="F167" s="82">
        <v>48.658000000000001</v>
      </c>
      <c r="G167" s="82">
        <v>47.667999999999999</v>
      </c>
      <c r="H167" s="82">
        <v>42.722000000000001</v>
      </c>
      <c r="I167" s="82">
        <v>44.954000000000001</v>
      </c>
      <c r="J167" s="82">
        <v>41.584000000000003</v>
      </c>
      <c r="K167" s="82">
        <v>34.722999999999999</v>
      </c>
      <c r="L167" s="82">
        <v>37.261000000000003</v>
      </c>
      <c r="M167" s="82">
        <v>34.603000000000002</v>
      </c>
      <c r="N167" s="82">
        <v>33.512</v>
      </c>
      <c r="O167" s="82">
        <v>24.916</v>
      </c>
      <c r="P167" s="82">
        <v>18.225000000000001</v>
      </c>
      <c r="Q167" s="82">
        <v>13.134</v>
      </c>
      <c r="R167" s="82">
        <v>10.019</v>
      </c>
      <c r="S167" s="82">
        <v>7.2</v>
      </c>
      <c r="T167" s="82">
        <v>4.3559999999999999</v>
      </c>
      <c r="U167" s="82">
        <v>1.9079999999999999</v>
      </c>
      <c r="V167" s="82">
        <v>0.627</v>
      </c>
      <c r="W167" s="82">
        <v>0.124</v>
      </c>
      <c r="X167" s="82">
        <v>0.02</v>
      </c>
      <c r="Y167" s="82">
        <f t="shared" si="133"/>
        <v>542.97500000000002</v>
      </c>
      <c r="Z167" s="52">
        <f t="shared" si="134"/>
        <v>4.819</v>
      </c>
      <c r="AA167" s="52">
        <f t="shared" si="135"/>
        <v>4.819</v>
      </c>
      <c r="AB167" s="52">
        <f t="shared" si="136"/>
        <v>9.6370000000000005</v>
      </c>
      <c r="AC167" s="52">
        <f t="shared" si="137"/>
        <v>28.911000000000001</v>
      </c>
      <c r="AD167" s="52">
        <f t="shared" si="138"/>
        <v>97.233999999999995</v>
      </c>
      <c r="AE167" s="52">
        <f t="shared" si="139"/>
        <v>283.51499999999999</v>
      </c>
      <c r="AF167" s="52">
        <f t="shared" si="140"/>
        <v>76.653000000000006</v>
      </c>
      <c r="AG167" s="52">
        <f t="shared" si="141"/>
        <v>37.387999999999998</v>
      </c>
      <c r="AH167" s="52">
        <f t="shared" si="142"/>
        <v>542.976</v>
      </c>
      <c r="AI167">
        <v>18.196999999999999</v>
      </c>
      <c r="AJ167" s="30">
        <f t="shared" si="143"/>
        <v>9880.534271999999</v>
      </c>
      <c r="AK167">
        <f t="shared" si="144"/>
        <v>9.6370000000000005</v>
      </c>
      <c r="AM167" s="20" t="s">
        <v>207</v>
      </c>
      <c r="AN167" t="s">
        <v>500</v>
      </c>
      <c r="AO167" t="s">
        <v>501</v>
      </c>
      <c r="AP167" t="s">
        <v>689</v>
      </c>
      <c r="AQ167" s="55">
        <v>32408.490261982595</v>
      </c>
      <c r="AR167" s="55">
        <v>3.4166666666666701</v>
      </c>
      <c r="AS167" t="s">
        <v>207</v>
      </c>
      <c r="AT167" t="s">
        <v>1311</v>
      </c>
      <c r="AU167" t="s">
        <v>1153</v>
      </c>
      <c r="AV167">
        <v>57.057169845767497</v>
      </c>
      <c r="AW167">
        <v>62.755084330693101</v>
      </c>
      <c r="AX167">
        <v>68.966585649992197</v>
      </c>
      <c r="AY167">
        <v>76.746916061383104</v>
      </c>
      <c r="AZ167">
        <v>81.678887275934002</v>
      </c>
      <c r="BA167">
        <v>93.658846264235393</v>
      </c>
      <c r="BB167">
        <v>93.506193737016503</v>
      </c>
      <c r="BC167">
        <v>100</v>
      </c>
      <c r="BD167">
        <v>117.711779641456</v>
      </c>
      <c r="BE167">
        <v>123.605447410941</v>
      </c>
      <c r="BF167">
        <v>125.97520966376899</v>
      </c>
      <c r="BG167">
        <v>130.24544894975801</v>
      </c>
      <c r="BH167">
        <v>139.224436408402</v>
      </c>
      <c r="BJ167" s="20" t="s">
        <v>207</v>
      </c>
      <c r="BK167" t="s">
        <v>689</v>
      </c>
      <c r="BL167">
        <v>2015</v>
      </c>
      <c r="BM167">
        <f>INDEX('Costs lists'!$C$5:$C$8,MATCH(Lists!BK167,'Costs lists'!$B$5:$B$8,0))</f>
        <v>3.2</v>
      </c>
      <c r="BN167">
        <f>INDEX('Costs lists'!$D$5:$D$8,MATCH(Lists!BK167,'Costs lists'!$B$5:$B$8,0))</f>
        <v>1.1200000000000001</v>
      </c>
      <c r="BO167">
        <f>INDEX('Costs lists'!$E$5:$E$8,MATCH(Lists!BK167,'Costs lists'!$B$5:$B$8,0))</f>
        <v>4.4400000000000004</v>
      </c>
      <c r="BW167" s="20" t="s">
        <v>207</v>
      </c>
      <c r="BX167" s="20">
        <v>2008</v>
      </c>
      <c r="BY167" s="52">
        <v>23.435000000000002</v>
      </c>
      <c r="BZ167" s="52">
        <v>28.928599999999999</v>
      </c>
      <c r="CA167" s="52">
        <v>32.983400000000003</v>
      </c>
      <c r="CB167" s="52">
        <v>34.3568</v>
      </c>
      <c r="CC167" s="375">
        <f t="shared" si="165"/>
        <v>24.221435000000003</v>
      </c>
      <c r="CD167" s="375">
        <v>69.180000000000007</v>
      </c>
      <c r="CE167" s="375">
        <v>72.17</v>
      </c>
      <c r="CF167" s="375">
        <v>93.32</v>
      </c>
      <c r="CG167" s="375">
        <f t="shared" si="164"/>
        <v>73.701666666666668</v>
      </c>
      <c r="CI167" s="20" t="s">
        <v>207</v>
      </c>
      <c r="CJ167" s="20">
        <v>2015</v>
      </c>
      <c r="CK167" s="59">
        <f t="shared" si="145"/>
        <v>34.836267980772753</v>
      </c>
      <c r="CL167" s="59">
        <f t="shared" si="146"/>
        <v>43.002537312079475</v>
      </c>
      <c r="CM167" s="59">
        <f t="shared" si="147"/>
        <v>49.030021818520162</v>
      </c>
      <c r="CN167" s="59">
        <f t="shared" si="148"/>
        <v>51.071589151346835</v>
      </c>
      <c r="CO167" s="59">
        <f t="shared" si="149"/>
        <v>36.005308322546128</v>
      </c>
      <c r="CP167" s="59">
        <f t="shared" si="150"/>
        <v>102.83648469852183</v>
      </c>
      <c r="CQ167" s="59">
        <f t="shared" si="151"/>
        <v>107.28113762203411</v>
      </c>
      <c r="CR167" s="59">
        <f t="shared" si="152"/>
        <v>138.72073940540699</v>
      </c>
      <c r="CS167" s="59">
        <f t="shared" si="153"/>
        <v>109.55796930358807</v>
      </c>
      <c r="CW167" s="20" t="s">
        <v>207</v>
      </c>
      <c r="CX167">
        <v>2014</v>
      </c>
      <c r="CY167">
        <v>0.53824799999999995</v>
      </c>
      <c r="CZ167">
        <v>0.19879300892353058</v>
      </c>
      <c r="DB167">
        <v>7784.78955078125</v>
      </c>
      <c r="DC167">
        <v>0.45317032933235168</v>
      </c>
      <c r="DE167">
        <f t="shared" si="154"/>
        <v>17746.276207669038</v>
      </c>
      <c r="DH167" t="e">
        <f t="shared" si="155"/>
        <v>#DIV/0!</v>
      </c>
      <c r="DI167" t="e">
        <f t="shared" si="162"/>
        <v>#DIV/0!</v>
      </c>
      <c r="DJ167" t="e">
        <f t="shared" si="163"/>
        <v>#DIV/0!</v>
      </c>
      <c r="DL167" s="20" t="s">
        <v>207</v>
      </c>
      <c r="DM167" s="99"/>
      <c r="DN167" s="100"/>
      <c r="DO167" s="101"/>
      <c r="DP167" s="101"/>
      <c r="DQ167" s="101"/>
      <c r="DR167" s="101"/>
      <c r="DS167" s="101"/>
      <c r="DT167" s="101"/>
      <c r="DU167" s="101"/>
      <c r="DV167" s="101"/>
      <c r="DW167" s="101"/>
      <c r="DX167" t="e">
        <f t="shared" ca="1" si="156"/>
        <v>#N/A</v>
      </c>
      <c r="DY167" t="e">
        <f t="shared" ca="1" si="157"/>
        <v>#N/A</v>
      </c>
      <c r="DZ167" t="e">
        <f t="shared" ca="1" si="158"/>
        <v>#N/A</v>
      </c>
      <c r="EB167" s="20" t="s">
        <v>207</v>
      </c>
      <c r="EC167" s="99" t="s">
        <v>839</v>
      </c>
      <c r="ED167" s="100" t="s">
        <v>809</v>
      </c>
      <c r="EE167" s="101"/>
      <c r="EF167" s="101"/>
      <c r="EG167" s="101"/>
      <c r="EH167" s="101"/>
      <c r="EI167" s="101"/>
      <c r="EJ167" s="101"/>
      <c r="EK167" s="101"/>
      <c r="EL167" s="101">
        <v>59</v>
      </c>
      <c r="EM167" s="101">
        <v>58.6</v>
      </c>
      <c r="EN167" s="101"/>
      <c r="EO167">
        <f ca="1">OFFSET(EE167,0,MATCH(MAX(EE167:EN167)+1,EE167:EN167,1)-1)</f>
        <v>58.6</v>
      </c>
      <c r="EQ167" s="20" t="s">
        <v>207</v>
      </c>
      <c r="ER167" s="20" t="e">
        <f t="shared" ca="1" si="160"/>
        <v>#N/A</v>
      </c>
      <c r="ES167" t="e">
        <f t="shared" ca="1" si="161"/>
        <v>#N/A</v>
      </c>
      <c r="EU167" s="20" t="s">
        <v>207</v>
      </c>
      <c r="EV167" s="109">
        <v>16702.659226383559</v>
      </c>
    </row>
    <row r="168" spans="1:152" x14ac:dyDescent="0.3">
      <c r="A168" s="20" t="s">
        <v>71</v>
      </c>
      <c r="B168" s="20" t="s">
        <v>632</v>
      </c>
      <c r="C168" s="81">
        <v>2015</v>
      </c>
      <c r="D168" s="82">
        <v>173.392</v>
      </c>
      <c r="E168" s="82">
        <v>159.70400000000001</v>
      </c>
      <c r="F168" s="82">
        <v>147.65100000000001</v>
      </c>
      <c r="G168" s="82">
        <v>147.37100000000001</v>
      </c>
      <c r="H168" s="82">
        <v>149.81100000000001</v>
      </c>
      <c r="I168" s="82">
        <v>134.10499999999999</v>
      </c>
      <c r="J168" s="82">
        <v>95.759</v>
      </c>
      <c r="K168" s="82">
        <v>61.762</v>
      </c>
      <c r="L168" s="82">
        <v>44.570999999999998</v>
      </c>
      <c r="M168" s="82">
        <v>38.036000000000001</v>
      </c>
      <c r="N168" s="82">
        <v>33.540999999999997</v>
      </c>
      <c r="O168" s="82">
        <v>29.933</v>
      </c>
      <c r="P168" s="82">
        <v>25.224</v>
      </c>
      <c r="Q168" s="82">
        <v>19.27</v>
      </c>
      <c r="R168" s="82">
        <v>13.122</v>
      </c>
      <c r="S168" s="82">
        <v>8.1679999999999993</v>
      </c>
      <c r="T168" s="82">
        <v>3.8380000000000001</v>
      </c>
      <c r="U168" s="82">
        <v>1.3480000000000001</v>
      </c>
      <c r="V168" s="82">
        <v>0.318</v>
      </c>
      <c r="W168" s="82">
        <v>4.2999999999999997E-2</v>
      </c>
      <c r="X168" s="82">
        <v>3.0000000000000001E-3</v>
      </c>
      <c r="Y168" s="82">
        <f t="shared" ref="Y168:Y195" si="167">SUM(D168:X168)</f>
        <v>1286.9699999999996</v>
      </c>
      <c r="Z168" s="52">
        <f t="shared" ref="Z168:Z195" si="168">ROUND(D168/10,3)</f>
        <v>17.338999999999999</v>
      </c>
      <c r="AA168" s="52">
        <f t="shared" ref="AA168:AA195" si="169">ROUND(D168/10,3)</f>
        <v>17.338999999999999</v>
      </c>
      <c r="AB168" s="52">
        <f t="shared" ref="AB168:AB195" si="170">ROUND(D168/5,3)</f>
        <v>34.677999999999997</v>
      </c>
      <c r="AC168" s="52">
        <f t="shared" ref="AC168:AC195" si="171">ROUND(D168/5*3,3)</f>
        <v>104.035</v>
      </c>
      <c r="AD168" s="52">
        <f t="shared" ref="AD168:AD195" si="172">ROUND(E168+F168,3)</f>
        <v>307.35500000000002</v>
      </c>
      <c r="AE168" s="52">
        <f t="shared" ref="AE168:AE195" si="173">ROUND(SUM(G168:M168),3)</f>
        <v>671.41499999999996</v>
      </c>
      <c r="AF168" s="52">
        <f t="shared" ref="AF168:AF195" si="174">ROUND(SUM(N168:P168),3)</f>
        <v>88.697999999999993</v>
      </c>
      <c r="AG168" s="52">
        <f t="shared" ref="AG168:AG195" si="175">ROUND(SUM(Q168:X168),3)</f>
        <v>46.11</v>
      </c>
      <c r="AH168" s="52">
        <f t="shared" ref="AH168:AH195" si="176">SUM(Z168:AG168)</f>
        <v>1286.9690000000001</v>
      </c>
      <c r="AI168">
        <v>29.747</v>
      </c>
      <c r="AJ168" s="30">
        <f t="shared" ref="AJ168:AJ195" si="177">AH168*AI168</f>
        <v>38283.466843000002</v>
      </c>
      <c r="AK168">
        <f t="shared" ref="AK168:AK195" si="178">D168/5</f>
        <v>34.678399999999996</v>
      </c>
      <c r="AM168" s="20" t="s">
        <v>71</v>
      </c>
      <c r="AN168" t="s">
        <v>502</v>
      </c>
      <c r="AO168" t="s">
        <v>503</v>
      </c>
      <c r="AP168" t="s">
        <v>688</v>
      </c>
      <c r="AQ168" s="55">
        <v>40830.304746808397</v>
      </c>
      <c r="AR168" s="55">
        <v>12.7589308811644</v>
      </c>
      <c r="AS168" t="s">
        <v>71</v>
      </c>
      <c r="AT168" t="s">
        <v>1312</v>
      </c>
      <c r="AU168" t="s">
        <v>1153</v>
      </c>
      <c r="AV168">
        <v>64.083247130315598</v>
      </c>
      <c r="AW168">
        <v>66.291129719720104</v>
      </c>
      <c r="AX168">
        <v>69.455870934371802</v>
      </c>
      <c r="AY168">
        <v>73.140254473595803</v>
      </c>
      <c r="AZ168">
        <v>79.047125992087501</v>
      </c>
      <c r="BA168">
        <v>89.052484493022803</v>
      </c>
      <c r="BB168">
        <v>95.685322129667199</v>
      </c>
      <c r="BC168">
        <v>100</v>
      </c>
      <c r="BD168">
        <v>106.105198202114</v>
      </c>
      <c r="BE168">
        <v>115.590588246569</v>
      </c>
      <c r="BF168">
        <v>122.08631627024</v>
      </c>
      <c r="BG168">
        <v>129.02724915413501</v>
      </c>
      <c r="BH168">
        <v>135.41982363937299</v>
      </c>
      <c r="BJ168" s="20" t="s">
        <v>71</v>
      </c>
      <c r="BK168" t="s">
        <v>688</v>
      </c>
      <c r="BL168">
        <v>2015</v>
      </c>
      <c r="BM168">
        <f>INDEX('Costs lists'!$C$5:$C$8,MATCH(Lists!BK168,'Costs lists'!$B$5:$B$8,0))</f>
        <v>5.21</v>
      </c>
      <c r="BN168">
        <f>INDEX('Costs lists'!$D$5:$D$8,MATCH(Lists!BK168,'Costs lists'!$B$5:$B$8,0))</f>
        <v>5.16</v>
      </c>
      <c r="BO168">
        <f>INDEX('Costs lists'!$E$5:$E$8,MATCH(Lists!BK168,'Costs lists'!$B$5:$B$8,0))</f>
        <v>5.26</v>
      </c>
      <c r="BW168" s="20" t="s">
        <v>71</v>
      </c>
      <c r="BX168" s="20">
        <v>2008</v>
      </c>
      <c r="BY168" s="52">
        <v>30.769200000000001</v>
      </c>
      <c r="BZ168" s="52">
        <v>37.973100000000002</v>
      </c>
      <c r="CA168" s="52">
        <v>43.304800000000007</v>
      </c>
      <c r="CB168" s="52">
        <v>45.136300000000006</v>
      </c>
      <c r="CC168" s="375">
        <f t="shared" si="165"/>
        <v>31.801962500000002</v>
      </c>
      <c r="CD168" s="375">
        <v>42.59</v>
      </c>
      <c r="CE168" s="375">
        <v>44.43</v>
      </c>
      <c r="CF168" s="375">
        <v>57.45</v>
      </c>
      <c r="CG168" s="375">
        <f t="shared" si="164"/>
        <v>45.373333333333335</v>
      </c>
      <c r="CI168" s="20" t="s">
        <v>71</v>
      </c>
      <c r="CJ168" s="20">
        <v>2015</v>
      </c>
      <c r="CK168" s="59">
        <f t="shared" ref="CK168:CK195" si="179">BY168*($BH168/$BA168)</f>
        <v>46.789931367395575</v>
      </c>
      <c r="CL168" s="59">
        <f t="shared" ref="CL168:CL195" si="180">BZ168*($BH168/$BA168)</f>
        <v>57.744716885952471</v>
      </c>
      <c r="CM168" s="59">
        <f t="shared" ref="CM168:CM195" si="181">CA168*($BH168/$BA168)</f>
        <v>65.852495998556734</v>
      </c>
      <c r="CN168" s="59">
        <f t="shared" ref="CN168:CN195" si="182">CB168*($BH168/$BA168)</f>
        <v>68.637610960901711</v>
      </c>
      <c r="CO168" s="59">
        <f t="shared" ref="CO168:CO195" si="183">CC168*($BH168/$BA168)</f>
        <v>48.3604267489401</v>
      </c>
      <c r="CP168" s="59">
        <f t="shared" ref="CP168:CP195" si="184">CD168*($BH168/$BA168)</f>
        <v>64.765518015982792</v>
      </c>
      <c r="CQ168" s="59">
        <f t="shared" ref="CQ168:CQ195" si="185">CE168*($BH168/$BA168)</f>
        <v>67.563558709793725</v>
      </c>
      <c r="CR168" s="59">
        <f t="shared" ref="CR168:CR195" si="186">CF168*($BH168/$BA168)</f>
        <v>87.362737967086431</v>
      </c>
      <c r="CS168" s="59">
        <f t="shared" ref="CS168:CS195" si="187">CG168*($BH168/$BA168)</f>
        <v>68.998061456801878</v>
      </c>
      <c r="CW168" s="20" t="s">
        <v>71</v>
      </c>
      <c r="CX168">
        <v>2014</v>
      </c>
      <c r="CY168">
        <v>1.269112</v>
      </c>
      <c r="CZ168">
        <v>0.30073601007461548</v>
      </c>
      <c r="DB168">
        <v>9566.072265625</v>
      </c>
      <c r="DC168">
        <v>0.61704498529434204</v>
      </c>
      <c r="DE168">
        <f t="shared" ref="DE168:DE195" si="188">DB168*DC168/CZ168</f>
        <v>19627.502935224406</v>
      </c>
      <c r="DH168" t="e">
        <f t="shared" ref="DH168:DH195" si="189">DE168/DA168</f>
        <v>#DIV/0!</v>
      </c>
      <c r="DI168" t="e">
        <f t="shared" si="162"/>
        <v>#DIV/0!</v>
      </c>
      <c r="DJ168" t="e">
        <f t="shared" si="163"/>
        <v>#DIV/0!</v>
      </c>
      <c r="DL168" s="20" t="s">
        <v>71</v>
      </c>
      <c r="DM168" s="99"/>
      <c r="DN168" s="100"/>
      <c r="DO168" s="101"/>
      <c r="DP168" s="101"/>
      <c r="DQ168" s="101"/>
      <c r="DR168" s="101"/>
      <c r="DS168" s="101"/>
      <c r="DT168" s="101"/>
      <c r="DU168" s="101"/>
      <c r="DV168" s="101"/>
      <c r="DW168" s="101"/>
      <c r="DX168" t="e">
        <f t="shared" ref="DX168:DX195" ca="1" si="190">OFFSET(DO168,0,MATCH(MAX(DO168:DW168)+1,DO168:DW168,1)-1)</f>
        <v>#N/A</v>
      </c>
      <c r="DY168" t="e">
        <f t="shared" ref="DY168:DY195" ca="1" si="191">DX168/5</f>
        <v>#N/A</v>
      </c>
      <c r="DZ168" t="e">
        <f t="shared" ref="DZ168:DZ195" ca="1" si="192">DY168*DI168</f>
        <v>#N/A</v>
      </c>
      <c r="EB168" s="20" t="s">
        <v>71</v>
      </c>
      <c r="EC168" s="99"/>
      <c r="ED168" s="100"/>
      <c r="EE168" s="101"/>
      <c r="EF168" s="101"/>
      <c r="EG168" s="101"/>
      <c r="EH168" s="101"/>
      <c r="EI168" s="101"/>
      <c r="EJ168" s="101"/>
      <c r="EK168" s="101"/>
      <c r="EL168" s="101"/>
      <c r="EM168" s="101"/>
      <c r="EN168" s="101"/>
      <c r="EQ168" s="20" t="s">
        <v>71</v>
      </c>
      <c r="ER168" s="20" t="e">
        <f t="shared" ref="ER168:ER195" ca="1" si="193">DZ168</f>
        <v>#N/A</v>
      </c>
      <c r="ES168" t="e">
        <f t="shared" ref="ES168:ES195" ca="1" si="194">DZ168*EO168/100</f>
        <v>#N/A</v>
      </c>
      <c r="EU168" s="20" t="s">
        <v>71</v>
      </c>
      <c r="EV168" s="109">
        <v>8647.7861492867996</v>
      </c>
    </row>
    <row r="169" spans="1:152" x14ac:dyDescent="0.3">
      <c r="A169" s="20" t="s">
        <v>154</v>
      </c>
      <c r="B169" s="20" t="s">
        <v>257</v>
      </c>
      <c r="C169" s="81">
        <v>2015</v>
      </c>
      <c r="D169" s="82">
        <v>590.06100000000004</v>
      </c>
      <c r="E169" s="82">
        <v>581.03300000000002</v>
      </c>
      <c r="F169" s="82">
        <v>519.26800000000003</v>
      </c>
      <c r="G169" s="82">
        <v>505.39100000000002</v>
      </c>
      <c r="H169" s="82">
        <v>697.56799999999998</v>
      </c>
      <c r="I169" s="82">
        <v>656.91600000000005</v>
      </c>
      <c r="J169" s="82">
        <v>610.14400000000001</v>
      </c>
      <c r="K169" s="82">
        <v>598.67700000000002</v>
      </c>
      <c r="L169" s="82">
        <v>630.39800000000002</v>
      </c>
      <c r="M169" s="82">
        <v>706.13699999999994</v>
      </c>
      <c r="N169" s="82">
        <v>607.25199999999995</v>
      </c>
      <c r="O169" s="82">
        <v>579.09299999999996</v>
      </c>
      <c r="P169" s="82">
        <v>547.27300000000002</v>
      </c>
      <c r="Q169" s="82">
        <v>639.23599999999999</v>
      </c>
      <c r="R169" s="82">
        <v>481.20100000000002</v>
      </c>
      <c r="S169" s="82">
        <v>330.96199999999999</v>
      </c>
      <c r="T169" s="82">
        <v>240.40100000000001</v>
      </c>
      <c r="U169" s="82">
        <v>162.136</v>
      </c>
      <c r="V169" s="82">
        <v>77.015000000000001</v>
      </c>
      <c r="W169" s="82">
        <v>17.437999999999999</v>
      </c>
      <c r="X169" s="82">
        <v>1.8260000000000001</v>
      </c>
      <c r="Y169" s="82">
        <f t="shared" si="167"/>
        <v>9779.4259999999995</v>
      </c>
      <c r="Z169" s="52">
        <f t="shared" si="168"/>
        <v>59.006</v>
      </c>
      <c r="AA169" s="52">
        <f t="shared" si="169"/>
        <v>59.006</v>
      </c>
      <c r="AB169" s="52">
        <f t="shared" si="170"/>
        <v>118.012</v>
      </c>
      <c r="AC169" s="52">
        <f t="shared" si="171"/>
        <v>354.03699999999998</v>
      </c>
      <c r="AD169" s="52">
        <f t="shared" si="172"/>
        <v>1100.3009999999999</v>
      </c>
      <c r="AE169" s="52">
        <f t="shared" si="173"/>
        <v>4405.2309999999998</v>
      </c>
      <c r="AF169" s="52">
        <f t="shared" si="174"/>
        <v>1733.6179999999999</v>
      </c>
      <c r="AG169" s="52">
        <f t="shared" si="175"/>
        <v>1950.2149999999999</v>
      </c>
      <c r="AH169" s="52">
        <f t="shared" si="176"/>
        <v>9779.4259999999995</v>
      </c>
      <c r="AI169">
        <v>11.9</v>
      </c>
      <c r="AJ169" s="30">
        <f t="shared" si="177"/>
        <v>116375.1694</v>
      </c>
      <c r="AK169">
        <f t="shared" si="178"/>
        <v>118.01220000000001</v>
      </c>
      <c r="AM169" s="20" t="s">
        <v>154</v>
      </c>
      <c r="AN169" t="s">
        <v>504</v>
      </c>
      <c r="AO169" t="s">
        <v>505</v>
      </c>
      <c r="AP169" t="s">
        <v>690</v>
      </c>
      <c r="AQ169" s="55">
        <v>426678.60371259408</v>
      </c>
      <c r="AR169" s="55">
        <v>8.4348408333333307</v>
      </c>
      <c r="AS169" t="s">
        <v>154</v>
      </c>
      <c r="AT169" t="s">
        <v>1313</v>
      </c>
      <c r="AU169" t="s">
        <v>1153</v>
      </c>
      <c r="AV169">
        <v>91.943895726057704</v>
      </c>
      <c r="AW169">
        <v>92.287453129347995</v>
      </c>
      <c r="AX169">
        <v>92.705672967515099</v>
      </c>
      <c r="AY169">
        <v>93.966669146230899</v>
      </c>
      <c r="AZ169">
        <v>96.045370515776895</v>
      </c>
      <c r="BA169">
        <v>99.346497064471293</v>
      </c>
      <c r="BB169">
        <v>98.855267834265902</v>
      </c>
      <c r="BC169">
        <v>100</v>
      </c>
      <c r="BD169">
        <v>102.96115073822099</v>
      </c>
      <c r="BE169">
        <v>103.875834442249</v>
      </c>
      <c r="BF169">
        <v>103.82982474990899</v>
      </c>
      <c r="BG169">
        <v>103.64330641628599</v>
      </c>
      <c r="BH169">
        <v>103.594817159687</v>
      </c>
      <c r="BJ169" s="20" t="s">
        <v>154</v>
      </c>
      <c r="BK169" t="s">
        <v>690</v>
      </c>
      <c r="BL169">
        <v>2015</v>
      </c>
      <c r="BM169">
        <f>INDEX('Costs lists'!$C$5:$C$8,MATCH(Lists!BK169,'Costs lists'!$B$5:$B$8,0))</f>
        <v>3.55</v>
      </c>
      <c r="BN169">
        <f>INDEX('Costs lists'!$D$5:$D$8,MATCH(Lists!BK169,'Costs lists'!$B$5:$B$8,0))</f>
        <v>2.91</v>
      </c>
      <c r="BO169">
        <f>INDEX('Costs lists'!$E$5:$E$8,MATCH(Lists!BK169,'Costs lists'!$B$5:$B$8,0))</f>
        <v>7.59</v>
      </c>
      <c r="BW169" s="20" t="s">
        <v>154</v>
      </c>
      <c r="BX169" s="20">
        <v>2008</v>
      </c>
      <c r="BY169" s="52">
        <v>402.04319999999996</v>
      </c>
      <c r="BZ169" s="52">
        <v>496.36599999999999</v>
      </c>
      <c r="CA169" s="52">
        <v>565.67160000000001</v>
      </c>
      <c r="CB169" s="52">
        <v>589.53959999999995</v>
      </c>
      <c r="CC169" s="375">
        <f t="shared" si="165"/>
        <v>415.53746000000001</v>
      </c>
      <c r="CD169" s="375">
        <v>504.92</v>
      </c>
      <c r="CE169" s="375">
        <v>526.75</v>
      </c>
      <c r="CF169" s="375">
        <v>681.12</v>
      </c>
      <c r="CG169" s="375">
        <f t="shared" si="164"/>
        <v>537.92499999999995</v>
      </c>
      <c r="CI169" s="20" t="s">
        <v>154</v>
      </c>
      <c r="CJ169" s="20">
        <v>2015</v>
      </c>
      <c r="CK169" s="59">
        <f t="shared" si="179"/>
        <v>419.23563512528085</v>
      </c>
      <c r="CL169" s="59">
        <f t="shared" si="180"/>
        <v>517.59192859024893</v>
      </c>
      <c r="CM169" s="59">
        <f t="shared" si="181"/>
        <v>589.8612201333932</v>
      </c>
      <c r="CN169" s="59">
        <f t="shared" si="182"/>
        <v>614.74987921075149</v>
      </c>
      <c r="CO169" s="59">
        <f t="shared" si="183"/>
        <v>433.30694552586885</v>
      </c>
      <c r="CP169" s="59">
        <f t="shared" si="184"/>
        <v>526.51172035108868</v>
      </c>
      <c r="CQ169" s="59">
        <f t="shared" si="185"/>
        <v>549.2752291351818</v>
      </c>
      <c r="CR169" s="59">
        <f t="shared" si="186"/>
        <v>710.2465003674514</v>
      </c>
      <c r="CS169" s="59">
        <f t="shared" si="187"/>
        <v>560.92810181783125</v>
      </c>
      <c r="CW169" s="20" t="s">
        <v>154</v>
      </c>
      <c r="CX169">
        <v>2014</v>
      </c>
      <c r="CY169">
        <v>9.7032469999999993</v>
      </c>
      <c r="CZ169">
        <v>4.7515811920166016</v>
      </c>
      <c r="DA169">
        <v>1608.5216840772396</v>
      </c>
      <c r="DB169">
        <v>408673.3125</v>
      </c>
      <c r="DC169">
        <v>0.56557238101959229</v>
      </c>
      <c r="DE169">
        <f t="shared" si="188"/>
        <v>48643.668090557032</v>
      </c>
      <c r="DH169">
        <f t="shared" si="189"/>
        <v>30.241226196749992</v>
      </c>
      <c r="DI169">
        <f t="shared" si="162"/>
        <v>30.227077916194055</v>
      </c>
      <c r="DJ169">
        <f t="shared" si="163"/>
        <v>61.726989660171931</v>
      </c>
      <c r="DL169" s="20" t="s">
        <v>154</v>
      </c>
      <c r="DM169" s="99" t="s">
        <v>796</v>
      </c>
      <c r="DN169" s="100" t="s">
        <v>754</v>
      </c>
      <c r="DO169" s="101">
        <v>36.1</v>
      </c>
      <c r="DP169" s="101">
        <v>36.1</v>
      </c>
      <c r="DQ169" s="101">
        <v>35.700000000000003</v>
      </c>
      <c r="DR169" s="101">
        <v>36.299999999999997</v>
      </c>
      <c r="DS169" s="101">
        <v>36.200000000000003</v>
      </c>
      <c r="DT169" s="101">
        <v>36.1</v>
      </c>
      <c r="DU169" s="101">
        <v>36</v>
      </c>
      <c r="DV169" s="101">
        <v>35.799999999999997</v>
      </c>
      <c r="DW169" s="101">
        <v>35.799999999999997</v>
      </c>
      <c r="DX169">
        <f t="shared" ca="1" si="190"/>
        <v>35.799999999999997</v>
      </c>
      <c r="DY169">
        <f t="shared" ca="1" si="191"/>
        <v>7.1599999999999993</v>
      </c>
      <c r="DZ169">
        <f t="shared" ca="1" si="192"/>
        <v>216.42587787994941</v>
      </c>
      <c r="EB169" s="20" t="s">
        <v>154</v>
      </c>
      <c r="EC169" s="99" t="s">
        <v>796</v>
      </c>
      <c r="ED169" s="100" t="s">
        <v>754</v>
      </c>
      <c r="EE169" s="101">
        <v>58.9</v>
      </c>
      <c r="EF169" s="101">
        <v>59.8</v>
      </c>
      <c r="EG169" s="101">
        <v>60</v>
      </c>
      <c r="EH169" s="101">
        <v>58</v>
      </c>
      <c r="EI169" s="101">
        <v>64.5</v>
      </c>
      <c r="EJ169" s="101">
        <v>65.400000000000006</v>
      </c>
      <c r="EK169" s="101">
        <v>65.5</v>
      </c>
      <c r="EL169" s="101">
        <v>65.7</v>
      </c>
      <c r="EM169" s="101">
        <v>66.2</v>
      </c>
      <c r="EN169" s="101">
        <v>66.599999999999994</v>
      </c>
      <c r="EO169">
        <f t="shared" ref="EO169:EO174" ca="1" si="195">OFFSET(EE169,0,MATCH(MAX(EE169:EN169)+1,EE169:EN169,1)-1)</f>
        <v>66.599999999999994</v>
      </c>
      <c r="EQ169" s="20" t="s">
        <v>154</v>
      </c>
      <c r="ER169" s="20">
        <f t="shared" ca="1" si="193"/>
        <v>216.42587787994941</v>
      </c>
      <c r="ES169">
        <f t="shared" ca="1" si="194"/>
        <v>144.13963466804628</v>
      </c>
      <c r="EU169" s="20" t="s">
        <v>154</v>
      </c>
      <c r="EV169" s="109">
        <v>46703.645497611644</v>
      </c>
    </row>
    <row r="170" spans="1:152" x14ac:dyDescent="0.3">
      <c r="A170" s="20" t="s">
        <v>174</v>
      </c>
      <c r="B170" s="20" t="s">
        <v>257</v>
      </c>
      <c r="C170" s="81">
        <v>2015</v>
      </c>
      <c r="D170" s="82">
        <v>423.17500000000001</v>
      </c>
      <c r="E170" s="82">
        <v>405.36599999999999</v>
      </c>
      <c r="F170" s="82">
        <v>397.61599999999999</v>
      </c>
      <c r="G170" s="82">
        <v>435.01600000000002</v>
      </c>
      <c r="H170" s="82">
        <v>509.51600000000002</v>
      </c>
      <c r="I170" s="82">
        <v>557.22699999999998</v>
      </c>
      <c r="J170" s="82">
        <v>591.61300000000006</v>
      </c>
      <c r="K170" s="82">
        <v>557.62400000000002</v>
      </c>
      <c r="L170" s="82">
        <v>589.30700000000002</v>
      </c>
      <c r="M170" s="82">
        <v>677.38400000000001</v>
      </c>
      <c r="N170" s="82">
        <v>651.47</v>
      </c>
      <c r="O170" s="82">
        <v>548.05899999999997</v>
      </c>
      <c r="P170" s="82">
        <v>458.05799999999999</v>
      </c>
      <c r="Q170" s="82">
        <v>445.1</v>
      </c>
      <c r="R170" s="82">
        <v>362.20800000000003</v>
      </c>
      <c r="S170" s="82">
        <v>273.22399999999999</v>
      </c>
      <c r="T170" s="82">
        <v>209.059</v>
      </c>
      <c r="U170" s="82">
        <v>136.12100000000001</v>
      </c>
      <c r="V170" s="82">
        <v>57.859000000000002</v>
      </c>
      <c r="W170" s="82">
        <v>12.047000000000001</v>
      </c>
      <c r="X170" s="82">
        <v>1.6140000000000001</v>
      </c>
      <c r="Y170" s="82">
        <f t="shared" si="167"/>
        <v>8298.6630000000005</v>
      </c>
      <c r="Z170" s="52">
        <f t="shared" si="168"/>
        <v>42.317999999999998</v>
      </c>
      <c r="AA170" s="52">
        <f t="shared" si="169"/>
        <v>42.317999999999998</v>
      </c>
      <c r="AB170" s="52">
        <f t="shared" si="170"/>
        <v>84.635000000000005</v>
      </c>
      <c r="AC170" s="52">
        <f t="shared" si="171"/>
        <v>253.905</v>
      </c>
      <c r="AD170" s="52">
        <f t="shared" si="172"/>
        <v>802.98199999999997</v>
      </c>
      <c r="AE170" s="52">
        <f t="shared" si="173"/>
        <v>3917.6869999999999</v>
      </c>
      <c r="AF170" s="52">
        <f t="shared" si="174"/>
        <v>1657.587</v>
      </c>
      <c r="AG170" s="52">
        <f t="shared" si="175"/>
        <v>1497.232</v>
      </c>
      <c r="AH170" s="52">
        <f t="shared" si="176"/>
        <v>8298.6639999999989</v>
      </c>
      <c r="AI170">
        <v>10.199999999999999</v>
      </c>
      <c r="AJ170" s="30">
        <f t="shared" si="177"/>
        <v>84646.372799999983</v>
      </c>
      <c r="AK170">
        <f t="shared" si="178"/>
        <v>84.635000000000005</v>
      </c>
      <c r="AM170" s="20" t="s">
        <v>174</v>
      </c>
      <c r="AN170" t="s">
        <v>406</v>
      </c>
      <c r="AO170" t="s">
        <v>407</v>
      </c>
      <c r="AP170" t="s">
        <v>690</v>
      </c>
      <c r="AQ170" s="55">
        <v>77952.201793651577</v>
      </c>
      <c r="AR170" s="55">
        <v>0.96238132800435405</v>
      </c>
      <c r="AS170" t="s">
        <v>174</v>
      </c>
      <c r="AT170" t="s">
        <v>1314</v>
      </c>
      <c r="AU170" t="s">
        <v>1153</v>
      </c>
      <c r="AV170">
        <v>93.837992809590702</v>
      </c>
      <c r="AW170">
        <v>94.591420947698197</v>
      </c>
      <c r="AX170">
        <v>95.700005601034206</v>
      </c>
      <c r="AY170">
        <v>96.713255813953495</v>
      </c>
      <c r="AZ170">
        <v>97.421812349638799</v>
      </c>
      <c r="BA170">
        <v>99.785886126704099</v>
      </c>
      <c r="BB170">
        <v>99.306335204490097</v>
      </c>
      <c r="BC170">
        <v>100</v>
      </c>
      <c r="BD170">
        <v>100.231346209988</v>
      </c>
      <c r="BE170">
        <v>99.537199413429207</v>
      </c>
      <c r="BF170">
        <v>99.320885508264794</v>
      </c>
      <c r="BG170">
        <v>99.307789012530193</v>
      </c>
      <c r="BH170">
        <v>98.171792249477207</v>
      </c>
      <c r="BJ170" s="20" t="s">
        <v>174</v>
      </c>
      <c r="BK170" t="s">
        <v>690</v>
      </c>
      <c r="BL170">
        <v>2015</v>
      </c>
      <c r="BM170">
        <f>INDEX('Costs lists'!$C$5:$C$8,MATCH(Lists!BK170,'Costs lists'!$B$5:$B$8,0))</f>
        <v>3.55</v>
      </c>
      <c r="BN170">
        <f>INDEX('Costs lists'!$D$5:$D$8,MATCH(Lists!BK170,'Costs lists'!$B$5:$B$8,0))</f>
        <v>2.91</v>
      </c>
      <c r="BO170">
        <f>INDEX('Costs lists'!$E$5:$E$8,MATCH(Lists!BK170,'Costs lists'!$B$5:$B$8,0))</f>
        <v>7.59</v>
      </c>
      <c r="BW170" s="20" t="s">
        <v>174</v>
      </c>
      <c r="BX170" s="20">
        <v>2008</v>
      </c>
      <c r="BY170" s="52">
        <v>80.44680000000001</v>
      </c>
      <c r="BZ170" s="52">
        <v>99.318200000000004</v>
      </c>
      <c r="CA170" s="52">
        <v>113.19699999999999</v>
      </c>
      <c r="CB170" s="52">
        <v>117.9541</v>
      </c>
      <c r="CC170" s="375">
        <f t="shared" si="165"/>
        <v>83.146807500000008</v>
      </c>
      <c r="CD170" s="375">
        <v>595.07000000000005</v>
      </c>
      <c r="CE170" s="375">
        <v>620.80999999999995</v>
      </c>
      <c r="CF170" s="375">
        <v>802.73</v>
      </c>
      <c r="CG170" s="375">
        <f t="shared" si="164"/>
        <v>633.97</v>
      </c>
      <c r="CI170" s="20" t="s">
        <v>174</v>
      </c>
      <c r="CJ170" s="20">
        <v>2015</v>
      </c>
      <c r="CK170" s="59">
        <f t="shared" si="179"/>
        <v>79.14552692058254</v>
      </c>
      <c r="CL170" s="59">
        <f t="shared" si="180"/>
        <v>97.711671213818335</v>
      </c>
      <c r="CM170" s="59">
        <f t="shared" si="181"/>
        <v>111.36597367240438</v>
      </c>
      <c r="CN170" s="59">
        <f t="shared" si="182"/>
        <v>116.0461248544763</v>
      </c>
      <c r="CO170" s="59">
        <f t="shared" si="183"/>
        <v>81.801860252387229</v>
      </c>
      <c r="CP170" s="59">
        <f t="shared" si="184"/>
        <v>585.44440182370283</v>
      </c>
      <c r="CQ170" s="59">
        <f t="shared" si="185"/>
        <v>610.76804257679407</v>
      </c>
      <c r="CR170" s="59">
        <f t="shared" si="186"/>
        <v>789.74538235155683</v>
      </c>
      <c r="CS170" s="59">
        <f t="shared" si="187"/>
        <v>623.71517203719372</v>
      </c>
      <c r="CW170" s="20" t="s">
        <v>174</v>
      </c>
      <c r="CX170">
        <v>2014</v>
      </c>
      <c r="CY170">
        <v>8.2113829999999997</v>
      </c>
      <c r="CZ170">
        <v>5.0144171714782715</v>
      </c>
      <c r="DA170">
        <v>1568</v>
      </c>
      <c r="DB170">
        <v>505576.8125</v>
      </c>
      <c r="DC170">
        <v>0.65419876575469971</v>
      </c>
      <c r="DE170">
        <f t="shared" si="188"/>
        <v>65959.355877482652</v>
      </c>
      <c r="DH170">
        <f t="shared" si="189"/>
        <v>42.065915738190469</v>
      </c>
      <c r="DI170">
        <f t="shared" si="162"/>
        <v>41.584717389212884</v>
      </c>
      <c r="DJ170">
        <f t="shared" si="163"/>
        <v>68.097254327350043</v>
      </c>
      <c r="DL170" s="20" t="s">
        <v>174</v>
      </c>
      <c r="DM170" s="99" t="s">
        <v>796</v>
      </c>
      <c r="DN170" s="100" t="s">
        <v>754</v>
      </c>
      <c r="DO170" s="101">
        <v>37.5</v>
      </c>
      <c r="DP170" s="101">
        <v>37.700000000000003</v>
      </c>
      <c r="DQ170" s="101">
        <v>37</v>
      </c>
      <c r="DR170" s="101">
        <v>37.299999999999997</v>
      </c>
      <c r="DS170" s="101">
        <v>37.200000000000003</v>
      </c>
      <c r="DT170" s="101">
        <v>37</v>
      </c>
      <c r="DU170" s="101">
        <v>36.9</v>
      </c>
      <c r="DV170" s="101">
        <v>36.6</v>
      </c>
      <c r="DW170" s="101">
        <v>36.6</v>
      </c>
      <c r="DX170">
        <f t="shared" ca="1" si="190"/>
        <v>36.6</v>
      </c>
      <c r="DY170">
        <f t="shared" ca="1" si="191"/>
        <v>7.32</v>
      </c>
      <c r="DZ170">
        <f t="shared" ca="1" si="192"/>
        <v>304.40013128903831</v>
      </c>
      <c r="EB170" s="20" t="s">
        <v>174</v>
      </c>
      <c r="EC170" s="99" t="s">
        <v>796</v>
      </c>
      <c r="ED170" s="100" t="s">
        <v>754</v>
      </c>
      <c r="EE170" s="101">
        <v>64.7</v>
      </c>
      <c r="EF170" s="101">
        <v>65.2</v>
      </c>
      <c r="EG170" s="101">
        <v>65.900000000000006</v>
      </c>
      <c r="EH170" s="101">
        <v>65.400000000000006</v>
      </c>
      <c r="EI170" s="101">
        <v>64.7</v>
      </c>
      <c r="EJ170" s="101">
        <v>65.3</v>
      </c>
      <c r="EK170" s="101">
        <v>65.3</v>
      </c>
      <c r="EL170" s="101">
        <v>65.3</v>
      </c>
      <c r="EM170" s="101">
        <v>65.599999999999994</v>
      </c>
      <c r="EN170" s="101">
        <v>65.8</v>
      </c>
      <c r="EO170">
        <f t="shared" ca="1" si="195"/>
        <v>65.8</v>
      </c>
      <c r="EQ170" s="20" t="s">
        <v>174</v>
      </c>
      <c r="ER170" s="20">
        <f t="shared" ca="1" si="193"/>
        <v>304.40013128903831</v>
      </c>
      <c r="ES170">
        <f t="shared" ca="1" si="194"/>
        <v>200.29528638818721</v>
      </c>
      <c r="EU170" s="20" t="s">
        <v>174</v>
      </c>
      <c r="EV170" s="109">
        <v>61086.326811440347</v>
      </c>
    </row>
    <row r="171" spans="1:152" x14ac:dyDescent="0.3">
      <c r="A171" s="20" t="s">
        <v>132</v>
      </c>
      <c r="B171" s="20" t="s">
        <v>631</v>
      </c>
      <c r="C171" s="81">
        <v>2015</v>
      </c>
      <c r="D171" s="82">
        <v>2191.6039999999998</v>
      </c>
      <c r="E171" s="82">
        <v>2342.0390000000002</v>
      </c>
      <c r="F171" s="82">
        <v>2334.9549999999999</v>
      </c>
      <c r="G171" s="82">
        <v>2134.355</v>
      </c>
      <c r="H171" s="82">
        <v>1563.306</v>
      </c>
      <c r="I171" s="82">
        <v>1376.1880000000001</v>
      </c>
      <c r="J171" s="82">
        <v>1312.2550000000001</v>
      </c>
      <c r="K171" s="82">
        <v>1114.825</v>
      </c>
      <c r="L171" s="82">
        <v>900.80399999999997</v>
      </c>
      <c r="M171" s="82">
        <v>785.81700000000001</v>
      </c>
      <c r="N171" s="82">
        <v>699.00400000000002</v>
      </c>
      <c r="O171" s="82">
        <v>555.87400000000002</v>
      </c>
      <c r="P171" s="82">
        <v>439.39400000000001</v>
      </c>
      <c r="Q171" s="82">
        <v>277.61200000000002</v>
      </c>
      <c r="R171" s="82">
        <v>207.66900000000001</v>
      </c>
      <c r="S171" s="82">
        <v>138.99299999999999</v>
      </c>
      <c r="T171" s="82">
        <v>85.635999999999996</v>
      </c>
      <c r="U171" s="82">
        <v>32.777999999999999</v>
      </c>
      <c r="V171" s="82">
        <v>7.8689999999999998</v>
      </c>
      <c r="W171" s="82">
        <v>1.323</v>
      </c>
      <c r="X171" s="82">
        <v>0.113</v>
      </c>
      <c r="Y171" s="82">
        <f t="shared" si="167"/>
        <v>18502.413</v>
      </c>
      <c r="Z171" s="52">
        <f t="shared" si="168"/>
        <v>219.16</v>
      </c>
      <c r="AA171" s="52">
        <f t="shared" si="169"/>
        <v>219.16</v>
      </c>
      <c r="AB171" s="52">
        <f t="shared" si="170"/>
        <v>438.32100000000003</v>
      </c>
      <c r="AC171" s="52">
        <f t="shared" si="171"/>
        <v>1314.962</v>
      </c>
      <c r="AD171" s="52">
        <f t="shared" si="172"/>
        <v>4676.9939999999997</v>
      </c>
      <c r="AE171" s="52">
        <f t="shared" si="173"/>
        <v>9187.5499999999993</v>
      </c>
      <c r="AF171" s="52">
        <f t="shared" si="174"/>
        <v>1694.2719999999999</v>
      </c>
      <c r="AG171" s="52">
        <f t="shared" si="175"/>
        <v>751.99300000000005</v>
      </c>
      <c r="AH171" s="52">
        <f t="shared" si="176"/>
        <v>18502.411999999997</v>
      </c>
      <c r="AI171">
        <v>23.079000000000001</v>
      </c>
      <c r="AJ171" s="30">
        <f t="shared" si="177"/>
        <v>427017.16654799995</v>
      </c>
      <c r="AK171">
        <f t="shared" si="178"/>
        <v>438.32079999999996</v>
      </c>
      <c r="AM171" s="20" t="s">
        <v>132</v>
      </c>
      <c r="AN171" t="s">
        <v>506</v>
      </c>
      <c r="AO171" t="s">
        <v>507</v>
      </c>
      <c r="AP171" t="s">
        <v>688</v>
      </c>
      <c r="AQ171" s="55"/>
      <c r="AR171" s="55">
        <v>11.225</v>
      </c>
      <c r="AS171" t="s">
        <v>132</v>
      </c>
      <c r="AT171" t="s">
        <v>1315</v>
      </c>
      <c r="AU171" t="s">
        <v>1153</v>
      </c>
      <c r="AV171">
        <v>62.8016475245647</v>
      </c>
      <c r="AW171">
        <v>65.585733340258301</v>
      </c>
      <c r="AX171">
        <v>70.334369586372603</v>
      </c>
      <c r="AY171">
        <v>77.384764539745206</v>
      </c>
      <c r="AZ171">
        <v>80.4087363386503</v>
      </c>
      <c r="BA171">
        <v>93.069353382047893</v>
      </c>
      <c r="BB171">
        <v>95.787813442775303</v>
      </c>
      <c r="BC171">
        <v>100</v>
      </c>
      <c r="BD171">
        <v>104.753163888857</v>
      </c>
      <c r="BE171">
        <v>143.199979473582</v>
      </c>
      <c r="BJ171" s="20" t="s">
        <v>132</v>
      </c>
      <c r="BK171" t="s">
        <v>688</v>
      </c>
      <c r="BL171">
        <v>2015</v>
      </c>
      <c r="BM171">
        <f>INDEX('Costs lists'!$C$5:$C$8,MATCH(Lists!BK171,'Costs lists'!$B$5:$B$8,0))</f>
        <v>5.21</v>
      </c>
      <c r="BN171">
        <f>INDEX('Costs lists'!$D$5:$D$8,MATCH(Lists!BK171,'Costs lists'!$B$5:$B$8,0))</f>
        <v>5.16</v>
      </c>
      <c r="BO171">
        <f>INDEX('Costs lists'!$E$5:$E$8,MATCH(Lists!BK171,'Costs lists'!$B$5:$B$8,0))</f>
        <v>5.26</v>
      </c>
      <c r="BW171" s="20" t="s">
        <v>132</v>
      </c>
      <c r="BX171" s="20">
        <v>2008</v>
      </c>
      <c r="BY171" s="52">
        <v>170.16559999999998</v>
      </c>
      <c r="BZ171" s="52">
        <v>209.8888</v>
      </c>
      <c r="CA171" s="52">
        <v>239.4128</v>
      </c>
      <c r="CB171" s="52">
        <v>249.34359999999998</v>
      </c>
      <c r="CC171" s="375">
        <f t="shared" si="165"/>
        <v>175.86238999999998</v>
      </c>
      <c r="CD171" s="375">
        <v>33.39</v>
      </c>
      <c r="CE171" s="375">
        <v>34.83</v>
      </c>
      <c r="CF171" s="375">
        <v>45.04</v>
      </c>
      <c r="CG171" s="375">
        <f t="shared" si="164"/>
        <v>35.571666666666665</v>
      </c>
      <c r="CI171" s="20" t="s">
        <v>132</v>
      </c>
      <c r="CJ171" s="20">
        <v>2015</v>
      </c>
      <c r="CK171" s="59">
        <f t="shared" si="179"/>
        <v>0</v>
      </c>
      <c r="CL171" s="59">
        <f t="shared" si="180"/>
        <v>0</v>
      </c>
      <c r="CM171" s="59">
        <f t="shared" si="181"/>
        <v>0</v>
      </c>
      <c r="CN171" s="59">
        <f t="shared" si="182"/>
        <v>0</v>
      </c>
      <c r="CO171" s="59">
        <f t="shared" si="183"/>
        <v>0</v>
      </c>
      <c r="CP171" s="59">
        <f t="shared" si="184"/>
        <v>0</v>
      </c>
      <c r="CQ171" s="59">
        <f t="shared" si="185"/>
        <v>0</v>
      </c>
      <c r="CR171" s="59">
        <f t="shared" si="186"/>
        <v>0</v>
      </c>
      <c r="CS171" s="59">
        <f t="shared" si="187"/>
        <v>0</v>
      </c>
      <c r="CW171" s="20" t="s">
        <v>132</v>
      </c>
      <c r="CX171">
        <v>2014</v>
      </c>
      <c r="CY171">
        <v>18.772480999999999</v>
      </c>
      <c r="CZ171">
        <v>4.7424688339233398</v>
      </c>
      <c r="DB171">
        <v>82747.453125</v>
      </c>
      <c r="DE171">
        <f t="shared" si="188"/>
        <v>0</v>
      </c>
      <c r="DH171" t="e">
        <f t="shared" si="189"/>
        <v>#DIV/0!</v>
      </c>
      <c r="DI171" t="e">
        <f t="shared" si="162"/>
        <v>#DIV/0!</v>
      </c>
      <c r="DJ171" t="e">
        <f t="shared" si="163"/>
        <v>#DIV/0!</v>
      </c>
      <c r="DL171" s="20" t="s">
        <v>132</v>
      </c>
      <c r="DM171" s="99"/>
      <c r="DN171" s="100"/>
      <c r="DO171" s="101"/>
      <c r="DP171" s="101"/>
      <c r="DQ171" s="101"/>
      <c r="DR171" s="101"/>
      <c r="DS171" s="101"/>
      <c r="DT171" s="101"/>
      <c r="DU171" s="101"/>
      <c r="DV171" s="101"/>
      <c r="DW171" s="101"/>
      <c r="DX171" t="e">
        <f t="shared" ca="1" si="190"/>
        <v>#N/A</v>
      </c>
      <c r="DY171" t="e">
        <f t="shared" ca="1" si="191"/>
        <v>#N/A</v>
      </c>
      <c r="DZ171" t="e">
        <f t="shared" ca="1" si="192"/>
        <v>#N/A</v>
      </c>
      <c r="EB171" s="20" t="s">
        <v>132</v>
      </c>
      <c r="EC171" s="99" t="s">
        <v>756</v>
      </c>
      <c r="ED171" s="100" t="s">
        <v>754</v>
      </c>
      <c r="EE171" s="101"/>
      <c r="EF171" s="101">
        <v>40.5</v>
      </c>
      <c r="EG171" s="101">
        <v>39.5</v>
      </c>
      <c r="EH171" s="101">
        <v>39.5</v>
      </c>
      <c r="EI171" s="101">
        <v>39</v>
      </c>
      <c r="EJ171" s="101"/>
      <c r="EK171" s="101"/>
      <c r="EL171" s="101"/>
      <c r="EM171" s="101"/>
      <c r="EN171" s="101"/>
      <c r="EO171">
        <f t="shared" ca="1" si="195"/>
        <v>39</v>
      </c>
      <c r="EQ171" s="20" t="s">
        <v>132</v>
      </c>
      <c r="ER171" s="20" t="e">
        <f t="shared" ca="1" si="193"/>
        <v>#N/A</v>
      </c>
      <c r="ES171" t="e">
        <f t="shared" ca="1" si="194"/>
        <v>#N/A</v>
      </c>
      <c r="EU171" s="20" t="s">
        <v>132</v>
      </c>
      <c r="EV171" s="109"/>
    </row>
    <row r="172" spans="1:152" x14ac:dyDescent="0.3">
      <c r="A172" s="20" t="s">
        <v>95</v>
      </c>
      <c r="B172" s="20" t="s">
        <v>257</v>
      </c>
      <c r="C172" s="81">
        <v>2015</v>
      </c>
      <c r="D172" s="82">
        <v>1175.607</v>
      </c>
      <c r="E172" s="82">
        <v>941.05200000000002</v>
      </c>
      <c r="F172" s="82">
        <v>838.21100000000001</v>
      </c>
      <c r="G172" s="82">
        <v>868.72799999999995</v>
      </c>
      <c r="H172" s="82">
        <v>846.62900000000002</v>
      </c>
      <c r="I172" s="82">
        <v>839.84699999999998</v>
      </c>
      <c r="J172" s="82">
        <v>615.91700000000003</v>
      </c>
      <c r="K172" s="82">
        <v>480.24900000000002</v>
      </c>
      <c r="L172" s="82">
        <v>429.96499999999997</v>
      </c>
      <c r="M172" s="82">
        <v>387.935</v>
      </c>
      <c r="N172" s="82">
        <v>370.68200000000002</v>
      </c>
      <c r="O172" s="82">
        <v>261.697</v>
      </c>
      <c r="P172" s="82">
        <v>170.34700000000001</v>
      </c>
      <c r="Q172" s="82">
        <v>81.031000000000006</v>
      </c>
      <c r="R172" s="82">
        <v>66.566000000000003</v>
      </c>
      <c r="S172" s="82">
        <v>56.012999999999998</v>
      </c>
      <c r="T172" s="82">
        <v>28.085000000000001</v>
      </c>
      <c r="U172" s="82">
        <v>16.788</v>
      </c>
      <c r="V172" s="82">
        <v>5.4729999999999999</v>
      </c>
      <c r="W172" s="82">
        <v>0.745</v>
      </c>
      <c r="X172" s="82">
        <v>0.28799999999999998</v>
      </c>
      <c r="Y172" s="82">
        <f t="shared" si="167"/>
        <v>8481.8550000000032</v>
      </c>
      <c r="Z172" s="52">
        <f t="shared" si="168"/>
        <v>117.56100000000001</v>
      </c>
      <c r="AA172" s="52">
        <f t="shared" si="169"/>
        <v>117.56100000000001</v>
      </c>
      <c r="AB172" s="52">
        <f t="shared" si="170"/>
        <v>235.12100000000001</v>
      </c>
      <c r="AC172" s="52">
        <f t="shared" si="171"/>
        <v>705.36400000000003</v>
      </c>
      <c r="AD172" s="52">
        <f t="shared" si="172"/>
        <v>1779.2629999999999</v>
      </c>
      <c r="AE172" s="52">
        <f t="shared" si="173"/>
        <v>4469.2700000000004</v>
      </c>
      <c r="AF172" s="52">
        <f t="shared" si="174"/>
        <v>802.726</v>
      </c>
      <c r="AG172" s="52">
        <f t="shared" si="175"/>
        <v>254.989</v>
      </c>
      <c r="AH172" s="52">
        <f t="shared" si="176"/>
        <v>8481.8549999999996</v>
      </c>
      <c r="AI172">
        <v>30.591999999999999</v>
      </c>
      <c r="AJ172" s="30">
        <f t="shared" si="177"/>
        <v>259476.90815999996</v>
      </c>
      <c r="AK172">
        <f t="shared" si="178"/>
        <v>235.12139999999999</v>
      </c>
      <c r="AM172" s="20" t="s">
        <v>95</v>
      </c>
      <c r="AN172" t="s">
        <v>508</v>
      </c>
      <c r="AO172" t="s">
        <v>509</v>
      </c>
      <c r="AP172" t="s">
        <v>688</v>
      </c>
      <c r="AQ172" s="55">
        <v>5706.4875549039689</v>
      </c>
      <c r="AR172" s="55">
        <v>6.1631166666666699</v>
      </c>
      <c r="AS172" t="s">
        <v>95</v>
      </c>
      <c r="AT172" t="s">
        <v>1316</v>
      </c>
      <c r="AU172" t="s">
        <v>1153</v>
      </c>
      <c r="BJ172" s="20" t="s">
        <v>95</v>
      </c>
      <c r="BK172" t="s">
        <v>688</v>
      </c>
      <c r="BL172">
        <v>2015</v>
      </c>
      <c r="BM172">
        <f>INDEX('Costs lists'!$C$5:$C$8,MATCH(Lists!BK172,'Costs lists'!$B$5:$B$8,0))</f>
        <v>5.21</v>
      </c>
      <c r="BN172">
        <f>INDEX('Costs lists'!$D$5:$D$8,MATCH(Lists!BK172,'Costs lists'!$B$5:$B$8,0))</f>
        <v>5.16</v>
      </c>
      <c r="BO172">
        <f>INDEX('Costs lists'!$E$5:$E$8,MATCH(Lists!BK172,'Costs lists'!$B$5:$B$8,0))</f>
        <v>5.26</v>
      </c>
      <c r="BW172" s="20" t="s">
        <v>95</v>
      </c>
      <c r="BX172" s="20">
        <v>2008</v>
      </c>
      <c r="BY172" s="52">
        <v>4.5090000000000003</v>
      </c>
      <c r="BZ172" s="52">
        <v>5.5754999999999999</v>
      </c>
      <c r="CA172" s="52">
        <v>6.3450000000000006</v>
      </c>
      <c r="CB172" s="52">
        <v>6.6150000000000011</v>
      </c>
      <c r="CC172" s="375">
        <f t="shared" si="165"/>
        <v>4.6608750000000008</v>
      </c>
      <c r="CD172" s="375">
        <v>13.83</v>
      </c>
      <c r="CE172" s="375">
        <v>14.43</v>
      </c>
      <c r="CF172" s="375">
        <v>18.66</v>
      </c>
      <c r="CG172" s="375">
        <f t="shared" si="164"/>
        <v>14.734999999999998</v>
      </c>
      <c r="CI172" s="20" t="s">
        <v>95</v>
      </c>
      <c r="CJ172" s="20">
        <v>2015</v>
      </c>
      <c r="CK172" s="59" t="e">
        <f t="shared" si="179"/>
        <v>#DIV/0!</v>
      </c>
      <c r="CL172" s="59" t="e">
        <f t="shared" si="180"/>
        <v>#DIV/0!</v>
      </c>
      <c r="CM172" s="59" t="e">
        <f t="shared" si="181"/>
        <v>#DIV/0!</v>
      </c>
      <c r="CN172" s="59" t="e">
        <f t="shared" si="182"/>
        <v>#DIV/0!</v>
      </c>
      <c r="CO172" s="59" t="e">
        <f t="shared" si="183"/>
        <v>#DIV/0!</v>
      </c>
      <c r="CP172" s="59" t="e">
        <f t="shared" si="184"/>
        <v>#DIV/0!</v>
      </c>
      <c r="CQ172" s="59" t="e">
        <f t="shared" si="185"/>
        <v>#DIV/0!</v>
      </c>
      <c r="CR172" s="59" t="e">
        <f t="shared" si="186"/>
        <v>#DIV/0!</v>
      </c>
      <c r="CS172" s="59" t="e">
        <f t="shared" si="187"/>
        <v>#DIV/0!</v>
      </c>
      <c r="CW172" s="20" t="s">
        <v>95</v>
      </c>
      <c r="CX172">
        <v>2014</v>
      </c>
      <c r="CY172">
        <v>8.2958400000000001</v>
      </c>
      <c r="CZ172">
        <v>2.4222884178161621</v>
      </c>
      <c r="DB172">
        <v>26410.8984375</v>
      </c>
      <c r="DC172">
        <v>0.37966454029083252</v>
      </c>
      <c r="DE172">
        <f t="shared" si="188"/>
        <v>4139.5902899876382</v>
      </c>
      <c r="DH172" t="e">
        <f t="shared" si="189"/>
        <v>#DIV/0!</v>
      </c>
      <c r="DI172" t="e">
        <f t="shared" si="162"/>
        <v>#DIV/0!</v>
      </c>
      <c r="DJ172" t="e">
        <f t="shared" si="163"/>
        <v>#DIV/0!</v>
      </c>
      <c r="DL172" s="20" t="s">
        <v>95</v>
      </c>
      <c r="DM172" s="99"/>
      <c r="DN172" s="100"/>
      <c r="DO172" s="101"/>
      <c r="DP172" s="101"/>
      <c r="DQ172" s="101"/>
      <c r="DR172" s="101"/>
      <c r="DS172" s="101"/>
      <c r="DT172" s="101"/>
      <c r="DU172" s="101"/>
      <c r="DV172" s="101"/>
      <c r="DW172" s="101"/>
      <c r="DX172" t="e">
        <f t="shared" ca="1" si="190"/>
        <v>#N/A</v>
      </c>
      <c r="DY172" t="e">
        <f t="shared" ca="1" si="191"/>
        <v>#N/A</v>
      </c>
      <c r="DZ172" t="e">
        <f t="shared" ca="1" si="192"/>
        <v>#N/A</v>
      </c>
      <c r="EB172" s="20" t="s">
        <v>95</v>
      </c>
      <c r="EC172" s="99" t="s">
        <v>756</v>
      </c>
      <c r="ED172" s="100" t="s">
        <v>754</v>
      </c>
      <c r="EE172" s="101">
        <v>30.2</v>
      </c>
      <c r="EF172" s="101">
        <v>29.8</v>
      </c>
      <c r="EG172" s="101">
        <v>29.3</v>
      </c>
      <c r="EH172" s="101"/>
      <c r="EI172" s="101"/>
      <c r="EJ172" s="101"/>
      <c r="EK172" s="101"/>
      <c r="EL172" s="101"/>
      <c r="EM172" s="101"/>
      <c r="EN172" s="101"/>
      <c r="EO172">
        <f t="shared" ca="1" si="195"/>
        <v>29.3</v>
      </c>
      <c r="EQ172" s="20" t="s">
        <v>95</v>
      </c>
      <c r="ER172" s="20" t="e">
        <f t="shared" ca="1" si="193"/>
        <v>#N/A</v>
      </c>
      <c r="ES172" t="e">
        <f t="shared" ca="1" si="194"/>
        <v>#N/A</v>
      </c>
      <c r="EU172" s="20" t="s">
        <v>95</v>
      </c>
      <c r="EV172" s="109">
        <v>2833.6548460943995</v>
      </c>
    </row>
    <row r="173" spans="1:152" x14ac:dyDescent="0.3">
      <c r="A173" s="20" t="s">
        <v>167</v>
      </c>
      <c r="B173" s="20" t="s">
        <v>257</v>
      </c>
      <c r="C173" s="81">
        <v>2015</v>
      </c>
      <c r="D173" s="82">
        <v>115.34</v>
      </c>
      <c r="E173" s="82">
        <v>112.17100000000001</v>
      </c>
      <c r="F173" s="82">
        <v>124.851</v>
      </c>
      <c r="G173" s="82">
        <v>136.422</v>
      </c>
      <c r="H173" s="82">
        <v>150.83199999999999</v>
      </c>
      <c r="I173" s="82">
        <v>155.971</v>
      </c>
      <c r="J173" s="82">
        <v>165.24</v>
      </c>
      <c r="K173" s="82">
        <v>156.51900000000001</v>
      </c>
      <c r="L173" s="82">
        <v>149.02000000000001</v>
      </c>
      <c r="M173" s="82">
        <v>150.29900000000001</v>
      </c>
      <c r="N173" s="82">
        <v>140.434</v>
      </c>
      <c r="O173" s="82">
        <v>136.42500000000001</v>
      </c>
      <c r="P173" s="82">
        <v>128.80500000000001</v>
      </c>
      <c r="Q173" s="82">
        <v>89.644999999999996</v>
      </c>
      <c r="R173" s="82">
        <v>67.688000000000002</v>
      </c>
      <c r="S173" s="82">
        <v>51.991</v>
      </c>
      <c r="T173" s="82">
        <v>30.271000000000001</v>
      </c>
      <c r="U173" s="82">
        <v>12.861000000000001</v>
      </c>
      <c r="V173" s="82">
        <v>3.3170000000000002</v>
      </c>
      <c r="W173" s="82">
        <v>0.314</v>
      </c>
      <c r="X173" s="82">
        <v>3.6999999999999998E-2</v>
      </c>
      <c r="Y173" s="82">
        <f t="shared" si="167"/>
        <v>2078.4529999999995</v>
      </c>
      <c r="Z173" s="52">
        <f t="shared" si="168"/>
        <v>11.534000000000001</v>
      </c>
      <c r="AA173" s="52">
        <f t="shared" si="169"/>
        <v>11.534000000000001</v>
      </c>
      <c r="AB173" s="52">
        <f t="shared" si="170"/>
        <v>23.068000000000001</v>
      </c>
      <c r="AC173" s="52">
        <f t="shared" si="171"/>
        <v>69.203999999999994</v>
      </c>
      <c r="AD173" s="52">
        <f t="shared" si="172"/>
        <v>237.02199999999999</v>
      </c>
      <c r="AE173" s="52">
        <f t="shared" si="173"/>
        <v>1064.3030000000001</v>
      </c>
      <c r="AF173" s="52">
        <f t="shared" si="174"/>
        <v>405.66399999999999</v>
      </c>
      <c r="AG173" s="52">
        <f t="shared" si="175"/>
        <v>256.12400000000002</v>
      </c>
      <c r="AH173" s="52">
        <f t="shared" si="176"/>
        <v>2078.453</v>
      </c>
      <c r="AI173">
        <v>11.253</v>
      </c>
      <c r="AJ173" s="30">
        <f t="shared" si="177"/>
        <v>23388.831609000001</v>
      </c>
      <c r="AK173">
        <f t="shared" si="178"/>
        <v>23.068000000000001</v>
      </c>
      <c r="AM173" s="20" t="s">
        <v>167</v>
      </c>
      <c r="AN173" t="s">
        <v>408</v>
      </c>
      <c r="AO173" t="s">
        <v>409</v>
      </c>
      <c r="AP173" t="s">
        <v>689</v>
      </c>
      <c r="AQ173" s="55">
        <v>269502.54415182828</v>
      </c>
      <c r="AR173" s="55">
        <v>55.537075000000002</v>
      </c>
      <c r="AS173" t="s">
        <v>1129</v>
      </c>
      <c r="AT173" t="s">
        <v>409</v>
      </c>
      <c r="AU173" t="s">
        <v>1153</v>
      </c>
      <c r="AV173">
        <v>85.868526945954997</v>
      </c>
      <c r="AW173">
        <v>86.664372823021296</v>
      </c>
      <c r="AX173">
        <v>86.806296161340299</v>
      </c>
      <c r="AY173">
        <v>89.595928725609298</v>
      </c>
      <c r="AZ173">
        <v>91.613412203179706</v>
      </c>
      <c r="BA173">
        <v>99.246547043517097</v>
      </c>
      <c r="BB173">
        <v>98.512485874418402</v>
      </c>
      <c r="BC173">
        <v>100</v>
      </c>
      <c r="BD173">
        <v>103.904754220697</v>
      </c>
      <c r="BE173">
        <v>107.35029362997101</v>
      </c>
      <c r="BF173">
        <v>110.339337867149</v>
      </c>
      <c r="BG173">
        <v>110.02926438221201</v>
      </c>
      <c r="BH173">
        <v>109.697769263628</v>
      </c>
      <c r="BJ173" s="20" t="s">
        <v>167</v>
      </c>
      <c r="BK173" t="s">
        <v>689</v>
      </c>
      <c r="BL173">
        <v>2015</v>
      </c>
      <c r="BM173">
        <f>INDEX('Costs lists'!$C$5:$C$8,MATCH(Lists!BK173,'Costs lists'!$B$5:$B$8,0))</f>
        <v>3.2</v>
      </c>
      <c r="BN173">
        <f>INDEX('Costs lists'!$D$5:$D$8,MATCH(Lists!BK173,'Costs lists'!$B$5:$B$8,0))</f>
        <v>1.1200000000000001</v>
      </c>
      <c r="BO173">
        <f>INDEX('Costs lists'!$E$5:$E$8,MATCH(Lists!BK173,'Costs lists'!$B$5:$B$8,0))</f>
        <v>4.4400000000000004</v>
      </c>
      <c r="BW173" s="20" t="s">
        <v>167</v>
      </c>
      <c r="BX173" s="20">
        <v>2008</v>
      </c>
      <c r="BY173" s="52">
        <v>277.81040000000002</v>
      </c>
      <c r="BZ173" s="52">
        <v>342.98040000000003</v>
      </c>
      <c r="CA173" s="52">
        <v>391.02000000000004</v>
      </c>
      <c r="CB173" s="52">
        <v>407.40559999999999</v>
      </c>
      <c r="CC173" s="375">
        <f t="shared" si="165"/>
        <v>287.13902000000002</v>
      </c>
      <c r="CD173" s="375">
        <v>108.7</v>
      </c>
      <c r="CE173" s="375">
        <v>113.4</v>
      </c>
      <c r="CF173" s="375">
        <v>146.63999999999999</v>
      </c>
      <c r="CG173" s="375">
        <f t="shared" si="164"/>
        <v>115.80666666666667</v>
      </c>
      <c r="CI173" s="20" t="s">
        <v>167</v>
      </c>
      <c r="CJ173" s="20">
        <v>2015</v>
      </c>
      <c r="CK173" s="59">
        <f t="shared" si="179"/>
        <v>307.0654049543266</v>
      </c>
      <c r="CL173" s="59">
        <f t="shared" si="180"/>
        <v>379.09817421304933</v>
      </c>
      <c r="CM173" s="59">
        <f t="shared" si="181"/>
        <v>432.19661555233637</v>
      </c>
      <c r="CN173" s="59">
        <f t="shared" si="182"/>
        <v>450.30771182310093</v>
      </c>
      <c r="CO173" s="59">
        <f t="shared" si="183"/>
        <v>317.37638135393235</v>
      </c>
      <c r="CP173" s="59">
        <f t="shared" si="184"/>
        <v>120.14672423543287</v>
      </c>
      <c r="CQ173" s="59">
        <f t="shared" si="185"/>
        <v>125.34166079391065</v>
      </c>
      <c r="CR173" s="59">
        <f t="shared" si="186"/>
        <v>162.08202062450667</v>
      </c>
      <c r="CS173" s="59">
        <f t="shared" si="187"/>
        <v>128.00176306002481</v>
      </c>
      <c r="CW173" s="20" t="s">
        <v>167</v>
      </c>
      <c r="CX173">
        <v>2014</v>
      </c>
      <c r="CY173">
        <v>2.0756250000000001</v>
      </c>
      <c r="CZ173">
        <v>0.72679978609085083</v>
      </c>
      <c r="DB173">
        <v>27239.619140625</v>
      </c>
      <c r="DC173">
        <v>0.5264778733253479</v>
      </c>
      <c r="DE173">
        <f t="shared" si="188"/>
        <v>19731.784502143539</v>
      </c>
      <c r="DH173" t="e">
        <f t="shared" si="189"/>
        <v>#DIV/0!</v>
      </c>
      <c r="DI173" t="e">
        <f t="shared" si="162"/>
        <v>#DIV/0!</v>
      </c>
      <c r="DJ173" t="e">
        <f t="shared" si="163"/>
        <v>#DIV/0!</v>
      </c>
      <c r="DL173" s="20" t="s">
        <v>167</v>
      </c>
      <c r="DM173" s="99" t="s">
        <v>796</v>
      </c>
      <c r="DN173" s="100" t="s">
        <v>754</v>
      </c>
      <c r="DO173" s="101">
        <v>43.2</v>
      </c>
      <c r="DP173" s="101">
        <v>43</v>
      </c>
      <c r="DQ173" s="101">
        <v>41.9</v>
      </c>
      <c r="DR173" s="101">
        <v>41.8</v>
      </c>
      <c r="DS173" s="101">
        <v>41.5</v>
      </c>
      <c r="DT173" s="101">
        <v>41.7</v>
      </c>
      <c r="DU173" s="101">
        <v>41.9</v>
      </c>
      <c r="DV173" s="101">
        <v>41.7</v>
      </c>
      <c r="DW173" s="101">
        <v>41.5</v>
      </c>
      <c r="DX173">
        <f t="shared" ca="1" si="190"/>
        <v>41.5</v>
      </c>
      <c r="DY173">
        <f t="shared" ca="1" si="191"/>
        <v>8.3000000000000007</v>
      </c>
      <c r="DZ173" t="e">
        <f t="shared" ca="1" si="192"/>
        <v>#DIV/0!</v>
      </c>
      <c r="EB173" s="20" t="s">
        <v>167</v>
      </c>
      <c r="EC173" s="99" t="s">
        <v>796</v>
      </c>
      <c r="ED173" s="100" t="s">
        <v>754</v>
      </c>
      <c r="EE173" s="101">
        <v>34.6</v>
      </c>
      <c r="EF173" s="101">
        <v>35.5</v>
      </c>
      <c r="EG173" s="101">
        <v>36.5</v>
      </c>
      <c r="EH173" s="101">
        <v>37.6</v>
      </c>
      <c r="EI173" s="101">
        <v>37.9</v>
      </c>
      <c r="EJ173" s="101">
        <v>38.1</v>
      </c>
      <c r="EK173" s="101">
        <v>38.1</v>
      </c>
      <c r="EL173" s="101">
        <v>39.6</v>
      </c>
      <c r="EM173" s="101">
        <v>40.200000000000003</v>
      </c>
      <c r="EN173" s="101">
        <v>40.9</v>
      </c>
      <c r="EO173">
        <f t="shared" ca="1" si="195"/>
        <v>40.9</v>
      </c>
      <c r="EQ173" s="20" t="s">
        <v>167</v>
      </c>
      <c r="ER173" s="20" t="e">
        <f t="shared" ca="1" si="193"/>
        <v>#DIV/0!</v>
      </c>
      <c r="ES173" t="e">
        <f t="shared" ca="1" si="194"/>
        <v>#DIV/0!</v>
      </c>
      <c r="EU173" s="20" t="s">
        <v>167</v>
      </c>
      <c r="EV173" s="109">
        <v>13907.938514836012</v>
      </c>
    </row>
    <row r="174" spans="1:152" x14ac:dyDescent="0.3">
      <c r="A174" s="20" t="s">
        <v>115</v>
      </c>
      <c r="B174" s="20" t="s">
        <v>635</v>
      </c>
      <c r="C174" s="81">
        <v>2015</v>
      </c>
      <c r="D174" s="82">
        <v>3798.9960000000001</v>
      </c>
      <c r="E174" s="82">
        <v>4035.9789999999998</v>
      </c>
      <c r="F174" s="82">
        <v>4201.152</v>
      </c>
      <c r="G174" s="82">
        <v>4402.7139999999999</v>
      </c>
      <c r="H174" s="82">
        <v>4558.4129999999996</v>
      </c>
      <c r="I174" s="82">
        <v>4647.9080000000004</v>
      </c>
      <c r="J174" s="82">
        <v>5026.7179999999998</v>
      </c>
      <c r="K174" s="82">
        <v>5527.7190000000001</v>
      </c>
      <c r="L174" s="82">
        <v>5657.0730000000003</v>
      </c>
      <c r="M174" s="82">
        <v>5627.3779999999997</v>
      </c>
      <c r="N174" s="82">
        <v>5181.4369999999999</v>
      </c>
      <c r="O174" s="82">
        <v>4563.3590000000004</v>
      </c>
      <c r="P174" s="82">
        <v>3613.8969999999999</v>
      </c>
      <c r="Q174" s="82">
        <v>2531.0160000000001</v>
      </c>
      <c r="R174" s="82">
        <v>1777.8789999999999</v>
      </c>
      <c r="S174" s="82">
        <v>1377.98</v>
      </c>
      <c r="T174" s="82">
        <v>841.37</v>
      </c>
      <c r="U174" s="82">
        <v>415.50400000000002</v>
      </c>
      <c r="V174" s="82">
        <v>136.983</v>
      </c>
      <c r="W174" s="82">
        <v>31.202999999999999</v>
      </c>
      <c r="X174" s="82">
        <v>4.681</v>
      </c>
      <c r="Y174" s="82">
        <f t="shared" si="167"/>
        <v>67959.358999999982</v>
      </c>
      <c r="Z174" s="52">
        <f t="shared" si="168"/>
        <v>379.9</v>
      </c>
      <c r="AA174" s="52">
        <f t="shared" si="169"/>
        <v>379.9</v>
      </c>
      <c r="AB174" s="52">
        <f t="shared" si="170"/>
        <v>759.79899999999998</v>
      </c>
      <c r="AC174" s="52">
        <f t="shared" si="171"/>
        <v>2279.3980000000001</v>
      </c>
      <c r="AD174" s="52">
        <f t="shared" si="172"/>
        <v>8237.1309999999994</v>
      </c>
      <c r="AE174" s="52">
        <f t="shared" si="173"/>
        <v>35447.923000000003</v>
      </c>
      <c r="AF174" s="52">
        <f t="shared" si="174"/>
        <v>13358.692999999999</v>
      </c>
      <c r="AG174" s="52">
        <f t="shared" si="175"/>
        <v>7116.616</v>
      </c>
      <c r="AH174" s="52">
        <f t="shared" si="176"/>
        <v>67959.360000000001</v>
      </c>
      <c r="AI174">
        <v>10.79</v>
      </c>
      <c r="AJ174" s="30">
        <f t="shared" si="177"/>
        <v>733281.49439999997</v>
      </c>
      <c r="AK174">
        <f t="shared" si="178"/>
        <v>759.79920000000004</v>
      </c>
      <c r="AM174" s="20" t="s">
        <v>115</v>
      </c>
      <c r="AN174" t="s">
        <v>512</v>
      </c>
      <c r="AO174" t="s">
        <v>513</v>
      </c>
      <c r="AP174" t="s">
        <v>689</v>
      </c>
      <c r="AQ174" s="55">
        <v>199142.49044049988</v>
      </c>
      <c r="AR174" s="55">
        <v>34.247716666666697</v>
      </c>
      <c r="AS174" t="s">
        <v>115</v>
      </c>
      <c r="AT174" t="s">
        <v>1318</v>
      </c>
      <c r="AU174" t="s">
        <v>1153</v>
      </c>
      <c r="AV174">
        <v>80.587319471143104</v>
      </c>
      <c r="AW174">
        <v>82.810843901847207</v>
      </c>
      <c r="AX174">
        <v>86.570761949600296</v>
      </c>
      <c r="AY174">
        <v>90.585458838371594</v>
      </c>
      <c r="AZ174">
        <v>92.615968995577006</v>
      </c>
      <c r="BA174">
        <v>97.680663532180404</v>
      </c>
      <c r="BB174">
        <v>96.854562441607001</v>
      </c>
      <c r="BC174">
        <v>100</v>
      </c>
      <c r="BD174">
        <v>103.809820409011</v>
      </c>
      <c r="BE174">
        <v>106.944876985363</v>
      </c>
      <c r="BF174">
        <v>109.280597944566</v>
      </c>
      <c r="BG174">
        <v>111.34641337070499</v>
      </c>
      <c r="BH174">
        <v>110.34983909477801</v>
      </c>
      <c r="BJ174" s="20" t="s">
        <v>115</v>
      </c>
      <c r="BK174" t="s">
        <v>689</v>
      </c>
      <c r="BL174">
        <v>2015</v>
      </c>
      <c r="BM174">
        <f>INDEX('Costs lists'!$C$5:$C$8,MATCH(Lists!BK174,'Costs lists'!$B$5:$B$8,0))</f>
        <v>3.2</v>
      </c>
      <c r="BN174">
        <f>INDEX('Costs lists'!$D$5:$D$8,MATCH(Lists!BK174,'Costs lists'!$B$5:$B$8,0))</f>
        <v>1.1200000000000001</v>
      </c>
      <c r="BO174">
        <f>INDEX('Costs lists'!$E$5:$E$8,MATCH(Lists!BK174,'Costs lists'!$B$5:$B$8,0))</f>
        <v>4.4400000000000004</v>
      </c>
      <c r="BW174" s="20" t="s">
        <v>115</v>
      </c>
      <c r="BX174" s="20">
        <v>2008</v>
      </c>
      <c r="BY174" s="52">
        <v>193.07429999999997</v>
      </c>
      <c r="BZ174" s="52">
        <v>238.30789999999999</v>
      </c>
      <c r="CA174" s="52">
        <v>271.56789999999995</v>
      </c>
      <c r="CB174" s="52">
        <v>283.04259999999999</v>
      </c>
      <c r="CC174" s="375">
        <f t="shared" si="165"/>
        <v>199.54752749999997</v>
      </c>
      <c r="CD174" s="375">
        <v>76.89</v>
      </c>
      <c r="CE174" s="375">
        <v>80.209999999999994</v>
      </c>
      <c r="CF174" s="375">
        <v>103.72</v>
      </c>
      <c r="CG174" s="375">
        <f t="shared" si="164"/>
        <v>81.914999999999992</v>
      </c>
      <c r="CI174" s="20" t="s">
        <v>115</v>
      </c>
      <c r="CJ174" s="20">
        <v>2015</v>
      </c>
      <c r="CK174" s="59">
        <f t="shared" si="179"/>
        <v>218.11602386707611</v>
      </c>
      <c r="CL174" s="59">
        <f t="shared" si="180"/>
        <v>269.21641877822577</v>
      </c>
      <c r="CM174" s="59">
        <f t="shared" si="181"/>
        <v>306.79023856583575</v>
      </c>
      <c r="CN174" s="59">
        <f t="shared" si="182"/>
        <v>319.75320639256125</v>
      </c>
      <c r="CO174" s="59">
        <f t="shared" si="183"/>
        <v>225.42882854323972</v>
      </c>
      <c r="CP174" s="59">
        <f t="shared" si="184"/>
        <v>86.862627885427969</v>
      </c>
      <c r="CQ174" s="59">
        <f t="shared" si="185"/>
        <v>90.613231664588071</v>
      </c>
      <c r="CR174" s="59">
        <f t="shared" si="186"/>
        <v>117.17247710074898</v>
      </c>
      <c r="CS174" s="59">
        <f t="shared" si="187"/>
        <v>92.539370051174814</v>
      </c>
      <c r="CW174" s="20" t="s">
        <v>115</v>
      </c>
      <c r="CX174">
        <v>2014</v>
      </c>
      <c r="CY174">
        <v>67.725978999999995</v>
      </c>
      <c r="CZ174">
        <v>38.893306732177734</v>
      </c>
      <c r="DA174">
        <v>2284.3768026567523</v>
      </c>
      <c r="DB174">
        <v>920186.25</v>
      </c>
      <c r="DC174">
        <v>0.39287018775939941</v>
      </c>
      <c r="DE174">
        <f t="shared" si="188"/>
        <v>9295.0117947164727</v>
      </c>
      <c r="DH174">
        <f t="shared" si="189"/>
        <v>4.0689486007327185</v>
      </c>
      <c r="DI174">
        <f t="shared" si="162"/>
        <v>4.0325306382424584</v>
      </c>
      <c r="DJ174">
        <f t="shared" si="163"/>
        <v>7.021955916556581</v>
      </c>
      <c r="DL174" s="20" t="s">
        <v>115</v>
      </c>
      <c r="DM174" s="99" t="s">
        <v>756</v>
      </c>
      <c r="DN174" s="100" t="s">
        <v>754</v>
      </c>
      <c r="DO174" s="101"/>
      <c r="DP174" s="101"/>
      <c r="DQ174" s="101"/>
      <c r="DR174" s="101"/>
      <c r="DS174" s="101">
        <v>46</v>
      </c>
      <c r="DT174" s="101">
        <v>46</v>
      </c>
      <c r="DU174" s="101">
        <v>45</v>
      </c>
      <c r="DV174" s="101">
        <v>44.9</v>
      </c>
      <c r="DW174" s="101"/>
      <c r="DX174">
        <f t="shared" ca="1" si="190"/>
        <v>44.9</v>
      </c>
      <c r="DY174">
        <f t="shared" ca="1" si="191"/>
        <v>8.98</v>
      </c>
      <c r="DZ174">
        <f t="shared" ca="1" si="192"/>
        <v>36.212125131417281</v>
      </c>
      <c r="EB174" s="20" t="s">
        <v>115</v>
      </c>
      <c r="EC174" s="99" t="s">
        <v>756</v>
      </c>
      <c r="ED174" s="100" t="s">
        <v>754</v>
      </c>
      <c r="EE174" s="101">
        <v>71.900000000000006</v>
      </c>
      <c r="EF174" s="101">
        <v>72.599999999999994</v>
      </c>
      <c r="EG174" s="101">
        <v>72.400000000000006</v>
      </c>
      <c r="EH174" s="101">
        <v>71.400000000000006</v>
      </c>
      <c r="EI174" s="101">
        <v>71.2</v>
      </c>
      <c r="EJ174" s="101">
        <v>72.7</v>
      </c>
      <c r="EK174" s="101">
        <v>72.5</v>
      </c>
      <c r="EL174" s="101">
        <v>71</v>
      </c>
      <c r="EM174" s="101">
        <v>70</v>
      </c>
      <c r="EN174" s="101">
        <v>68.8</v>
      </c>
      <c r="EO174">
        <f t="shared" ca="1" si="195"/>
        <v>68.8</v>
      </c>
      <c r="EQ174" s="20" t="s">
        <v>115</v>
      </c>
      <c r="ER174" s="20">
        <f t="shared" ca="1" si="193"/>
        <v>36.212125131417281</v>
      </c>
      <c r="ES174">
        <f t="shared" ca="1" si="194"/>
        <v>24.913942090415091</v>
      </c>
      <c r="EU174" s="20" t="s">
        <v>115</v>
      </c>
      <c r="EV174" s="109">
        <v>16340.028572275667</v>
      </c>
    </row>
    <row r="175" spans="1:152" x14ac:dyDescent="0.3">
      <c r="A175" s="20" t="s">
        <v>116</v>
      </c>
      <c r="B175" s="20" t="s">
        <v>635</v>
      </c>
      <c r="C175" s="81">
        <v>2015</v>
      </c>
      <c r="D175" s="82">
        <v>203.732</v>
      </c>
      <c r="E175" s="82">
        <v>149.17400000000001</v>
      </c>
      <c r="F175" s="82">
        <v>149.565</v>
      </c>
      <c r="G175" s="82">
        <v>127.215</v>
      </c>
      <c r="H175" s="82">
        <v>106.98699999999999</v>
      </c>
      <c r="I175" s="82">
        <v>85.293000000000006</v>
      </c>
      <c r="J175" s="82">
        <v>70.748000000000005</v>
      </c>
      <c r="K175" s="82">
        <v>47.093000000000004</v>
      </c>
      <c r="L175" s="82">
        <v>52.390999999999998</v>
      </c>
      <c r="M175" s="82">
        <v>44.210999999999999</v>
      </c>
      <c r="N175" s="82">
        <v>35.655000000000001</v>
      </c>
      <c r="O175" s="82">
        <v>27.475000000000001</v>
      </c>
      <c r="P175" s="82">
        <v>19.114999999999998</v>
      </c>
      <c r="Q175" s="82">
        <v>34.53</v>
      </c>
      <c r="R175" s="82">
        <v>17.844999999999999</v>
      </c>
      <c r="S175" s="82">
        <v>8.3089999999999993</v>
      </c>
      <c r="T175" s="82">
        <v>3.806</v>
      </c>
      <c r="U175" s="82">
        <v>1.4339999999999999</v>
      </c>
      <c r="V175" s="82">
        <v>0.16700000000000001</v>
      </c>
      <c r="W175" s="82">
        <v>1.9E-2</v>
      </c>
      <c r="X175" s="82">
        <v>1E-3</v>
      </c>
      <c r="Y175" s="82">
        <f t="shared" si="167"/>
        <v>1184.7649999999996</v>
      </c>
      <c r="Z175" s="52">
        <f t="shared" si="168"/>
        <v>20.373000000000001</v>
      </c>
      <c r="AA175" s="52">
        <f t="shared" si="169"/>
        <v>20.373000000000001</v>
      </c>
      <c r="AB175" s="52">
        <f t="shared" si="170"/>
        <v>40.746000000000002</v>
      </c>
      <c r="AC175" s="52">
        <f t="shared" si="171"/>
        <v>122.239</v>
      </c>
      <c r="AD175" s="52">
        <f t="shared" si="172"/>
        <v>298.73899999999998</v>
      </c>
      <c r="AE175" s="52">
        <f t="shared" si="173"/>
        <v>533.93799999999999</v>
      </c>
      <c r="AF175" s="52">
        <f t="shared" si="174"/>
        <v>82.245000000000005</v>
      </c>
      <c r="AG175" s="52">
        <f t="shared" si="175"/>
        <v>66.111000000000004</v>
      </c>
      <c r="AH175" s="52">
        <f t="shared" si="176"/>
        <v>1184.7639999999999</v>
      </c>
      <c r="AI175">
        <v>37.783000000000001</v>
      </c>
      <c r="AJ175" s="30">
        <f t="shared" si="177"/>
        <v>44763.938212000001</v>
      </c>
      <c r="AK175">
        <f t="shared" si="178"/>
        <v>40.746400000000001</v>
      </c>
      <c r="AM175" s="20" t="s">
        <v>116</v>
      </c>
      <c r="AN175" t="s">
        <v>262</v>
      </c>
      <c r="AO175" t="s">
        <v>263</v>
      </c>
      <c r="AP175" t="s">
        <v>688</v>
      </c>
      <c r="AQ175" s="55">
        <v>1216.8814912662003</v>
      </c>
      <c r="AR175" s="55"/>
      <c r="AS175" t="s">
        <v>116</v>
      </c>
      <c r="AT175" t="s">
        <v>1319</v>
      </c>
      <c r="AU175" t="s">
        <v>1153</v>
      </c>
      <c r="AV175">
        <v>71.285546916604702</v>
      </c>
      <c r="AW175">
        <v>73.593426435258706</v>
      </c>
      <c r="AX175">
        <v>74.411545425498105</v>
      </c>
      <c r="AY175">
        <v>77.340504846096707</v>
      </c>
      <c r="AZ175">
        <v>85.307274470124796</v>
      </c>
      <c r="BA175">
        <v>93.039727340505095</v>
      </c>
      <c r="BB175">
        <v>93.662796889977997</v>
      </c>
      <c r="BC175">
        <v>100</v>
      </c>
      <c r="BD175">
        <v>113.49984023857699</v>
      </c>
      <c r="BE175">
        <v>126.89317286185999</v>
      </c>
      <c r="BF175">
        <v>141.05016508680399</v>
      </c>
      <c r="BG175">
        <v>141.67579081904401</v>
      </c>
      <c r="BH175">
        <v>142.574416870807</v>
      </c>
      <c r="BJ175" s="20" t="s">
        <v>116</v>
      </c>
      <c r="BK175" t="s">
        <v>688</v>
      </c>
      <c r="BL175">
        <v>2015</v>
      </c>
      <c r="BM175">
        <f>INDEX('Costs lists'!$C$5:$C$8,MATCH(Lists!BK175,'Costs lists'!$B$5:$B$8,0))</f>
        <v>5.21</v>
      </c>
      <c r="BN175">
        <f>INDEX('Costs lists'!$D$5:$D$8,MATCH(Lists!BK175,'Costs lists'!$B$5:$B$8,0))</f>
        <v>5.16</v>
      </c>
      <c r="BO175">
        <f>INDEX('Costs lists'!$E$5:$E$8,MATCH(Lists!BK175,'Costs lists'!$B$5:$B$8,0))</f>
        <v>5.26</v>
      </c>
      <c r="BW175" s="20" t="s">
        <v>116</v>
      </c>
      <c r="BX175" s="20">
        <v>2008</v>
      </c>
      <c r="BY175" s="52">
        <v>0.98560000000000014</v>
      </c>
      <c r="BZ175" s="52">
        <v>1.2208000000000001</v>
      </c>
      <c r="CA175" s="52">
        <v>1.3888</v>
      </c>
      <c r="CB175" s="52">
        <v>1.4504000000000001</v>
      </c>
      <c r="CC175" s="375">
        <f t="shared" si="165"/>
        <v>1.0190600000000001</v>
      </c>
      <c r="CD175" s="375">
        <v>5.73</v>
      </c>
      <c r="CE175" s="375">
        <v>5.98</v>
      </c>
      <c r="CF175" s="375">
        <v>7.73</v>
      </c>
      <c r="CG175" s="375">
        <f t="shared" si="164"/>
        <v>6.1050000000000004</v>
      </c>
      <c r="CI175" s="20" t="s">
        <v>116</v>
      </c>
      <c r="CJ175" s="20">
        <v>2015</v>
      </c>
      <c r="CK175" s="59">
        <f t="shared" si="179"/>
        <v>1.5103370278976629</v>
      </c>
      <c r="CL175" s="59">
        <f t="shared" si="180"/>
        <v>1.8707583641005143</v>
      </c>
      <c r="CM175" s="59">
        <f t="shared" si="181"/>
        <v>2.1282021756739793</v>
      </c>
      <c r="CN175" s="59">
        <f t="shared" si="182"/>
        <v>2.2225982399175837</v>
      </c>
      <c r="CO175" s="59">
        <f t="shared" si="183"/>
        <v>1.5616112537027114</v>
      </c>
      <c r="CP175" s="59">
        <f t="shared" si="184"/>
        <v>8.7806728590235466</v>
      </c>
      <c r="CQ175" s="59">
        <f t="shared" si="185"/>
        <v>9.1637737691031091</v>
      </c>
      <c r="CR175" s="59">
        <f t="shared" si="186"/>
        <v>11.845480139660038</v>
      </c>
      <c r="CS175" s="59">
        <f t="shared" si="187"/>
        <v>9.3553242241428887</v>
      </c>
      <c r="CW175" s="20" t="s">
        <v>116</v>
      </c>
      <c r="DE175" t="e">
        <f t="shared" si="188"/>
        <v>#DIV/0!</v>
      </c>
      <c r="DH175" t="e">
        <f t="shared" si="189"/>
        <v>#DIV/0!</v>
      </c>
      <c r="DI175" t="e">
        <f t="shared" si="162"/>
        <v>#DIV/0!</v>
      </c>
      <c r="DJ175" t="e">
        <f t="shared" si="163"/>
        <v>#DIV/0!</v>
      </c>
      <c r="DL175" s="20" t="s">
        <v>116</v>
      </c>
      <c r="DM175" s="99"/>
      <c r="DN175" s="100"/>
      <c r="DO175" s="101"/>
      <c r="DP175" s="101"/>
      <c r="DQ175" s="101"/>
      <c r="DR175" s="101"/>
      <c r="DS175" s="101"/>
      <c r="DT175" s="101"/>
      <c r="DU175" s="101"/>
      <c r="DV175" s="101"/>
      <c r="DW175" s="101"/>
      <c r="DX175" t="e">
        <f t="shared" ca="1" si="190"/>
        <v>#N/A</v>
      </c>
      <c r="DY175" t="e">
        <f t="shared" ca="1" si="191"/>
        <v>#N/A</v>
      </c>
      <c r="DZ175" t="e">
        <f t="shared" ca="1" si="192"/>
        <v>#N/A</v>
      </c>
      <c r="EB175" s="20" t="s">
        <v>116</v>
      </c>
      <c r="EC175" s="99"/>
      <c r="ED175" s="100"/>
      <c r="EE175" s="101"/>
      <c r="EF175" s="101"/>
      <c r="EG175" s="101"/>
      <c r="EH175" s="101"/>
      <c r="EI175" s="101"/>
      <c r="EJ175" s="101"/>
      <c r="EK175" s="101"/>
      <c r="EL175" s="101"/>
      <c r="EM175" s="101"/>
      <c r="EN175" s="101"/>
      <c r="EQ175" s="20" t="s">
        <v>116</v>
      </c>
      <c r="ER175" s="20" t="e">
        <f t="shared" ca="1" si="193"/>
        <v>#N/A</v>
      </c>
      <c r="ES175" t="e">
        <f t="shared" ca="1" si="194"/>
        <v>#N/A</v>
      </c>
      <c r="EU175" s="20" t="s">
        <v>116</v>
      </c>
      <c r="EV175" s="109">
        <v>2282.9189038777868</v>
      </c>
    </row>
    <row r="176" spans="1:152" x14ac:dyDescent="0.3">
      <c r="A176" s="20" t="s">
        <v>87</v>
      </c>
      <c r="B176" s="20" t="s">
        <v>632</v>
      </c>
      <c r="C176" s="81">
        <v>2015</v>
      </c>
      <c r="D176" s="82">
        <v>1160.0239999999999</v>
      </c>
      <c r="E176" s="82">
        <v>1032.923</v>
      </c>
      <c r="F176" s="82">
        <v>892.44299999999998</v>
      </c>
      <c r="G176" s="82">
        <v>757.88</v>
      </c>
      <c r="H176" s="82">
        <v>667.00800000000004</v>
      </c>
      <c r="I176" s="82">
        <v>594.57899999999995</v>
      </c>
      <c r="J176" s="82">
        <v>509.666</v>
      </c>
      <c r="K176" s="82">
        <v>418.99200000000002</v>
      </c>
      <c r="L176" s="82">
        <v>329.71899999999999</v>
      </c>
      <c r="M176" s="82">
        <v>255.958</v>
      </c>
      <c r="N176" s="82">
        <v>201.58799999999999</v>
      </c>
      <c r="O176" s="82">
        <v>158.58199999999999</v>
      </c>
      <c r="P176" s="82">
        <v>123.261</v>
      </c>
      <c r="Q176" s="82">
        <v>91.090999999999994</v>
      </c>
      <c r="R176" s="82">
        <v>60.423999999999999</v>
      </c>
      <c r="S176" s="82">
        <v>32.997999999999998</v>
      </c>
      <c r="T176" s="82">
        <v>13.391999999999999</v>
      </c>
      <c r="U176" s="82">
        <v>3.5</v>
      </c>
      <c r="V176" s="82">
        <v>0.50900000000000001</v>
      </c>
      <c r="W176" s="82">
        <v>0.04</v>
      </c>
      <c r="X176" s="82">
        <v>1E-3</v>
      </c>
      <c r="Y176" s="82">
        <f t="shared" si="167"/>
        <v>7304.5780000000004</v>
      </c>
      <c r="Z176" s="52">
        <f t="shared" si="168"/>
        <v>116.002</v>
      </c>
      <c r="AA176" s="52">
        <f t="shared" si="169"/>
        <v>116.002</v>
      </c>
      <c r="AB176" s="52">
        <f t="shared" si="170"/>
        <v>232.005</v>
      </c>
      <c r="AC176" s="52">
        <f t="shared" si="171"/>
        <v>696.01400000000001</v>
      </c>
      <c r="AD176" s="52">
        <f t="shared" si="172"/>
        <v>1925.366</v>
      </c>
      <c r="AE176" s="52">
        <f t="shared" si="173"/>
        <v>3533.8020000000001</v>
      </c>
      <c r="AF176" s="52">
        <f t="shared" si="174"/>
        <v>483.43099999999998</v>
      </c>
      <c r="AG176" s="52">
        <f t="shared" si="175"/>
        <v>201.95500000000001</v>
      </c>
      <c r="AH176" s="52">
        <f t="shared" si="176"/>
        <v>7304.5770000000002</v>
      </c>
      <c r="AI176">
        <v>35.569000000000003</v>
      </c>
      <c r="AJ176" s="30">
        <f t="shared" si="177"/>
        <v>259816.49931300004</v>
      </c>
      <c r="AK176">
        <f t="shared" si="178"/>
        <v>232.00479999999999</v>
      </c>
      <c r="AM176" s="20" t="s">
        <v>87</v>
      </c>
      <c r="AN176" t="s">
        <v>290</v>
      </c>
      <c r="AO176" t="s">
        <v>291</v>
      </c>
      <c r="AP176" t="s">
        <v>691</v>
      </c>
      <c r="AQ176" s="55">
        <v>330996.35943376878</v>
      </c>
      <c r="AR176" s="55">
        <v>591.44950750132796</v>
      </c>
      <c r="AS176" t="s">
        <v>87</v>
      </c>
      <c r="AT176" t="s">
        <v>1320</v>
      </c>
      <c r="AU176" t="s">
        <v>1153</v>
      </c>
      <c r="AV176">
        <v>79.032051871773604</v>
      </c>
      <c r="AW176">
        <v>79.341734101007802</v>
      </c>
      <c r="AX176">
        <v>84.738233688217605</v>
      </c>
      <c r="AY176">
        <v>86.625001344107204</v>
      </c>
      <c r="AZ176">
        <v>87.456555478161803</v>
      </c>
      <c r="BA176">
        <v>95.049504950495304</v>
      </c>
      <c r="BB176">
        <v>98.198866507340995</v>
      </c>
      <c r="BC176">
        <v>100</v>
      </c>
      <c r="BD176">
        <v>103.57227722772301</v>
      </c>
      <c r="BE176">
        <v>106.29702970296999</v>
      </c>
      <c r="BF176">
        <v>108.17504950495101</v>
      </c>
      <c r="BG176">
        <v>108.377029702971</v>
      </c>
      <c r="BH176">
        <v>110.316831683169</v>
      </c>
      <c r="BJ176" s="20" t="s">
        <v>87</v>
      </c>
      <c r="BK176" t="s">
        <v>691</v>
      </c>
      <c r="BL176">
        <v>2015</v>
      </c>
      <c r="BM176">
        <f>INDEX('Costs lists'!$C$5:$C$8,MATCH(Lists!BK176,'Costs lists'!$B$5:$B$8,0))</f>
        <v>4.2</v>
      </c>
      <c r="BN176">
        <f>INDEX('Costs lists'!$D$5:$D$8,MATCH(Lists!BK176,'Costs lists'!$B$5:$B$8,0))</f>
        <v>4.2</v>
      </c>
      <c r="BO176">
        <f>INDEX('Costs lists'!$E$5:$E$8,MATCH(Lists!BK176,'Costs lists'!$B$5:$B$8,0))</f>
        <v>4.2</v>
      </c>
      <c r="BW176" s="20" t="s">
        <v>87</v>
      </c>
      <c r="BX176" s="20">
        <v>2008</v>
      </c>
      <c r="BY176" s="52">
        <v>535.3338</v>
      </c>
      <c r="BZ176" s="52">
        <v>660.16499999999996</v>
      </c>
      <c r="CA176" s="52">
        <v>753.78840000000002</v>
      </c>
      <c r="CB176" s="52">
        <v>784.99620000000004</v>
      </c>
      <c r="CC176" s="375">
        <f t="shared" si="165"/>
        <v>553.27828499999998</v>
      </c>
      <c r="CD176" s="375">
        <v>7.92</v>
      </c>
      <c r="CE176" s="375">
        <v>8.27</v>
      </c>
      <c r="CF176" s="375">
        <v>10.69</v>
      </c>
      <c r="CG176" s="375">
        <f t="shared" ref="CG176:CG195" si="196">CD176*(2/3)+CE176*(1/6)+CF176*(1/6)</f>
        <v>8.44</v>
      </c>
      <c r="CI176" s="20" t="s">
        <v>87</v>
      </c>
      <c r="CJ176" s="20">
        <v>2015</v>
      </c>
      <c r="CK176" s="59">
        <f t="shared" si="179"/>
        <v>621.32179162500211</v>
      </c>
      <c r="CL176" s="59">
        <f t="shared" si="180"/>
        <v>766.2040031250026</v>
      </c>
      <c r="CM176" s="59">
        <f t="shared" si="181"/>
        <v>874.86566175000303</v>
      </c>
      <c r="CN176" s="59">
        <f t="shared" si="182"/>
        <v>911.08621462500321</v>
      </c>
      <c r="CO176" s="59">
        <f t="shared" si="183"/>
        <v>642.14860952812717</v>
      </c>
      <c r="CP176" s="59">
        <f t="shared" si="184"/>
        <v>9.1921500000000318</v>
      </c>
      <c r="CQ176" s="59">
        <f t="shared" si="185"/>
        <v>9.5983687500000325</v>
      </c>
      <c r="CR176" s="59">
        <f t="shared" si="186"/>
        <v>12.407081250000042</v>
      </c>
      <c r="CS176" s="59">
        <f t="shared" si="187"/>
        <v>9.795675000000033</v>
      </c>
      <c r="CW176" s="20" t="s">
        <v>87</v>
      </c>
      <c r="CX176">
        <v>2014</v>
      </c>
      <c r="CY176">
        <v>7.1151629999999999</v>
      </c>
      <c r="CZ176">
        <v>3.0560369491577148</v>
      </c>
      <c r="DB176">
        <v>10288.47265625</v>
      </c>
      <c r="DC176">
        <v>0.85196852684020996</v>
      </c>
      <c r="DE176">
        <f t="shared" si="188"/>
        <v>2868.2424454314837</v>
      </c>
      <c r="DH176" t="e">
        <f t="shared" si="189"/>
        <v>#DIV/0!</v>
      </c>
      <c r="DI176" t="e">
        <f t="shared" si="162"/>
        <v>#DIV/0!</v>
      </c>
      <c r="DJ176" t="e">
        <f t="shared" si="163"/>
        <v>#DIV/0!</v>
      </c>
      <c r="DL176" s="20" t="s">
        <v>87</v>
      </c>
      <c r="DM176" s="99"/>
      <c r="DN176" s="100"/>
      <c r="DO176" s="101"/>
      <c r="DP176" s="101"/>
      <c r="DQ176" s="101"/>
      <c r="DR176" s="101"/>
      <c r="DS176" s="101"/>
      <c r="DT176" s="101"/>
      <c r="DU176" s="101"/>
      <c r="DV176" s="101"/>
      <c r="DW176" s="101"/>
      <c r="DX176" t="e">
        <f t="shared" ca="1" si="190"/>
        <v>#N/A</v>
      </c>
      <c r="DY176" t="e">
        <f t="shared" ca="1" si="191"/>
        <v>#N/A</v>
      </c>
      <c r="DZ176" t="e">
        <f t="shared" ca="1" si="192"/>
        <v>#N/A</v>
      </c>
      <c r="EB176" s="20" t="s">
        <v>87</v>
      </c>
      <c r="EC176" s="99"/>
      <c r="ED176" s="100"/>
      <c r="EE176" s="101"/>
      <c r="EF176" s="101"/>
      <c r="EG176" s="101"/>
      <c r="EH176" s="101"/>
      <c r="EI176" s="101"/>
      <c r="EJ176" s="101"/>
      <c r="EK176" s="101"/>
      <c r="EL176" s="101"/>
      <c r="EM176" s="101"/>
      <c r="EN176" s="101"/>
      <c r="EQ176" s="20" t="s">
        <v>87</v>
      </c>
      <c r="ER176" s="20" t="e">
        <f t="shared" ca="1" si="193"/>
        <v>#N/A</v>
      </c>
      <c r="ES176" t="e">
        <f t="shared" ca="1" si="194"/>
        <v>#N/A</v>
      </c>
      <c r="EU176" s="20" t="s">
        <v>87</v>
      </c>
      <c r="EV176" s="109">
        <v>1460.3449100573343</v>
      </c>
    </row>
    <row r="177" spans="1:152" x14ac:dyDescent="0.3">
      <c r="A177" s="20" t="s">
        <v>222</v>
      </c>
      <c r="B177" s="20" t="s">
        <v>634</v>
      </c>
      <c r="C177" s="81">
        <v>2015</v>
      </c>
      <c r="D177" s="82">
        <v>12.91</v>
      </c>
      <c r="E177" s="82">
        <v>13.304</v>
      </c>
      <c r="F177" s="82">
        <v>12.818</v>
      </c>
      <c r="G177" s="82">
        <v>11.488</v>
      </c>
      <c r="H177" s="82">
        <v>9.5920000000000005</v>
      </c>
      <c r="I177" s="82">
        <v>6.8209999999999997</v>
      </c>
      <c r="J177" s="82">
        <v>6.5019999999999998</v>
      </c>
      <c r="K177" s="82">
        <v>5.9050000000000002</v>
      </c>
      <c r="L177" s="82">
        <v>5.8079999999999998</v>
      </c>
      <c r="M177" s="82">
        <v>4.6970000000000001</v>
      </c>
      <c r="N177" s="82">
        <v>3.871</v>
      </c>
      <c r="O177" s="82">
        <v>3.794</v>
      </c>
      <c r="P177" s="82">
        <v>2.4239999999999999</v>
      </c>
      <c r="Q177" s="82">
        <v>1.9419999999999999</v>
      </c>
      <c r="R177" s="82">
        <v>1.571</v>
      </c>
      <c r="S177" s="82">
        <v>1.244</v>
      </c>
      <c r="T177" s="82">
        <v>0.84499999999999997</v>
      </c>
      <c r="U177" s="82">
        <v>0.45600000000000002</v>
      </c>
      <c r="V177" s="82">
        <v>0.14399999999999999</v>
      </c>
      <c r="W177" s="82">
        <v>0.03</v>
      </c>
      <c r="X177" s="82">
        <v>4.0000000000000001E-3</v>
      </c>
      <c r="Y177" s="82">
        <f t="shared" si="167"/>
        <v>106.17</v>
      </c>
      <c r="Z177" s="52">
        <f t="shared" si="168"/>
        <v>1.2909999999999999</v>
      </c>
      <c r="AA177" s="52">
        <f t="shared" si="169"/>
        <v>1.2909999999999999</v>
      </c>
      <c r="AB177" s="52">
        <f t="shared" si="170"/>
        <v>2.5819999999999999</v>
      </c>
      <c r="AC177" s="52">
        <f t="shared" si="171"/>
        <v>7.7460000000000004</v>
      </c>
      <c r="AD177" s="52">
        <f t="shared" si="172"/>
        <v>26.122</v>
      </c>
      <c r="AE177" s="52">
        <f t="shared" si="173"/>
        <v>50.813000000000002</v>
      </c>
      <c r="AF177" s="52">
        <f t="shared" si="174"/>
        <v>10.089</v>
      </c>
      <c r="AG177" s="52">
        <f t="shared" si="175"/>
        <v>6.2359999999999998</v>
      </c>
      <c r="AH177" s="52">
        <f t="shared" si="176"/>
        <v>106.17</v>
      </c>
      <c r="AI177">
        <v>24.846</v>
      </c>
      <c r="AJ177" s="30">
        <f t="shared" si="177"/>
        <v>2637.8998200000001</v>
      </c>
      <c r="AK177">
        <f t="shared" si="178"/>
        <v>2.5819999999999999</v>
      </c>
      <c r="AM177" s="20" t="s">
        <v>222</v>
      </c>
      <c r="AN177" t="s">
        <v>514</v>
      </c>
      <c r="AO177" t="s">
        <v>515</v>
      </c>
      <c r="AP177" t="s">
        <v>688</v>
      </c>
      <c r="AQ177" s="55">
        <v>7969.2088160497315</v>
      </c>
      <c r="AR177" s="55">
        <v>2.1057632574496701</v>
      </c>
      <c r="AS177" t="s">
        <v>222</v>
      </c>
      <c r="AT177" t="s">
        <v>1321</v>
      </c>
      <c r="AU177" t="s">
        <v>1153</v>
      </c>
      <c r="AV177">
        <v>63.638439626799702</v>
      </c>
      <c r="AW177">
        <v>70.621743576889997</v>
      </c>
      <c r="AX177">
        <v>76.741606509529205</v>
      </c>
      <c r="AY177">
        <v>81.460536963612498</v>
      </c>
      <c r="AZ177">
        <v>86.219664165309098</v>
      </c>
      <c r="BA177">
        <v>95.227021714256196</v>
      </c>
      <c r="BB177">
        <v>96.585777730324295</v>
      </c>
      <c r="BC177">
        <v>100</v>
      </c>
      <c r="BD177">
        <v>106.270753408414</v>
      </c>
      <c r="BE177">
        <v>107.4902512574</v>
      </c>
      <c r="BF177">
        <v>108.32397716486599</v>
      </c>
      <c r="BG177">
        <v>111.043858269933</v>
      </c>
      <c r="BH177">
        <v>109.873457869624</v>
      </c>
      <c r="BJ177" s="20" t="s">
        <v>222</v>
      </c>
      <c r="BK177" t="s">
        <v>688</v>
      </c>
      <c r="BL177">
        <v>2015</v>
      </c>
      <c r="BM177">
        <f>INDEX('Costs lists'!$C$5:$C$8,MATCH(Lists!BK177,'Costs lists'!$B$5:$B$8,0))</f>
        <v>5.21</v>
      </c>
      <c r="BN177">
        <f>INDEX('Costs lists'!$D$5:$D$8,MATCH(Lists!BK177,'Costs lists'!$B$5:$B$8,0))</f>
        <v>5.16</v>
      </c>
      <c r="BO177">
        <f>INDEX('Costs lists'!$E$5:$E$8,MATCH(Lists!BK177,'Costs lists'!$B$5:$B$8,0))</f>
        <v>5.26</v>
      </c>
      <c r="BW177" s="20" t="s">
        <v>222</v>
      </c>
      <c r="BX177" s="20">
        <v>2008</v>
      </c>
      <c r="BY177" s="52">
        <v>9.9215999999999998</v>
      </c>
      <c r="BZ177" s="52">
        <v>12.24</v>
      </c>
      <c r="CA177" s="52">
        <v>13.953599999999998</v>
      </c>
      <c r="CB177" s="52">
        <v>14.543999999999999</v>
      </c>
      <c r="CC177" s="375">
        <f t="shared" si="165"/>
        <v>10.253879999999999</v>
      </c>
      <c r="CD177" s="375">
        <v>37.46</v>
      </c>
      <c r="CE177" s="375">
        <v>39.08</v>
      </c>
      <c r="CF177" s="375">
        <v>50.54</v>
      </c>
      <c r="CG177" s="375">
        <f t="shared" si="196"/>
        <v>39.909999999999997</v>
      </c>
      <c r="CI177" s="20" t="s">
        <v>222</v>
      </c>
      <c r="CJ177" s="20">
        <v>2015</v>
      </c>
      <c r="CK177" s="59">
        <f t="shared" si="179"/>
        <v>11.447596280710544</v>
      </c>
      <c r="CL177" s="59">
        <f t="shared" si="180"/>
        <v>14.122578865898349</v>
      </c>
      <c r="CM177" s="59">
        <f t="shared" si="181"/>
        <v>16.099739907124114</v>
      </c>
      <c r="CN177" s="59">
        <f t="shared" si="182"/>
        <v>16.78094665242039</v>
      </c>
      <c r="CO177" s="59">
        <f t="shared" si="183"/>
        <v>11.830982759923019</v>
      </c>
      <c r="CP177" s="59">
        <f t="shared" si="184"/>
        <v>43.221552640241192</v>
      </c>
      <c r="CQ177" s="59">
        <f t="shared" si="185"/>
        <v>45.090717490139497</v>
      </c>
      <c r="CR177" s="59">
        <f t="shared" si="186"/>
        <v>58.313328094975702</v>
      </c>
      <c r="CS177" s="59">
        <f t="shared" si="187"/>
        <v>46.048376024346659</v>
      </c>
      <c r="CW177" s="20" t="s">
        <v>222</v>
      </c>
      <c r="DE177" t="e">
        <f t="shared" si="188"/>
        <v>#DIV/0!</v>
      </c>
      <c r="DH177" t="e">
        <f t="shared" si="189"/>
        <v>#DIV/0!</v>
      </c>
      <c r="DI177" t="e">
        <f t="shared" si="162"/>
        <v>#DIV/0!</v>
      </c>
      <c r="DJ177" t="e">
        <f t="shared" si="163"/>
        <v>#DIV/0!</v>
      </c>
      <c r="DL177" s="20" t="s">
        <v>222</v>
      </c>
      <c r="DM177" s="99"/>
      <c r="DN177" s="100"/>
      <c r="DO177" s="101"/>
      <c r="DP177" s="101"/>
      <c r="DQ177" s="101"/>
      <c r="DR177" s="101"/>
      <c r="DS177" s="101"/>
      <c r="DT177" s="101"/>
      <c r="DU177" s="101"/>
      <c r="DV177" s="101"/>
      <c r="DW177" s="101"/>
      <c r="DX177" t="e">
        <f t="shared" ca="1" si="190"/>
        <v>#N/A</v>
      </c>
      <c r="DY177" t="e">
        <f t="shared" ca="1" si="191"/>
        <v>#N/A</v>
      </c>
      <c r="DZ177" t="e">
        <f t="shared" ca="1" si="192"/>
        <v>#N/A</v>
      </c>
      <c r="EB177" s="20" t="s">
        <v>222</v>
      </c>
      <c r="EC177" s="99"/>
      <c r="ED177" s="100"/>
      <c r="EE177" s="101"/>
      <c r="EF177" s="101"/>
      <c r="EG177" s="101"/>
      <c r="EH177" s="101"/>
      <c r="EI177" s="101"/>
      <c r="EJ177" s="101"/>
      <c r="EK177" s="101"/>
      <c r="EL177" s="101"/>
      <c r="EM177" s="101"/>
      <c r="EN177" s="101"/>
      <c r="EQ177" s="20" t="s">
        <v>222</v>
      </c>
      <c r="ER177" s="20" t="e">
        <f t="shared" ca="1" si="193"/>
        <v>#N/A</v>
      </c>
      <c r="ES177" t="e">
        <f t="shared" ca="1" si="194"/>
        <v>#N/A</v>
      </c>
      <c r="EU177" s="20" t="s">
        <v>222</v>
      </c>
      <c r="EV177" s="109">
        <v>5534.8319123225347</v>
      </c>
    </row>
    <row r="178" spans="1:152" x14ac:dyDescent="0.3">
      <c r="A178" s="20" t="s">
        <v>188</v>
      </c>
      <c r="B178" s="20" t="s">
        <v>633</v>
      </c>
      <c r="C178" s="81">
        <v>2015</v>
      </c>
      <c r="D178" s="82">
        <v>96.102999999999994</v>
      </c>
      <c r="E178" s="82">
        <v>96.415000000000006</v>
      </c>
      <c r="F178" s="82">
        <v>90.106999999999999</v>
      </c>
      <c r="G178" s="82">
        <v>86.411000000000001</v>
      </c>
      <c r="H178" s="82">
        <v>96.555000000000007</v>
      </c>
      <c r="I178" s="82">
        <v>116.348</v>
      </c>
      <c r="J178" s="82">
        <v>127.416</v>
      </c>
      <c r="K178" s="82">
        <v>102.646</v>
      </c>
      <c r="L178" s="82">
        <v>92.046999999999997</v>
      </c>
      <c r="M178" s="82">
        <v>85.218000000000004</v>
      </c>
      <c r="N178" s="82">
        <v>96.650999999999996</v>
      </c>
      <c r="O178" s="82">
        <v>80.765000000000001</v>
      </c>
      <c r="P178" s="82">
        <v>65.397000000000006</v>
      </c>
      <c r="Q178" s="82">
        <v>48.871000000000002</v>
      </c>
      <c r="R178" s="82">
        <v>35.069000000000003</v>
      </c>
      <c r="S178" s="82">
        <v>22.184000000000001</v>
      </c>
      <c r="T178" s="82">
        <v>12.553000000000001</v>
      </c>
      <c r="U178" s="82">
        <v>6.431</v>
      </c>
      <c r="V178" s="82">
        <v>2.2770000000000001</v>
      </c>
      <c r="W178" s="82">
        <v>0.53400000000000003</v>
      </c>
      <c r="X178" s="82">
        <v>0.09</v>
      </c>
      <c r="Y178" s="82">
        <f t="shared" si="167"/>
        <v>1360.0880000000002</v>
      </c>
      <c r="Z178" s="52">
        <f t="shared" si="168"/>
        <v>9.61</v>
      </c>
      <c r="AA178" s="52">
        <f t="shared" si="169"/>
        <v>9.61</v>
      </c>
      <c r="AB178" s="52">
        <f t="shared" si="170"/>
        <v>19.221</v>
      </c>
      <c r="AC178" s="52">
        <f t="shared" si="171"/>
        <v>57.661999999999999</v>
      </c>
      <c r="AD178" s="52">
        <f t="shared" si="172"/>
        <v>186.52199999999999</v>
      </c>
      <c r="AE178" s="52">
        <f t="shared" si="173"/>
        <v>706.64099999999996</v>
      </c>
      <c r="AF178" s="52">
        <f t="shared" si="174"/>
        <v>242.81299999999999</v>
      </c>
      <c r="AG178" s="52">
        <f t="shared" si="175"/>
        <v>128.00899999999999</v>
      </c>
      <c r="AH178" s="52">
        <f t="shared" si="176"/>
        <v>1360.088</v>
      </c>
      <c r="AI178">
        <v>14.3</v>
      </c>
      <c r="AJ178" s="30">
        <f t="shared" si="177"/>
        <v>19449.258399999999</v>
      </c>
      <c r="AK178">
        <f t="shared" si="178"/>
        <v>19.220599999999997</v>
      </c>
      <c r="AM178" s="20" t="s">
        <v>188</v>
      </c>
      <c r="AN178" t="s">
        <v>516</v>
      </c>
      <c r="AO178" t="s">
        <v>517</v>
      </c>
      <c r="AP178" t="s">
        <v>690</v>
      </c>
      <c r="AQ178" s="55">
        <v>110468.58732670239</v>
      </c>
      <c r="AR178" s="55">
        <v>6.3774416666666696</v>
      </c>
      <c r="AS178" t="s">
        <v>188</v>
      </c>
      <c r="AT178" t="s">
        <v>1322</v>
      </c>
      <c r="AU178" t="s">
        <v>1153</v>
      </c>
      <c r="AV178">
        <v>58.251918219511097</v>
      </c>
      <c r="AW178">
        <v>60.4203402754612</v>
      </c>
      <c r="AX178">
        <v>64.580851165229106</v>
      </c>
      <c r="AY178">
        <v>69.951865796120799</v>
      </c>
      <c r="AZ178">
        <v>75.470619072582707</v>
      </c>
      <c r="BA178">
        <v>84.563694419292005</v>
      </c>
      <c r="BB178">
        <v>90.4589429538199</v>
      </c>
      <c r="BC178">
        <v>100</v>
      </c>
      <c r="BD178">
        <v>105.09936615355301</v>
      </c>
      <c r="BE178">
        <v>114.84058523566701</v>
      </c>
      <c r="BF178">
        <v>120.81208597436</v>
      </c>
      <c r="BG178">
        <v>127.679550111995</v>
      </c>
      <c r="BH178">
        <v>133.627082108775</v>
      </c>
      <c r="BJ178" s="20" t="s">
        <v>188</v>
      </c>
      <c r="BK178" t="s">
        <v>690</v>
      </c>
      <c r="BL178">
        <v>2015</v>
      </c>
      <c r="BM178">
        <f>INDEX('Costs lists'!$C$5:$C$8,MATCH(Lists!BK178,'Costs lists'!$B$5:$B$8,0))</f>
        <v>3.55</v>
      </c>
      <c r="BN178">
        <f>INDEX('Costs lists'!$D$5:$D$8,MATCH(Lists!BK178,'Costs lists'!$B$5:$B$8,0))</f>
        <v>2.91</v>
      </c>
      <c r="BO178">
        <f>INDEX('Costs lists'!$E$5:$E$8,MATCH(Lists!BK178,'Costs lists'!$B$5:$B$8,0))</f>
        <v>7.59</v>
      </c>
      <c r="BW178" s="20" t="s">
        <v>188</v>
      </c>
      <c r="BX178" s="20">
        <v>2008</v>
      </c>
      <c r="BY178" s="52">
        <v>149.4101</v>
      </c>
      <c r="BZ178" s="52">
        <v>184.49220000000003</v>
      </c>
      <c r="CA178" s="52">
        <v>210.21600000000001</v>
      </c>
      <c r="CB178" s="52">
        <v>219.06720000000004</v>
      </c>
      <c r="CC178" s="375">
        <f t="shared" si="165"/>
        <v>154.42578000000003</v>
      </c>
      <c r="CD178" s="375">
        <v>316.54000000000002</v>
      </c>
      <c r="CE178" s="375">
        <v>330.23</v>
      </c>
      <c r="CF178" s="375">
        <v>427</v>
      </c>
      <c r="CG178" s="375">
        <f t="shared" si="196"/>
        <v>337.23166666666668</v>
      </c>
      <c r="CI178" s="20" t="s">
        <v>188</v>
      </c>
      <c r="CJ178" s="20">
        <v>2015</v>
      </c>
      <c r="CK178" s="59">
        <f t="shared" si="179"/>
        <v>236.09701347231464</v>
      </c>
      <c r="CL178" s="59">
        <f t="shared" si="180"/>
        <v>291.53355381555178</v>
      </c>
      <c r="CM178" s="59">
        <f t="shared" si="181"/>
        <v>332.18216026959419</v>
      </c>
      <c r="CN178" s="59">
        <f t="shared" si="182"/>
        <v>346.16877754410348</v>
      </c>
      <c r="CO178" s="59">
        <f t="shared" si="183"/>
        <v>244.02276326120327</v>
      </c>
      <c r="CP178" s="59">
        <f t="shared" si="184"/>
        <v>500.19475687738969</v>
      </c>
      <c r="CQ178" s="59">
        <f t="shared" si="185"/>
        <v>521.82761914330069</v>
      </c>
      <c r="CR178" s="59">
        <f t="shared" si="186"/>
        <v>674.74303780452829</v>
      </c>
      <c r="CS178" s="59">
        <f t="shared" si="187"/>
        <v>532.89161407623135</v>
      </c>
      <c r="CW178" s="20" t="s">
        <v>188</v>
      </c>
      <c r="CX178">
        <v>2014</v>
      </c>
      <c r="CY178">
        <v>1.3544829999999999</v>
      </c>
      <c r="CZ178">
        <v>0.69122761487960815</v>
      </c>
      <c r="DA178">
        <v>1583.3117874134846</v>
      </c>
      <c r="DB178">
        <v>41967.9921875</v>
      </c>
      <c r="DC178">
        <v>0.33492478728294373</v>
      </c>
      <c r="DE178">
        <f t="shared" si="188"/>
        <v>20335.010571790961</v>
      </c>
      <c r="DH178">
        <f t="shared" si="189"/>
        <v>12.843339343169077</v>
      </c>
      <c r="DI178">
        <f t="shared" si="162"/>
        <v>13.441604074067634</v>
      </c>
      <c r="DJ178">
        <f t="shared" si="163"/>
        <v>26.339260497030896</v>
      </c>
      <c r="DL178" s="20" t="s">
        <v>188</v>
      </c>
      <c r="DM178" s="99"/>
      <c r="DN178" s="100"/>
      <c r="DO178" s="101"/>
      <c r="DP178" s="101"/>
      <c r="DQ178" s="101"/>
      <c r="DR178" s="101"/>
      <c r="DS178" s="101"/>
      <c r="DT178" s="101"/>
      <c r="DU178" s="101"/>
      <c r="DV178" s="101"/>
      <c r="DW178" s="101"/>
      <c r="DX178" t="e">
        <f t="shared" ca="1" si="190"/>
        <v>#N/A</v>
      </c>
      <c r="DY178" t="e">
        <f t="shared" ca="1" si="191"/>
        <v>#N/A</v>
      </c>
      <c r="DZ178" t="e">
        <f t="shared" ca="1" si="192"/>
        <v>#N/A</v>
      </c>
      <c r="EB178" s="20" t="s">
        <v>188</v>
      </c>
      <c r="EC178" s="99" t="s">
        <v>840</v>
      </c>
      <c r="ED178" s="100" t="s">
        <v>754</v>
      </c>
      <c r="EE178" s="101">
        <v>59.9</v>
      </c>
      <c r="EF178" s="101">
        <v>59.9</v>
      </c>
      <c r="EG178" s="101">
        <v>60.5</v>
      </c>
      <c r="EH178" s="101">
        <v>59.4</v>
      </c>
      <c r="EI178" s="101">
        <v>58.4</v>
      </c>
      <c r="EJ178" s="101"/>
      <c r="EK178" s="101">
        <v>58.7</v>
      </c>
      <c r="EL178" s="101">
        <v>59.1</v>
      </c>
      <c r="EM178" s="101">
        <v>59.9</v>
      </c>
      <c r="EN178" s="101">
        <v>58.5</v>
      </c>
      <c r="EO178">
        <f ca="1">OFFSET(EE178,0,MATCH(MAX(EE178:EN178)+1,EE178:EN178,1)-1)</f>
        <v>58.5</v>
      </c>
      <c r="EQ178" s="20" t="s">
        <v>188</v>
      </c>
      <c r="ER178" s="20" t="e">
        <f t="shared" ca="1" si="193"/>
        <v>#N/A</v>
      </c>
      <c r="ES178" t="e">
        <f t="shared" ca="1" si="194"/>
        <v>#N/A</v>
      </c>
      <c r="EU178" s="20" t="s">
        <v>188</v>
      </c>
      <c r="EV178" s="109">
        <v>33308.520410465557</v>
      </c>
    </row>
    <row r="179" spans="1:152" x14ac:dyDescent="0.3">
      <c r="A179" s="20" t="s">
        <v>66</v>
      </c>
      <c r="B179" s="20" t="s">
        <v>631</v>
      </c>
      <c r="C179" s="81">
        <v>2015</v>
      </c>
      <c r="D179" s="82">
        <v>982.13499999999999</v>
      </c>
      <c r="E179" s="82">
        <v>855.72400000000005</v>
      </c>
      <c r="F179" s="82">
        <v>790.60400000000004</v>
      </c>
      <c r="G179" s="82">
        <v>827.06600000000003</v>
      </c>
      <c r="H179" s="82">
        <v>929.32399999999996</v>
      </c>
      <c r="I179" s="82">
        <v>1017.486</v>
      </c>
      <c r="J179" s="82">
        <v>965.73299999999995</v>
      </c>
      <c r="K179" s="82">
        <v>845.19299999999998</v>
      </c>
      <c r="L179" s="82">
        <v>741.10699999999997</v>
      </c>
      <c r="M179" s="82">
        <v>742.28</v>
      </c>
      <c r="N179" s="82">
        <v>674.13300000000004</v>
      </c>
      <c r="O179" s="82">
        <v>569.20399999999995</v>
      </c>
      <c r="P179" s="82">
        <v>459.185</v>
      </c>
      <c r="Q179" s="82">
        <v>286.34500000000003</v>
      </c>
      <c r="R179" s="82">
        <v>216.215</v>
      </c>
      <c r="S179" s="82">
        <v>175.215</v>
      </c>
      <c r="T179" s="82">
        <v>116.419</v>
      </c>
      <c r="U179" s="82">
        <v>44.64</v>
      </c>
      <c r="V179" s="82">
        <v>13.429</v>
      </c>
      <c r="W179" s="82">
        <v>1.911</v>
      </c>
      <c r="X179" s="82">
        <v>0.20599999999999999</v>
      </c>
      <c r="Y179" s="82">
        <f t="shared" si="167"/>
        <v>11253.553999999998</v>
      </c>
      <c r="Z179" s="52">
        <f t="shared" si="168"/>
        <v>98.213999999999999</v>
      </c>
      <c r="AA179" s="52">
        <f t="shared" si="169"/>
        <v>98.213999999999999</v>
      </c>
      <c r="AB179" s="52">
        <f t="shared" si="170"/>
        <v>196.42699999999999</v>
      </c>
      <c r="AC179" s="52">
        <f t="shared" si="171"/>
        <v>589.28099999999995</v>
      </c>
      <c r="AD179" s="52">
        <f t="shared" si="172"/>
        <v>1646.328</v>
      </c>
      <c r="AE179" s="52">
        <f t="shared" si="173"/>
        <v>6068.1890000000003</v>
      </c>
      <c r="AF179" s="52">
        <f t="shared" si="174"/>
        <v>1702.5219999999999</v>
      </c>
      <c r="AG179" s="52">
        <f t="shared" si="175"/>
        <v>854.38</v>
      </c>
      <c r="AH179" s="52">
        <f t="shared" si="176"/>
        <v>11253.554999999998</v>
      </c>
      <c r="AI179">
        <v>19.2</v>
      </c>
      <c r="AJ179" s="30">
        <f t="shared" si="177"/>
        <v>216068.25599999996</v>
      </c>
      <c r="AK179">
        <f t="shared" si="178"/>
        <v>196.42699999999999</v>
      </c>
      <c r="AM179" s="20" t="s">
        <v>66</v>
      </c>
      <c r="AN179" t="s">
        <v>518</v>
      </c>
      <c r="AO179" t="s">
        <v>519</v>
      </c>
      <c r="AP179" t="s">
        <v>688</v>
      </c>
      <c r="AQ179" s="55">
        <v>7497.9335417060247</v>
      </c>
      <c r="AR179" s="55">
        <v>1.961625</v>
      </c>
      <c r="AS179" t="s">
        <v>66</v>
      </c>
      <c r="AT179" t="s">
        <v>1323</v>
      </c>
      <c r="AU179" t="s">
        <v>1153</v>
      </c>
      <c r="AV179">
        <v>77.177083503510602</v>
      </c>
      <c r="AW179">
        <v>79.980371310445705</v>
      </c>
      <c r="AX179">
        <v>81.594204376271904</v>
      </c>
      <c r="AY179">
        <v>85.258203151647706</v>
      </c>
      <c r="AZ179">
        <v>88.171089433112698</v>
      </c>
      <c r="BA179">
        <v>92.509720990517707</v>
      </c>
      <c r="BB179">
        <v>95.770516406303798</v>
      </c>
      <c r="BC179">
        <v>100</v>
      </c>
      <c r="BD179">
        <v>103.544029352902</v>
      </c>
      <c r="BE179">
        <v>108.864242828553</v>
      </c>
      <c r="BF179">
        <v>115.176784523015</v>
      </c>
      <c r="BG179">
        <v>120.86390927284801</v>
      </c>
      <c r="BH179">
        <v>126.734489659773</v>
      </c>
      <c r="BJ179" s="20" t="s">
        <v>66</v>
      </c>
      <c r="BK179" t="s">
        <v>688</v>
      </c>
      <c r="BL179">
        <v>2015</v>
      </c>
      <c r="BM179">
        <f>INDEX('Costs lists'!$C$5:$C$8,MATCH(Lists!BK179,'Costs lists'!$B$5:$B$8,0))</f>
        <v>5.21</v>
      </c>
      <c r="BN179">
        <f>INDEX('Costs lists'!$D$5:$D$8,MATCH(Lists!BK179,'Costs lists'!$B$5:$B$8,0))</f>
        <v>5.16</v>
      </c>
      <c r="BO179">
        <f>INDEX('Costs lists'!$E$5:$E$8,MATCH(Lists!BK179,'Costs lists'!$B$5:$B$8,0))</f>
        <v>5.26</v>
      </c>
      <c r="BW179" s="20" t="s">
        <v>66</v>
      </c>
      <c r="BX179" s="20">
        <v>2008</v>
      </c>
      <c r="BY179" s="52">
        <v>7.0943000000000005</v>
      </c>
      <c r="BZ179" s="52">
        <v>8.7595999999999989</v>
      </c>
      <c r="CA179" s="52">
        <v>9.9856999999999996</v>
      </c>
      <c r="CB179" s="52">
        <v>10.406599999999999</v>
      </c>
      <c r="CC179" s="375">
        <f t="shared" si="165"/>
        <v>7.3326574999999998</v>
      </c>
      <c r="CD179" s="375">
        <v>77.14</v>
      </c>
      <c r="CE179" s="375">
        <v>80.48</v>
      </c>
      <c r="CF179" s="375">
        <v>104.06</v>
      </c>
      <c r="CG179" s="375">
        <f t="shared" si="196"/>
        <v>82.183333333333337</v>
      </c>
      <c r="CI179" s="20" t="s">
        <v>66</v>
      </c>
      <c r="CJ179" s="20">
        <v>2015</v>
      </c>
      <c r="CK179" s="59">
        <f t="shared" si="179"/>
        <v>9.7188974344164869</v>
      </c>
      <c r="CL179" s="59">
        <f t="shared" si="180"/>
        <v>12.000289523492755</v>
      </c>
      <c r="CM179" s="59">
        <f t="shared" si="181"/>
        <v>13.67999578687858</v>
      </c>
      <c r="CN179" s="59">
        <f t="shared" si="182"/>
        <v>14.256611369831923</v>
      </c>
      <c r="CO179" s="59">
        <f t="shared" si="183"/>
        <v>10.045437346067239</v>
      </c>
      <c r="CP179" s="59">
        <f t="shared" si="184"/>
        <v>105.67860790929166</v>
      </c>
      <c r="CQ179" s="59">
        <f t="shared" si="185"/>
        <v>110.25426969846762</v>
      </c>
      <c r="CR179" s="59">
        <f t="shared" si="186"/>
        <v>142.55789394660215</v>
      </c>
      <c r="CS179" s="59">
        <f t="shared" si="187"/>
        <v>112.58776588037274</v>
      </c>
      <c r="CW179" s="20" t="s">
        <v>66</v>
      </c>
      <c r="CX179">
        <v>2014</v>
      </c>
      <c r="CY179">
        <v>11.130153999999999</v>
      </c>
      <c r="CZ179">
        <v>3.4388458728790283</v>
      </c>
      <c r="DB179">
        <v>117258.8671875</v>
      </c>
      <c r="DC179">
        <v>0.50167715549468994</v>
      </c>
      <c r="DE179">
        <f t="shared" si="188"/>
        <v>17106.348211501834</v>
      </c>
      <c r="DH179" t="e">
        <f t="shared" si="189"/>
        <v>#DIV/0!</v>
      </c>
      <c r="DI179" t="e">
        <f t="shared" si="162"/>
        <v>#DIV/0!</v>
      </c>
      <c r="DJ179" t="e">
        <f t="shared" si="163"/>
        <v>#DIV/0!</v>
      </c>
      <c r="DL179" s="20" t="s">
        <v>66</v>
      </c>
      <c r="DM179" s="99"/>
      <c r="DN179" s="100"/>
      <c r="DO179" s="101"/>
      <c r="DP179" s="101"/>
      <c r="DQ179" s="101"/>
      <c r="DR179" s="101"/>
      <c r="DS179" s="101"/>
      <c r="DT179" s="101"/>
      <c r="DU179" s="101"/>
      <c r="DV179" s="101"/>
      <c r="DW179" s="101"/>
      <c r="DX179" t="e">
        <f t="shared" ca="1" si="190"/>
        <v>#N/A</v>
      </c>
      <c r="DY179" t="e">
        <f t="shared" ca="1" si="191"/>
        <v>#N/A</v>
      </c>
      <c r="DZ179" t="e">
        <f t="shared" ca="1" si="192"/>
        <v>#N/A</v>
      </c>
      <c r="EB179" s="20" t="s">
        <v>66</v>
      </c>
      <c r="EC179" s="99" t="s">
        <v>841</v>
      </c>
      <c r="ED179" s="100" t="s">
        <v>754</v>
      </c>
      <c r="EE179" s="101">
        <v>39.9</v>
      </c>
      <c r="EF179" s="101">
        <v>40.200000000000003</v>
      </c>
      <c r="EG179" s="101">
        <v>40.4</v>
      </c>
      <c r="EH179" s="101">
        <v>40.299999999999997</v>
      </c>
      <c r="EI179" s="101">
        <v>40.799999999999997</v>
      </c>
      <c r="EJ179" s="101">
        <v>38.5</v>
      </c>
      <c r="EK179" s="101">
        <v>39.4</v>
      </c>
      <c r="EL179" s="101">
        <v>39.9</v>
      </c>
      <c r="EM179" s="101"/>
      <c r="EN179" s="101"/>
      <c r="EO179">
        <f ca="1">OFFSET(EE179,0,MATCH(MAX(EE179:EN179)+1,EE179:EN179,1)-1)</f>
        <v>39.9</v>
      </c>
      <c r="EQ179" s="20" t="s">
        <v>66</v>
      </c>
      <c r="ER179" s="20" t="e">
        <f t="shared" ca="1" si="193"/>
        <v>#N/A</v>
      </c>
      <c r="ES179" t="e">
        <f t="shared" ca="1" si="194"/>
        <v>#N/A</v>
      </c>
      <c r="EU179" s="20" t="s">
        <v>66</v>
      </c>
      <c r="EV179" s="109">
        <v>11617.53448700284</v>
      </c>
    </row>
    <row r="180" spans="1:152" x14ac:dyDescent="0.3">
      <c r="A180" s="20" t="s">
        <v>133</v>
      </c>
      <c r="B180" s="20" t="s">
        <v>257</v>
      </c>
      <c r="C180" s="81">
        <v>2015</v>
      </c>
      <c r="D180" s="82">
        <v>6820.8689999999997</v>
      </c>
      <c r="E180" s="82">
        <v>6670.1840000000002</v>
      </c>
      <c r="F180" s="82">
        <v>6702.8649999999998</v>
      </c>
      <c r="G180" s="82">
        <v>6693.7849999999999</v>
      </c>
      <c r="H180" s="82">
        <v>6356.9260000000004</v>
      </c>
      <c r="I180" s="82">
        <v>6379.9309999999996</v>
      </c>
      <c r="J180" s="82">
        <v>6391.2060000000001</v>
      </c>
      <c r="K180" s="82">
        <v>6024.9359999999997</v>
      </c>
      <c r="L180" s="82">
        <v>5395.6149999999998</v>
      </c>
      <c r="M180" s="82">
        <v>4676.585</v>
      </c>
      <c r="N180" s="82">
        <v>4129.2139999999999</v>
      </c>
      <c r="O180" s="82">
        <v>3595.58</v>
      </c>
      <c r="P180" s="82">
        <v>2897.7550000000001</v>
      </c>
      <c r="Q180" s="82">
        <v>2065.3789999999999</v>
      </c>
      <c r="R180" s="82">
        <v>1577.3409999999999</v>
      </c>
      <c r="S180" s="82">
        <v>1157.548</v>
      </c>
      <c r="T180" s="82">
        <v>758.51900000000001</v>
      </c>
      <c r="U180" s="82">
        <v>293.37400000000002</v>
      </c>
      <c r="V180" s="82">
        <v>68.828000000000003</v>
      </c>
      <c r="W180" s="82">
        <v>8.6240000000000006</v>
      </c>
      <c r="X180" s="82">
        <v>0.76600000000000001</v>
      </c>
      <c r="Y180" s="82">
        <f t="shared" si="167"/>
        <v>78665.829999999987</v>
      </c>
      <c r="Z180" s="52">
        <f t="shared" si="168"/>
        <v>682.08699999999999</v>
      </c>
      <c r="AA180" s="52">
        <f t="shared" si="169"/>
        <v>682.08699999999999</v>
      </c>
      <c r="AB180" s="52">
        <f t="shared" si="170"/>
        <v>1364.174</v>
      </c>
      <c r="AC180" s="52">
        <f t="shared" si="171"/>
        <v>4092.5210000000002</v>
      </c>
      <c r="AD180" s="52">
        <f t="shared" si="172"/>
        <v>13373.049000000001</v>
      </c>
      <c r="AE180" s="52">
        <f t="shared" si="173"/>
        <v>41918.983999999997</v>
      </c>
      <c r="AF180" s="52">
        <f t="shared" si="174"/>
        <v>10622.549000000001</v>
      </c>
      <c r="AG180" s="52">
        <f t="shared" si="175"/>
        <v>5930.3789999999999</v>
      </c>
      <c r="AH180" s="52">
        <f t="shared" si="176"/>
        <v>78665.83</v>
      </c>
      <c r="AI180">
        <v>16.789000000000001</v>
      </c>
      <c r="AJ180" s="30">
        <f t="shared" si="177"/>
        <v>1320720.6198700001</v>
      </c>
      <c r="AK180">
        <f t="shared" si="178"/>
        <v>1364.1738</v>
      </c>
      <c r="AM180" s="20" t="s">
        <v>133</v>
      </c>
      <c r="AN180" t="s">
        <v>520</v>
      </c>
      <c r="AO180" t="s">
        <v>521</v>
      </c>
      <c r="AP180" t="s">
        <v>689</v>
      </c>
      <c r="AQ180" s="55">
        <v>24821.93868672078</v>
      </c>
      <c r="AR180" s="55">
        <v>2.7200085279057902</v>
      </c>
      <c r="AS180" t="s">
        <v>133</v>
      </c>
      <c r="AT180" t="s">
        <v>1324</v>
      </c>
      <c r="AU180" t="s">
        <v>1153</v>
      </c>
      <c r="AV180">
        <v>54.068365844557</v>
      </c>
      <c r="AW180">
        <v>59.791089414160403</v>
      </c>
      <c r="AX180">
        <v>65.852952167414202</v>
      </c>
      <c r="AY180">
        <v>72.173019431988095</v>
      </c>
      <c r="AZ180">
        <v>78.492619581464893</v>
      </c>
      <c r="BA180">
        <v>86.690489536621797</v>
      </c>
      <c r="BB180">
        <v>92.1094917787741</v>
      </c>
      <c r="BC180">
        <v>100</v>
      </c>
      <c r="BD180">
        <v>106.471879671151</v>
      </c>
      <c r="BE180">
        <v>115.938901345291</v>
      </c>
      <c r="BF180">
        <v>124.62630792227201</v>
      </c>
      <c r="BG180">
        <v>135.66143497757801</v>
      </c>
      <c r="BH180">
        <v>146.06782511210801</v>
      </c>
      <c r="BJ180" s="20" t="s">
        <v>133</v>
      </c>
      <c r="BK180" t="s">
        <v>689</v>
      </c>
      <c r="BL180">
        <v>2015</v>
      </c>
      <c r="BM180">
        <f>INDEX('Costs lists'!$C$5:$C$8,MATCH(Lists!BK180,'Costs lists'!$B$5:$B$8,0))</f>
        <v>3.2</v>
      </c>
      <c r="BN180">
        <f>INDEX('Costs lists'!$D$5:$D$8,MATCH(Lists!BK180,'Costs lists'!$B$5:$B$8,0))</f>
        <v>1.1200000000000001</v>
      </c>
      <c r="BO180">
        <f>INDEX('Costs lists'!$E$5:$E$8,MATCH(Lists!BK180,'Costs lists'!$B$5:$B$8,0))</f>
        <v>4.4400000000000004</v>
      </c>
      <c r="BW180" s="20" t="s">
        <v>133</v>
      </c>
      <c r="BX180" s="20">
        <v>2008</v>
      </c>
      <c r="BY180" s="52">
        <v>17.808</v>
      </c>
      <c r="BZ180" s="52">
        <v>21.993600000000001</v>
      </c>
      <c r="CA180" s="52">
        <v>25.056000000000001</v>
      </c>
      <c r="CB180" s="52">
        <v>26.111999999999998</v>
      </c>
      <c r="CC180" s="375">
        <f t="shared" ref="CC180:CC194" si="197">BY180*(9/10)+BZ180*(0.5/10)+CA180*(0.25/10)+CB180*(0.25/10)</f>
        <v>18.406079999999999</v>
      </c>
      <c r="CD180" s="375">
        <v>146.75</v>
      </c>
      <c r="CE180" s="375">
        <v>153.1</v>
      </c>
      <c r="CF180" s="375">
        <v>197.96</v>
      </c>
      <c r="CG180" s="375">
        <f t="shared" si="196"/>
        <v>156.34333333333333</v>
      </c>
      <c r="CI180" s="20" t="s">
        <v>133</v>
      </c>
      <c r="CJ180" s="20">
        <v>2015</v>
      </c>
      <c r="CK180" s="59">
        <f t="shared" si="179"/>
        <v>30.005319424313214</v>
      </c>
      <c r="CL180" s="59">
        <f t="shared" si="180"/>
        <v>37.057782642103277</v>
      </c>
      <c r="CM180" s="59">
        <f t="shared" si="181"/>
        <v>42.217727060623986</v>
      </c>
      <c r="CN180" s="59">
        <f t="shared" si="182"/>
        <v>43.997018239424222</v>
      </c>
      <c r="CO180" s="59">
        <f t="shared" si="183"/>
        <v>31.013045246488261</v>
      </c>
      <c r="CP180" s="59">
        <f t="shared" si="184"/>
        <v>247.26418606906807</v>
      </c>
      <c r="CQ180" s="59">
        <f t="shared" si="185"/>
        <v>257.96352222946723</v>
      </c>
      <c r="CR180" s="59">
        <f t="shared" si="186"/>
        <v>333.54969863190945</v>
      </c>
      <c r="CS180" s="59">
        <f t="shared" si="187"/>
        <v>263.42832752294152</v>
      </c>
      <c r="CW180" s="20" t="s">
        <v>133</v>
      </c>
      <c r="CX180">
        <v>2014</v>
      </c>
      <c r="CY180">
        <v>77.523787999999996</v>
      </c>
      <c r="CZ180">
        <v>24.647476196289063</v>
      </c>
      <c r="DA180">
        <v>1832</v>
      </c>
      <c r="DB180">
        <v>1513406.25</v>
      </c>
      <c r="DC180">
        <v>0.43714982271194458</v>
      </c>
      <c r="DE180">
        <f t="shared" si="188"/>
        <v>26841.907407065781</v>
      </c>
      <c r="DH180">
        <f t="shared" si="189"/>
        <v>14.651696182896169</v>
      </c>
      <c r="DI180">
        <f t="shared" si="162"/>
        <v>15.775606354103054</v>
      </c>
      <c r="DJ180">
        <f t="shared" si="163"/>
        <v>49.619066586260509</v>
      </c>
      <c r="DL180" s="20" t="s">
        <v>133</v>
      </c>
      <c r="DM180" s="99" t="s">
        <v>796</v>
      </c>
      <c r="DN180" s="100" t="s">
        <v>754</v>
      </c>
      <c r="DO180" s="101">
        <v>49.6</v>
      </c>
      <c r="DP180" s="101">
        <v>50.1</v>
      </c>
      <c r="DQ180" s="101">
        <v>48.8</v>
      </c>
      <c r="DR180" s="101">
        <v>47.7</v>
      </c>
      <c r="DS180" s="101">
        <v>47.4</v>
      </c>
      <c r="DT180" s="101">
        <v>48.1</v>
      </c>
      <c r="DU180" s="101">
        <v>46.9</v>
      </c>
      <c r="DV180" s="101">
        <v>47.1</v>
      </c>
      <c r="DW180" s="101">
        <v>46.7</v>
      </c>
      <c r="DX180">
        <f t="shared" ca="1" si="190"/>
        <v>46.7</v>
      </c>
      <c r="DY180">
        <f t="shared" ca="1" si="191"/>
        <v>9.34</v>
      </c>
      <c r="DZ180">
        <f t="shared" ca="1" si="192"/>
        <v>147.34416334732254</v>
      </c>
      <c r="EB180" s="20" t="s">
        <v>133</v>
      </c>
      <c r="EC180" s="99" t="s">
        <v>796</v>
      </c>
      <c r="ED180" s="100" t="s">
        <v>754</v>
      </c>
      <c r="EE180" s="101">
        <v>41.6</v>
      </c>
      <c r="EF180" s="101">
        <v>41.5</v>
      </c>
      <c r="EG180" s="101">
        <v>41.7</v>
      </c>
      <c r="EH180" s="101">
        <v>41.2</v>
      </c>
      <c r="EI180" s="101">
        <v>43</v>
      </c>
      <c r="EJ180" s="101">
        <v>45</v>
      </c>
      <c r="EK180" s="101">
        <v>45.4</v>
      </c>
      <c r="EL180" s="101">
        <v>45.9</v>
      </c>
      <c r="EM180" s="101">
        <v>45.5</v>
      </c>
      <c r="EN180" s="101">
        <v>46</v>
      </c>
      <c r="EO180">
        <f ca="1">OFFSET(EE180,0,MATCH(MAX(EE180:EN180)+1,EE180:EN180,1)-1)</f>
        <v>46</v>
      </c>
      <c r="EQ180" s="20" t="s">
        <v>133</v>
      </c>
      <c r="ER180" s="20">
        <f t="shared" ca="1" si="193"/>
        <v>147.34416334732254</v>
      </c>
      <c r="ES180">
        <f t="shared" ca="1" si="194"/>
        <v>67.778315139768367</v>
      </c>
      <c r="EU180" s="20" t="s">
        <v>133</v>
      </c>
      <c r="EV180" s="109">
        <v>19608.956443172658</v>
      </c>
    </row>
    <row r="181" spans="1:152" x14ac:dyDescent="0.3">
      <c r="A181" s="20" t="s">
        <v>96</v>
      </c>
      <c r="B181" s="20" t="s">
        <v>257</v>
      </c>
      <c r="C181" s="81">
        <v>2015</v>
      </c>
      <c r="D181" s="82">
        <v>527.72699999999998</v>
      </c>
      <c r="E181" s="82">
        <v>497.65600000000001</v>
      </c>
      <c r="F181" s="82">
        <v>491.23500000000001</v>
      </c>
      <c r="G181" s="82">
        <v>468.18700000000001</v>
      </c>
      <c r="H181" s="82">
        <v>553.60900000000004</v>
      </c>
      <c r="I181" s="82">
        <v>533.46799999999996</v>
      </c>
      <c r="J181" s="82">
        <v>442.798</v>
      </c>
      <c r="K181" s="82">
        <v>378.42599999999999</v>
      </c>
      <c r="L181" s="82">
        <v>330.45499999999998</v>
      </c>
      <c r="M181" s="82">
        <v>291.46300000000002</v>
      </c>
      <c r="N181" s="82">
        <v>271.55200000000002</v>
      </c>
      <c r="O181" s="82">
        <v>218.22800000000001</v>
      </c>
      <c r="P181" s="82">
        <v>145.42500000000001</v>
      </c>
      <c r="Q181" s="82">
        <v>85.064999999999998</v>
      </c>
      <c r="R181" s="82">
        <v>47.628999999999998</v>
      </c>
      <c r="S181" s="82">
        <v>49.363999999999997</v>
      </c>
      <c r="T181" s="82">
        <v>24.870999999999999</v>
      </c>
      <c r="U181" s="82">
        <v>12.518000000000001</v>
      </c>
      <c r="V181" s="82">
        <v>3.202</v>
      </c>
      <c r="W181" s="82">
        <v>0.54200000000000004</v>
      </c>
      <c r="X181" s="82">
        <v>8.2000000000000003E-2</v>
      </c>
      <c r="Y181" s="82">
        <f t="shared" si="167"/>
        <v>5373.5019999999995</v>
      </c>
      <c r="Z181" s="52">
        <f t="shared" si="168"/>
        <v>52.773000000000003</v>
      </c>
      <c r="AA181" s="52">
        <f t="shared" si="169"/>
        <v>52.773000000000003</v>
      </c>
      <c r="AB181" s="52">
        <f t="shared" si="170"/>
        <v>105.545</v>
      </c>
      <c r="AC181" s="52">
        <f t="shared" si="171"/>
        <v>316.63600000000002</v>
      </c>
      <c r="AD181" s="52">
        <f t="shared" si="172"/>
        <v>988.89099999999996</v>
      </c>
      <c r="AE181" s="52">
        <f t="shared" si="173"/>
        <v>2998.4059999999999</v>
      </c>
      <c r="AF181" s="52">
        <f t="shared" si="174"/>
        <v>635.20500000000004</v>
      </c>
      <c r="AG181" s="52">
        <f t="shared" si="175"/>
        <v>223.273</v>
      </c>
      <c r="AH181" s="52">
        <f t="shared" si="176"/>
        <v>5373.5019999999995</v>
      </c>
      <c r="AI181">
        <v>21.103000000000002</v>
      </c>
      <c r="AJ181" s="30">
        <f t="shared" si="177"/>
        <v>113397.01270599999</v>
      </c>
      <c r="AK181">
        <f t="shared" si="178"/>
        <v>105.5454</v>
      </c>
      <c r="AM181" s="20" t="s">
        <v>96</v>
      </c>
      <c r="AN181" t="s">
        <v>522</v>
      </c>
      <c r="AO181" t="s">
        <v>523</v>
      </c>
      <c r="AP181" t="s">
        <v>689</v>
      </c>
      <c r="AQ181" s="55">
        <v>23353.671404607274</v>
      </c>
      <c r="AR181" s="55"/>
      <c r="AS181" t="s">
        <v>96</v>
      </c>
      <c r="AT181" t="s">
        <v>1325</v>
      </c>
      <c r="AU181" t="s">
        <v>1153</v>
      </c>
      <c r="BJ181" s="20" t="s">
        <v>96</v>
      </c>
      <c r="BK181" t="s">
        <v>689</v>
      </c>
      <c r="BL181">
        <v>2015</v>
      </c>
      <c r="BM181">
        <f>INDEX('Costs lists'!$C$5:$C$8,MATCH(Lists!BK181,'Costs lists'!$B$5:$B$8,0))</f>
        <v>3.2</v>
      </c>
      <c r="BN181">
        <f>INDEX('Costs lists'!$D$5:$D$8,MATCH(Lists!BK181,'Costs lists'!$B$5:$B$8,0))</f>
        <v>1.1200000000000001</v>
      </c>
      <c r="BO181">
        <f>INDEX('Costs lists'!$E$5:$E$8,MATCH(Lists!BK181,'Costs lists'!$B$5:$B$8,0))</f>
        <v>4.4400000000000004</v>
      </c>
      <c r="BW181" s="20" t="s">
        <v>96</v>
      </c>
      <c r="BX181" s="20">
        <v>2008</v>
      </c>
      <c r="BY181" s="52">
        <v>12.6936</v>
      </c>
      <c r="BZ181" s="52">
        <v>15.673500000000001</v>
      </c>
      <c r="CA181" s="52">
        <v>17.8536</v>
      </c>
      <c r="CB181" s="52">
        <v>18.601800000000001</v>
      </c>
      <c r="CC181" s="375">
        <f t="shared" si="197"/>
        <v>13.119300000000001</v>
      </c>
      <c r="CD181" s="375">
        <v>61.22</v>
      </c>
      <c r="CE181" s="375">
        <v>63.87</v>
      </c>
      <c r="CF181" s="375">
        <v>82.59</v>
      </c>
      <c r="CG181" s="375">
        <f t="shared" si="196"/>
        <v>65.223333333333329</v>
      </c>
      <c r="CI181" s="20" t="s">
        <v>96</v>
      </c>
      <c r="CJ181" s="20">
        <v>2015</v>
      </c>
      <c r="CK181" s="59" t="e">
        <f t="shared" si="179"/>
        <v>#DIV/0!</v>
      </c>
      <c r="CL181" s="59" t="e">
        <f t="shared" si="180"/>
        <v>#DIV/0!</v>
      </c>
      <c r="CM181" s="59" t="e">
        <f t="shared" si="181"/>
        <v>#DIV/0!</v>
      </c>
      <c r="CN181" s="59" t="e">
        <f t="shared" si="182"/>
        <v>#DIV/0!</v>
      </c>
      <c r="CO181" s="59" t="e">
        <f t="shared" si="183"/>
        <v>#DIV/0!</v>
      </c>
      <c r="CP181" s="59" t="e">
        <f t="shared" si="184"/>
        <v>#DIV/0!</v>
      </c>
      <c r="CQ181" s="59" t="e">
        <f t="shared" si="185"/>
        <v>#DIV/0!</v>
      </c>
      <c r="CR181" s="59" t="e">
        <f t="shared" si="186"/>
        <v>#DIV/0!</v>
      </c>
      <c r="CS181" s="59" t="e">
        <f t="shared" si="187"/>
        <v>#DIV/0!</v>
      </c>
      <c r="CW181" s="20" t="s">
        <v>96</v>
      </c>
      <c r="CX181">
        <v>2014</v>
      </c>
      <c r="CY181">
        <v>5.307188</v>
      </c>
      <c r="CZ181">
        <v>2.6787245273590088</v>
      </c>
      <c r="DB181">
        <v>106807.90625</v>
      </c>
      <c r="DE181">
        <f t="shared" si="188"/>
        <v>0</v>
      </c>
      <c r="DH181" t="e">
        <f t="shared" si="189"/>
        <v>#DIV/0!</v>
      </c>
      <c r="DI181" t="e">
        <f t="shared" si="162"/>
        <v>#DIV/0!</v>
      </c>
      <c r="DJ181" t="e">
        <f t="shared" si="163"/>
        <v>#DIV/0!</v>
      </c>
      <c r="DL181" s="20" t="s">
        <v>96</v>
      </c>
      <c r="DM181" s="99"/>
      <c r="DN181" s="100"/>
      <c r="DO181" s="101"/>
      <c r="DP181" s="101"/>
      <c r="DQ181" s="101"/>
      <c r="DR181" s="101"/>
      <c r="DS181" s="101"/>
      <c r="DT181" s="101"/>
      <c r="DU181" s="101"/>
      <c r="DV181" s="101"/>
      <c r="DW181" s="101"/>
      <c r="DX181" t="e">
        <f t="shared" ca="1" si="190"/>
        <v>#N/A</v>
      </c>
      <c r="DY181" t="e">
        <f t="shared" ca="1" si="191"/>
        <v>#N/A</v>
      </c>
      <c r="DZ181" t="e">
        <f t="shared" ca="1" si="192"/>
        <v>#N/A</v>
      </c>
      <c r="EB181" s="20" t="s">
        <v>96</v>
      </c>
      <c r="EC181" s="99"/>
      <c r="ED181" s="100"/>
      <c r="EE181" s="101"/>
      <c r="EF181" s="101"/>
      <c r="EG181" s="101"/>
      <c r="EH181" s="101"/>
      <c r="EI181" s="101"/>
      <c r="EJ181" s="101"/>
      <c r="EK181" s="101"/>
      <c r="EL181" s="101"/>
      <c r="EM181" s="101"/>
      <c r="EN181" s="101"/>
      <c r="EQ181" s="20" t="s">
        <v>96</v>
      </c>
      <c r="ER181" s="20" t="e">
        <f t="shared" ca="1" si="193"/>
        <v>#N/A</v>
      </c>
      <c r="ES181" t="e">
        <f t="shared" ca="1" si="194"/>
        <v>#N/A</v>
      </c>
      <c r="EU181" s="20" t="s">
        <v>96</v>
      </c>
      <c r="EV181" s="109">
        <v>16532.485937186852</v>
      </c>
    </row>
    <row r="182" spans="1:152" x14ac:dyDescent="0.3">
      <c r="A182" s="20" t="s">
        <v>48</v>
      </c>
      <c r="B182" s="20" t="s">
        <v>632</v>
      </c>
      <c r="C182" s="81">
        <v>2015</v>
      </c>
      <c r="D182" s="82">
        <v>7277.92</v>
      </c>
      <c r="E182" s="82">
        <v>6227.2860000000001</v>
      </c>
      <c r="F182" s="82">
        <v>5265.723</v>
      </c>
      <c r="G182" s="82">
        <v>4337.1040000000003</v>
      </c>
      <c r="H182" s="82">
        <v>3584.982</v>
      </c>
      <c r="I182" s="82">
        <v>2907.069</v>
      </c>
      <c r="J182" s="82">
        <v>2359.2310000000002</v>
      </c>
      <c r="K182" s="82">
        <v>1863.1869999999999</v>
      </c>
      <c r="L182" s="82">
        <v>1399.86</v>
      </c>
      <c r="M182" s="82">
        <v>1011.6609999999999</v>
      </c>
      <c r="N182" s="82">
        <v>735.68200000000002</v>
      </c>
      <c r="O182" s="82">
        <v>588.71100000000001</v>
      </c>
      <c r="P182" s="82">
        <v>502.49400000000003</v>
      </c>
      <c r="Q182" s="82">
        <v>389.99400000000003</v>
      </c>
      <c r="R182" s="82">
        <v>281.36599999999999</v>
      </c>
      <c r="S182" s="82">
        <v>160.24799999999999</v>
      </c>
      <c r="T182" s="82">
        <v>95.451999999999998</v>
      </c>
      <c r="U182" s="82">
        <v>35.015000000000001</v>
      </c>
      <c r="V182" s="82">
        <v>8.2409999999999997</v>
      </c>
      <c r="W182" s="82">
        <v>1.079</v>
      </c>
      <c r="X182" s="82">
        <v>7.8E-2</v>
      </c>
      <c r="Y182" s="82">
        <f t="shared" si="167"/>
        <v>39032.383000000002</v>
      </c>
      <c r="Z182" s="52">
        <f t="shared" si="168"/>
        <v>727.79200000000003</v>
      </c>
      <c r="AA182" s="52">
        <f t="shared" si="169"/>
        <v>727.79200000000003</v>
      </c>
      <c r="AB182" s="52">
        <f t="shared" si="170"/>
        <v>1455.5840000000001</v>
      </c>
      <c r="AC182" s="52">
        <f t="shared" si="171"/>
        <v>4366.7520000000004</v>
      </c>
      <c r="AD182" s="52">
        <f t="shared" si="172"/>
        <v>11493.009</v>
      </c>
      <c r="AE182" s="52">
        <f t="shared" si="173"/>
        <v>17463.094000000001</v>
      </c>
      <c r="AF182" s="52">
        <f t="shared" si="174"/>
        <v>1826.8869999999999</v>
      </c>
      <c r="AG182" s="52">
        <f t="shared" si="175"/>
        <v>971.47299999999996</v>
      </c>
      <c r="AH182" s="52">
        <f t="shared" si="176"/>
        <v>39032.383000000002</v>
      </c>
      <c r="AI182">
        <v>42.996000000000002</v>
      </c>
      <c r="AJ182" s="30">
        <f t="shared" si="177"/>
        <v>1678236.3394680002</v>
      </c>
      <c r="AK182">
        <f t="shared" si="178"/>
        <v>1455.5840000000001</v>
      </c>
      <c r="AM182" s="20" t="s">
        <v>48</v>
      </c>
      <c r="AN182" t="s">
        <v>524</v>
      </c>
      <c r="AO182" t="s">
        <v>525</v>
      </c>
      <c r="AP182" t="s">
        <v>691</v>
      </c>
      <c r="AQ182" s="55">
        <v>1994374.912302946</v>
      </c>
      <c r="AR182" s="55">
        <v>3240.64542033826</v>
      </c>
      <c r="AS182" t="s">
        <v>48</v>
      </c>
      <c r="AT182" t="s">
        <v>1326</v>
      </c>
      <c r="AU182" t="s">
        <v>1153</v>
      </c>
      <c r="AV182">
        <v>59.278386250326001</v>
      </c>
      <c r="AW182">
        <v>61.484305392365002</v>
      </c>
      <c r="AX182">
        <v>66.678946148044901</v>
      </c>
      <c r="AY182">
        <v>71.553627951571997</v>
      </c>
      <c r="AZ182">
        <v>75.945955154676795</v>
      </c>
      <c r="BA182">
        <v>85.0980925051349</v>
      </c>
      <c r="BB182">
        <v>96.175529218411199</v>
      </c>
      <c r="BC182">
        <v>100</v>
      </c>
      <c r="BD182">
        <v>118.692904478175</v>
      </c>
      <c r="BE182">
        <v>135.32896910687799</v>
      </c>
      <c r="BF182">
        <v>142.72388782754001</v>
      </c>
      <c r="BG182">
        <v>148.844186806164</v>
      </c>
      <c r="BH182">
        <v>156.62193148940901</v>
      </c>
      <c r="BJ182" s="20" t="s">
        <v>48</v>
      </c>
      <c r="BK182" t="s">
        <v>691</v>
      </c>
      <c r="BL182">
        <v>2015</v>
      </c>
      <c r="BM182">
        <f>INDEX('Costs lists'!$C$5:$C$8,MATCH(Lists!BK182,'Costs lists'!$B$5:$B$8,0))</f>
        <v>4.2</v>
      </c>
      <c r="BN182">
        <f>INDEX('Costs lists'!$D$5:$D$8,MATCH(Lists!BK182,'Costs lists'!$B$5:$B$8,0))</f>
        <v>4.2</v>
      </c>
      <c r="BO182">
        <f>INDEX('Costs lists'!$E$5:$E$8,MATCH(Lists!BK182,'Costs lists'!$B$5:$B$8,0))</f>
        <v>4.2</v>
      </c>
      <c r="BW182" s="20" t="s">
        <v>48</v>
      </c>
      <c r="BX182" s="20">
        <v>2008</v>
      </c>
      <c r="BY182" s="52">
        <v>1638.9520000000002</v>
      </c>
      <c r="BZ182" s="52">
        <v>2020.2592000000002</v>
      </c>
      <c r="CA182" s="52">
        <v>2301.2224000000001</v>
      </c>
      <c r="CB182" s="52">
        <v>2401.5664000000002</v>
      </c>
      <c r="CC182" s="375">
        <f t="shared" si="197"/>
        <v>1693.6394800000003</v>
      </c>
      <c r="CD182" s="375">
        <v>8.99</v>
      </c>
      <c r="CE182" s="375">
        <v>9.3800000000000008</v>
      </c>
      <c r="CF182" s="375">
        <v>12.13</v>
      </c>
      <c r="CG182" s="375">
        <f t="shared" si="196"/>
        <v>9.5783333333333331</v>
      </c>
      <c r="CI182" s="20" t="s">
        <v>48</v>
      </c>
      <c r="CJ182" s="20">
        <v>2015</v>
      </c>
      <c r="CK182" s="59">
        <f t="shared" si="179"/>
        <v>3016.4698209062749</v>
      </c>
      <c r="CL182" s="59">
        <f t="shared" si="180"/>
        <v>3718.2607588314081</v>
      </c>
      <c r="CM182" s="59">
        <f t="shared" si="181"/>
        <v>4235.3698709867695</v>
      </c>
      <c r="CN182" s="59">
        <f t="shared" si="182"/>
        <v>4420.0516967565418</v>
      </c>
      <c r="CO182" s="59">
        <f t="shared" si="183"/>
        <v>3117.1214159508008</v>
      </c>
      <c r="CP182" s="59">
        <f t="shared" si="184"/>
        <v>16.545977972477175</v>
      </c>
      <c r="CQ182" s="59">
        <f t="shared" si="185"/>
        <v>17.263767895643593</v>
      </c>
      <c r="CR182" s="59">
        <f t="shared" si="186"/>
        <v>22.32510709745808</v>
      </c>
      <c r="CS182" s="59">
        <f t="shared" si="187"/>
        <v>17.62879781383506</v>
      </c>
      <c r="CW182" s="20" t="s">
        <v>48</v>
      </c>
      <c r="CX182">
        <v>2014</v>
      </c>
      <c r="CY182">
        <v>37.782970999999996</v>
      </c>
      <c r="CZ182">
        <v>14.366792678833008</v>
      </c>
      <c r="DB182">
        <v>70008.6328125</v>
      </c>
      <c r="DE182">
        <f t="shared" si="188"/>
        <v>0</v>
      </c>
      <c r="DH182" t="e">
        <f t="shared" si="189"/>
        <v>#DIV/0!</v>
      </c>
      <c r="DI182" t="e">
        <f t="shared" si="162"/>
        <v>#DIV/0!</v>
      </c>
      <c r="DJ182" t="e">
        <f t="shared" si="163"/>
        <v>#DIV/0!</v>
      </c>
      <c r="DL182" s="20" t="s">
        <v>48</v>
      </c>
      <c r="DM182" s="99" t="s">
        <v>788</v>
      </c>
      <c r="DN182" s="100" t="s">
        <v>854</v>
      </c>
      <c r="DO182" s="101"/>
      <c r="DP182" s="101"/>
      <c r="DQ182" s="101"/>
      <c r="DR182" s="101"/>
      <c r="DS182" s="101"/>
      <c r="DT182" s="101"/>
      <c r="DU182" s="101">
        <v>34</v>
      </c>
      <c r="DV182" s="101"/>
      <c r="DW182" s="101"/>
      <c r="DX182">
        <f t="shared" ca="1" si="190"/>
        <v>34</v>
      </c>
      <c r="DY182">
        <f t="shared" ca="1" si="191"/>
        <v>6.8</v>
      </c>
      <c r="DZ182" t="e">
        <f t="shared" ca="1" si="192"/>
        <v>#DIV/0!</v>
      </c>
      <c r="EB182" s="20" t="s">
        <v>48</v>
      </c>
      <c r="EC182" s="99" t="s">
        <v>788</v>
      </c>
      <c r="ED182" s="100" t="s">
        <v>754</v>
      </c>
      <c r="EE182" s="101"/>
      <c r="EF182" s="101"/>
      <c r="EG182" s="101"/>
      <c r="EH182" s="101"/>
      <c r="EI182" s="101"/>
      <c r="EJ182" s="101"/>
      <c r="EK182" s="101">
        <v>75.5</v>
      </c>
      <c r="EL182" s="101">
        <v>84.2</v>
      </c>
      <c r="EM182" s="101"/>
      <c r="EN182" s="101"/>
      <c r="EO182">
        <f t="shared" ref="EO182:EO195" ca="1" si="198">OFFSET(EE182,0,MATCH(MAX(EE182:EN182)+1,EE182:EN182,1)-1)</f>
        <v>84.2</v>
      </c>
      <c r="EQ182" s="20" t="s">
        <v>48</v>
      </c>
      <c r="ER182" s="20" t="e">
        <f t="shared" ca="1" si="193"/>
        <v>#DIV/0!</v>
      </c>
      <c r="ES182" t="e">
        <f t="shared" ca="1" si="194"/>
        <v>#DIV/0!</v>
      </c>
      <c r="EU182" s="20" t="s">
        <v>48</v>
      </c>
      <c r="EV182" s="109">
        <v>1850.9924102832699</v>
      </c>
    </row>
    <row r="183" spans="1:152" x14ac:dyDescent="0.3">
      <c r="A183" s="20" t="s">
        <v>145</v>
      </c>
      <c r="B183" s="20" t="s">
        <v>257</v>
      </c>
      <c r="C183" s="81">
        <v>2015</v>
      </c>
      <c r="D183" s="82">
        <v>2460.8829999999998</v>
      </c>
      <c r="E183" s="82">
        <v>2393.3249999999998</v>
      </c>
      <c r="F183" s="82">
        <v>1836.912</v>
      </c>
      <c r="G183" s="82">
        <v>2117.17</v>
      </c>
      <c r="H183" s="82">
        <v>2771.1</v>
      </c>
      <c r="I183" s="82">
        <v>3589.4119999999998</v>
      </c>
      <c r="J183" s="82">
        <v>3648.884</v>
      </c>
      <c r="K183" s="82">
        <v>3373.172</v>
      </c>
      <c r="L183" s="82">
        <v>3169.4639999999999</v>
      </c>
      <c r="M183" s="82">
        <v>2830.3760000000002</v>
      </c>
      <c r="N183" s="82">
        <v>3408.0419999999999</v>
      </c>
      <c r="O183" s="82">
        <v>3107.1120000000001</v>
      </c>
      <c r="P183" s="82">
        <v>3257.1019999999999</v>
      </c>
      <c r="Q183" s="82">
        <v>1799.395</v>
      </c>
      <c r="R183" s="82">
        <v>1666.8030000000001</v>
      </c>
      <c r="S183" s="82">
        <v>1882.7460000000001</v>
      </c>
      <c r="T183" s="82">
        <v>809.37800000000004</v>
      </c>
      <c r="U183" s="82">
        <v>548.58600000000001</v>
      </c>
      <c r="V183" s="82">
        <v>134.84399999999999</v>
      </c>
      <c r="W183" s="82">
        <v>16.905999999999999</v>
      </c>
      <c r="X183" s="82">
        <v>2.153</v>
      </c>
      <c r="Y183" s="82">
        <f t="shared" si="167"/>
        <v>44823.764999999992</v>
      </c>
      <c r="Z183" s="52">
        <f t="shared" si="168"/>
        <v>246.08799999999999</v>
      </c>
      <c r="AA183" s="52">
        <f t="shared" si="169"/>
        <v>246.08799999999999</v>
      </c>
      <c r="AB183" s="52">
        <f t="shared" si="170"/>
        <v>492.17700000000002</v>
      </c>
      <c r="AC183" s="52">
        <f t="shared" si="171"/>
        <v>1476.53</v>
      </c>
      <c r="AD183" s="52">
        <f t="shared" si="172"/>
        <v>4230.2370000000001</v>
      </c>
      <c r="AE183" s="52">
        <f t="shared" si="173"/>
        <v>21499.578000000001</v>
      </c>
      <c r="AF183" s="52">
        <f t="shared" si="174"/>
        <v>9772.2559999999994</v>
      </c>
      <c r="AG183" s="52">
        <f t="shared" si="175"/>
        <v>6860.8109999999997</v>
      </c>
      <c r="AH183" s="52">
        <f t="shared" si="176"/>
        <v>44823.764999999999</v>
      </c>
      <c r="AI183">
        <v>10.8</v>
      </c>
      <c r="AJ183" s="30">
        <f t="shared" si="177"/>
        <v>484096.66200000001</v>
      </c>
      <c r="AK183">
        <f t="shared" si="178"/>
        <v>492.17659999999995</v>
      </c>
      <c r="AM183" s="20" t="s">
        <v>145</v>
      </c>
      <c r="AN183" t="s">
        <v>526</v>
      </c>
      <c r="AO183" t="s">
        <v>527</v>
      </c>
      <c r="AP183" t="s">
        <v>688</v>
      </c>
      <c r="AQ183" s="55">
        <v>46200.551290818701</v>
      </c>
      <c r="AR183" s="55">
        <v>21.844697766666702</v>
      </c>
      <c r="AS183" t="s">
        <v>145</v>
      </c>
      <c r="AT183" t="s">
        <v>1327</v>
      </c>
      <c r="AU183" t="s">
        <v>1153</v>
      </c>
      <c r="AV183">
        <v>41.332812150559697</v>
      </c>
      <c r="AW183">
        <v>45.072633042599001</v>
      </c>
      <c r="AX183">
        <v>51.188798459788302</v>
      </c>
      <c r="AY183">
        <v>55.824618107212103</v>
      </c>
      <c r="AZ183">
        <v>62.992608150287502</v>
      </c>
      <c r="BA183">
        <v>78.886846941454607</v>
      </c>
      <c r="BB183">
        <v>91.425571016014899</v>
      </c>
      <c r="BC183">
        <v>100</v>
      </c>
      <c r="BD183">
        <v>107.96009451299599</v>
      </c>
      <c r="BE183">
        <v>108.55987281584601</v>
      </c>
      <c r="BF183">
        <v>108.259983664421</v>
      </c>
      <c r="BG183">
        <v>121.45510632712001</v>
      </c>
      <c r="BH183">
        <v>180.63323220831799</v>
      </c>
      <c r="BJ183" s="20" t="s">
        <v>145</v>
      </c>
      <c r="BK183" t="s">
        <v>688</v>
      </c>
      <c r="BL183">
        <v>2015</v>
      </c>
      <c r="BM183">
        <f>INDEX('Costs lists'!$C$5:$C$8,MATCH(Lists!BK183,'Costs lists'!$B$5:$B$8,0))</f>
        <v>5.21</v>
      </c>
      <c r="BN183">
        <f>INDEX('Costs lists'!$D$5:$D$8,MATCH(Lists!BK183,'Costs lists'!$B$5:$B$8,0))</f>
        <v>5.16</v>
      </c>
      <c r="BO183">
        <f>INDEX('Costs lists'!$E$5:$E$8,MATCH(Lists!BK183,'Costs lists'!$B$5:$B$8,0))</f>
        <v>5.26</v>
      </c>
      <c r="BW183" s="20" t="s">
        <v>145</v>
      </c>
      <c r="BX183" s="20">
        <v>2008</v>
      </c>
      <c r="BY183" s="52">
        <v>29.926500000000001</v>
      </c>
      <c r="BZ183" s="52">
        <v>36.951500000000003</v>
      </c>
      <c r="CA183" s="52">
        <v>42.093800000000002</v>
      </c>
      <c r="CB183" s="52">
        <v>43.864100000000001</v>
      </c>
      <c r="CC183" s="375">
        <f t="shared" si="197"/>
        <v>30.930372499999997</v>
      </c>
      <c r="CD183" s="375">
        <v>68.27</v>
      </c>
      <c r="CE183" s="375">
        <v>71.22</v>
      </c>
      <c r="CF183" s="375">
        <v>92.1</v>
      </c>
      <c r="CG183" s="375">
        <f t="shared" si="196"/>
        <v>72.73333333333332</v>
      </c>
      <c r="CI183" s="20" t="s">
        <v>145</v>
      </c>
      <c r="CJ183" s="20">
        <v>2015</v>
      </c>
      <c r="CK183" s="59">
        <f t="shared" si="179"/>
        <v>68.524990328160158</v>
      </c>
      <c r="CL183" s="59">
        <f t="shared" si="180"/>
        <v>84.610668808948944</v>
      </c>
      <c r="CM183" s="59">
        <f t="shared" si="181"/>
        <v>96.385385456886311</v>
      </c>
      <c r="CN183" s="59">
        <f t="shared" si="182"/>
        <v>100.43897643404509</v>
      </c>
      <c r="CO183" s="59">
        <f t="shared" si="183"/>
        <v>70.823633783064878</v>
      </c>
      <c r="CP183" s="59">
        <f t="shared" si="184"/>
        <v>156.32302774141627</v>
      </c>
      <c r="CQ183" s="59">
        <f t="shared" si="185"/>
        <v>163.07786781519945</v>
      </c>
      <c r="CR183" s="59">
        <f t="shared" si="186"/>
        <v>210.8883968798072</v>
      </c>
      <c r="CS183" s="59">
        <f t="shared" si="187"/>
        <v>166.54306261011195</v>
      </c>
      <c r="CW183" s="20" t="s">
        <v>145</v>
      </c>
      <c r="CX183">
        <v>2014</v>
      </c>
      <c r="CY183">
        <v>45.002496999999998</v>
      </c>
      <c r="CZ183">
        <v>18.363193511962891</v>
      </c>
      <c r="DB183">
        <v>461576.15625</v>
      </c>
      <c r="DC183">
        <v>0.55836886167526245</v>
      </c>
      <c r="DE183">
        <f t="shared" si="188"/>
        <v>14035.126993235403</v>
      </c>
      <c r="DH183" t="e">
        <f t="shared" si="189"/>
        <v>#DIV/0!</v>
      </c>
      <c r="DI183" t="e">
        <f t="shared" si="162"/>
        <v>#DIV/0!</v>
      </c>
      <c r="DJ183" t="e">
        <f t="shared" si="163"/>
        <v>#DIV/0!</v>
      </c>
      <c r="DL183" s="20" t="s">
        <v>145</v>
      </c>
      <c r="DM183" s="99" t="s">
        <v>842</v>
      </c>
      <c r="DN183" s="100" t="s">
        <v>854</v>
      </c>
      <c r="DO183" s="101"/>
      <c r="DP183" s="101"/>
      <c r="DQ183" s="101"/>
      <c r="DR183" s="101"/>
      <c r="DS183" s="101"/>
      <c r="DT183" s="101"/>
      <c r="DU183" s="101">
        <v>38</v>
      </c>
      <c r="DV183" s="101">
        <v>39</v>
      </c>
      <c r="DW183" s="101">
        <v>39</v>
      </c>
      <c r="DX183">
        <f t="shared" ca="1" si="190"/>
        <v>39</v>
      </c>
      <c r="DY183">
        <f t="shared" ca="1" si="191"/>
        <v>7.8</v>
      </c>
      <c r="DZ183" t="e">
        <f t="shared" ca="1" si="192"/>
        <v>#DIV/0!</v>
      </c>
      <c r="EB183" s="20" t="s">
        <v>145</v>
      </c>
      <c r="EC183" s="99" t="s">
        <v>842</v>
      </c>
      <c r="ED183" s="100" t="s">
        <v>754</v>
      </c>
      <c r="EE183" s="101">
        <v>57.9</v>
      </c>
      <c r="EF183" s="101">
        <v>58.7</v>
      </c>
      <c r="EG183" s="101">
        <v>59.3</v>
      </c>
      <c r="EH183" s="101">
        <v>57.7</v>
      </c>
      <c r="EI183" s="101">
        <v>58.5</v>
      </c>
      <c r="EJ183" s="101">
        <v>59.2</v>
      </c>
      <c r="EK183" s="101">
        <v>59.7</v>
      </c>
      <c r="EL183" s="101">
        <v>60.3</v>
      </c>
      <c r="EM183" s="101">
        <v>56.6</v>
      </c>
      <c r="EN183" s="101">
        <v>56.6</v>
      </c>
      <c r="EO183">
        <f t="shared" ca="1" si="198"/>
        <v>56.6</v>
      </c>
      <c r="EQ183" s="20" t="s">
        <v>145</v>
      </c>
      <c r="ER183" s="20" t="e">
        <f t="shared" ca="1" si="193"/>
        <v>#DIV/0!</v>
      </c>
      <c r="ES183" t="e">
        <f t="shared" ca="1" si="194"/>
        <v>#DIV/0!</v>
      </c>
      <c r="EU183" s="20" t="s">
        <v>145</v>
      </c>
      <c r="EV183" s="109">
        <v>7939.6140196322303</v>
      </c>
    </row>
    <row r="184" spans="1:152" x14ac:dyDescent="0.3">
      <c r="A184" s="20" t="s">
        <v>134</v>
      </c>
      <c r="B184" s="20" t="s">
        <v>631</v>
      </c>
      <c r="C184" s="81">
        <v>2015</v>
      </c>
      <c r="D184" s="82">
        <v>491.34399999999999</v>
      </c>
      <c r="E184" s="82">
        <v>431.84</v>
      </c>
      <c r="F184" s="82">
        <v>353.065</v>
      </c>
      <c r="G184" s="82">
        <v>428.28899999999999</v>
      </c>
      <c r="H184" s="82">
        <v>734.71799999999996</v>
      </c>
      <c r="I184" s="82">
        <v>1239.3430000000001</v>
      </c>
      <c r="J184" s="82">
        <v>1372.1610000000001</v>
      </c>
      <c r="K184" s="82">
        <v>1314.4960000000001</v>
      </c>
      <c r="L184" s="82">
        <v>1127.9349999999999</v>
      </c>
      <c r="M184" s="82">
        <v>726.28700000000003</v>
      </c>
      <c r="N184" s="82">
        <v>476.13900000000001</v>
      </c>
      <c r="O184" s="82">
        <v>246.185</v>
      </c>
      <c r="P184" s="82">
        <v>110.96599999999999</v>
      </c>
      <c r="Q184" s="82">
        <v>59.195</v>
      </c>
      <c r="R184" s="82">
        <v>24.027000000000001</v>
      </c>
      <c r="S184" s="82">
        <v>11.16</v>
      </c>
      <c r="T184" s="82">
        <v>6.8689999999999998</v>
      </c>
      <c r="U184" s="82">
        <v>2.016</v>
      </c>
      <c r="V184" s="82">
        <v>0.80200000000000005</v>
      </c>
      <c r="W184" s="82">
        <v>0.107</v>
      </c>
      <c r="X184" s="82">
        <v>1.9E-2</v>
      </c>
      <c r="Y184" s="82">
        <f t="shared" si="167"/>
        <v>9156.9629999999997</v>
      </c>
      <c r="Z184" s="52">
        <f t="shared" si="168"/>
        <v>49.134</v>
      </c>
      <c r="AA184" s="52">
        <f t="shared" si="169"/>
        <v>49.134</v>
      </c>
      <c r="AB184" s="52">
        <f t="shared" si="170"/>
        <v>98.269000000000005</v>
      </c>
      <c r="AC184" s="52">
        <f t="shared" si="171"/>
        <v>294.80599999999998</v>
      </c>
      <c r="AD184" s="52">
        <f t="shared" si="172"/>
        <v>784.90499999999997</v>
      </c>
      <c r="AE184" s="52">
        <f t="shared" si="173"/>
        <v>6943.2290000000003</v>
      </c>
      <c r="AF184" s="52">
        <f t="shared" si="174"/>
        <v>833.29</v>
      </c>
      <c r="AG184" s="52">
        <f t="shared" si="175"/>
        <v>104.19499999999999</v>
      </c>
      <c r="AH184" s="52">
        <f t="shared" si="176"/>
        <v>9156.9619999999995</v>
      </c>
      <c r="AI184">
        <v>10.819000000000001</v>
      </c>
      <c r="AJ184" s="30">
        <f t="shared" si="177"/>
        <v>99069.171878000008</v>
      </c>
      <c r="AK184">
        <f t="shared" si="178"/>
        <v>98.268799999999999</v>
      </c>
      <c r="AM184" s="20" t="s">
        <v>134</v>
      </c>
      <c r="AN184" t="s">
        <v>528</v>
      </c>
      <c r="AO184" t="s">
        <v>529</v>
      </c>
      <c r="AP184" t="s">
        <v>690</v>
      </c>
      <c r="AQ184" s="55">
        <v>148511.35687672868</v>
      </c>
      <c r="AR184" s="55">
        <v>3.6724999999999999</v>
      </c>
      <c r="AS184" t="s">
        <v>134</v>
      </c>
      <c r="AT184" t="s">
        <v>1328</v>
      </c>
      <c r="AU184" t="s">
        <v>1153</v>
      </c>
      <c r="AZ184">
        <v>86.954024450593096</v>
      </c>
      <c r="BA184">
        <v>97.606257865569006</v>
      </c>
      <c r="BB184">
        <v>99.128721233747299</v>
      </c>
      <c r="BC184">
        <v>100</v>
      </c>
      <c r="BD184">
        <v>100.876836632777</v>
      </c>
      <c r="BE184">
        <v>101.546726725813</v>
      </c>
      <c r="BF184">
        <v>102.66444281820399</v>
      </c>
      <c r="BG184">
        <v>105.071620061744</v>
      </c>
      <c r="BH184">
        <v>109.346134980362</v>
      </c>
      <c r="BJ184" s="20" t="s">
        <v>134</v>
      </c>
      <c r="BK184" t="s">
        <v>690</v>
      </c>
      <c r="BL184">
        <v>2015</v>
      </c>
      <c r="BM184">
        <f>INDEX('Costs lists'!$C$5:$C$8,MATCH(Lists!BK184,'Costs lists'!$B$5:$B$8,0))</f>
        <v>3.55</v>
      </c>
      <c r="BN184">
        <f>INDEX('Costs lists'!$D$5:$D$8,MATCH(Lists!BK184,'Costs lists'!$B$5:$B$8,0))</f>
        <v>2.91</v>
      </c>
      <c r="BO184">
        <f>INDEX('Costs lists'!$E$5:$E$8,MATCH(Lists!BK184,'Costs lists'!$B$5:$B$8,0))</f>
        <v>7.59</v>
      </c>
      <c r="BW184" s="20" t="s">
        <v>134</v>
      </c>
      <c r="BX184" s="20">
        <v>2008</v>
      </c>
      <c r="BY184" s="52">
        <v>245.46559999999999</v>
      </c>
      <c r="BZ184" s="52">
        <v>303.0872</v>
      </c>
      <c r="CA184" s="52">
        <v>345.42759999999998</v>
      </c>
      <c r="CB184" s="52">
        <v>359.92360000000002</v>
      </c>
      <c r="CC184" s="375">
        <f t="shared" si="197"/>
        <v>253.70717999999999</v>
      </c>
      <c r="CD184" s="375">
        <v>432.44</v>
      </c>
      <c r="CE184" s="375">
        <v>451.14</v>
      </c>
      <c r="CF184" s="375">
        <v>583.34</v>
      </c>
      <c r="CG184" s="375">
        <f t="shared" si="196"/>
        <v>460.70666666666659</v>
      </c>
      <c r="CI184" s="20" t="s">
        <v>134</v>
      </c>
      <c r="CJ184" s="20">
        <v>2015</v>
      </c>
      <c r="CK184" s="59">
        <f t="shared" si="179"/>
        <v>274.98969039057602</v>
      </c>
      <c r="CL184" s="59">
        <f t="shared" si="180"/>
        <v>339.5418962548992</v>
      </c>
      <c r="CM184" s="59">
        <f t="shared" si="181"/>
        <v>386.97491125583269</v>
      </c>
      <c r="CN184" s="59">
        <f t="shared" si="182"/>
        <v>403.21445990094549</v>
      </c>
      <c r="CO184" s="59">
        <f t="shared" si="183"/>
        <v>284.2225504431828</v>
      </c>
      <c r="CP184" s="59">
        <f t="shared" si="184"/>
        <v>484.45298124258829</v>
      </c>
      <c r="CQ184" s="59">
        <f t="shared" si="185"/>
        <v>505.40217823925002</v>
      </c>
      <c r="CR184" s="59">
        <f t="shared" si="186"/>
        <v>653.50291850442022</v>
      </c>
      <c r="CS184" s="59">
        <f t="shared" si="187"/>
        <v>516.11950361900381</v>
      </c>
      <c r="CW184" s="20" t="s">
        <v>134</v>
      </c>
      <c r="CX184">
        <v>2014</v>
      </c>
      <c r="CY184">
        <v>9.0861389999999993</v>
      </c>
      <c r="CZ184">
        <v>5.9388065338134766</v>
      </c>
      <c r="DB184">
        <v>618051.1875</v>
      </c>
      <c r="DE184">
        <f t="shared" si="188"/>
        <v>0</v>
      </c>
      <c r="DH184" t="e">
        <f t="shared" si="189"/>
        <v>#DIV/0!</v>
      </c>
      <c r="DI184" t="e">
        <f t="shared" si="162"/>
        <v>#DIV/0!</v>
      </c>
      <c r="DJ184" t="e">
        <f t="shared" si="163"/>
        <v>#DIV/0!</v>
      </c>
      <c r="DL184" s="20" t="s">
        <v>134</v>
      </c>
      <c r="DM184" s="99" t="s">
        <v>756</v>
      </c>
      <c r="DN184" s="100" t="s">
        <v>809</v>
      </c>
      <c r="DO184" s="101"/>
      <c r="DP184" s="101"/>
      <c r="DQ184" s="101">
        <v>52.6</v>
      </c>
      <c r="DR184" s="101"/>
      <c r="DS184" s="101"/>
      <c r="DT184" s="101"/>
      <c r="DU184" s="101"/>
      <c r="DV184" s="101"/>
      <c r="DW184" s="101"/>
      <c r="DX184">
        <f t="shared" ca="1" si="190"/>
        <v>52.6</v>
      </c>
      <c r="DY184">
        <f t="shared" ca="1" si="191"/>
        <v>10.52</v>
      </c>
      <c r="DZ184" t="e">
        <f t="shared" ca="1" si="192"/>
        <v>#DIV/0!</v>
      </c>
      <c r="EB184" s="20" t="s">
        <v>134</v>
      </c>
      <c r="EC184" s="99" t="s">
        <v>756</v>
      </c>
      <c r="ED184" s="100" t="s">
        <v>754</v>
      </c>
      <c r="EE184" s="101"/>
      <c r="EF184" s="101"/>
      <c r="EG184" s="101">
        <v>69.599999999999994</v>
      </c>
      <c r="EH184" s="101">
        <v>69.400000000000006</v>
      </c>
      <c r="EI184" s="101"/>
      <c r="EJ184" s="101"/>
      <c r="EK184" s="101"/>
      <c r="EL184" s="101"/>
      <c r="EM184" s="101"/>
      <c r="EN184" s="101"/>
      <c r="EO184">
        <f t="shared" ca="1" si="198"/>
        <v>69.400000000000006</v>
      </c>
      <c r="EQ184" s="20" t="s">
        <v>134</v>
      </c>
      <c r="ER184" s="20" t="e">
        <f t="shared" ca="1" si="193"/>
        <v>#DIV/0!</v>
      </c>
      <c r="ES184" t="e">
        <f t="shared" ca="1" si="194"/>
        <v>#DIV/0!</v>
      </c>
      <c r="EU184" s="20" t="s">
        <v>134</v>
      </c>
      <c r="EV184" s="109">
        <v>69970.815342564936</v>
      </c>
    </row>
    <row r="185" spans="1:152" x14ac:dyDescent="0.3">
      <c r="A185" s="20" t="s">
        <v>155</v>
      </c>
      <c r="B185" s="20" t="s">
        <v>257</v>
      </c>
      <c r="C185" s="81">
        <v>2015</v>
      </c>
      <c r="D185" s="82">
        <v>4057.5459999999998</v>
      </c>
      <c r="E185" s="82">
        <v>3975.355</v>
      </c>
      <c r="F185" s="82">
        <v>3469.83</v>
      </c>
      <c r="G185" s="82">
        <v>3781.7930000000001</v>
      </c>
      <c r="H185" s="82">
        <v>4227.2839999999997</v>
      </c>
      <c r="I185" s="82">
        <v>4435.0529999999999</v>
      </c>
      <c r="J185" s="82">
        <v>4347.8280000000004</v>
      </c>
      <c r="K185" s="82">
        <v>4024.9859999999999</v>
      </c>
      <c r="L185" s="82">
        <v>4246.9639999999999</v>
      </c>
      <c r="M185" s="82">
        <v>4718.0569999999998</v>
      </c>
      <c r="N185" s="82">
        <v>4650.8509999999997</v>
      </c>
      <c r="O185" s="82">
        <v>3891.4090000000001</v>
      </c>
      <c r="P185" s="82">
        <v>3395.087</v>
      </c>
      <c r="Q185" s="82">
        <v>3661.78</v>
      </c>
      <c r="R185" s="82">
        <v>2691.3780000000002</v>
      </c>
      <c r="S185" s="82">
        <v>2102.4169999999999</v>
      </c>
      <c r="T185" s="82">
        <v>1536.296</v>
      </c>
      <c r="U185" s="82">
        <v>920.25599999999997</v>
      </c>
      <c r="V185" s="82">
        <v>455.14800000000002</v>
      </c>
      <c r="W185" s="82">
        <v>110.265</v>
      </c>
      <c r="X185" s="82">
        <v>16.227</v>
      </c>
      <c r="Y185" s="82">
        <f t="shared" si="167"/>
        <v>64715.81</v>
      </c>
      <c r="Z185" s="52">
        <f t="shared" si="168"/>
        <v>405.755</v>
      </c>
      <c r="AA185" s="52">
        <f t="shared" si="169"/>
        <v>405.755</v>
      </c>
      <c r="AB185" s="52">
        <f t="shared" si="170"/>
        <v>811.50900000000001</v>
      </c>
      <c r="AC185" s="52">
        <f t="shared" si="171"/>
        <v>2434.5279999999998</v>
      </c>
      <c r="AD185" s="52">
        <f t="shared" si="172"/>
        <v>7445.1850000000004</v>
      </c>
      <c r="AE185" s="52">
        <f t="shared" si="173"/>
        <v>29781.965</v>
      </c>
      <c r="AF185" s="52">
        <f t="shared" si="174"/>
        <v>11937.347</v>
      </c>
      <c r="AG185" s="52">
        <f t="shared" si="175"/>
        <v>11493.767</v>
      </c>
      <c r="AH185" s="52">
        <f t="shared" si="176"/>
        <v>64715.811000000002</v>
      </c>
      <c r="AI185">
        <v>12</v>
      </c>
      <c r="AJ185" s="30">
        <f t="shared" si="177"/>
        <v>776589.73200000008</v>
      </c>
      <c r="AK185">
        <f t="shared" si="178"/>
        <v>811.50919999999996</v>
      </c>
      <c r="AM185" s="20" t="s">
        <v>155</v>
      </c>
      <c r="AN185" t="s">
        <v>490</v>
      </c>
      <c r="AO185" t="s">
        <v>491</v>
      </c>
      <c r="AP185" t="s">
        <v>690</v>
      </c>
      <c r="AQ185" s="55">
        <v>28753.980512571838</v>
      </c>
      <c r="AR185" s="55">
        <v>0.65454547893142601</v>
      </c>
      <c r="AS185" t="s">
        <v>155</v>
      </c>
      <c r="AT185" t="s">
        <v>1329</v>
      </c>
      <c r="AU185" t="s">
        <v>1153</v>
      </c>
      <c r="AV185">
        <v>84.458033049428494</v>
      </c>
      <c r="AW185">
        <v>85.593652180243097</v>
      </c>
      <c r="AX185">
        <v>87.348038145155499</v>
      </c>
      <c r="AY185">
        <v>89.386328892771402</v>
      </c>
      <c r="AZ185">
        <v>91.461017689451893</v>
      </c>
      <c r="BA185">
        <v>94.765960544514499</v>
      </c>
      <c r="BB185">
        <v>96.818810511756297</v>
      </c>
      <c r="BC185">
        <v>100</v>
      </c>
      <c r="BD185">
        <v>104.48423964475499</v>
      </c>
      <c r="BE185">
        <v>107.43248161898499</v>
      </c>
      <c r="BF185">
        <v>110.17689451845401</v>
      </c>
      <c r="BG185">
        <v>111.785688287108</v>
      </c>
      <c r="BH185">
        <v>111.84160442964399</v>
      </c>
      <c r="BJ185" s="20" t="s">
        <v>155</v>
      </c>
      <c r="BK185" t="s">
        <v>690</v>
      </c>
      <c r="BL185">
        <v>2015</v>
      </c>
      <c r="BM185">
        <f>INDEX('Costs lists'!$C$5:$C$8,MATCH(Lists!BK185,'Costs lists'!$B$5:$B$8,0))</f>
        <v>3.55</v>
      </c>
      <c r="BN185">
        <f>INDEX('Costs lists'!$D$5:$D$8,MATCH(Lists!BK185,'Costs lists'!$B$5:$B$8,0))</f>
        <v>2.91</v>
      </c>
      <c r="BO185">
        <f>INDEX('Costs lists'!$E$5:$E$8,MATCH(Lists!BK185,'Costs lists'!$B$5:$B$8,0))</f>
        <v>7.59</v>
      </c>
      <c r="BW185" s="20" t="s">
        <v>155</v>
      </c>
      <c r="BX185" s="20">
        <v>2008</v>
      </c>
      <c r="BY185" s="52">
        <v>27.291599999999999</v>
      </c>
      <c r="BZ185" s="52">
        <v>33.698700000000002</v>
      </c>
      <c r="CA185" s="52">
        <v>38.404800000000002</v>
      </c>
      <c r="CB185" s="52">
        <v>40.017600000000002</v>
      </c>
      <c r="CC185" s="375">
        <f t="shared" si="197"/>
        <v>28.207934999999999</v>
      </c>
      <c r="CD185" s="375">
        <v>472.2</v>
      </c>
      <c r="CE185" s="375">
        <v>492.61</v>
      </c>
      <c r="CF185" s="375">
        <v>636.97</v>
      </c>
      <c r="CG185" s="375">
        <f t="shared" si="196"/>
        <v>503.06333333333328</v>
      </c>
      <c r="CI185" s="20" t="s">
        <v>155</v>
      </c>
      <c r="CJ185" s="20">
        <v>2015</v>
      </c>
      <c r="CK185" s="59">
        <f t="shared" si="179"/>
        <v>32.209205857395339</v>
      </c>
      <c r="CL185" s="59">
        <f t="shared" si="180"/>
        <v>39.770785348847575</v>
      </c>
      <c r="CM185" s="59">
        <f t="shared" si="181"/>
        <v>45.32486586026824</v>
      </c>
      <c r="CN185" s="59">
        <f t="shared" si="182"/>
        <v>47.228272300594462</v>
      </c>
      <c r="CO185" s="59">
        <f t="shared" si="183"/>
        <v>33.29065299311975</v>
      </c>
      <c r="CP185" s="59">
        <f t="shared" si="184"/>
        <v>557.28454930682256</v>
      </c>
      <c r="CQ185" s="59">
        <f t="shared" si="185"/>
        <v>581.37217669215136</v>
      </c>
      <c r="CR185" s="59">
        <f t="shared" si="186"/>
        <v>751.74404780170858</v>
      </c>
      <c r="CS185" s="59">
        <f t="shared" si="187"/>
        <v>593.70907028685838</v>
      </c>
      <c r="CW185" s="20" t="s">
        <v>155</v>
      </c>
      <c r="CX185">
        <v>2014</v>
      </c>
      <c r="CY185">
        <v>64.331347999999991</v>
      </c>
      <c r="CZ185">
        <v>30.962045669555664</v>
      </c>
      <c r="DA185">
        <v>1675.1095270644144</v>
      </c>
      <c r="DB185">
        <v>2465456</v>
      </c>
      <c r="DC185">
        <v>0.61255133152008057</v>
      </c>
      <c r="DE185">
        <f t="shared" si="188"/>
        <v>48776.439765061717</v>
      </c>
      <c r="DH185">
        <f t="shared" si="189"/>
        <v>29.118358517452378</v>
      </c>
      <c r="DI185">
        <f t="shared" si="162"/>
        <v>29.132923765564414</v>
      </c>
      <c r="DJ185">
        <f t="shared" si="163"/>
        <v>60.530892468220124</v>
      </c>
      <c r="DL185" s="20" t="s">
        <v>155</v>
      </c>
      <c r="DM185" s="99" t="s">
        <v>796</v>
      </c>
      <c r="DN185" s="100" t="s">
        <v>754</v>
      </c>
      <c r="DO185" s="101">
        <v>36.200000000000003</v>
      </c>
      <c r="DP185" s="101">
        <v>35.9</v>
      </c>
      <c r="DQ185" s="101">
        <v>35.700000000000003</v>
      </c>
      <c r="DR185" s="101">
        <v>35.6</v>
      </c>
      <c r="DS185" s="101">
        <v>35.6</v>
      </c>
      <c r="DT185" s="101">
        <v>35.700000000000003</v>
      </c>
      <c r="DU185" s="101">
        <v>35.799999999999997</v>
      </c>
      <c r="DV185" s="101">
        <v>36</v>
      </c>
      <c r="DW185" s="101">
        <v>36</v>
      </c>
      <c r="DX185">
        <f t="shared" ca="1" si="190"/>
        <v>36</v>
      </c>
      <c r="DY185">
        <f t="shared" ca="1" si="191"/>
        <v>7.2</v>
      </c>
      <c r="DZ185">
        <f t="shared" ca="1" si="192"/>
        <v>209.75705111206378</v>
      </c>
      <c r="EB185" s="20" t="s">
        <v>155</v>
      </c>
      <c r="EC185" s="99" t="s">
        <v>796</v>
      </c>
      <c r="ED185" s="100" t="s">
        <v>754</v>
      </c>
      <c r="EE185" s="101">
        <v>59.3</v>
      </c>
      <c r="EF185" s="101">
        <v>59.2</v>
      </c>
      <c r="EG185" s="101">
        <v>59.2</v>
      </c>
      <c r="EH185" s="101">
        <v>57.8</v>
      </c>
      <c r="EI185" s="101">
        <v>57.5</v>
      </c>
      <c r="EJ185" s="101">
        <v>57.3</v>
      </c>
      <c r="EK185" s="101">
        <v>57.6</v>
      </c>
      <c r="EL185" s="101">
        <v>57.9</v>
      </c>
      <c r="EM185" s="101">
        <v>58.8</v>
      </c>
      <c r="EN185" s="101">
        <v>59.4</v>
      </c>
      <c r="EO185">
        <f t="shared" ca="1" si="198"/>
        <v>59.4</v>
      </c>
      <c r="EQ185" s="20" t="s">
        <v>155</v>
      </c>
      <c r="ER185" s="20">
        <f t="shared" ca="1" si="193"/>
        <v>209.75705111206378</v>
      </c>
      <c r="ES185">
        <f t="shared" ca="1" si="194"/>
        <v>124.59568836056587</v>
      </c>
      <c r="EU185" s="20" t="s">
        <v>155</v>
      </c>
      <c r="EV185" s="109">
        <v>41458.70422474316</v>
      </c>
    </row>
    <row r="186" spans="1:152" x14ac:dyDescent="0.3">
      <c r="A186" s="20" t="s">
        <v>49</v>
      </c>
      <c r="B186" s="20" t="s">
        <v>632</v>
      </c>
      <c r="C186" s="81">
        <v>2015</v>
      </c>
      <c r="D186" s="82">
        <v>9398.4500000000007</v>
      </c>
      <c r="E186" s="82">
        <v>8019.3850000000002</v>
      </c>
      <c r="F186" s="82">
        <v>6750.0959999999995</v>
      </c>
      <c r="G186" s="82">
        <v>5540.5519999999997</v>
      </c>
      <c r="H186" s="82">
        <v>4717.5879999999997</v>
      </c>
      <c r="I186" s="82">
        <v>4005.7460000000001</v>
      </c>
      <c r="J186" s="82">
        <v>3393.7379999999998</v>
      </c>
      <c r="K186" s="82">
        <v>2797.683</v>
      </c>
      <c r="L186" s="82">
        <v>2194.0459999999998</v>
      </c>
      <c r="M186" s="82">
        <v>1695.1220000000001</v>
      </c>
      <c r="N186" s="82">
        <v>1329.2260000000001</v>
      </c>
      <c r="O186" s="82">
        <v>1077.2829999999999</v>
      </c>
      <c r="P186" s="82">
        <v>839.399</v>
      </c>
      <c r="Q186" s="82">
        <v>677.85</v>
      </c>
      <c r="R186" s="82">
        <v>476.52300000000002</v>
      </c>
      <c r="S186" s="82">
        <v>309.95999999999998</v>
      </c>
      <c r="T186" s="82">
        <v>163.72200000000001</v>
      </c>
      <c r="U186" s="82">
        <v>67.563000000000002</v>
      </c>
      <c r="V186" s="82">
        <v>14.381</v>
      </c>
      <c r="W186" s="82">
        <v>1.962</v>
      </c>
      <c r="X186" s="82">
        <v>0.14499999999999999</v>
      </c>
      <c r="Y186" s="82">
        <f t="shared" si="167"/>
        <v>53470.42</v>
      </c>
      <c r="Z186" s="52">
        <f t="shared" si="168"/>
        <v>939.84500000000003</v>
      </c>
      <c r="AA186" s="52">
        <f t="shared" si="169"/>
        <v>939.84500000000003</v>
      </c>
      <c r="AB186" s="52">
        <f t="shared" si="170"/>
        <v>1879.69</v>
      </c>
      <c r="AC186" s="52">
        <f t="shared" si="171"/>
        <v>5639.07</v>
      </c>
      <c r="AD186" s="52">
        <f t="shared" si="172"/>
        <v>14769.481</v>
      </c>
      <c r="AE186" s="52">
        <f t="shared" si="173"/>
        <v>24344.474999999999</v>
      </c>
      <c r="AF186" s="52">
        <f t="shared" si="174"/>
        <v>3245.9079999999999</v>
      </c>
      <c r="AG186" s="52">
        <f t="shared" si="175"/>
        <v>1712.106</v>
      </c>
      <c r="AH186" s="52">
        <f t="shared" si="176"/>
        <v>53470.420000000006</v>
      </c>
      <c r="AI186">
        <v>39.015000000000001</v>
      </c>
      <c r="AJ186" s="30">
        <f t="shared" si="177"/>
        <v>2086148.4363000002</v>
      </c>
      <c r="AK186">
        <f t="shared" si="178"/>
        <v>1879.69</v>
      </c>
      <c r="AM186" s="20" t="s">
        <v>49</v>
      </c>
      <c r="AN186" t="s">
        <v>510</v>
      </c>
      <c r="AO186" t="s">
        <v>511</v>
      </c>
      <c r="AP186" t="s">
        <v>691</v>
      </c>
      <c r="AQ186" s="55">
        <v>1750383.1143686899</v>
      </c>
      <c r="AR186" s="55">
        <v>1991.39096448287</v>
      </c>
      <c r="AS186" t="s">
        <v>1135</v>
      </c>
      <c r="AT186" t="s">
        <v>1317</v>
      </c>
      <c r="AU186" t="s">
        <v>1153</v>
      </c>
      <c r="AV186">
        <v>60.2974919615774</v>
      </c>
      <c r="AW186">
        <v>63.1530614538705</v>
      </c>
      <c r="AX186">
        <v>66.332546598433595</v>
      </c>
      <c r="AY186">
        <v>71.142301390982297</v>
      </c>
      <c r="AZ186">
        <v>76.140413998175006</v>
      </c>
      <c r="BA186">
        <v>83.966425561010794</v>
      </c>
      <c r="BB186">
        <v>94.161820290532205</v>
      </c>
      <c r="BC186">
        <v>100</v>
      </c>
      <c r="BD186">
        <v>112.69096946991699</v>
      </c>
      <c r="BE186">
        <v>130.72275725598601</v>
      </c>
      <c r="BF186">
        <v>141.01158422169601</v>
      </c>
      <c r="BG186">
        <v>149.65787072662499</v>
      </c>
      <c r="BH186">
        <v>158.02050914066899</v>
      </c>
      <c r="BJ186" s="20" t="s">
        <v>49</v>
      </c>
      <c r="BK186" t="s">
        <v>691</v>
      </c>
      <c r="BL186">
        <v>2015</v>
      </c>
      <c r="BM186">
        <f>INDEX('Costs lists'!$C$5:$C$8,MATCH(Lists!BK186,'Costs lists'!$B$5:$B$8,0))</f>
        <v>4.2</v>
      </c>
      <c r="BN186">
        <f>INDEX('Costs lists'!$D$5:$D$8,MATCH(Lists!BK186,'Costs lists'!$B$5:$B$8,0))</f>
        <v>4.2</v>
      </c>
      <c r="BO186">
        <f>INDEX('Costs lists'!$E$5:$E$8,MATCH(Lists!BK186,'Costs lists'!$B$5:$B$8,0))</f>
        <v>4.2</v>
      </c>
      <c r="BW186" s="20" t="s">
        <v>49</v>
      </c>
      <c r="BX186" s="20">
        <v>2008</v>
      </c>
      <c r="BY186" s="52">
        <v>1076.2503000000002</v>
      </c>
      <c r="BZ186" s="52">
        <v>1330.3008</v>
      </c>
      <c r="CA186" s="52">
        <v>1515.0648000000001</v>
      </c>
      <c r="CB186" s="52">
        <v>1579.7322000000001</v>
      </c>
      <c r="CC186" s="375">
        <f t="shared" si="197"/>
        <v>1112.5102350000002</v>
      </c>
      <c r="CD186" s="375">
        <v>8.41</v>
      </c>
      <c r="CE186" s="375">
        <v>8.7799999999999994</v>
      </c>
      <c r="CF186" s="375">
        <v>11.35</v>
      </c>
      <c r="CG186" s="375">
        <f t="shared" si="196"/>
        <v>8.961666666666666</v>
      </c>
      <c r="CI186" s="20" t="s">
        <v>49</v>
      </c>
      <c r="CJ186" s="20">
        <v>2015</v>
      </c>
      <c r="CK186" s="59">
        <f t="shared" si="179"/>
        <v>2025.447900544767</v>
      </c>
      <c r="CL186" s="59">
        <f t="shared" si="180"/>
        <v>2503.5579199866643</v>
      </c>
      <c r="CM186" s="59">
        <f t="shared" si="181"/>
        <v>2851.2742977625903</v>
      </c>
      <c r="CN186" s="59">
        <f t="shared" si="182"/>
        <v>2972.9750299841644</v>
      </c>
      <c r="CO186" s="59">
        <f t="shared" si="183"/>
        <v>2093.6872396832923</v>
      </c>
      <c r="CP186" s="59">
        <f t="shared" si="184"/>
        <v>15.827188938838381</v>
      </c>
      <c r="CQ186" s="59">
        <f t="shared" si="185"/>
        <v>16.523509974197498</v>
      </c>
      <c r="CR186" s="59">
        <f t="shared" si="186"/>
        <v>21.360118246827064</v>
      </c>
      <c r="CS186" s="59">
        <f t="shared" si="187"/>
        <v>16.865397329396345</v>
      </c>
      <c r="CW186" s="20" t="s">
        <v>49</v>
      </c>
      <c r="CX186">
        <v>2014</v>
      </c>
      <c r="CY186">
        <v>50.443621</v>
      </c>
      <c r="CZ186">
        <v>21.977035522460938</v>
      </c>
      <c r="DB186">
        <v>116480.7890625</v>
      </c>
      <c r="DC186">
        <v>0.43788707256317139</v>
      </c>
      <c r="DE186">
        <f t="shared" si="188"/>
        <v>2320.8513122844934</v>
      </c>
      <c r="DH186" t="e">
        <f t="shared" si="189"/>
        <v>#DIV/0!</v>
      </c>
      <c r="DI186" t="e">
        <f t="shared" si="162"/>
        <v>#DIV/0!</v>
      </c>
      <c r="DJ186" t="e">
        <f t="shared" si="163"/>
        <v>#DIV/0!</v>
      </c>
      <c r="DL186" s="20" t="s">
        <v>49</v>
      </c>
      <c r="DM186" s="99" t="s">
        <v>760</v>
      </c>
      <c r="DN186" s="100" t="s">
        <v>847</v>
      </c>
      <c r="DO186" s="101"/>
      <c r="DP186" s="101"/>
      <c r="DQ186" s="101"/>
      <c r="DR186" s="101"/>
      <c r="DS186" s="101"/>
      <c r="DT186" s="101"/>
      <c r="DU186" s="101"/>
      <c r="DV186" s="101">
        <v>37</v>
      </c>
      <c r="DW186" s="101"/>
      <c r="DX186">
        <f t="shared" ca="1" si="190"/>
        <v>37</v>
      </c>
      <c r="DY186">
        <f t="shared" ca="1" si="191"/>
        <v>7.4</v>
      </c>
      <c r="DZ186" t="e">
        <f t="shared" ca="1" si="192"/>
        <v>#DIV/0!</v>
      </c>
      <c r="EB186" s="20" t="s">
        <v>49</v>
      </c>
      <c r="EC186" s="99" t="s">
        <v>760</v>
      </c>
      <c r="ED186" s="100" t="s">
        <v>754</v>
      </c>
      <c r="EE186" s="101"/>
      <c r="EF186" s="101"/>
      <c r="EG186" s="101"/>
      <c r="EH186" s="101"/>
      <c r="EI186" s="101"/>
      <c r="EJ186" s="101"/>
      <c r="EK186" s="101"/>
      <c r="EL186" s="101"/>
      <c r="EM186" s="101">
        <v>82.2</v>
      </c>
      <c r="EN186" s="101"/>
      <c r="EO186">
        <f t="shared" ca="1" si="198"/>
        <v>82.2</v>
      </c>
      <c r="EQ186" s="20" t="s">
        <v>49</v>
      </c>
      <c r="ER186" s="20" t="e">
        <f t="shared" ca="1" si="193"/>
        <v>#DIV/0!</v>
      </c>
      <c r="ES186" t="e">
        <f t="shared" ca="1" si="194"/>
        <v>#DIV/0!</v>
      </c>
      <c r="EU186" s="20" t="s">
        <v>49</v>
      </c>
      <c r="EV186" s="109">
        <v>2672.50916101959</v>
      </c>
    </row>
    <row r="187" spans="1:152" x14ac:dyDescent="0.3">
      <c r="A187" s="20" t="s">
        <v>211</v>
      </c>
      <c r="B187" s="20" t="s">
        <v>633</v>
      </c>
      <c r="C187" s="81">
        <v>2015</v>
      </c>
      <c r="D187" s="82">
        <v>19701.274000000001</v>
      </c>
      <c r="E187" s="82">
        <v>20633.331999999999</v>
      </c>
      <c r="F187" s="82">
        <v>20642.609</v>
      </c>
      <c r="G187" s="82">
        <v>20721.295999999998</v>
      </c>
      <c r="H187" s="82">
        <v>23288.826000000001</v>
      </c>
      <c r="I187" s="82">
        <v>21990.484</v>
      </c>
      <c r="J187" s="82">
        <v>22032.293000000001</v>
      </c>
      <c r="K187" s="82">
        <v>19725.338</v>
      </c>
      <c r="L187" s="82">
        <v>20795.169000000002</v>
      </c>
      <c r="M187" s="82">
        <v>20623.545999999998</v>
      </c>
      <c r="N187" s="82">
        <v>22945.511999999999</v>
      </c>
      <c r="O187" s="82">
        <v>22129.289000000001</v>
      </c>
      <c r="P187" s="82">
        <v>18966.991000000002</v>
      </c>
      <c r="Q187" s="82">
        <v>16028.634</v>
      </c>
      <c r="R187" s="82">
        <v>11427.606</v>
      </c>
      <c r="S187" s="82">
        <v>8020.8239999999996</v>
      </c>
      <c r="T187" s="82">
        <v>5937.915</v>
      </c>
      <c r="U187" s="82">
        <v>3877.5610000000001</v>
      </c>
      <c r="V187" s="82">
        <v>1735.7170000000001</v>
      </c>
      <c r="W187" s="82">
        <v>477.44299999999998</v>
      </c>
      <c r="X187" s="82">
        <v>71.971999999999994</v>
      </c>
      <c r="Y187" s="82">
        <f t="shared" si="167"/>
        <v>321773.63100000005</v>
      </c>
      <c r="Z187" s="52">
        <f t="shared" si="168"/>
        <v>1970.127</v>
      </c>
      <c r="AA187" s="52">
        <f t="shared" si="169"/>
        <v>1970.127</v>
      </c>
      <c r="AB187" s="52">
        <f t="shared" si="170"/>
        <v>3940.2550000000001</v>
      </c>
      <c r="AC187" s="52">
        <f t="shared" si="171"/>
        <v>11820.763999999999</v>
      </c>
      <c r="AD187" s="52">
        <f t="shared" si="172"/>
        <v>41275.940999999999</v>
      </c>
      <c r="AE187" s="52">
        <f t="shared" si="173"/>
        <v>149176.95199999999</v>
      </c>
      <c r="AF187" s="52">
        <f t="shared" si="174"/>
        <v>64041.792000000001</v>
      </c>
      <c r="AG187" s="52">
        <f t="shared" si="175"/>
        <v>47577.671999999999</v>
      </c>
      <c r="AH187" s="52">
        <f t="shared" si="176"/>
        <v>321773.63</v>
      </c>
      <c r="AI187">
        <v>12.5</v>
      </c>
      <c r="AJ187" s="30">
        <f t="shared" si="177"/>
        <v>4022170.375</v>
      </c>
      <c r="AK187">
        <f t="shared" si="178"/>
        <v>3940.2548000000002</v>
      </c>
      <c r="AM187" s="20" t="s">
        <v>211</v>
      </c>
      <c r="AN187" t="s">
        <v>262</v>
      </c>
      <c r="AO187" t="s">
        <v>263</v>
      </c>
      <c r="AP187" t="s">
        <v>690</v>
      </c>
      <c r="AQ187" s="55">
        <v>56115.718426195454</v>
      </c>
      <c r="AR187" s="55">
        <v>1</v>
      </c>
      <c r="AS187" t="s">
        <v>1136</v>
      </c>
      <c r="AT187" t="s">
        <v>1330</v>
      </c>
      <c r="AU187" t="s">
        <v>1153</v>
      </c>
      <c r="AV187">
        <v>84.363078818618803</v>
      </c>
      <c r="AW187">
        <v>86.621678120172803</v>
      </c>
      <c r="AX187">
        <v>89.560532372110202</v>
      </c>
      <c r="AY187">
        <v>92.449705082727405</v>
      </c>
      <c r="AZ187">
        <v>95.086992378851505</v>
      </c>
      <c r="BA187">
        <v>98.737477385344505</v>
      </c>
      <c r="BB187">
        <v>98.386419971062395</v>
      </c>
      <c r="BC187">
        <v>100</v>
      </c>
      <c r="BD187">
        <v>103.156841568622</v>
      </c>
      <c r="BE187">
        <v>105.291504532868</v>
      </c>
      <c r="BF187">
        <v>106.83384887486601</v>
      </c>
      <c r="BG187">
        <v>108.566932118964</v>
      </c>
      <c r="BH187">
        <v>108.695721960694</v>
      </c>
      <c r="BJ187" s="20" t="s">
        <v>211</v>
      </c>
      <c r="BK187" t="s">
        <v>690</v>
      </c>
      <c r="BL187">
        <v>2015</v>
      </c>
      <c r="BM187">
        <f>INDEX('Costs lists'!$C$5:$C$8,MATCH(Lists!BK187,'Costs lists'!$B$5:$B$8,0))</f>
        <v>3.55</v>
      </c>
      <c r="BN187">
        <f>INDEX('Costs lists'!$D$5:$D$8,MATCH(Lists!BK187,'Costs lists'!$B$5:$B$8,0))</f>
        <v>2.91</v>
      </c>
      <c r="BO187">
        <f>INDEX('Costs lists'!$E$5:$E$8,MATCH(Lists!BK187,'Costs lists'!$B$5:$B$8,0))</f>
        <v>7.59</v>
      </c>
      <c r="BW187" s="20" t="s">
        <v>211</v>
      </c>
      <c r="BX187" s="20">
        <v>2008</v>
      </c>
      <c r="BY187" s="52">
        <v>53.31</v>
      </c>
      <c r="BZ187" s="52">
        <v>65.819999999999993</v>
      </c>
      <c r="CA187" s="52">
        <v>75.010000000000005</v>
      </c>
      <c r="CB187" s="52">
        <v>78.16</v>
      </c>
      <c r="CC187" s="375">
        <f t="shared" si="197"/>
        <v>55.099250000000005</v>
      </c>
      <c r="CD187" s="375">
        <v>628.42999999999995</v>
      </c>
      <c r="CE187" s="375">
        <v>655.6</v>
      </c>
      <c r="CF187" s="375">
        <v>847.72</v>
      </c>
      <c r="CG187" s="375">
        <f t="shared" si="196"/>
        <v>669.50666666666655</v>
      </c>
      <c r="CI187" s="20" t="s">
        <v>211</v>
      </c>
      <c r="CJ187" s="20">
        <v>2015</v>
      </c>
      <c r="CK187" s="59">
        <f t="shared" si="179"/>
        <v>58.686621242206037</v>
      </c>
      <c r="CL187" s="59">
        <f t="shared" si="180"/>
        <v>72.458326958581893</v>
      </c>
      <c r="CM187" s="59">
        <f t="shared" si="181"/>
        <v>82.575191509620623</v>
      </c>
      <c r="CN187" s="59">
        <f t="shared" si="182"/>
        <v>86.042887193600151</v>
      </c>
      <c r="CO187" s="59">
        <f t="shared" si="183"/>
        <v>60.656327433495051</v>
      </c>
      <c r="CP187" s="59">
        <f t="shared" si="184"/>
        <v>691.81079323278072</v>
      </c>
      <c r="CQ187" s="59">
        <f t="shared" si="185"/>
        <v>721.72104457682008</v>
      </c>
      <c r="CR187" s="59">
        <f t="shared" si="186"/>
        <v>933.21745562639103</v>
      </c>
      <c r="CS187" s="59">
        <f t="shared" si="187"/>
        <v>737.03027885572214</v>
      </c>
      <c r="CW187" s="20" t="s">
        <v>211</v>
      </c>
      <c r="CX187">
        <v>2014</v>
      </c>
      <c r="CY187">
        <v>319.44863399999997</v>
      </c>
      <c r="CZ187">
        <v>148.46339416503906</v>
      </c>
      <c r="DA187">
        <v>1764.5969550256891</v>
      </c>
      <c r="DB187">
        <v>16490883</v>
      </c>
      <c r="DC187">
        <v>0.60359746217727661</v>
      </c>
      <c r="DE187">
        <f t="shared" si="188"/>
        <v>67045.854527596268</v>
      </c>
      <c r="DH187">
        <f t="shared" si="189"/>
        <v>37.994996158553505</v>
      </c>
      <c r="DI187">
        <f t="shared" si="162"/>
        <v>38.04006853414969</v>
      </c>
      <c r="DJ187">
        <f t="shared" si="163"/>
        <v>81.850802339813953</v>
      </c>
      <c r="DL187" s="20" t="s">
        <v>211</v>
      </c>
      <c r="DM187" s="99"/>
      <c r="DN187" s="100"/>
      <c r="DO187" s="101"/>
      <c r="DP187" s="101"/>
      <c r="DQ187" s="101"/>
      <c r="DR187" s="101"/>
      <c r="DS187" s="101"/>
      <c r="DT187" s="101"/>
      <c r="DU187" s="101"/>
      <c r="DV187" s="101"/>
      <c r="DW187" s="101">
        <v>34.4</v>
      </c>
      <c r="DX187">
        <f t="shared" ca="1" si="190"/>
        <v>34.4</v>
      </c>
      <c r="DY187">
        <f t="shared" ca="1" si="191"/>
        <v>6.88</v>
      </c>
      <c r="DZ187">
        <f t="shared" ca="1" si="192"/>
        <v>261.71567151494986</v>
      </c>
      <c r="EB187" s="20" t="s">
        <v>211</v>
      </c>
      <c r="EC187" s="99" t="s">
        <v>789</v>
      </c>
      <c r="ED187" s="100" t="s">
        <v>754</v>
      </c>
      <c r="EE187" s="101">
        <v>63.1</v>
      </c>
      <c r="EF187" s="101">
        <v>63</v>
      </c>
      <c r="EG187" s="101">
        <v>62.2</v>
      </c>
      <c r="EH187" s="101">
        <v>59.3</v>
      </c>
      <c r="EI187" s="101">
        <v>58.5</v>
      </c>
      <c r="EJ187" s="101">
        <v>58.4</v>
      </c>
      <c r="EK187" s="101">
        <v>58.6</v>
      </c>
      <c r="EL187" s="101">
        <v>58.6</v>
      </c>
      <c r="EM187" s="101">
        <v>59</v>
      </c>
      <c r="EN187" s="101">
        <v>59.3</v>
      </c>
      <c r="EO187">
        <f t="shared" ca="1" si="198"/>
        <v>59.3</v>
      </c>
      <c r="EQ187" s="20" t="s">
        <v>211</v>
      </c>
      <c r="ER187" s="20">
        <f t="shared" ca="1" si="193"/>
        <v>261.71567151494986</v>
      </c>
      <c r="ES187">
        <f t="shared" ca="1" si="194"/>
        <v>155.19739320836527</v>
      </c>
      <c r="EU187" s="20" t="s">
        <v>211</v>
      </c>
      <c r="EV187" s="109">
        <v>56115.718426195454</v>
      </c>
    </row>
    <row r="188" spans="1:152" x14ac:dyDescent="0.3">
      <c r="A188" s="20" t="s">
        <v>208</v>
      </c>
      <c r="B188" s="20" t="s">
        <v>633</v>
      </c>
      <c r="C188" s="81">
        <v>2015</v>
      </c>
      <c r="D188" s="82">
        <v>240.761</v>
      </c>
      <c r="E188" s="82">
        <v>244.60300000000001</v>
      </c>
      <c r="F188" s="82">
        <v>249.50299999999999</v>
      </c>
      <c r="G188" s="82">
        <v>257.99799999999999</v>
      </c>
      <c r="H188" s="82">
        <v>261.63</v>
      </c>
      <c r="I188" s="82">
        <v>243.096</v>
      </c>
      <c r="J188" s="82">
        <v>224.63399999999999</v>
      </c>
      <c r="K188" s="82">
        <v>237.892</v>
      </c>
      <c r="L188" s="82">
        <v>224.357</v>
      </c>
      <c r="M188" s="82">
        <v>200.916</v>
      </c>
      <c r="N188" s="82">
        <v>201.27500000000001</v>
      </c>
      <c r="O188" s="82">
        <v>188.07499999999999</v>
      </c>
      <c r="P188" s="82">
        <v>161.48699999999999</v>
      </c>
      <c r="Q188" s="82">
        <v>139.78200000000001</v>
      </c>
      <c r="R188" s="82">
        <v>115.93</v>
      </c>
      <c r="S188" s="82">
        <v>92.58</v>
      </c>
      <c r="T188" s="82">
        <v>72.855000000000004</v>
      </c>
      <c r="U188" s="82">
        <v>45.959000000000003</v>
      </c>
      <c r="V188" s="82">
        <v>20.759</v>
      </c>
      <c r="W188" s="82">
        <v>6.2969999999999997</v>
      </c>
      <c r="X188" s="82">
        <v>1.1659999999999999</v>
      </c>
      <c r="Y188" s="82">
        <f t="shared" si="167"/>
        <v>3431.5550000000003</v>
      </c>
      <c r="Z188" s="52">
        <f t="shared" si="168"/>
        <v>24.076000000000001</v>
      </c>
      <c r="AA188" s="52">
        <f t="shared" si="169"/>
        <v>24.076000000000001</v>
      </c>
      <c r="AB188" s="52">
        <f t="shared" si="170"/>
        <v>48.152000000000001</v>
      </c>
      <c r="AC188" s="52">
        <f t="shared" si="171"/>
        <v>144.45699999999999</v>
      </c>
      <c r="AD188" s="52">
        <f t="shared" si="172"/>
        <v>494.10599999999999</v>
      </c>
      <c r="AE188" s="52">
        <f t="shared" si="173"/>
        <v>1650.5229999999999</v>
      </c>
      <c r="AF188" s="52">
        <f t="shared" si="174"/>
        <v>550.83699999999999</v>
      </c>
      <c r="AG188" s="52">
        <f t="shared" si="175"/>
        <v>495.32799999999997</v>
      </c>
      <c r="AH188" s="52">
        <f t="shared" si="176"/>
        <v>3431.5549999999998</v>
      </c>
      <c r="AI188">
        <v>14.257999999999999</v>
      </c>
      <c r="AJ188" s="30">
        <f t="shared" si="177"/>
        <v>48927.111189999996</v>
      </c>
      <c r="AK188">
        <f t="shared" si="178"/>
        <v>48.152200000000001</v>
      </c>
      <c r="AM188" s="20" t="s">
        <v>208</v>
      </c>
      <c r="AN188" t="s">
        <v>530</v>
      </c>
      <c r="AO188" t="s">
        <v>531</v>
      </c>
      <c r="AP188" t="s">
        <v>690</v>
      </c>
      <c r="AQ188" s="55">
        <v>425591.1051986636</v>
      </c>
      <c r="AR188" s="55">
        <v>27.327366666666698</v>
      </c>
      <c r="AS188" t="s">
        <v>208</v>
      </c>
      <c r="AT188" t="s">
        <v>1331</v>
      </c>
      <c r="AU188" t="s">
        <v>1153</v>
      </c>
      <c r="AV188">
        <v>61.725373879213102</v>
      </c>
      <c r="AW188">
        <v>67.377939850391698</v>
      </c>
      <c r="AX188">
        <v>70.544216143869093</v>
      </c>
      <c r="AY188">
        <v>75.058272414321195</v>
      </c>
      <c r="AZ188">
        <v>81.148661294072994</v>
      </c>
      <c r="BA188">
        <v>87.527718386860897</v>
      </c>
      <c r="BB188">
        <v>93.741457632693795</v>
      </c>
      <c r="BC188">
        <v>100</v>
      </c>
      <c r="BD188">
        <v>108.09377520175499</v>
      </c>
      <c r="BE188">
        <v>116.846955968172</v>
      </c>
      <c r="BF188">
        <v>126.866740232636</v>
      </c>
      <c r="BG188">
        <v>138.12914902425601</v>
      </c>
      <c r="BH188">
        <v>150.09979384892799</v>
      </c>
      <c r="BJ188" s="20" t="s">
        <v>208</v>
      </c>
      <c r="BK188" t="s">
        <v>690</v>
      </c>
      <c r="BL188">
        <v>2015</v>
      </c>
      <c r="BM188">
        <f>INDEX('Costs lists'!$C$5:$C$8,MATCH(Lists!BK188,'Costs lists'!$B$5:$B$8,0))</f>
        <v>3.55</v>
      </c>
      <c r="BN188">
        <f>INDEX('Costs lists'!$D$5:$D$8,MATCH(Lists!BK188,'Costs lists'!$B$5:$B$8,0))</f>
        <v>2.91</v>
      </c>
      <c r="BO188">
        <f>INDEX('Costs lists'!$E$5:$E$8,MATCH(Lists!BK188,'Costs lists'!$B$5:$B$8,0))</f>
        <v>7.59</v>
      </c>
      <c r="BW188" s="20" t="s">
        <v>208</v>
      </c>
      <c r="BX188" s="20">
        <v>2008</v>
      </c>
      <c r="BY188" s="52">
        <v>263.12920000000003</v>
      </c>
      <c r="BZ188" s="52">
        <v>324.9692</v>
      </c>
      <c r="CA188" s="52">
        <v>370.267</v>
      </c>
      <c r="CB188" s="52">
        <v>385.88160000000005</v>
      </c>
      <c r="CC188" s="375">
        <f t="shared" si="197"/>
        <v>271.96845500000001</v>
      </c>
      <c r="CD188" s="375">
        <v>130.34</v>
      </c>
      <c r="CE188" s="375">
        <v>135.97</v>
      </c>
      <c r="CF188" s="375">
        <v>175.82</v>
      </c>
      <c r="CG188" s="375">
        <f t="shared" si="196"/>
        <v>138.85833333333332</v>
      </c>
      <c r="CI188" s="20" t="s">
        <v>208</v>
      </c>
      <c r="CJ188" s="20">
        <v>2015</v>
      </c>
      <c r="CK188" s="59">
        <f t="shared" si="179"/>
        <v>451.23578454390719</v>
      </c>
      <c r="CL188" s="59">
        <f t="shared" si="180"/>
        <v>557.28414753894992</v>
      </c>
      <c r="CM188" s="59">
        <f t="shared" si="181"/>
        <v>634.96457343281884</v>
      </c>
      <c r="CN188" s="59">
        <f t="shared" si="182"/>
        <v>661.74178508906721</v>
      </c>
      <c r="CO188" s="59">
        <f t="shared" si="183"/>
        <v>466.39407242951108</v>
      </c>
      <c r="CP188" s="59">
        <f t="shared" si="184"/>
        <v>223.51784658431242</v>
      </c>
      <c r="CQ188" s="59">
        <f t="shared" si="185"/>
        <v>233.17263771726991</v>
      </c>
      <c r="CR188" s="59">
        <f t="shared" si="186"/>
        <v>301.51072415569899</v>
      </c>
      <c r="CS188" s="59">
        <f t="shared" si="187"/>
        <v>238.12579136836973</v>
      </c>
      <c r="CW188" s="20" t="s">
        <v>208</v>
      </c>
      <c r="CX188">
        <v>2014</v>
      </c>
      <c r="CY188">
        <v>3.4195159999999998</v>
      </c>
      <c r="CZ188">
        <v>1.6573063135147095</v>
      </c>
      <c r="DA188">
        <v>1592.5696469225068</v>
      </c>
      <c r="DB188">
        <v>66930.5859375</v>
      </c>
      <c r="DC188">
        <v>0.47414568066596985</v>
      </c>
      <c r="DE188">
        <f t="shared" si="188"/>
        <v>19148.450692501669</v>
      </c>
      <c r="DH188">
        <f t="shared" si="189"/>
        <v>12.023619016916639</v>
      </c>
      <c r="DI188">
        <f t="shared" si="162"/>
        <v>13.065618289158634</v>
      </c>
      <c r="DJ188">
        <f t="shared" si="163"/>
        <v>26.958257761608429</v>
      </c>
      <c r="DL188" s="20" t="s">
        <v>208</v>
      </c>
      <c r="DM188" s="99" t="s">
        <v>778</v>
      </c>
      <c r="DN188" s="100" t="s">
        <v>845</v>
      </c>
      <c r="DO188" s="101"/>
      <c r="DP188" s="101"/>
      <c r="DQ188" s="101">
        <v>42</v>
      </c>
      <c r="DR188" s="101">
        <v>41</v>
      </c>
      <c r="DS188" s="101"/>
      <c r="DT188" s="101">
        <v>40.9</v>
      </c>
      <c r="DU188" s="101">
        <v>40.700000000000003</v>
      </c>
      <c r="DV188" s="101"/>
      <c r="DW188" s="101"/>
      <c r="DX188">
        <f t="shared" ca="1" si="190"/>
        <v>40.700000000000003</v>
      </c>
      <c r="DY188">
        <f t="shared" ca="1" si="191"/>
        <v>8.14</v>
      </c>
      <c r="DZ188">
        <f t="shared" ca="1" si="192"/>
        <v>106.35413287375128</v>
      </c>
      <c r="EB188" s="20" t="s">
        <v>208</v>
      </c>
      <c r="EC188" s="99" t="s">
        <v>778</v>
      </c>
      <c r="ED188" s="100" t="s">
        <v>754</v>
      </c>
      <c r="EE188" s="101">
        <v>54.7</v>
      </c>
      <c r="EF188" s="101">
        <v>57</v>
      </c>
      <c r="EG188" s="101">
        <v>57.7</v>
      </c>
      <c r="EH188" s="101">
        <v>58.6</v>
      </c>
      <c r="EI188" s="101">
        <v>58.4</v>
      </c>
      <c r="EJ188" s="101">
        <v>60.7</v>
      </c>
      <c r="EK188" s="101">
        <v>60</v>
      </c>
      <c r="EL188" s="101">
        <v>59.5</v>
      </c>
      <c r="EM188" s="101">
        <v>60.4</v>
      </c>
      <c r="EN188" s="101">
        <v>60.1</v>
      </c>
      <c r="EO188">
        <f t="shared" ca="1" si="198"/>
        <v>60.1</v>
      </c>
      <c r="EQ188" s="20" t="s">
        <v>208</v>
      </c>
      <c r="ER188" s="20">
        <f t="shared" ca="1" si="193"/>
        <v>106.35413287375128</v>
      </c>
      <c r="ES188">
        <f t="shared" ca="1" si="194"/>
        <v>63.918833857124518</v>
      </c>
      <c r="EU188" s="20" t="s">
        <v>208</v>
      </c>
      <c r="EV188" s="109">
        <v>21243.753795888882</v>
      </c>
    </row>
    <row r="189" spans="1:152" x14ac:dyDescent="0.3">
      <c r="A189" s="20" t="s">
        <v>97</v>
      </c>
      <c r="B189" s="20" t="s">
        <v>257</v>
      </c>
      <c r="C189" s="81">
        <v>2015</v>
      </c>
      <c r="D189" s="82">
        <v>3194.9349999999999</v>
      </c>
      <c r="E189" s="82">
        <v>2838.3969999999999</v>
      </c>
      <c r="F189" s="82">
        <v>2492.2660000000001</v>
      </c>
      <c r="G189" s="82">
        <v>2656.2020000000002</v>
      </c>
      <c r="H189" s="82">
        <v>2974.4580000000001</v>
      </c>
      <c r="I189" s="82">
        <v>3005.5250000000001</v>
      </c>
      <c r="J189" s="82">
        <v>2486.0039999999999</v>
      </c>
      <c r="K189" s="82">
        <v>2013.404</v>
      </c>
      <c r="L189" s="82">
        <v>1763.3610000000001</v>
      </c>
      <c r="M189" s="82">
        <v>1523.597</v>
      </c>
      <c r="N189" s="82">
        <v>1499.876</v>
      </c>
      <c r="O189" s="82">
        <v>1227.778</v>
      </c>
      <c r="P189" s="82">
        <v>825.32500000000005</v>
      </c>
      <c r="Q189" s="82">
        <v>477.78</v>
      </c>
      <c r="R189" s="82">
        <v>289.36599999999999</v>
      </c>
      <c r="S189" s="82">
        <v>319.29300000000001</v>
      </c>
      <c r="T189" s="82">
        <v>171.511</v>
      </c>
      <c r="U189" s="82">
        <v>96.445999999999998</v>
      </c>
      <c r="V189" s="82">
        <v>29.486999999999998</v>
      </c>
      <c r="W189" s="82">
        <v>6.7140000000000004</v>
      </c>
      <c r="X189" s="82">
        <v>1.7629999999999999</v>
      </c>
      <c r="Y189" s="82">
        <f t="shared" si="167"/>
        <v>29893.487999999998</v>
      </c>
      <c r="Z189" s="52">
        <f t="shared" si="168"/>
        <v>319.49400000000003</v>
      </c>
      <c r="AA189" s="52">
        <f t="shared" si="169"/>
        <v>319.49400000000003</v>
      </c>
      <c r="AB189" s="52">
        <f t="shared" si="170"/>
        <v>638.98699999999997</v>
      </c>
      <c r="AC189" s="52">
        <f t="shared" si="171"/>
        <v>1916.961</v>
      </c>
      <c r="AD189" s="52">
        <f t="shared" si="172"/>
        <v>5330.6629999999996</v>
      </c>
      <c r="AE189" s="52">
        <f t="shared" si="173"/>
        <v>16422.550999999999</v>
      </c>
      <c r="AF189" s="52">
        <f t="shared" si="174"/>
        <v>3552.9789999999998</v>
      </c>
      <c r="AG189" s="52">
        <f t="shared" si="175"/>
        <v>1392.36</v>
      </c>
      <c r="AH189" s="52">
        <f t="shared" si="176"/>
        <v>29893.488999999998</v>
      </c>
      <c r="AI189">
        <v>23.3</v>
      </c>
      <c r="AJ189" s="30">
        <f t="shared" si="177"/>
        <v>696518.29369999992</v>
      </c>
      <c r="AK189">
        <f t="shared" si="178"/>
        <v>638.98699999999997</v>
      </c>
      <c r="AM189" s="20" t="s">
        <v>97</v>
      </c>
      <c r="AN189" t="s">
        <v>532</v>
      </c>
      <c r="AO189" t="s">
        <v>533</v>
      </c>
      <c r="AP189" t="s">
        <v>688</v>
      </c>
      <c r="AQ189" s="55">
        <v>5475240.3439098494</v>
      </c>
      <c r="AR189" s="55"/>
      <c r="AS189" t="s">
        <v>97</v>
      </c>
      <c r="AT189" t="s">
        <v>1332</v>
      </c>
      <c r="AU189" t="s">
        <v>1153</v>
      </c>
      <c r="BJ189" s="20" t="s">
        <v>97</v>
      </c>
      <c r="BK189" t="s">
        <v>688</v>
      </c>
      <c r="BL189">
        <v>2015</v>
      </c>
      <c r="BM189">
        <f>INDEX('Costs lists'!$C$5:$C$8,MATCH(Lists!BK189,'Costs lists'!$B$5:$B$8,0))</f>
        <v>5.21</v>
      </c>
      <c r="BN189">
        <f>INDEX('Costs lists'!$D$5:$D$8,MATCH(Lists!BK189,'Costs lists'!$B$5:$B$8,0))</f>
        <v>5.16</v>
      </c>
      <c r="BO189">
        <f>INDEX('Costs lists'!$E$5:$E$8,MATCH(Lists!BK189,'Costs lists'!$B$5:$B$8,0))</f>
        <v>5.26</v>
      </c>
      <c r="BW189" s="20" t="s">
        <v>97</v>
      </c>
      <c r="BX189" s="20">
        <v>2008</v>
      </c>
      <c r="BY189" s="52">
        <v>2305.0300000000002</v>
      </c>
      <c r="BZ189" s="52">
        <v>2842.0260000000003</v>
      </c>
      <c r="CA189" s="52">
        <v>3242.2400000000002</v>
      </c>
      <c r="CB189" s="52">
        <v>3373.9560000000001</v>
      </c>
      <c r="CC189" s="375">
        <f t="shared" si="197"/>
        <v>2382.0331999999999</v>
      </c>
      <c r="CD189" s="375">
        <v>21.13</v>
      </c>
      <c r="CE189" s="375">
        <v>22.04</v>
      </c>
      <c r="CF189" s="375">
        <v>28.5</v>
      </c>
      <c r="CG189" s="375">
        <f t="shared" si="196"/>
        <v>22.509999999999998</v>
      </c>
      <c r="CI189" s="20" t="s">
        <v>97</v>
      </c>
      <c r="CJ189" s="20">
        <v>2015</v>
      </c>
      <c r="CK189" s="59" t="e">
        <f t="shared" si="179"/>
        <v>#DIV/0!</v>
      </c>
      <c r="CL189" s="59" t="e">
        <f t="shared" si="180"/>
        <v>#DIV/0!</v>
      </c>
      <c r="CM189" s="59" t="e">
        <f t="shared" si="181"/>
        <v>#DIV/0!</v>
      </c>
      <c r="CN189" s="59" t="e">
        <f t="shared" si="182"/>
        <v>#DIV/0!</v>
      </c>
      <c r="CO189" s="59" t="e">
        <f t="shared" si="183"/>
        <v>#DIV/0!</v>
      </c>
      <c r="CP189" s="59" t="e">
        <f t="shared" si="184"/>
        <v>#DIV/0!</v>
      </c>
      <c r="CQ189" s="59" t="e">
        <f t="shared" si="185"/>
        <v>#DIV/0!</v>
      </c>
      <c r="CR189" s="59" t="e">
        <f t="shared" si="186"/>
        <v>#DIV/0!</v>
      </c>
      <c r="CS189" s="59" t="e">
        <f t="shared" si="187"/>
        <v>#DIV/0!</v>
      </c>
      <c r="CW189" s="20" t="s">
        <v>97</v>
      </c>
      <c r="CX189">
        <v>2014</v>
      </c>
      <c r="CY189">
        <v>29.469912999999998</v>
      </c>
      <c r="CZ189">
        <v>12.97911548614502</v>
      </c>
      <c r="DB189">
        <v>246479.859375</v>
      </c>
      <c r="DE189">
        <f t="shared" si="188"/>
        <v>0</v>
      </c>
      <c r="DH189" t="e">
        <f t="shared" si="189"/>
        <v>#DIV/0!</v>
      </c>
      <c r="DI189" t="e">
        <f t="shared" si="162"/>
        <v>#DIV/0!</v>
      </c>
      <c r="DJ189" t="e">
        <f t="shared" si="163"/>
        <v>#DIV/0!</v>
      </c>
      <c r="DL189" s="20" t="s">
        <v>97</v>
      </c>
      <c r="DM189" s="99"/>
      <c r="DN189" s="100"/>
      <c r="DO189" s="101"/>
      <c r="DP189" s="101"/>
      <c r="DQ189" s="101"/>
      <c r="DR189" s="101"/>
      <c r="DS189" s="101"/>
      <c r="DT189" s="101"/>
      <c r="DU189" s="101"/>
      <c r="DV189" s="101"/>
      <c r="DW189" s="101"/>
      <c r="DX189" t="e">
        <f t="shared" ca="1" si="190"/>
        <v>#N/A</v>
      </c>
      <c r="DY189" t="e">
        <f t="shared" ca="1" si="191"/>
        <v>#N/A</v>
      </c>
      <c r="DZ189" t="e">
        <f t="shared" ca="1" si="192"/>
        <v>#N/A</v>
      </c>
      <c r="EB189" s="20" t="s">
        <v>97</v>
      </c>
      <c r="EC189" s="99" t="s">
        <v>784</v>
      </c>
      <c r="ED189" s="100" t="s">
        <v>754</v>
      </c>
      <c r="EE189" s="101">
        <v>39.9</v>
      </c>
      <c r="EF189" s="101">
        <v>40.799999999999997</v>
      </c>
      <c r="EG189" s="101"/>
      <c r="EH189" s="101"/>
      <c r="EI189" s="101"/>
      <c r="EJ189" s="101"/>
      <c r="EK189" s="101"/>
      <c r="EL189" s="101"/>
      <c r="EM189" s="101"/>
      <c r="EN189" s="101"/>
      <c r="EO189">
        <f t="shared" ca="1" si="198"/>
        <v>40.799999999999997</v>
      </c>
      <c r="EQ189" s="20" t="s">
        <v>97</v>
      </c>
      <c r="ER189" s="20" t="e">
        <f t="shared" ca="1" si="193"/>
        <v>#N/A</v>
      </c>
      <c r="ES189" t="e">
        <f t="shared" ca="1" si="194"/>
        <v>#N/A</v>
      </c>
      <c r="EU189" s="20" t="s">
        <v>97</v>
      </c>
      <c r="EV189" s="109">
        <v>6086.4055049734707</v>
      </c>
    </row>
    <row r="190" spans="1:152" x14ac:dyDescent="0.3">
      <c r="A190" s="20" t="s">
        <v>218</v>
      </c>
      <c r="B190" s="20" t="s">
        <v>634</v>
      </c>
      <c r="C190" s="81">
        <v>2015</v>
      </c>
      <c r="D190" s="82">
        <v>34.768000000000001</v>
      </c>
      <c r="E190" s="82">
        <v>33.470999999999997</v>
      </c>
      <c r="F190" s="82">
        <v>28.440999999999999</v>
      </c>
      <c r="G190" s="82">
        <v>25.872</v>
      </c>
      <c r="H190" s="82">
        <v>22.622</v>
      </c>
      <c r="I190" s="82">
        <v>23.06</v>
      </c>
      <c r="J190" s="82">
        <v>19.887</v>
      </c>
      <c r="K190" s="82">
        <v>16.190000000000001</v>
      </c>
      <c r="L190" s="82">
        <v>13.449</v>
      </c>
      <c r="M190" s="82">
        <v>11.867000000000001</v>
      </c>
      <c r="N190" s="82">
        <v>10.414</v>
      </c>
      <c r="O190" s="82">
        <v>7.4850000000000003</v>
      </c>
      <c r="P190" s="82">
        <v>6.0129999999999999</v>
      </c>
      <c r="Q190" s="82">
        <v>4.173</v>
      </c>
      <c r="R190" s="82">
        <v>3.6789999999999998</v>
      </c>
      <c r="S190" s="82">
        <v>2.0289999999999999</v>
      </c>
      <c r="T190" s="82">
        <v>0.83399999999999996</v>
      </c>
      <c r="U190" s="82">
        <v>0.307</v>
      </c>
      <c r="V190" s="82">
        <v>7.8E-2</v>
      </c>
      <c r="W190" s="82">
        <v>1.2E-2</v>
      </c>
      <c r="X190" s="82">
        <v>1E-3</v>
      </c>
      <c r="Y190" s="82">
        <f t="shared" si="167"/>
        <v>264.65199999999993</v>
      </c>
      <c r="Z190" s="52">
        <f t="shared" si="168"/>
        <v>3.4769999999999999</v>
      </c>
      <c r="AA190" s="52">
        <f t="shared" si="169"/>
        <v>3.4769999999999999</v>
      </c>
      <c r="AB190" s="52">
        <f t="shared" si="170"/>
        <v>6.9539999999999997</v>
      </c>
      <c r="AC190" s="52">
        <f t="shared" si="171"/>
        <v>20.861000000000001</v>
      </c>
      <c r="AD190" s="52">
        <f t="shared" si="172"/>
        <v>61.911999999999999</v>
      </c>
      <c r="AE190" s="52">
        <f t="shared" si="173"/>
        <v>132.947</v>
      </c>
      <c r="AF190" s="52">
        <f t="shared" si="174"/>
        <v>23.911999999999999</v>
      </c>
      <c r="AG190" s="52">
        <f t="shared" si="175"/>
        <v>11.113</v>
      </c>
      <c r="AH190" s="52">
        <f t="shared" si="176"/>
        <v>264.65300000000002</v>
      </c>
      <c r="AI190">
        <v>26.466000000000001</v>
      </c>
      <c r="AJ190" s="30">
        <f t="shared" si="177"/>
        <v>7004.3062980000004</v>
      </c>
      <c r="AK190">
        <f t="shared" si="178"/>
        <v>6.9535999999999998</v>
      </c>
      <c r="AM190" s="20" t="s">
        <v>218</v>
      </c>
      <c r="AN190" t="s">
        <v>637</v>
      </c>
      <c r="AO190" t="s">
        <v>638</v>
      </c>
      <c r="AP190" t="s">
        <v>688</v>
      </c>
      <c r="AQ190" s="55">
        <v>303889.63620150235</v>
      </c>
      <c r="AR190" s="55">
        <v>108.989166666667</v>
      </c>
      <c r="AS190" t="s">
        <v>218</v>
      </c>
      <c r="AT190" t="s">
        <v>1333</v>
      </c>
      <c r="AU190" t="s">
        <v>1153</v>
      </c>
      <c r="AV190">
        <v>81.750695894398802</v>
      </c>
      <c r="AW190">
        <v>82.910671984792302</v>
      </c>
      <c r="AX190">
        <v>83.904937205129499</v>
      </c>
      <c r="AY190">
        <v>85.617282862377095</v>
      </c>
      <c r="AZ190">
        <v>89.005149539081899</v>
      </c>
      <c r="BA190">
        <v>93.301682565580506</v>
      </c>
      <c r="BB190">
        <v>97.267471480539001</v>
      </c>
      <c r="BC190">
        <v>100</v>
      </c>
      <c r="BD190">
        <v>100.862682907549</v>
      </c>
      <c r="BE190">
        <v>102.238083129015</v>
      </c>
      <c r="BF190">
        <v>103.71659233629499</v>
      </c>
      <c r="BG190">
        <v>104.545146686576</v>
      </c>
      <c r="BH190">
        <v>107.122871331895</v>
      </c>
      <c r="BJ190" s="20" t="s">
        <v>218</v>
      </c>
      <c r="BK190" t="s">
        <v>688</v>
      </c>
      <c r="BL190">
        <v>2015</v>
      </c>
      <c r="BM190">
        <f>INDEX('Costs lists'!$C$5:$C$8,MATCH(Lists!BK190,'Costs lists'!$B$5:$B$8,0))</f>
        <v>5.21</v>
      </c>
      <c r="BN190">
        <f>INDEX('Costs lists'!$D$5:$D$8,MATCH(Lists!BK190,'Costs lists'!$B$5:$B$8,0))</f>
        <v>5.16</v>
      </c>
      <c r="BO190">
        <f>INDEX('Costs lists'!$E$5:$E$8,MATCH(Lists!BK190,'Costs lists'!$B$5:$B$8,0))</f>
        <v>5.26</v>
      </c>
      <c r="BW190" s="20" t="s">
        <v>218</v>
      </c>
      <c r="BX190" s="20">
        <v>2008</v>
      </c>
      <c r="BY190" s="52">
        <v>0</v>
      </c>
      <c r="BZ190" s="52">
        <v>0</v>
      </c>
      <c r="CA190" s="52">
        <v>0</v>
      </c>
      <c r="CB190" s="52">
        <v>0</v>
      </c>
      <c r="CC190" s="375">
        <f t="shared" si="197"/>
        <v>0</v>
      </c>
      <c r="CD190" s="375"/>
      <c r="CE190" s="375"/>
      <c r="CF190" s="375"/>
      <c r="CG190" s="375">
        <f t="shared" si="196"/>
        <v>0</v>
      </c>
      <c r="CI190" s="20" t="s">
        <v>218</v>
      </c>
      <c r="CJ190" s="20">
        <v>2015</v>
      </c>
      <c r="CK190" s="59">
        <f t="shared" si="179"/>
        <v>0</v>
      </c>
      <c r="CL190" s="59">
        <f t="shared" si="180"/>
        <v>0</v>
      </c>
      <c r="CM190" s="59">
        <f t="shared" si="181"/>
        <v>0</v>
      </c>
      <c r="CN190" s="59">
        <f t="shared" si="182"/>
        <v>0</v>
      </c>
      <c r="CO190" s="59">
        <f t="shared" si="183"/>
        <v>0</v>
      </c>
      <c r="CP190" s="59">
        <f t="shared" si="184"/>
        <v>0</v>
      </c>
      <c r="CQ190" s="59">
        <f t="shared" si="185"/>
        <v>0</v>
      </c>
      <c r="CR190" s="59">
        <f t="shared" si="186"/>
        <v>0</v>
      </c>
      <c r="CS190" s="59">
        <f t="shared" si="187"/>
        <v>0</v>
      </c>
      <c r="CW190" s="20" t="s">
        <v>218</v>
      </c>
      <c r="DE190" t="e">
        <f t="shared" si="188"/>
        <v>#DIV/0!</v>
      </c>
      <c r="DH190" t="e">
        <f t="shared" si="189"/>
        <v>#DIV/0!</v>
      </c>
      <c r="DI190" t="e">
        <f t="shared" si="162"/>
        <v>#DIV/0!</v>
      </c>
      <c r="DJ190" t="e">
        <f t="shared" si="163"/>
        <v>#DIV/0!</v>
      </c>
      <c r="DL190" s="20" t="s">
        <v>218</v>
      </c>
      <c r="DM190" s="99"/>
      <c r="DN190" s="100"/>
      <c r="DO190" s="101"/>
      <c r="DP190" s="101"/>
      <c r="DQ190" s="101"/>
      <c r="DR190" s="101"/>
      <c r="DS190" s="101"/>
      <c r="DT190" s="101"/>
      <c r="DU190" s="101"/>
      <c r="DV190" s="101"/>
      <c r="DW190" s="101"/>
      <c r="DX190" t="e">
        <f t="shared" ca="1" si="190"/>
        <v>#N/A</v>
      </c>
      <c r="DY190" t="e">
        <f t="shared" ca="1" si="191"/>
        <v>#N/A</v>
      </c>
      <c r="DZ190" t="e">
        <f t="shared" ca="1" si="192"/>
        <v>#N/A</v>
      </c>
      <c r="EB190" s="20" t="s">
        <v>218</v>
      </c>
      <c r="EC190" s="99" t="s">
        <v>843</v>
      </c>
      <c r="ED190" s="100" t="s">
        <v>754</v>
      </c>
      <c r="EE190" s="101"/>
      <c r="EF190" s="101"/>
      <c r="EG190" s="101"/>
      <c r="EH190" s="101">
        <v>66</v>
      </c>
      <c r="EI190" s="101"/>
      <c r="EJ190" s="101"/>
      <c r="EK190" s="101"/>
      <c r="EL190" s="101"/>
      <c r="EM190" s="101"/>
      <c r="EN190" s="101"/>
      <c r="EO190">
        <f t="shared" ca="1" si="198"/>
        <v>66</v>
      </c>
      <c r="EQ190" s="20" t="s">
        <v>218</v>
      </c>
      <c r="ER190" s="20" t="e">
        <f t="shared" ca="1" si="193"/>
        <v>#N/A</v>
      </c>
      <c r="ES190" t="e">
        <f t="shared" ca="1" si="194"/>
        <v>#N/A</v>
      </c>
      <c r="EU190" s="20" t="s">
        <v>218</v>
      </c>
      <c r="EV190" s="109">
        <v>2987.9186324694838</v>
      </c>
    </row>
    <row r="191" spans="1:152" x14ac:dyDescent="0.3">
      <c r="A191" s="20" t="s">
        <v>209</v>
      </c>
      <c r="B191" s="20" t="s">
        <v>633</v>
      </c>
      <c r="C191" s="81">
        <v>2015</v>
      </c>
      <c r="D191" s="82">
        <v>2959.9459999999999</v>
      </c>
      <c r="E191" s="82">
        <v>2922.8470000000002</v>
      </c>
      <c r="F191" s="82">
        <v>2860.2620000000002</v>
      </c>
      <c r="G191" s="82">
        <v>2780.0210000000002</v>
      </c>
      <c r="H191" s="82">
        <v>2734.5929999999998</v>
      </c>
      <c r="I191" s="82">
        <v>2661.68</v>
      </c>
      <c r="J191" s="82">
        <v>2389.8240000000001</v>
      </c>
      <c r="K191" s="82">
        <v>2151.4639999999999</v>
      </c>
      <c r="L191" s="82">
        <v>1900.011</v>
      </c>
      <c r="M191" s="82">
        <v>1841.777</v>
      </c>
      <c r="N191" s="82">
        <v>1684.191</v>
      </c>
      <c r="O191" s="82">
        <v>1296.896</v>
      </c>
      <c r="P191" s="82">
        <v>975.029</v>
      </c>
      <c r="Q191" s="82">
        <v>729.702</v>
      </c>
      <c r="R191" s="82">
        <v>517.20299999999997</v>
      </c>
      <c r="S191" s="82">
        <v>340.548</v>
      </c>
      <c r="T191" s="82">
        <v>199.30099999999999</v>
      </c>
      <c r="U191" s="82">
        <v>100.63</v>
      </c>
      <c r="V191" s="82">
        <v>42.936999999999998</v>
      </c>
      <c r="W191" s="82">
        <v>15.17</v>
      </c>
      <c r="X191" s="82">
        <v>4.0510000000000002</v>
      </c>
      <c r="Y191" s="82">
        <f t="shared" si="167"/>
        <v>31108.083000000002</v>
      </c>
      <c r="Z191" s="52">
        <f t="shared" si="168"/>
        <v>295.995</v>
      </c>
      <c r="AA191" s="52">
        <f t="shared" si="169"/>
        <v>295.995</v>
      </c>
      <c r="AB191" s="52">
        <f t="shared" si="170"/>
        <v>591.98900000000003</v>
      </c>
      <c r="AC191" s="52">
        <f t="shared" si="171"/>
        <v>1775.9680000000001</v>
      </c>
      <c r="AD191" s="52">
        <f t="shared" si="172"/>
        <v>5783.1090000000004</v>
      </c>
      <c r="AE191" s="52">
        <f t="shared" si="173"/>
        <v>16459.37</v>
      </c>
      <c r="AF191" s="52">
        <f t="shared" si="174"/>
        <v>3956.116</v>
      </c>
      <c r="AG191" s="52">
        <f t="shared" si="175"/>
        <v>1949.5419999999999</v>
      </c>
      <c r="AH191" s="52">
        <f t="shared" si="176"/>
        <v>31108.084000000003</v>
      </c>
      <c r="AI191">
        <v>19.556000000000001</v>
      </c>
      <c r="AJ191" s="30">
        <f t="shared" si="177"/>
        <v>608349.69070400007</v>
      </c>
      <c r="AK191">
        <f t="shared" si="178"/>
        <v>591.98919999999998</v>
      </c>
      <c r="AM191" s="20" t="s">
        <v>209</v>
      </c>
      <c r="AN191" t="s">
        <v>639</v>
      </c>
      <c r="AO191" t="s">
        <v>640</v>
      </c>
      <c r="AP191" t="s">
        <v>689</v>
      </c>
      <c r="AQ191" s="55"/>
      <c r="AR191" s="55">
        <v>6.2842000000000002</v>
      </c>
      <c r="AS191" t="s">
        <v>1137</v>
      </c>
      <c r="AT191" t="s">
        <v>1334</v>
      </c>
      <c r="AU191" t="s">
        <v>1153</v>
      </c>
      <c r="BA191">
        <v>61.386661968108498</v>
      </c>
      <c r="BB191">
        <v>78.010747951722294</v>
      </c>
      <c r="BC191">
        <v>100</v>
      </c>
      <c r="BD191">
        <v>126.090212316096</v>
      </c>
      <c r="BE191">
        <v>152.656153642851</v>
      </c>
      <c r="BF191">
        <v>214.69474055149399</v>
      </c>
      <c r="BG191">
        <v>348.16756232931101</v>
      </c>
      <c r="BH191">
        <v>730.04140604352199</v>
      </c>
      <c r="BJ191" s="20" t="s">
        <v>209</v>
      </c>
      <c r="BK191" t="s">
        <v>689</v>
      </c>
      <c r="BL191">
        <v>2015</v>
      </c>
      <c r="BM191">
        <f>INDEX('Costs lists'!$C$5:$C$8,MATCH(Lists!BK191,'Costs lists'!$B$5:$B$8,0))</f>
        <v>3.2</v>
      </c>
      <c r="BN191">
        <f>INDEX('Costs lists'!$D$5:$D$8,MATCH(Lists!BK191,'Costs lists'!$B$5:$B$8,0))</f>
        <v>1.1200000000000001</v>
      </c>
      <c r="BO191">
        <f>INDEX('Costs lists'!$E$5:$E$8,MATCH(Lists!BK191,'Costs lists'!$B$5:$B$8,0))</f>
        <v>4.4400000000000004</v>
      </c>
      <c r="BW191" s="20" t="s">
        <v>209</v>
      </c>
      <c r="BX191" s="20">
        <v>2008</v>
      </c>
      <c r="BY191" s="52">
        <v>32.129199999999997</v>
      </c>
      <c r="BZ191" s="52">
        <v>39.667999999999999</v>
      </c>
      <c r="CA191" s="52">
        <v>45.195199999999993</v>
      </c>
      <c r="CB191" s="52">
        <v>47.094000000000001</v>
      </c>
      <c r="CC191" s="375">
        <f t="shared" si="197"/>
        <v>33.206909999999993</v>
      </c>
      <c r="CD191" s="375">
        <v>131.01</v>
      </c>
      <c r="CE191" s="375">
        <v>136.66999999999999</v>
      </c>
      <c r="CF191" s="375">
        <v>176.73</v>
      </c>
      <c r="CG191" s="375">
        <f t="shared" si="196"/>
        <v>139.57333333333332</v>
      </c>
      <c r="CI191" s="20" t="s">
        <v>209</v>
      </c>
      <c r="CJ191" s="20">
        <v>2015</v>
      </c>
      <c r="CK191" s="59">
        <f t="shared" si="179"/>
        <v>382.0967876578656</v>
      </c>
      <c r="CL191" s="59">
        <f t="shared" si="180"/>
        <v>471.75203157290605</v>
      </c>
      <c r="CM191" s="59">
        <f t="shared" si="181"/>
        <v>537.48430516647682</v>
      </c>
      <c r="CN191" s="59">
        <f t="shared" si="182"/>
        <v>560.06580051664912</v>
      </c>
      <c r="CO191" s="59">
        <f t="shared" si="183"/>
        <v>394.91346311280245</v>
      </c>
      <c r="CP191" s="59">
        <f t="shared" si="184"/>
        <v>1558.0375530998895</v>
      </c>
      <c r="CQ191" s="59">
        <f t="shared" si="185"/>
        <v>1625.3491518369735</v>
      </c>
      <c r="CR191" s="59">
        <f t="shared" si="186"/>
        <v>2101.7630467853101</v>
      </c>
      <c r="CS191" s="59">
        <f t="shared" si="187"/>
        <v>1659.8770685036402</v>
      </c>
      <c r="CW191" s="20" t="s">
        <v>209</v>
      </c>
      <c r="CX191">
        <v>2014</v>
      </c>
      <c r="CY191">
        <v>30.693826999999999</v>
      </c>
      <c r="CZ191">
        <v>12.857576370239258</v>
      </c>
      <c r="DA191">
        <v>1794.9418220900552</v>
      </c>
      <c r="DB191">
        <v>464021.875</v>
      </c>
      <c r="DC191">
        <v>0.40175530314445496</v>
      </c>
      <c r="DE191">
        <f t="shared" si="188"/>
        <v>14499.09716171605</v>
      </c>
      <c r="DH191">
        <f t="shared" si="189"/>
        <v>8.0777532637983214</v>
      </c>
      <c r="DI191">
        <f t="shared" si="162"/>
        <v>16.937517989680682</v>
      </c>
      <c r="DJ191">
        <f t="shared" si="163"/>
        <v>40.43353366253212</v>
      </c>
      <c r="DL191" s="20" t="s">
        <v>209</v>
      </c>
      <c r="DM191" s="99" t="s">
        <v>790</v>
      </c>
      <c r="DN191" s="100" t="s">
        <v>847</v>
      </c>
      <c r="DO191" s="101"/>
      <c r="DP191" s="101"/>
      <c r="DQ191" s="101">
        <v>42</v>
      </c>
      <c r="DR191" s="101">
        <v>42</v>
      </c>
      <c r="DS191" s="101">
        <v>42</v>
      </c>
      <c r="DT191" s="101">
        <v>41</v>
      </c>
      <c r="DU191" s="101"/>
      <c r="DV191" s="101"/>
      <c r="DW191" s="101"/>
      <c r="DX191">
        <f t="shared" ca="1" si="190"/>
        <v>41</v>
      </c>
      <c r="DY191">
        <f t="shared" ca="1" si="191"/>
        <v>8.1999999999999993</v>
      </c>
      <c r="DZ191">
        <f t="shared" ca="1" si="192"/>
        <v>138.88764751538159</v>
      </c>
      <c r="EB191" s="20" t="s">
        <v>209</v>
      </c>
      <c r="EC191" s="99" t="s">
        <v>790</v>
      </c>
      <c r="ED191" s="100" t="s">
        <v>754</v>
      </c>
      <c r="EE191" s="101">
        <v>59</v>
      </c>
      <c r="EF191" s="101">
        <v>59.6</v>
      </c>
      <c r="EG191" s="101">
        <v>60.1</v>
      </c>
      <c r="EH191" s="101">
        <v>53.1</v>
      </c>
      <c r="EI191" s="101">
        <v>52.6</v>
      </c>
      <c r="EJ191" s="101">
        <v>53</v>
      </c>
      <c r="EK191" s="101">
        <v>52.8</v>
      </c>
      <c r="EL191" s="101">
        <v>59.3</v>
      </c>
      <c r="EM191" s="101">
        <v>60.6</v>
      </c>
      <c r="EN191" s="101">
        <v>59.5</v>
      </c>
      <c r="EO191">
        <f t="shared" ca="1" si="198"/>
        <v>59.5</v>
      </c>
      <c r="EQ191" s="20" t="s">
        <v>209</v>
      </c>
      <c r="ER191" s="20">
        <f t="shared" ca="1" si="193"/>
        <v>138.88764751538159</v>
      </c>
      <c r="ES191">
        <f t="shared" ca="1" si="194"/>
        <v>82.638150271652052</v>
      </c>
      <c r="EU191" s="20" t="s">
        <v>209</v>
      </c>
      <c r="EV191" s="109"/>
    </row>
    <row r="192" spans="1:152" x14ac:dyDescent="0.3">
      <c r="A192" s="20" t="s">
        <v>117</v>
      </c>
      <c r="B192" s="20" t="s">
        <v>634</v>
      </c>
      <c r="C192" s="81">
        <v>2015</v>
      </c>
      <c r="D192" s="82">
        <v>7740.8450000000003</v>
      </c>
      <c r="E192" s="82">
        <v>7221.24</v>
      </c>
      <c r="F192" s="82">
        <v>6614.674</v>
      </c>
      <c r="G192" s="82">
        <v>6972.8580000000002</v>
      </c>
      <c r="H192" s="82">
        <v>8803.3150000000005</v>
      </c>
      <c r="I192" s="82">
        <v>8664.2279999999992</v>
      </c>
      <c r="J192" s="82">
        <v>7932.674</v>
      </c>
      <c r="K192" s="82">
        <v>7146.3329999999996</v>
      </c>
      <c r="L192" s="82">
        <v>6640.0060000000003</v>
      </c>
      <c r="M192" s="82">
        <v>6004.7979999999998</v>
      </c>
      <c r="N192" s="82">
        <v>5467.3620000000001</v>
      </c>
      <c r="O192" s="82">
        <v>4625.9409999999998</v>
      </c>
      <c r="P192" s="82">
        <v>3314.4850000000001</v>
      </c>
      <c r="Q192" s="82">
        <v>1894.027</v>
      </c>
      <c r="R192" s="82">
        <v>1369.6959999999999</v>
      </c>
      <c r="S192" s="82">
        <v>1158.511</v>
      </c>
      <c r="T192" s="82">
        <v>957.19899999999996</v>
      </c>
      <c r="U192" s="82">
        <v>541.43799999999999</v>
      </c>
      <c r="V192" s="82">
        <v>265.60300000000001</v>
      </c>
      <c r="W192" s="82">
        <v>88.53</v>
      </c>
      <c r="X192" s="82">
        <v>23.838000000000001</v>
      </c>
      <c r="Y192" s="82">
        <f t="shared" si="167"/>
        <v>93447.600999999981</v>
      </c>
      <c r="Z192" s="52">
        <f t="shared" si="168"/>
        <v>774.08500000000004</v>
      </c>
      <c r="AA192" s="52">
        <f t="shared" si="169"/>
        <v>774.08500000000004</v>
      </c>
      <c r="AB192" s="52">
        <f t="shared" si="170"/>
        <v>1548.1690000000001</v>
      </c>
      <c r="AC192" s="52">
        <f t="shared" si="171"/>
        <v>4644.5069999999996</v>
      </c>
      <c r="AD192" s="52">
        <f t="shared" si="172"/>
        <v>13835.914000000001</v>
      </c>
      <c r="AE192" s="52">
        <f t="shared" si="173"/>
        <v>52164.212</v>
      </c>
      <c r="AF192" s="52">
        <f t="shared" si="174"/>
        <v>13407.788</v>
      </c>
      <c r="AG192" s="52">
        <f t="shared" si="175"/>
        <v>6298.8419999999996</v>
      </c>
      <c r="AH192" s="52">
        <f t="shared" si="176"/>
        <v>93447.602000000014</v>
      </c>
      <c r="AI192">
        <v>17.157</v>
      </c>
      <c r="AJ192" s="30">
        <f t="shared" si="177"/>
        <v>1603280.5075140002</v>
      </c>
      <c r="AK192">
        <f t="shared" si="178"/>
        <v>1548.1690000000001</v>
      </c>
      <c r="AM192" s="20" t="s">
        <v>117</v>
      </c>
      <c r="AN192" t="s">
        <v>641</v>
      </c>
      <c r="AO192" t="s">
        <v>642</v>
      </c>
      <c r="AP192" t="s">
        <v>688</v>
      </c>
      <c r="AQ192" s="55">
        <v>45717055.214456357</v>
      </c>
      <c r="AR192" s="55">
        <v>21697.567500000001</v>
      </c>
      <c r="AS192" t="s">
        <v>1138</v>
      </c>
      <c r="AT192" t="s">
        <v>1335</v>
      </c>
      <c r="AU192" t="s">
        <v>1153</v>
      </c>
      <c r="AV192">
        <v>51.357753764933598</v>
      </c>
      <c r="AW192">
        <v>55.342669308787301</v>
      </c>
      <c r="AX192">
        <v>59.925829170929397</v>
      </c>
      <c r="AY192">
        <v>64.351823152843295</v>
      </c>
      <c r="AZ192">
        <v>69.695463080606103</v>
      </c>
      <c r="BA192">
        <v>85.806486764140999</v>
      </c>
      <c r="BB192">
        <v>91.859755568932101</v>
      </c>
      <c r="BC192">
        <v>100</v>
      </c>
      <c r="BD192">
        <v>118.67747712054</v>
      </c>
      <c r="BE192">
        <v>129.47026332648201</v>
      </c>
      <c r="BF192">
        <v>138.005274396993</v>
      </c>
      <c r="BG192">
        <v>143.644031821781</v>
      </c>
      <c r="BH192">
        <v>144.90609362055699</v>
      </c>
      <c r="BJ192" s="20" t="s">
        <v>117</v>
      </c>
      <c r="BK192" t="s">
        <v>688</v>
      </c>
      <c r="BL192">
        <v>2015</v>
      </c>
      <c r="BM192">
        <f>INDEX('Costs lists'!$C$5:$C$8,MATCH(Lists!BK192,'Costs lists'!$B$5:$B$8,0))</f>
        <v>5.21</v>
      </c>
      <c r="BN192">
        <f>INDEX('Costs lists'!$D$5:$D$8,MATCH(Lists!BK192,'Costs lists'!$B$5:$B$8,0))</f>
        <v>5.16</v>
      </c>
      <c r="BO192">
        <f>INDEX('Costs lists'!$E$5:$E$8,MATCH(Lists!BK192,'Costs lists'!$B$5:$B$8,0))</f>
        <v>5.26</v>
      </c>
      <c r="BW192" s="20" t="s">
        <v>117</v>
      </c>
      <c r="BX192" s="20">
        <v>2008</v>
      </c>
      <c r="BY192" s="52">
        <v>28243.263999999999</v>
      </c>
      <c r="BZ192" s="52">
        <v>34874.2912</v>
      </c>
      <c r="CA192" s="52">
        <v>39724.764799999997</v>
      </c>
      <c r="CB192" s="52">
        <v>41382.5216</v>
      </c>
      <c r="CC192" s="375">
        <f t="shared" si="197"/>
        <v>29190.334320000002</v>
      </c>
      <c r="CD192" s="375">
        <v>21.47</v>
      </c>
      <c r="CE192" s="375">
        <v>22.39</v>
      </c>
      <c r="CF192" s="375">
        <v>28.96</v>
      </c>
      <c r="CG192" s="375">
        <f t="shared" si="196"/>
        <v>22.871666666666663</v>
      </c>
      <c r="CI192" s="20" t="s">
        <v>117</v>
      </c>
      <c r="CJ192" s="20">
        <v>2015</v>
      </c>
      <c r="CK192" s="59">
        <f t="shared" si="179"/>
        <v>47695.94015174661</v>
      </c>
      <c r="CL192" s="59">
        <f t="shared" si="180"/>
        <v>58894.117404765384</v>
      </c>
      <c r="CM192" s="59">
        <f t="shared" si="181"/>
        <v>67085.376691695783</v>
      </c>
      <c r="CN192" s="59">
        <f t="shared" si="182"/>
        <v>69884.921004950476</v>
      </c>
      <c r="CO192" s="59">
        <f t="shared" si="183"/>
        <v>49295.309449226384</v>
      </c>
      <c r="CP192" s="59">
        <f t="shared" si="184"/>
        <v>36.257559857741647</v>
      </c>
      <c r="CQ192" s="59">
        <f t="shared" si="185"/>
        <v>37.81121402956849</v>
      </c>
      <c r="CR192" s="59">
        <f t="shared" si="186"/>
        <v>48.906331321853663</v>
      </c>
      <c r="CS192" s="59">
        <f t="shared" si="187"/>
        <v>38.624630797064782</v>
      </c>
      <c r="CW192" s="20" t="s">
        <v>117</v>
      </c>
      <c r="CX192">
        <v>2014</v>
      </c>
      <c r="CY192">
        <v>92.423338000000001</v>
      </c>
      <c r="CZ192">
        <v>52.177143096923828</v>
      </c>
      <c r="DA192">
        <v>2339.9536371959748</v>
      </c>
      <c r="DB192">
        <v>500159.375</v>
      </c>
      <c r="DE192">
        <f t="shared" si="188"/>
        <v>0</v>
      </c>
      <c r="DH192">
        <f t="shared" si="189"/>
        <v>0</v>
      </c>
      <c r="DI192">
        <f t="shared" si="162"/>
        <v>0</v>
      </c>
      <c r="DJ192">
        <f t="shared" si="163"/>
        <v>0</v>
      </c>
      <c r="DL192" s="20" t="s">
        <v>117</v>
      </c>
      <c r="DM192" s="99" t="s">
        <v>756</v>
      </c>
      <c r="DN192" s="100" t="s">
        <v>754</v>
      </c>
      <c r="DO192" s="101"/>
      <c r="DP192" s="101"/>
      <c r="DQ192" s="101"/>
      <c r="DR192" s="101"/>
      <c r="DS192" s="101"/>
      <c r="DT192" s="101"/>
      <c r="DU192" s="101">
        <v>44.3</v>
      </c>
      <c r="DV192" s="101">
        <v>43</v>
      </c>
      <c r="DW192" s="101">
        <v>43.5</v>
      </c>
      <c r="DX192">
        <f t="shared" ca="1" si="190"/>
        <v>43.5</v>
      </c>
      <c r="DY192">
        <f t="shared" ca="1" si="191"/>
        <v>8.6999999999999993</v>
      </c>
      <c r="DZ192">
        <f t="shared" ca="1" si="192"/>
        <v>0</v>
      </c>
      <c r="EB192" s="20" t="s">
        <v>117</v>
      </c>
      <c r="EC192" s="99" t="s">
        <v>756</v>
      </c>
      <c r="ED192" s="100" t="s">
        <v>754</v>
      </c>
      <c r="EE192" s="101"/>
      <c r="EF192" s="101">
        <v>69.900000000000006</v>
      </c>
      <c r="EG192" s="101"/>
      <c r="EH192" s="101">
        <v>74.5</v>
      </c>
      <c r="EI192" s="101">
        <v>75.3</v>
      </c>
      <c r="EJ192" s="101">
        <v>75.5</v>
      </c>
      <c r="EK192" s="101">
        <v>75.599999999999994</v>
      </c>
      <c r="EL192" s="101">
        <v>76</v>
      </c>
      <c r="EM192" s="101">
        <v>76.3</v>
      </c>
      <c r="EN192" s="101">
        <v>75.8</v>
      </c>
      <c r="EO192">
        <f t="shared" ca="1" si="198"/>
        <v>75.8</v>
      </c>
      <c r="EQ192" s="20" t="s">
        <v>117</v>
      </c>
      <c r="ER192" s="20">
        <f t="shared" ca="1" si="193"/>
        <v>0</v>
      </c>
      <c r="ES192">
        <f t="shared" ca="1" si="194"/>
        <v>0</v>
      </c>
      <c r="EU192" s="20" t="s">
        <v>117</v>
      </c>
      <c r="EV192" s="109">
        <v>6034.8850647172885</v>
      </c>
    </row>
    <row r="193" spans="1:152" x14ac:dyDescent="0.3">
      <c r="A193" s="20" t="s">
        <v>135</v>
      </c>
      <c r="B193" s="20" t="s">
        <v>631</v>
      </c>
      <c r="C193" s="81">
        <v>2015</v>
      </c>
      <c r="D193" s="82">
        <v>3924.578</v>
      </c>
      <c r="E193" s="82">
        <v>3616.0430000000001</v>
      </c>
      <c r="F193" s="82">
        <v>3263.049</v>
      </c>
      <c r="G193" s="82">
        <v>3019.6010000000001</v>
      </c>
      <c r="H193" s="82">
        <v>2909.038</v>
      </c>
      <c r="I193" s="82">
        <v>2417.402</v>
      </c>
      <c r="J193" s="82">
        <v>1906.538</v>
      </c>
      <c r="K193" s="82">
        <v>1450.58</v>
      </c>
      <c r="L193" s="82">
        <v>997.52</v>
      </c>
      <c r="M193" s="82">
        <v>785.505</v>
      </c>
      <c r="N193" s="82">
        <v>678.69</v>
      </c>
      <c r="O193" s="82">
        <v>609.58600000000001</v>
      </c>
      <c r="P193" s="82">
        <v>506.267</v>
      </c>
      <c r="Q193" s="82">
        <v>349.33699999999999</v>
      </c>
      <c r="R193" s="82">
        <v>210.27199999999999</v>
      </c>
      <c r="S193" s="82">
        <v>106.423</v>
      </c>
      <c r="T193" s="82">
        <v>54.823</v>
      </c>
      <c r="U193" s="82">
        <v>21.097999999999999</v>
      </c>
      <c r="V193" s="82">
        <v>5.07</v>
      </c>
      <c r="W193" s="82">
        <v>0.71899999999999997</v>
      </c>
      <c r="X193" s="82">
        <v>7.5999999999999998E-2</v>
      </c>
      <c r="Y193" s="82">
        <f t="shared" si="167"/>
        <v>26832.215000000007</v>
      </c>
      <c r="Z193" s="52">
        <f t="shared" si="168"/>
        <v>392.45800000000003</v>
      </c>
      <c r="AA193" s="52">
        <f t="shared" si="169"/>
        <v>392.45800000000003</v>
      </c>
      <c r="AB193" s="52">
        <f t="shared" si="170"/>
        <v>784.91600000000005</v>
      </c>
      <c r="AC193" s="52">
        <f t="shared" si="171"/>
        <v>2354.7469999999998</v>
      </c>
      <c r="AD193" s="52">
        <f t="shared" si="172"/>
        <v>6879.0919999999996</v>
      </c>
      <c r="AE193" s="52">
        <f t="shared" si="173"/>
        <v>13486.183999999999</v>
      </c>
      <c r="AF193" s="52">
        <f t="shared" si="174"/>
        <v>1794.5429999999999</v>
      </c>
      <c r="AG193" s="52">
        <f t="shared" si="175"/>
        <v>747.81799999999998</v>
      </c>
      <c r="AH193" s="52">
        <f t="shared" si="176"/>
        <v>26832.215999999997</v>
      </c>
      <c r="AI193">
        <v>32.417999999999999</v>
      </c>
      <c r="AJ193" s="30">
        <f t="shared" si="177"/>
        <v>869846.77828799991</v>
      </c>
      <c r="AK193">
        <f t="shared" si="178"/>
        <v>784.91560000000004</v>
      </c>
      <c r="AM193" s="20" t="s">
        <v>135</v>
      </c>
      <c r="AN193" t="s">
        <v>643</v>
      </c>
      <c r="AO193" t="s">
        <v>644</v>
      </c>
      <c r="AP193" t="s">
        <v>688</v>
      </c>
      <c r="AQ193" s="55">
        <v>302198.01291469974</v>
      </c>
      <c r="AR193" s="55">
        <v>214.89</v>
      </c>
      <c r="AS193" t="s">
        <v>1140</v>
      </c>
      <c r="AT193" t="s">
        <v>1337</v>
      </c>
      <c r="AU193" t="s">
        <v>1153</v>
      </c>
      <c r="AV193">
        <v>47.6658024016401</v>
      </c>
      <c r="AW193">
        <v>53.631222925987899</v>
      </c>
      <c r="AX193">
        <v>59.965748218682599</v>
      </c>
      <c r="AY193">
        <v>66.468912896805904</v>
      </c>
      <c r="AZ193">
        <v>71.723358754955996</v>
      </c>
      <c r="BA193">
        <v>85.333767951035398</v>
      </c>
      <c r="BB193">
        <v>89.948414157716797</v>
      </c>
      <c r="BC193">
        <v>100</v>
      </c>
      <c r="BD193">
        <v>119.543561713115</v>
      </c>
      <c r="BE193">
        <v>131.36090559519701</v>
      </c>
      <c r="BF193">
        <v>145.76915053314801</v>
      </c>
      <c r="BG193">
        <v>157.58334053767501</v>
      </c>
      <c r="BJ193" s="20" t="s">
        <v>135</v>
      </c>
      <c r="BK193" t="s">
        <v>688</v>
      </c>
      <c r="BL193">
        <v>2015</v>
      </c>
      <c r="BM193">
        <f>INDEX('Costs lists'!$C$5:$C$8,MATCH(Lists!BK193,'Costs lists'!$B$5:$B$8,0))</f>
        <v>5.21</v>
      </c>
      <c r="BN193">
        <f>INDEX('Costs lists'!$D$5:$D$8,MATCH(Lists!BK193,'Costs lists'!$B$5:$B$8,0))</f>
        <v>5.16</v>
      </c>
      <c r="BO193">
        <f>INDEX('Costs lists'!$E$5:$E$8,MATCH(Lists!BK193,'Costs lists'!$B$5:$B$8,0))</f>
        <v>5.26</v>
      </c>
      <c r="BW193" s="20" t="s">
        <v>135</v>
      </c>
      <c r="BX193" s="20">
        <v>2008</v>
      </c>
      <c r="BY193" s="52">
        <v>418.26099999999997</v>
      </c>
      <c r="BZ193" s="52">
        <v>516.50369999999998</v>
      </c>
      <c r="CA193" s="52">
        <v>589.45619999999997</v>
      </c>
      <c r="CB193" s="52">
        <v>613.77369999999996</v>
      </c>
      <c r="CC193" s="375">
        <f t="shared" si="197"/>
        <v>432.34083249999992</v>
      </c>
      <c r="CD193" s="375">
        <v>19.600000000000001</v>
      </c>
      <c r="CE193" s="375">
        <v>20.440000000000001</v>
      </c>
      <c r="CF193" s="375">
        <v>26.43</v>
      </c>
      <c r="CG193" s="375">
        <f t="shared" si="196"/>
        <v>20.87833333333333</v>
      </c>
      <c r="CI193" s="20" t="s">
        <v>135</v>
      </c>
      <c r="CJ193" s="20">
        <v>2015</v>
      </c>
      <c r="CK193" s="59">
        <f t="shared" si="179"/>
        <v>0</v>
      </c>
      <c r="CL193" s="59">
        <f t="shared" si="180"/>
        <v>0</v>
      </c>
      <c r="CM193" s="59">
        <f t="shared" si="181"/>
        <v>0</v>
      </c>
      <c r="CN193" s="59">
        <f t="shared" si="182"/>
        <v>0</v>
      </c>
      <c r="CO193" s="59">
        <f t="shared" si="183"/>
        <v>0</v>
      </c>
      <c r="CP193" s="59">
        <f t="shared" si="184"/>
        <v>0</v>
      </c>
      <c r="CQ193" s="59">
        <f t="shared" si="185"/>
        <v>0</v>
      </c>
      <c r="CR193" s="59">
        <f t="shared" si="186"/>
        <v>0</v>
      </c>
      <c r="CS193" s="59">
        <f t="shared" si="187"/>
        <v>0</v>
      </c>
      <c r="CW193" s="20" t="s">
        <v>135</v>
      </c>
      <c r="CX193">
        <v>2014</v>
      </c>
      <c r="CY193">
        <v>26.183675999999998</v>
      </c>
      <c r="CZ193">
        <v>6.4042949676513672</v>
      </c>
      <c r="DB193">
        <v>91411.3125</v>
      </c>
      <c r="DE193">
        <f t="shared" si="188"/>
        <v>0</v>
      </c>
      <c r="DH193" t="e">
        <f t="shared" si="189"/>
        <v>#DIV/0!</v>
      </c>
      <c r="DI193" t="e">
        <f t="shared" si="162"/>
        <v>#DIV/0!</v>
      </c>
      <c r="DJ193" t="e">
        <f t="shared" si="163"/>
        <v>#DIV/0!</v>
      </c>
      <c r="DL193" s="20" t="s">
        <v>135</v>
      </c>
      <c r="DM193" s="99" t="s">
        <v>791</v>
      </c>
      <c r="DN193" s="100" t="s">
        <v>754</v>
      </c>
      <c r="DO193" s="101"/>
      <c r="DP193" s="101"/>
      <c r="DQ193" s="101"/>
      <c r="DR193" s="101">
        <v>42</v>
      </c>
      <c r="DS193" s="101"/>
      <c r="DT193" s="101"/>
      <c r="DU193" s="101"/>
      <c r="DV193" s="101"/>
      <c r="DW193" s="101"/>
      <c r="DX193">
        <f t="shared" ca="1" si="190"/>
        <v>42</v>
      </c>
      <c r="DY193">
        <f t="shared" ca="1" si="191"/>
        <v>8.4</v>
      </c>
      <c r="DZ193" t="e">
        <f t="shared" ca="1" si="192"/>
        <v>#DIV/0!</v>
      </c>
      <c r="EB193" s="20" t="s">
        <v>135</v>
      </c>
      <c r="EC193" s="99" t="s">
        <v>844</v>
      </c>
      <c r="ED193" s="100" t="s">
        <v>754</v>
      </c>
      <c r="EE193" s="101"/>
      <c r="EF193" s="101"/>
      <c r="EG193" s="101"/>
      <c r="EH193" s="101">
        <v>36.1</v>
      </c>
      <c r="EI193" s="101"/>
      <c r="EJ193" s="101"/>
      <c r="EK193" s="101"/>
      <c r="EL193" s="101"/>
      <c r="EM193" s="101"/>
      <c r="EN193" s="101"/>
      <c r="EO193">
        <f t="shared" ca="1" si="198"/>
        <v>36.1</v>
      </c>
      <c r="EQ193" s="20" t="s">
        <v>135</v>
      </c>
      <c r="ER193" s="20" t="e">
        <f t="shared" ca="1" si="193"/>
        <v>#DIV/0!</v>
      </c>
      <c r="ES193" t="e">
        <f t="shared" ca="1" si="194"/>
        <v>#DIV/0!</v>
      </c>
      <c r="EU193" s="20" t="s">
        <v>135</v>
      </c>
      <c r="EV193" s="109">
        <v>2820.8018702004147</v>
      </c>
    </row>
    <row r="194" spans="1:152" x14ac:dyDescent="0.3">
      <c r="A194" s="20" t="s">
        <v>50</v>
      </c>
      <c r="B194" s="20" t="s">
        <v>632</v>
      </c>
      <c r="C194" s="81">
        <v>2015</v>
      </c>
      <c r="D194" s="82">
        <v>2850.8040000000001</v>
      </c>
      <c r="E194" s="82">
        <v>2487.5529999999999</v>
      </c>
      <c r="F194" s="82">
        <v>2105.2600000000002</v>
      </c>
      <c r="G194" s="82">
        <v>1757.7550000000001</v>
      </c>
      <c r="H194" s="82">
        <v>1492.326</v>
      </c>
      <c r="I194" s="82">
        <v>1280.3030000000001</v>
      </c>
      <c r="J194" s="82">
        <v>1045.9690000000001</v>
      </c>
      <c r="K194" s="82">
        <v>853.55399999999997</v>
      </c>
      <c r="L194" s="82">
        <v>628.86800000000005</v>
      </c>
      <c r="M194" s="82">
        <v>444.52300000000002</v>
      </c>
      <c r="N194" s="82">
        <v>320.15899999999999</v>
      </c>
      <c r="O194" s="82">
        <v>254.97</v>
      </c>
      <c r="P194" s="82">
        <v>218.18199999999999</v>
      </c>
      <c r="Q194" s="82">
        <v>184.49600000000001</v>
      </c>
      <c r="R194" s="82">
        <v>135.929</v>
      </c>
      <c r="S194" s="82">
        <v>86.347999999999999</v>
      </c>
      <c r="T194" s="82">
        <v>43.965000000000003</v>
      </c>
      <c r="U194" s="82">
        <v>16.300999999999998</v>
      </c>
      <c r="V194" s="82">
        <v>3.9279999999999999</v>
      </c>
      <c r="W194" s="82">
        <v>0.53400000000000003</v>
      </c>
      <c r="X194" s="82">
        <v>0.04</v>
      </c>
      <c r="Y194" s="82">
        <f t="shared" si="167"/>
        <v>16211.767</v>
      </c>
      <c r="Z194" s="52">
        <f t="shared" si="168"/>
        <v>285.08</v>
      </c>
      <c r="AA194" s="52">
        <f t="shared" si="169"/>
        <v>285.08</v>
      </c>
      <c r="AB194" s="52">
        <f t="shared" si="170"/>
        <v>570.16099999999994</v>
      </c>
      <c r="AC194" s="52">
        <f t="shared" si="171"/>
        <v>1710.482</v>
      </c>
      <c r="AD194" s="52">
        <f t="shared" si="172"/>
        <v>4592.8130000000001</v>
      </c>
      <c r="AE194" s="52">
        <f t="shared" si="173"/>
        <v>7503.2979999999998</v>
      </c>
      <c r="AF194" s="52">
        <f t="shared" si="174"/>
        <v>793.31100000000004</v>
      </c>
      <c r="AG194" s="52">
        <f t="shared" si="175"/>
        <v>471.541</v>
      </c>
      <c r="AH194" s="52">
        <f t="shared" si="176"/>
        <v>16211.766</v>
      </c>
      <c r="AI194">
        <v>40.052</v>
      </c>
      <c r="AJ194" s="30">
        <f t="shared" si="177"/>
        <v>649313.651832</v>
      </c>
      <c r="AK194">
        <f t="shared" si="178"/>
        <v>570.16079999999999</v>
      </c>
      <c r="AM194" s="20" t="s">
        <v>50</v>
      </c>
      <c r="AN194" t="s">
        <v>645</v>
      </c>
      <c r="AO194" t="s">
        <v>646</v>
      </c>
      <c r="AP194" t="s">
        <v>688</v>
      </c>
      <c r="AQ194" s="55">
        <v>11311.604712799044</v>
      </c>
      <c r="AR194" s="55">
        <v>8.6323559623419595</v>
      </c>
      <c r="AS194" t="s">
        <v>50</v>
      </c>
      <c r="AT194" t="s">
        <v>1338</v>
      </c>
      <c r="AU194" t="s">
        <v>1153</v>
      </c>
      <c r="AV194">
        <v>42.924308684879897</v>
      </c>
      <c r="AW194">
        <v>50.636857945758798</v>
      </c>
      <c r="AX194">
        <v>59.915778446598502</v>
      </c>
      <c r="AY194">
        <v>65.319925505911101</v>
      </c>
      <c r="AZ194">
        <v>72.281298325545606</v>
      </c>
      <c r="BA194">
        <v>81.2771246612011</v>
      </c>
      <c r="BB194">
        <v>92.164402467616199</v>
      </c>
      <c r="BC194">
        <v>100</v>
      </c>
      <c r="BD194">
        <v>106.42939681072301</v>
      </c>
      <c r="BE194">
        <v>113.428087204375</v>
      </c>
      <c r="BF194">
        <v>121.34273168477</v>
      </c>
      <c r="BG194">
        <v>130.821970572374</v>
      </c>
      <c r="BH194">
        <v>144.03589862106099</v>
      </c>
      <c r="BJ194" s="20" t="s">
        <v>50</v>
      </c>
      <c r="BK194" t="s">
        <v>688</v>
      </c>
      <c r="BL194">
        <v>2015</v>
      </c>
      <c r="BM194">
        <f>INDEX('Costs lists'!$C$5:$C$8,MATCH(Lists!BK194,'Costs lists'!$B$5:$B$8,0))</f>
        <v>5.21</v>
      </c>
      <c r="BN194">
        <f>INDEX('Costs lists'!$D$5:$D$8,MATCH(Lists!BK194,'Costs lists'!$B$5:$B$8,0))</f>
        <v>5.16</v>
      </c>
      <c r="BO194">
        <f>INDEX('Costs lists'!$E$5:$E$8,MATCH(Lists!BK194,'Costs lists'!$B$5:$B$8,0))</f>
        <v>5.26</v>
      </c>
      <c r="BW194" s="20" t="s">
        <v>50</v>
      </c>
      <c r="BX194" s="20">
        <v>2008</v>
      </c>
      <c r="BY194" s="52">
        <v>7947.8425000000007</v>
      </c>
      <c r="BZ194" s="52">
        <v>9814.1374999999989</v>
      </c>
      <c r="CA194" s="52">
        <v>11197.77</v>
      </c>
      <c r="CB194" s="52">
        <v>11680.432499999999</v>
      </c>
      <c r="CC194" s="375">
        <f t="shared" si="197"/>
        <v>8215.720187500001</v>
      </c>
      <c r="CD194" s="375">
        <v>9.14</v>
      </c>
      <c r="CE194" s="375">
        <v>9.5299999999999994</v>
      </c>
      <c r="CF194" s="375">
        <v>12.32</v>
      </c>
      <c r="CG194" s="375">
        <f t="shared" si="196"/>
        <v>9.7349999999999994</v>
      </c>
      <c r="CI194" s="20" t="s">
        <v>50</v>
      </c>
      <c r="CJ194" s="20">
        <v>2015</v>
      </c>
      <c r="CK194" s="59">
        <f t="shared" si="179"/>
        <v>14084.831880533244</v>
      </c>
      <c r="CL194" s="59">
        <f t="shared" si="180"/>
        <v>17392.201309970198</v>
      </c>
      <c r="CM194" s="59">
        <f t="shared" si="181"/>
        <v>19844.216576621737</v>
      </c>
      <c r="CN194" s="59">
        <f t="shared" si="182"/>
        <v>20699.570739407154</v>
      </c>
      <c r="CO194" s="59">
        <f t="shared" si="183"/>
        <v>14559.553440879152</v>
      </c>
      <c r="CP194" s="59">
        <f t="shared" si="184"/>
        <v>16.197523213132854</v>
      </c>
      <c r="CQ194" s="59">
        <f t="shared" si="185"/>
        <v>16.888664794437208</v>
      </c>
      <c r="CR194" s="59">
        <f t="shared" si="186"/>
        <v>21.832985337614524</v>
      </c>
      <c r="CS194" s="59">
        <f t="shared" si="187"/>
        <v>17.251957164097188</v>
      </c>
      <c r="CW194" s="20" t="s">
        <v>50</v>
      </c>
      <c r="CX194">
        <v>2014</v>
      </c>
      <c r="CY194">
        <v>15.721342999999999</v>
      </c>
      <c r="CZ194">
        <v>4.3038811683654785</v>
      </c>
      <c r="DB194">
        <v>56223.58203125</v>
      </c>
      <c r="DE194">
        <f t="shared" si="188"/>
        <v>0</v>
      </c>
      <c r="DH194" t="e">
        <f t="shared" si="189"/>
        <v>#DIV/0!</v>
      </c>
      <c r="DI194" t="e">
        <f t="shared" si="162"/>
        <v>#DIV/0!</v>
      </c>
      <c r="DJ194" t="e">
        <f t="shared" si="163"/>
        <v>#DIV/0!</v>
      </c>
      <c r="DL194" s="20" t="s">
        <v>50</v>
      </c>
      <c r="DX194" t="e">
        <f t="shared" ca="1" si="190"/>
        <v>#N/A</v>
      </c>
      <c r="DY194" t="e">
        <f t="shared" ca="1" si="191"/>
        <v>#N/A</v>
      </c>
      <c r="DZ194" t="e">
        <f t="shared" ca="1" si="192"/>
        <v>#N/A</v>
      </c>
      <c r="EB194" s="20" t="s">
        <v>50</v>
      </c>
      <c r="EC194" s="99" t="s">
        <v>760</v>
      </c>
      <c r="ED194" s="100" t="s">
        <v>754</v>
      </c>
      <c r="EE194" s="101"/>
      <c r="EF194" s="101"/>
      <c r="EG194" s="101">
        <v>68.599999999999994</v>
      </c>
      <c r="EH194" s="101"/>
      <c r="EI194" s="101"/>
      <c r="EJ194" s="101"/>
      <c r="EK194" s="101">
        <v>68.7</v>
      </c>
      <c r="EL194" s="101"/>
      <c r="EM194" s="101"/>
      <c r="EN194" s="101"/>
      <c r="EO194">
        <f t="shared" ca="1" si="198"/>
        <v>68.7</v>
      </c>
      <c r="EQ194" s="20" t="s">
        <v>50</v>
      </c>
      <c r="ER194" s="20" t="e">
        <f t="shared" ca="1" si="193"/>
        <v>#N/A</v>
      </c>
      <c r="ES194" t="e">
        <f t="shared" ca="1" si="194"/>
        <v>#N/A</v>
      </c>
      <c r="EU194" s="20" t="s">
        <v>50</v>
      </c>
      <c r="EV194" s="109">
        <v>3835.5037777028365</v>
      </c>
    </row>
    <row r="195" spans="1:152" x14ac:dyDescent="0.3">
      <c r="A195" s="20" t="s">
        <v>51</v>
      </c>
      <c r="B195" s="20" t="s">
        <v>632</v>
      </c>
      <c r="C195" s="81">
        <v>2015</v>
      </c>
      <c r="D195" s="82">
        <v>2504.6819999999998</v>
      </c>
      <c r="E195" s="82">
        <v>2151.1419999999998</v>
      </c>
      <c r="F195" s="82">
        <v>1834.9739999999999</v>
      </c>
      <c r="G195" s="82">
        <v>1668.5409999999999</v>
      </c>
      <c r="H195" s="82">
        <v>1592.7560000000001</v>
      </c>
      <c r="I195" s="82">
        <v>1477.377</v>
      </c>
      <c r="J195" s="82">
        <v>1256.2950000000001</v>
      </c>
      <c r="K195" s="82">
        <v>897.55799999999999</v>
      </c>
      <c r="L195" s="82">
        <v>573.56799999999998</v>
      </c>
      <c r="M195" s="82">
        <v>389.70499999999998</v>
      </c>
      <c r="N195" s="82">
        <v>309.15199999999999</v>
      </c>
      <c r="O195" s="82">
        <v>261.28399999999999</v>
      </c>
      <c r="P195" s="82">
        <v>223.16900000000001</v>
      </c>
      <c r="Q195" s="82">
        <v>153.79900000000001</v>
      </c>
      <c r="R195" s="82">
        <v>135.053</v>
      </c>
      <c r="S195" s="82">
        <v>91.492999999999995</v>
      </c>
      <c r="T195" s="82">
        <v>52.279000000000003</v>
      </c>
      <c r="U195" s="82">
        <v>22.65</v>
      </c>
      <c r="V195" s="82">
        <v>6.0679999999999996</v>
      </c>
      <c r="W195" s="82">
        <v>1.113</v>
      </c>
      <c r="X195" s="82">
        <v>9.2999999999999999E-2</v>
      </c>
      <c r="Y195" s="82">
        <f t="shared" si="167"/>
        <v>15602.751</v>
      </c>
      <c r="Z195" s="52">
        <f t="shared" si="168"/>
        <v>250.46799999999999</v>
      </c>
      <c r="AA195" s="52">
        <f t="shared" si="169"/>
        <v>250.46799999999999</v>
      </c>
      <c r="AB195" s="52">
        <f t="shared" si="170"/>
        <v>500.93599999999998</v>
      </c>
      <c r="AC195" s="52">
        <f t="shared" si="171"/>
        <v>1502.809</v>
      </c>
      <c r="AD195" s="52">
        <f t="shared" si="172"/>
        <v>3986.116</v>
      </c>
      <c r="AE195" s="52">
        <f t="shared" si="173"/>
        <v>7855.8</v>
      </c>
      <c r="AF195" s="52">
        <f t="shared" si="174"/>
        <v>793.60500000000002</v>
      </c>
      <c r="AG195" s="52">
        <f t="shared" si="175"/>
        <v>462.548</v>
      </c>
      <c r="AH195" s="52">
        <f t="shared" si="176"/>
        <v>15602.750000000002</v>
      </c>
      <c r="AI195">
        <v>35.189</v>
      </c>
      <c r="AJ195" s="30">
        <f t="shared" si="177"/>
        <v>549045.16975000012</v>
      </c>
      <c r="AK195">
        <f t="shared" si="178"/>
        <v>500.93639999999994</v>
      </c>
      <c r="AM195" s="20" t="s">
        <v>51</v>
      </c>
      <c r="AN195" t="s">
        <v>262</v>
      </c>
      <c r="AO195" t="s">
        <v>263</v>
      </c>
      <c r="AP195" t="s">
        <v>691</v>
      </c>
      <c r="AQ195" s="55">
        <v>924.1438192534124</v>
      </c>
      <c r="AR195" s="55"/>
      <c r="AS195" t="s">
        <v>51</v>
      </c>
      <c r="AT195" t="s">
        <v>1339</v>
      </c>
      <c r="AU195" t="s">
        <v>1153</v>
      </c>
      <c r="BB195">
        <v>97.054889861326203</v>
      </c>
      <c r="BC195">
        <v>100</v>
      </c>
      <c r="BD195">
        <v>103.277509411997</v>
      </c>
      <c r="BE195">
        <v>107.328296382994</v>
      </c>
      <c r="BF195">
        <v>109.079488499292</v>
      </c>
      <c r="BG195">
        <v>108.8424738554</v>
      </c>
      <c r="BH195">
        <v>106.23165859567</v>
      </c>
      <c r="BJ195" s="20" t="s">
        <v>51</v>
      </c>
      <c r="BK195" t="s">
        <v>691</v>
      </c>
      <c r="BL195">
        <v>2015</v>
      </c>
      <c r="BM195">
        <f>INDEX('Costs lists'!$C$5:$C$8,MATCH(Lists!BK195,'Costs lists'!$B$5:$B$8,0))</f>
        <v>4.2</v>
      </c>
      <c r="BN195">
        <f>INDEX('Costs lists'!$D$5:$D$8,MATCH(Lists!BK195,'Costs lists'!$B$5:$B$8,0))</f>
        <v>4.2</v>
      </c>
      <c r="BO195">
        <f>INDEX('Costs lists'!$E$5:$E$8,MATCH(Lists!BK195,'Costs lists'!$B$5:$B$8,0))</f>
        <v>4.2</v>
      </c>
      <c r="BW195" s="20" t="s">
        <v>51</v>
      </c>
      <c r="BX195" s="20">
        <v>2008</v>
      </c>
      <c r="BY195" s="20"/>
      <c r="BZ195" s="20"/>
      <c r="CA195" s="20"/>
      <c r="CB195" s="20"/>
      <c r="CC195" s="20"/>
      <c r="CG195" s="376">
        <f t="shared" si="196"/>
        <v>0</v>
      </c>
      <c r="CI195" s="20" t="s">
        <v>51</v>
      </c>
      <c r="CJ195" s="20">
        <v>2015</v>
      </c>
      <c r="CK195" s="59" t="e">
        <f t="shared" si="179"/>
        <v>#DIV/0!</v>
      </c>
      <c r="CL195" s="59" t="e">
        <f t="shared" si="180"/>
        <v>#DIV/0!</v>
      </c>
      <c r="CM195" s="59" t="e">
        <f t="shared" si="181"/>
        <v>#DIV/0!</v>
      </c>
      <c r="CN195" s="59" t="e">
        <f t="shared" si="182"/>
        <v>#DIV/0!</v>
      </c>
      <c r="CO195" s="59" t="e">
        <f t="shared" si="183"/>
        <v>#DIV/0!</v>
      </c>
      <c r="CP195" s="59" t="e">
        <f t="shared" si="184"/>
        <v>#DIV/0!</v>
      </c>
      <c r="CQ195" s="59" t="e">
        <f t="shared" si="185"/>
        <v>#DIV/0!</v>
      </c>
      <c r="CR195" s="59" t="e">
        <f t="shared" si="186"/>
        <v>#DIV/0!</v>
      </c>
      <c r="CS195" s="59" t="e">
        <f t="shared" si="187"/>
        <v>#DIV/0!</v>
      </c>
      <c r="CU195" s="376"/>
      <c r="CW195" s="20" t="s">
        <v>51</v>
      </c>
      <c r="CX195">
        <v>2014</v>
      </c>
      <c r="CY195">
        <v>15.245854999999999</v>
      </c>
      <c r="CZ195">
        <v>6.4999737739562988</v>
      </c>
      <c r="DB195">
        <v>29001.224609375</v>
      </c>
      <c r="DC195">
        <v>0.55579602718353271</v>
      </c>
      <c r="DE195">
        <f t="shared" si="188"/>
        <v>2479.820070341148</v>
      </c>
      <c r="DH195" t="e">
        <f t="shared" si="189"/>
        <v>#DIV/0!</v>
      </c>
      <c r="DI195" t="e">
        <f t="shared" si="162"/>
        <v>#DIV/0!</v>
      </c>
      <c r="DJ195" t="e">
        <f t="shared" si="163"/>
        <v>#DIV/0!</v>
      </c>
      <c r="DL195" s="20" t="s">
        <v>51</v>
      </c>
      <c r="DX195" t="e">
        <f t="shared" ca="1" si="190"/>
        <v>#N/A</v>
      </c>
      <c r="DY195" t="e">
        <f t="shared" ca="1" si="191"/>
        <v>#N/A</v>
      </c>
      <c r="DZ195" t="e">
        <f t="shared" ca="1" si="192"/>
        <v>#N/A</v>
      </c>
      <c r="EB195" s="20" t="s">
        <v>51</v>
      </c>
      <c r="EC195" s="99" t="s">
        <v>760</v>
      </c>
      <c r="ED195" s="100" t="s">
        <v>754</v>
      </c>
      <c r="EE195" s="101"/>
      <c r="EF195" s="101"/>
      <c r="EG195" s="101"/>
      <c r="EH195" s="101"/>
      <c r="EI195" s="101"/>
      <c r="EJ195" s="101">
        <v>78</v>
      </c>
      <c r="EK195" s="101"/>
      <c r="EL195" s="101"/>
      <c r="EM195" s="101">
        <v>80.5</v>
      </c>
      <c r="EN195" s="101"/>
      <c r="EO195">
        <f t="shared" ca="1" si="198"/>
        <v>80.5</v>
      </c>
      <c r="EQ195" s="20" t="s">
        <v>51</v>
      </c>
      <c r="ER195" s="20" t="e">
        <f t="shared" ca="1" si="193"/>
        <v>#N/A</v>
      </c>
      <c r="ES195" t="e">
        <f t="shared" ca="1" si="194"/>
        <v>#N/A</v>
      </c>
      <c r="EU195" s="20" t="s">
        <v>51</v>
      </c>
      <c r="EV195" s="109">
        <v>1786.583861827856</v>
      </c>
    </row>
    <row r="196" spans="1:152" x14ac:dyDescent="0.3">
      <c r="AG196" s="52"/>
      <c r="AH196" s="52"/>
    </row>
    <row r="197" spans="1:152" x14ac:dyDescent="0.3">
      <c r="Q197" s="377"/>
      <c r="R197" s="377"/>
      <c r="AG197" s="52"/>
      <c r="AH197" s="52"/>
      <c r="EB197" s="378"/>
    </row>
    <row r="198" spans="1:152" x14ac:dyDescent="0.3">
      <c r="EB198" s="102"/>
    </row>
  </sheetData>
  <hyperlinks>
    <hyperlink ref="C5" r:id="rId1" xr:uid="{00000000-0004-0000-1200-000000000000}"/>
  </hyperlinks>
  <pageMargins left="0.7" right="0.7" top="0.75" bottom="0.75" header="0.3" footer="0.3"/>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dimension ref="B2:BC54"/>
  <sheetViews>
    <sheetView workbookViewId="0">
      <selection activeCell="J21" sqref="J21"/>
    </sheetView>
  </sheetViews>
  <sheetFormatPr defaultRowHeight="14.4" x14ac:dyDescent="0.3"/>
  <cols>
    <col min="2" max="2" width="10.33203125" bestFit="1" customWidth="1"/>
    <col min="3" max="3" width="11.6640625" bestFit="1" customWidth="1"/>
  </cols>
  <sheetData>
    <row r="2" spans="2:55" x14ac:dyDescent="0.3">
      <c r="B2" s="173" t="s">
        <v>586</v>
      </c>
      <c r="C2" s="173" t="str">
        <f>'General input'!$C$4</f>
        <v>South Africa</v>
      </c>
    </row>
    <row r="3" spans="2:55" x14ac:dyDescent="0.3">
      <c r="B3" s="173" t="s">
        <v>636</v>
      </c>
      <c r="C3" s="173" t="str">
        <f>'General input'!$C$7</f>
        <v>AFR</v>
      </c>
    </row>
    <row r="4" spans="2:55" x14ac:dyDescent="0.3">
      <c r="AX4" s="159" t="s">
        <v>951</v>
      </c>
      <c r="AY4" s="73"/>
      <c r="AZ4" s="73"/>
      <c r="BA4" s="73"/>
      <c r="BB4" s="73"/>
      <c r="BC4" s="73"/>
    </row>
    <row r="5" spans="2:55" x14ac:dyDescent="0.3">
      <c r="AX5" s="159" t="s">
        <v>1</v>
      </c>
      <c r="AY5" s="159" t="s">
        <v>619</v>
      </c>
      <c r="AZ5" s="73" t="s">
        <v>683</v>
      </c>
      <c r="BA5" s="73" t="s">
        <v>684</v>
      </c>
      <c r="BB5" s="73" t="s">
        <v>592</v>
      </c>
      <c r="BC5" s="73" t="s">
        <v>591</v>
      </c>
    </row>
    <row r="6" spans="2:55" x14ac:dyDescent="0.3">
      <c r="AX6" s="31" t="s">
        <v>3</v>
      </c>
      <c r="AY6" s="136">
        <v>0.9</v>
      </c>
      <c r="AZ6" s="137">
        <v>0.8</v>
      </c>
      <c r="BA6" s="137">
        <v>0.9</v>
      </c>
      <c r="BB6" s="11" t="s">
        <v>952</v>
      </c>
    </row>
    <row r="7" spans="2:55" x14ac:dyDescent="0.3">
      <c r="L7" s="22" t="s">
        <v>629</v>
      </c>
      <c r="M7" s="23"/>
      <c r="N7" s="23"/>
      <c r="O7" s="23"/>
      <c r="P7" s="23"/>
      <c r="R7" s="23"/>
      <c r="S7" s="23"/>
      <c r="W7" s="23"/>
      <c r="X7" s="23"/>
      <c r="Y7" s="23"/>
      <c r="AC7" s="23"/>
      <c r="AD7" s="23"/>
      <c r="AE7" s="23"/>
      <c r="AF7" s="23"/>
      <c r="AG7" s="23"/>
      <c r="AH7" s="23"/>
      <c r="AI7" s="23"/>
      <c r="AK7" s="23"/>
      <c r="AL7" s="23"/>
      <c r="AM7" s="23"/>
      <c r="AN7" s="23"/>
      <c r="AO7" s="23"/>
      <c r="AX7" s="31" t="s">
        <v>4</v>
      </c>
      <c r="AY7" s="136">
        <v>0.9</v>
      </c>
      <c r="AZ7" s="137">
        <v>0.8</v>
      </c>
      <c r="BA7" s="137">
        <v>0.9</v>
      </c>
      <c r="BB7" s="11" t="s">
        <v>952</v>
      </c>
    </row>
    <row r="8" spans="2:55" x14ac:dyDescent="0.3">
      <c r="L8" s="24" t="s">
        <v>623</v>
      </c>
      <c r="M8" s="73"/>
      <c r="N8" s="73"/>
      <c r="O8" s="73"/>
      <c r="P8" s="73"/>
      <c r="R8" s="24" t="s">
        <v>627</v>
      </c>
      <c r="S8" s="73"/>
      <c r="T8" s="73"/>
      <c r="U8" s="73"/>
      <c r="V8" s="73"/>
      <c r="X8" s="24" t="s">
        <v>626</v>
      </c>
      <c r="Y8" s="73"/>
      <c r="Z8" s="73"/>
      <c r="AA8" s="73"/>
      <c r="AB8" s="73"/>
      <c r="AD8" s="24" t="s">
        <v>628</v>
      </c>
      <c r="AE8" s="73"/>
      <c r="AF8" s="73"/>
      <c r="AG8" s="73"/>
      <c r="AH8" s="73"/>
      <c r="AJ8" s="24" t="s">
        <v>625</v>
      </c>
      <c r="AK8" s="73"/>
      <c r="AL8" s="73"/>
      <c r="AM8" s="73"/>
      <c r="AN8" s="73"/>
      <c r="AP8" s="24" t="s">
        <v>624</v>
      </c>
      <c r="AQ8" s="73"/>
      <c r="AR8" s="73"/>
      <c r="AS8" s="73"/>
      <c r="AT8" s="73"/>
      <c r="AX8" s="31" t="s">
        <v>5</v>
      </c>
      <c r="AY8" s="136">
        <v>5.7</v>
      </c>
      <c r="AZ8" s="137">
        <v>5.2</v>
      </c>
      <c r="BA8" s="137">
        <v>6.3</v>
      </c>
      <c r="BB8" s="11" t="s">
        <v>952</v>
      </c>
    </row>
    <row r="9" spans="2:55" x14ac:dyDescent="0.3">
      <c r="L9" s="73" t="s">
        <v>620</v>
      </c>
      <c r="M9" s="73" t="s">
        <v>621</v>
      </c>
      <c r="N9" s="73" t="s">
        <v>622</v>
      </c>
      <c r="O9" s="73" t="s">
        <v>592</v>
      </c>
      <c r="P9" s="73" t="s">
        <v>591</v>
      </c>
      <c r="R9" s="73" t="s">
        <v>620</v>
      </c>
      <c r="S9" s="73" t="s">
        <v>621</v>
      </c>
      <c r="T9" s="73" t="s">
        <v>622</v>
      </c>
      <c r="U9" s="73" t="s">
        <v>592</v>
      </c>
      <c r="V9" s="73" t="s">
        <v>591</v>
      </c>
      <c r="X9" s="73" t="s">
        <v>620</v>
      </c>
      <c r="Y9" s="73" t="s">
        <v>621</v>
      </c>
      <c r="Z9" s="73" t="s">
        <v>622</v>
      </c>
      <c r="AA9" s="73" t="s">
        <v>592</v>
      </c>
      <c r="AB9" s="73" t="s">
        <v>591</v>
      </c>
      <c r="AD9" s="73" t="s">
        <v>620</v>
      </c>
      <c r="AE9" s="73" t="s">
        <v>621</v>
      </c>
      <c r="AF9" s="73" t="s">
        <v>622</v>
      </c>
      <c r="AG9" s="73" t="s">
        <v>592</v>
      </c>
      <c r="AH9" s="73" t="s">
        <v>591</v>
      </c>
      <c r="AJ9" s="73" t="s">
        <v>620</v>
      </c>
      <c r="AK9" s="73" t="s">
        <v>621</v>
      </c>
      <c r="AL9" s="73" t="s">
        <v>622</v>
      </c>
      <c r="AM9" s="73" t="s">
        <v>592</v>
      </c>
      <c r="AN9" s="73" t="s">
        <v>591</v>
      </c>
      <c r="AP9" s="73" t="s">
        <v>620</v>
      </c>
      <c r="AQ9" s="73" t="s">
        <v>621</v>
      </c>
      <c r="AR9" s="73" t="s">
        <v>622</v>
      </c>
      <c r="AS9" s="73" t="s">
        <v>592</v>
      </c>
      <c r="AT9" s="73" t="s">
        <v>591</v>
      </c>
      <c r="AX9" s="31" t="s">
        <v>6</v>
      </c>
      <c r="AY9" s="136">
        <v>4.9000000000000004</v>
      </c>
      <c r="AZ9" s="137">
        <v>4.7</v>
      </c>
      <c r="BA9" s="137">
        <v>5.0999999999999996</v>
      </c>
      <c r="BB9" s="11" t="s">
        <v>952</v>
      </c>
    </row>
    <row r="10" spans="2:55" x14ac:dyDescent="0.3">
      <c r="L10" s="94">
        <v>890</v>
      </c>
      <c r="M10" s="94">
        <v>680</v>
      </c>
      <c r="N10" s="94">
        <v>1110</v>
      </c>
      <c r="O10" s="94" t="s">
        <v>870</v>
      </c>
      <c r="P10" s="94" t="s">
        <v>959</v>
      </c>
      <c r="R10">
        <v>7361</v>
      </c>
      <c r="S10">
        <v>7057</v>
      </c>
      <c r="T10">
        <v>7665</v>
      </c>
      <c r="U10" t="s">
        <v>871</v>
      </c>
      <c r="V10" t="s">
        <v>964</v>
      </c>
      <c r="X10" s="52">
        <v>1620</v>
      </c>
      <c r="Y10" s="52">
        <v>350</v>
      </c>
      <c r="Z10" s="52">
        <v>7380</v>
      </c>
      <c r="AA10" s="52" t="s">
        <v>957</v>
      </c>
      <c r="AB10" s="52" t="s">
        <v>958</v>
      </c>
      <c r="AD10">
        <f t="shared" ref="AD10:AH17" si="0">R10</f>
        <v>7361</v>
      </c>
      <c r="AE10">
        <f t="shared" si="0"/>
        <v>7057</v>
      </c>
      <c r="AF10">
        <f t="shared" si="0"/>
        <v>7665</v>
      </c>
      <c r="AG10" t="str">
        <f t="shared" si="0"/>
        <v xml:space="preserve"> Cromer, J. Infect. 2014</v>
      </c>
      <c r="AH10" t="str">
        <f t="shared" si="0"/>
        <v>UK data</v>
      </c>
      <c r="AJ10">
        <f t="shared" ref="AJ10:AN17" si="1">AP10</f>
        <v>6480</v>
      </c>
      <c r="AK10">
        <f t="shared" si="1"/>
        <v>0</v>
      </c>
      <c r="AL10">
        <f t="shared" si="1"/>
        <v>0</v>
      </c>
      <c r="AM10" t="str">
        <f t="shared" si="1"/>
        <v xml:space="preserve"> Guo, PlosOne 2012</v>
      </c>
      <c r="AN10" t="str">
        <f t="shared" si="1"/>
        <v>Based on China data</v>
      </c>
      <c r="AP10">
        <v>6480</v>
      </c>
      <c r="AS10" t="s">
        <v>872</v>
      </c>
      <c r="AT10" t="s">
        <v>960</v>
      </c>
      <c r="AX10" s="31" t="s">
        <v>7</v>
      </c>
      <c r="AY10" s="136">
        <v>4.5</v>
      </c>
      <c r="AZ10" s="137">
        <v>4.3</v>
      </c>
      <c r="BA10" s="137">
        <v>4.7</v>
      </c>
      <c r="BB10" s="11" t="s">
        <v>952</v>
      </c>
    </row>
    <row r="11" spans="2:55" x14ac:dyDescent="0.3">
      <c r="L11" s="94">
        <v>890</v>
      </c>
      <c r="M11" s="94">
        <v>680</v>
      </c>
      <c r="N11" s="94">
        <v>1110</v>
      </c>
      <c r="O11" s="94" t="s">
        <v>870</v>
      </c>
      <c r="P11" s="94" t="s">
        <v>959</v>
      </c>
      <c r="R11">
        <v>6090</v>
      </c>
      <c r="S11">
        <v>5920</v>
      </c>
      <c r="T11">
        <v>6260</v>
      </c>
      <c r="U11" t="s">
        <v>871</v>
      </c>
      <c r="V11" t="s">
        <v>964</v>
      </c>
      <c r="X11" s="52">
        <v>3770.0000000000005</v>
      </c>
      <c r="Y11" s="52">
        <v>1470</v>
      </c>
      <c r="Z11" s="52">
        <v>9670</v>
      </c>
      <c r="AA11" s="52" t="s">
        <v>957</v>
      </c>
      <c r="AB11" s="52" t="s">
        <v>958</v>
      </c>
      <c r="AD11">
        <f t="shared" si="0"/>
        <v>6090</v>
      </c>
      <c r="AE11">
        <f t="shared" si="0"/>
        <v>5920</v>
      </c>
      <c r="AF11">
        <f t="shared" si="0"/>
        <v>6260</v>
      </c>
      <c r="AG11" t="str">
        <f t="shared" si="0"/>
        <v xml:space="preserve"> Cromer, J. Infect. 2014</v>
      </c>
      <c r="AH11" t="str">
        <f t="shared" si="0"/>
        <v>UK data</v>
      </c>
      <c r="AJ11">
        <f t="shared" si="1"/>
        <v>6480</v>
      </c>
      <c r="AK11">
        <f t="shared" si="1"/>
        <v>0</v>
      </c>
      <c r="AL11">
        <f t="shared" si="1"/>
        <v>0</v>
      </c>
      <c r="AM11" t="str">
        <f t="shared" si="1"/>
        <v xml:space="preserve"> Guo, PlosOne 2012</v>
      </c>
      <c r="AN11" t="str">
        <f t="shared" si="1"/>
        <v>Based on China data</v>
      </c>
      <c r="AP11">
        <v>6480</v>
      </c>
      <c r="AS11" t="s">
        <v>872</v>
      </c>
      <c r="AT11" t="s">
        <v>960</v>
      </c>
      <c r="AX11" s="31" t="s">
        <v>11</v>
      </c>
      <c r="AY11" s="136">
        <v>1.8</v>
      </c>
      <c r="AZ11" s="137">
        <v>1.7</v>
      </c>
      <c r="BA11" s="137">
        <v>2</v>
      </c>
      <c r="BB11" s="11" t="s">
        <v>952</v>
      </c>
    </row>
    <row r="12" spans="2:55" x14ac:dyDescent="0.3">
      <c r="L12" s="94">
        <v>890</v>
      </c>
      <c r="M12" s="94">
        <v>680</v>
      </c>
      <c r="N12" s="94">
        <v>1110</v>
      </c>
      <c r="O12" s="94" t="s">
        <v>870</v>
      </c>
      <c r="P12" s="94" t="s">
        <v>959</v>
      </c>
      <c r="R12">
        <v>6090</v>
      </c>
      <c r="S12">
        <v>5920</v>
      </c>
      <c r="T12">
        <v>6260</v>
      </c>
      <c r="U12" t="s">
        <v>871</v>
      </c>
      <c r="V12" t="s">
        <v>964</v>
      </c>
      <c r="X12" s="52">
        <v>3170</v>
      </c>
      <c r="Y12" s="52">
        <v>1560</v>
      </c>
      <c r="Z12" s="52">
        <v>6440.0000000000009</v>
      </c>
      <c r="AA12" s="52" t="s">
        <v>957</v>
      </c>
      <c r="AB12" s="52" t="s">
        <v>958</v>
      </c>
      <c r="AD12">
        <f t="shared" si="0"/>
        <v>6090</v>
      </c>
      <c r="AE12">
        <f t="shared" si="0"/>
        <v>5920</v>
      </c>
      <c r="AF12">
        <f t="shared" si="0"/>
        <v>6260</v>
      </c>
      <c r="AG12" t="str">
        <f t="shared" si="0"/>
        <v xml:space="preserve"> Cromer, J. Infect. 2014</v>
      </c>
      <c r="AH12" t="str">
        <f t="shared" si="0"/>
        <v>UK data</v>
      </c>
      <c r="AJ12">
        <f t="shared" si="1"/>
        <v>6480</v>
      </c>
      <c r="AK12">
        <f t="shared" si="1"/>
        <v>0</v>
      </c>
      <c r="AL12">
        <f t="shared" si="1"/>
        <v>0</v>
      </c>
      <c r="AM12" t="str">
        <f t="shared" si="1"/>
        <v xml:space="preserve"> Guo, PlosOne 2012</v>
      </c>
      <c r="AN12" t="str">
        <f t="shared" si="1"/>
        <v>Based on China data</v>
      </c>
      <c r="AP12">
        <v>6480</v>
      </c>
      <c r="AS12" t="s">
        <v>872</v>
      </c>
      <c r="AT12" t="s">
        <v>960</v>
      </c>
      <c r="AX12" s="31"/>
      <c r="AY12" s="136"/>
      <c r="AZ12" s="137"/>
      <c r="BA12" s="137"/>
      <c r="BB12" s="11"/>
    </row>
    <row r="13" spans="2:55" x14ac:dyDescent="0.3">
      <c r="L13" s="94">
        <v>1720</v>
      </c>
      <c r="M13" s="94">
        <v>1470</v>
      </c>
      <c r="N13" s="94">
        <v>1970</v>
      </c>
      <c r="O13" s="94" t="s">
        <v>870</v>
      </c>
      <c r="P13" s="94" t="s">
        <v>959</v>
      </c>
      <c r="R13">
        <v>6090</v>
      </c>
      <c r="S13">
        <v>5920</v>
      </c>
      <c r="T13">
        <v>6260</v>
      </c>
      <c r="U13" t="s">
        <v>871</v>
      </c>
      <c r="V13" t="s">
        <v>964</v>
      </c>
      <c r="X13" s="52">
        <v>1730</v>
      </c>
      <c r="Y13" s="52">
        <v>1030</v>
      </c>
      <c r="Z13" s="52">
        <v>2900</v>
      </c>
      <c r="AA13" s="52" t="s">
        <v>957</v>
      </c>
      <c r="AB13" s="52" t="s">
        <v>958</v>
      </c>
      <c r="AD13">
        <f t="shared" si="0"/>
        <v>6090</v>
      </c>
      <c r="AE13">
        <f t="shared" si="0"/>
        <v>5920</v>
      </c>
      <c r="AF13">
        <f t="shared" si="0"/>
        <v>6260</v>
      </c>
      <c r="AG13" t="str">
        <f t="shared" si="0"/>
        <v xml:space="preserve"> Cromer, J. Infect. 2014</v>
      </c>
      <c r="AH13" t="str">
        <f t="shared" si="0"/>
        <v>UK data</v>
      </c>
      <c r="AJ13">
        <f t="shared" si="1"/>
        <v>6480</v>
      </c>
      <c r="AK13">
        <f t="shared" si="1"/>
        <v>0</v>
      </c>
      <c r="AL13">
        <f t="shared" si="1"/>
        <v>0</v>
      </c>
      <c r="AM13" t="str">
        <f t="shared" si="1"/>
        <v xml:space="preserve"> Guo, PlosOne 2012</v>
      </c>
      <c r="AN13" t="str">
        <f t="shared" si="1"/>
        <v>Based on China data</v>
      </c>
      <c r="AP13">
        <v>6480</v>
      </c>
      <c r="AS13" t="s">
        <v>872</v>
      </c>
      <c r="AT13" t="s">
        <v>960</v>
      </c>
      <c r="AX13" s="31" t="s">
        <v>227</v>
      </c>
      <c r="AY13" s="136">
        <v>1</v>
      </c>
      <c r="AZ13" s="137"/>
      <c r="BA13" s="137"/>
      <c r="BB13" s="11" t="s">
        <v>869</v>
      </c>
    </row>
    <row r="14" spans="2:55" x14ac:dyDescent="0.3">
      <c r="L14" s="94">
        <v>1890</v>
      </c>
      <c r="M14" s="94">
        <v>1760</v>
      </c>
      <c r="N14" s="94">
        <v>2010</v>
      </c>
      <c r="O14" s="94" t="s">
        <v>870</v>
      </c>
      <c r="P14" s="94" t="s">
        <v>959</v>
      </c>
      <c r="R14">
        <v>3875</v>
      </c>
      <c r="S14">
        <v>3768</v>
      </c>
      <c r="T14">
        <v>3982</v>
      </c>
      <c r="U14" t="s">
        <v>871</v>
      </c>
      <c r="V14" t="s">
        <v>964</v>
      </c>
      <c r="X14" s="52">
        <v>610</v>
      </c>
      <c r="Y14" s="52">
        <v>390</v>
      </c>
      <c r="Z14" s="52">
        <v>980.00000000000011</v>
      </c>
      <c r="AA14" s="52" t="s">
        <v>957</v>
      </c>
      <c r="AB14" s="52" t="s">
        <v>958</v>
      </c>
      <c r="AD14">
        <f t="shared" si="0"/>
        <v>3875</v>
      </c>
      <c r="AE14">
        <f t="shared" si="0"/>
        <v>3768</v>
      </c>
      <c r="AF14">
        <f t="shared" si="0"/>
        <v>3982</v>
      </c>
      <c r="AG14" t="str">
        <f t="shared" si="0"/>
        <v xml:space="preserve"> Cromer, J. Infect. 2014</v>
      </c>
      <c r="AH14" t="str">
        <f t="shared" si="0"/>
        <v>UK data</v>
      </c>
      <c r="AJ14">
        <f t="shared" si="1"/>
        <v>2210</v>
      </c>
      <c r="AK14">
        <f t="shared" si="1"/>
        <v>0</v>
      </c>
      <c r="AL14">
        <f t="shared" si="1"/>
        <v>0</v>
      </c>
      <c r="AM14" t="str">
        <f t="shared" si="1"/>
        <v xml:space="preserve"> Guo, PlosOne 2012</v>
      </c>
      <c r="AN14" t="str">
        <f t="shared" si="1"/>
        <v>Based on China data</v>
      </c>
      <c r="AP14">
        <v>2210</v>
      </c>
      <c r="AS14" t="s">
        <v>872</v>
      </c>
      <c r="AT14" t="s">
        <v>960</v>
      </c>
      <c r="AX14" s="31" t="s">
        <v>8</v>
      </c>
      <c r="AY14" s="136">
        <v>0.7</v>
      </c>
      <c r="AZ14" s="137">
        <v>0.6</v>
      </c>
      <c r="BA14" s="137">
        <v>0.8</v>
      </c>
      <c r="BB14" s="11" t="s">
        <v>952</v>
      </c>
    </row>
    <row r="15" spans="2:55" x14ac:dyDescent="0.3">
      <c r="L15" s="94">
        <v>564.66666666666674</v>
      </c>
      <c r="M15" s="94">
        <v>512.44444444444446</v>
      </c>
      <c r="N15" s="94">
        <v>622.44444444444446</v>
      </c>
      <c r="O15" s="94" t="s">
        <v>870</v>
      </c>
      <c r="P15" s="94" t="s">
        <v>959</v>
      </c>
      <c r="R15">
        <v>1878</v>
      </c>
      <c r="S15">
        <v>1843</v>
      </c>
      <c r="T15">
        <v>1913</v>
      </c>
      <c r="U15" t="s">
        <v>871</v>
      </c>
      <c r="V15" t="s">
        <v>964</v>
      </c>
      <c r="X15" s="52">
        <v>227.33333333333334</v>
      </c>
      <c r="Y15" s="52">
        <v>91.333333333333329</v>
      </c>
      <c r="Z15" s="52">
        <v>560</v>
      </c>
      <c r="AA15" s="52" t="s">
        <v>957</v>
      </c>
      <c r="AB15" s="52" t="s">
        <v>958</v>
      </c>
      <c r="AD15">
        <f t="shared" si="0"/>
        <v>1878</v>
      </c>
      <c r="AE15">
        <f t="shared" si="0"/>
        <v>1843</v>
      </c>
      <c r="AF15">
        <f t="shared" si="0"/>
        <v>1913</v>
      </c>
      <c r="AG15" t="str">
        <f t="shared" si="0"/>
        <v xml:space="preserve"> Cromer, J. Infect. 2014</v>
      </c>
      <c r="AH15" t="str">
        <f t="shared" si="0"/>
        <v>UK data</v>
      </c>
      <c r="AJ15">
        <f t="shared" si="1"/>
        <v>620</v>
      </c>
      <c r="AK15">
        <f t="shared" si="1"/>
        <v>0</v>
      </c>
      <c r="AL15">
        <f t="shared" si="1"/>
        <v>0</v>
      </c>
      <c r="AM15" t="str">
        <f t="shared" si="1"/>
        <v xml:space="preserve"> Guo, PlosOne 2012</v>
      </c>
      <c r="AN15" t="str">
        <f t="shared" si="1"/>
        <v>Based on China data</v>
      </c>
      <c r="AP15">
        <v>620</v>
      </c>
      <c r="AS15" t="s">
        <v>872</v>
      </c>
      <c r="AT15" t="s">
        <v>960</v>
      </c>
      <c r="AX15" s="31"/>
      <c r="AY15" s="136"/>
      <c r="AZ15" s="137"/>
      <c r="BA15" s="137"/>
      <c r="BB15" s="11"/>
    </row>
    <row r="16" spans="2:55" x14ac:dyDescent="0.3">
      <c r="L16" s="94">
        <v>260</v>
      </c>
      <c r="M16" s="94">
        <v>210</v>
      </c>
      <c r="N16" s="94">
        <v>320</v>
      </c>
      <c r="O16" s="94" t="s">
        <v>870</v>
      </c>
      <c r="P16" s="94" t="s">
        <v>959</v>
      </c>
      <c r="R16">
        <v>1829</v>
      </c>
      <c r="S16">
        <v>1795</v>
      </c>
      <c r="T16">
        <v>1863</v>
      </c>
      <c r="U16" t="s">
        <v>871</v>
      </c>
      <c r="V16" t="s">
        <v>964</v>
      </c>
      <c r="X16" s="52">
        <v>200</v>
      </c>
      <c r="Y16" s="52">
        <v>70</v>
      </c>
      <c r="Z16" s="52">
        <v>530</v>
      </c>
      <c r="AA16" s="52" t="s">
        <v>957</v>
      </c>
      <c r="AB16" s="52" t="s">
        <v>958</v>
      </c>
      <c r="AD16">
        <f t="shared" si="0"/>
        <v>1829</v>
      </c>
      <c r="AE16">
        <f t="shared" si="0"/>
        <v>1795</v>
      </c>
      <c r="AF16">
        <f t="shared" si="0"/>
        <v>1863</v>
      </c>
      <c r="AG16" t="str">
        <f t="shared" si="0"/>
        <v xml:space="preserve"> Cromer, J. Infect. 2014</v>
      </c>
      <c r="AH16" t="str">
        <f t="shared" si="0"/>
        <v>UK data</v>
      </c>
      <c r="AJ16">
        <f t="shared" si="1"/>
        <v>260</v>
      </c>
      <c r="AK16">
        <f t="shared" si="1"/>
        <v>0</v>
      </c>
      <c r="AL16">
        <f t="shared" si="1"/>
        <v>0</v>
      </c>
      <c r="AM16" t="str">
        <f t="shared" si="1"/>
        <v xml:space="preserve"> Guo, PlosOne 2012</v>
      </c>
      <c r="AN16" t="str">
        <f t="shared" si="1"/>
        <v>Based on China data</v>
      </c>
      <c r="AP16">
        <v>260</v>
      </c>
      <c r="AS16" t="s">
        <v>872</v>
      </c>
      <c r="AT16" t="s">
        <v>960</v>
      </c>
      <c r="AX16" s="31" t="s">
        <v>920</v>
      </c>
      <c r="AY16" s="136"/>
      <c r="AZ16" s="137"/>
      <c r="BA16" s="137"/>
      <c r="BB16" s="11"/>
    </row>
    <row r="17" spans="12:54" x14ac:dyDescent="0.3">
      <c r="L17" s="94">
        <v>150</v>
      </c>
      <c r="M17" s="94">
        <v>110</v>
      </c>
      <c r="N17" s="94">
        <v>190</v>
      </c>
      <c r="O17" s="94" t="s">
        <v>870</v>
      </c>
      <c r="P17" s="94" t="s">
        <v>959</v>
      </c>
      <c r="R17">
        <v>582</v>
      </c>
      <c r="S17">
        <v>556</v>
      </c>
      <c r="T17">
        <v>608</v>
      </c>
      <c r="U17" t="s">
        <v>871</v>
      </c>
      <c r="V17" t="s">
        <v>964</v>
      </c>
      <c r="X17" s="52">
        <v>200</v>
      </c>
      <c r="Y17" s="52">
        <v>70</v>
      </c>
      <c r="Z17" s="52">
        <v>530</v>
      </c>
      <c r="AA17" s="52" t="s">
        <v>957</v>
      </c>
      <c r="AB17" s="52" t="s">
        <v>958</v>
      </c>
      <c r="AD17">
        <f t="shared" si="0"/>
        <v>582</v>
      </c>
      <c r="AE17">
        <f t="shared" si="0"/>
        <v>556</v>
      </c>
      <c r="AF17">
        <f t="shared" si="0"/>
        <v>608</v>
      </c>
      <c r="AG17" t="str">
        <f t="shared" si="0"/>
        <v xml:space="preserve"> Cromer, J. Infect. 2014</v>
      </c>
      <c r="AH17" t="str">
        <f t="shared" si="0"/>
        <v>UK data</v>
      </c>
      <c r="AJ17">
        <f t="shared" si="1"/>
        <v>140</v>
      </c>
      <c r="AK17">
        <f t="shared" si="1"/>
        <v>0</v>
      </c>
      <c r="AL17">
        <f t="shared" si="1"/>
        <v>0</v>
      </c>
      <c r="AM17" t="str">
        <f t="shared" si="1"/>
        <v xml:space="preserve"> Guo, PlosOne 2012</v>
      </c>
      <c r="AN17" t="str">
        <f t="shared" si="1"/>
        <v>Based on China data</v>
      </c>
      <c r="AP17">
        <v>140</v>
      </c>
      <c r="AS17" t="s">
        <v>872</v>
      </c>
      <c r="AT17" t="s">
        <v>960</v>
      </c>
      <c r="AX17" s="31" t="s">
        <v>980</v>
      </c>
      <c r="AY17" s="136"/>
      <c r="AZ17" s="137"/>
      <c r="BA17" s="137"/>
      <c r="BB17" s="11"/>
    </row>
    <row r="18" spans="12:54" x14ac:dyDescent="0.3">
      <c r="L18" s="94"/>
      <c r="M18" s="94"/>
      <c r="N18" s="94"/>
      <c r="O18" s="94"/>
      <c r="P18" s="94"/>
      <c r="X18" s="52"/>
      <c r="Y18" s="52"/>
      <c r="Z18" s="52"/>
      <c r="AA18" s="52"/>
      <c r="AB18" s="52"/>
    </row>
    <row r="19" spans="12:54" x14ac:dyDescent="0.3">
      <c r="AX19" s="31" t="s">
        <v>3</v>
      </c>
      <c r="AY19" s="136">
        <v>0.9</v>
      </c>
      <c r="AZ19" s="137">
        <v>0.8</v>
      </c>
      <c r="BA19" s="137">
        <v>0.9</v>
      </c>
      <c r="BB19" s="11" t="s">
        <v>953</v>
      </c>
    </row>
    <row r="20" spans="12:54" x14ac:dyDescent="0.3">
      <c r="L20" s="22" t="s">
        <v>629</v>
      </c>
      <c r="M20" s="23"/>
      <c r="N20" s="23"/>
      <c r="O20" s="23"/>
      <c r="P20" s="23"/>
      <c r="R20" s="23"/>
      <c r="S20" s="23"/>
      <c r="W20" s="23"/>
      <c r="X20" s="23"/>
      <c r="Y20" s="23"/>
      <c r="AC20" s="23"/>
      <c r="AD20" s="23"/>
      <c r="AE20" s="23"/>
      <c r="AF20" s="23"/>
      <c r="AG20" s="23"/>
      <c r="AH20" s="23"/>
      <c r="AI20" s="23"/>
      <c r="AK20" s="23"/>
      <c r="AL20" s="23"/>
      <c r="AM20" s="23"/>
      <c r="AN20" s="23"/>
      <c r="AO20" s="23"/>
      <c r="AX20" s="31" t="s">
        <v>4</v>
      </c>
      <c r="AY20" s="136">
        <v>0.9</v>
      </c>
      <c r="AZ20" s="137">
        <v>0.8</v>
      </c>
      <c r="BA20" s="137">
        <v>0.9</v>
      </c>
      <c r="BB20" s="11" t="s">
        <v>953</v>
      </c>
    </row>
    <row r="21" spans="12:54" x14ac:dyDescent="0.3">
      <c r="L21" s="24" t="s">
        <v>623</v>
      </c>
      <c r="M21" s="73"/>
      <c r="N21" s="73"/>
      <c r="O21" s="73"/>
      <c r="P21" s="73"/>
      <c r="R21" s="24" t="s">
        <v>627</v>
      </c>
      <c r="S21" s="73"/>
      <c r="T21" s="73"/>
      <c r="U21" s="73"/>
      <c r="V21" s="73"/>
      <c r="X21" s="24" t="s">
        <v>626</v>
      </c>
      <c r="Y21" s="73"/>
      <c r="Z21" s="73"/>
      <c r="AA21" s="73"/>
      <c r="AB21" s="73"/>
      <c r="AD21" s="24" t="s">
        <v>628</v>
      </c>
      <c r="AE21" s="73"/>
      <c r="AF21" s="73"/>
      <c r="AG21" s="73"/>
      <c r="AH21" s="73"/>
      <c r="AJ21" s="24" t="s">
        <v>625</v>
      </c>
      <c r="AK21" s="73"/>
      <c r="AL21" s="73"/>
      <c r="AM21" s="73"/>
      <c r="AN21" s="73"/>
      <c r="AP21" s="24" t="s">
        <v>624</v>
      </c>
      <c r="AQ21" s="73"/>
      <c r="AR21" s="73"/>
      <c r="AS21" s="73"/>
      <c r="AT21" s="73"/>
      <c r="AX21" s="31" t="s">
        <v>5</v>
      </c>
      <c r="AY21" s="136">
        <v>5.7</v>
      </c>
      <c r="AZ21" s="137">
        <v>5.2</v>
      </c>
      <c r="BA21" s="137">
        <v>6.3</v>
      </c>
      <c r="BB21" s="11" t="s">
        <v>953</v>
      </c>
    </row>
    <row r="22" spans="12:54" x14ac:dyDescent="0.3">
      <c r="L22" s="73" t="s">
        <v>620</v>
      </c>
      <c r="M22" s="73" t="s">
        <v>621</v>
      </c>
      <c r="N22" s="73" t="s">
        <v>622</v>
      </c>
      <c r="O22" s="73" t="s">
        <v>592</v>
      </c>
      <c r="P22" s="73" t="s">
        <v>591</v>
      </c>
      <c r="R22" s="73" t="s">
        <v>620</v>
      </c>
      <c r="S22" s="73" t="s">
        <v>621</v>
      </c>
      <c r="T22" s="73" t="s">
        <v>622</v>
      </c>
      <c r="U22" s="73" t="s">
        <v>592</v>
      </c>
      <c r="V22" s="73" t="s">
        <v>591</v>
      </c>
      <c r="X22" s="73" t="s">
        <v>620</v>
      </c>
      <c r="Y22" s="73" t="s">
        <v>621</v>
      </c>
      <c r="Z22" s="73" t="s">
        <v>622</v>
      </c>
      <c r="AA22" s="73" t="s">
        <v>592</v>
      </c>
      <c r="AB22" s="73" t="s">
        <v>591</v>
      </c>
      <c r="AD22" s="73" t="s">
        <v>620</v>
      </c>
      <c r="AE22" s="73" t="s">
        <v>621</v>
      </c>
      <c r="AF22" s="73" t="s">
        <v>622</v>
      </c>
      <c r="AG22" s="73" t="s">
        <v>592</v>
      </c>
      <c r="AH22" s="73" t="s">
        <v>591</v>
      </c>
      <c r="AJ22" s="73" t="s">
        <v>620</v>
      </c>
      <c r="AK22" s="73" t="s">
        <v>621</v>
      </c>
      <c r="AL22" s="73" t="s">
        <v>622</v>
      </c>
      <c r="AM22" s="73" t="s">
        <v>592</v>
      </c>
      <c r="AN22" s="73" t="s">
        <v>591</v>
      </c>
      <c r="AP22" s="73" t="s">
        <v>620</v>
      </c>
      <c r="AQ22" s="73" t="s">
        <v>621</v>
      </c>
      <c r="AR22" s="73" t="s">
        <v>622</v>
      </c>
      <c r="AS22" s="73" t="s">
        <v>592</v>
      </c>
      <c r="AT22" s="73" t="s">
        <v>591</v>
      </c>
      <c r="AX22" s="31" t="s">
        <v>6</v>
      </c>
      <c r="AY22" s="136">
        <v>4.9000000000000004</v>
      </c>
      <c r="AZ22" s="137">
        <v>4.7</v>
      </c>
      <c r="BA22" s="137">
        <v>5.0999999999999996</v>
      </c>
      <c r="BB22" s="11" t="s">
        <v>953</v>
      </c>
    </row>
    <row r="23" spans="12:54" x14ac:dyDescent="0.3">
      <c r="L23" s="25">
        <v>18.5</v>
      </c>
      <c r="M23" s="26"/>
      <c r="N23" s="26"/>
      <c r="O23" s="26"/>
      <c r="P23" s="26"/>
      <c r="R23" s="59">
        <v>15.19</v>
      </c>
      <c r="S23" s="59">
        <v>14.99</v>
      </c>
      <c r="T23" s="59">
        <v>15.39</v>
      </c>
      <c r="U23" t="s">
        <v>873</v>
      </c>
      <c r="V23" s="59" t="s">
        <v>963</v>
      </c>
      <c r="X23" s="52">
        <v>241</v>
      </c>
      <c r="Y23" s="52">
        <v>136</v>
      </c>
      <c r="Z23" s="52">
        <v>340</v>
      </c>
      <c r="AA23" s="52" t="s">
        <v>961</v>
      </c>
      <c r="AB23" s="59" t="s">
        <v>954</v>
      </c>
      <c r="AD23" s="59">
        <f t="shared" ref="AD23:AF30" si="2">R23</f>
        <v>15.19</v>
      </c>
      <c r="AE23" s="59">
        <f t="shared" si="2"/>
        <v>14.99</v>
      </c>
      <c r="AF23" s="59">
        <f t="shared" si="2"/>
        <v>15.39</v>
      </c>
      <c r="AG23" s="59"/>
      <c r="AH23" s="59"/>
      <c r="AJ23">
        <v>70.400000000000006</v>
      </c>
      <c r="AK23">
        <v>56.5</v>
      </c>
      <c r="AL23">
        <v>83.3</v>
      </c>
      <c r="AN23" t="s">
        <v>956</v>
      </c>
      <c r="AP23">
        <v>122.7</v>
      </c>
      <c r="AT23" t="s">
        <v>955</v>
      </c>
      <c r="AX23" s="31" t="s">
        <v>7</v>
      </c>
      <c r="AY23" s="136">
        <v>4.5</v>
      </c>
      <c r="AZ23" s="137">
        <v>4.3</v>
      </c>
      <c r="BA23" s="137">
        <v>4.7</v>
      </c>
      <c r="BB23" s="11" t="s">
        <v>953</v>
      </c>
    </row>
    <row r="24" spans="12:54" x14ac:dyDescent="0.3">
      <c r="L24" s="25">
        <v>18.5</v>
      </c>
      <c r="M24" s="26"/>
      <c r="N24" s="26"/>
      <c r="O24" s="26"/>
      <c r="P24" s="26"/>
      <c r="R24" s="59">
        <v>15.19</v>
      </c>
      <c r="S24" s="59">
        <v>14.99</v>
      </c>
      <c r="T24" s="59">
        <v>15.39</v>
      </c>
      <c r="U24" t="s">
        <v>873</v>
      </c>
      <c r="V24" s="59" t="s">
        <v>963</v>
      </c>
      <c r="X24" s="52">
        <v>241</v>
      </c>
      <c r="Y24" s="52">
        <v>136</v>
      </c>
      <c r="Z24" s="52">
        <v>340</v>
      </c>
      <c r="AA24" s="52" t="s">
        <v>961</v>
      </c>
      <c r="AB24" s="59" t="s">
        <v>954</v>
      </c>
      <c r="AD24" s="59">
        <f t="shared" si="2"/>
        <v>15.19</v>
      </c>
      <c r="AE24" s="59">
        <f t="shared" si="2"/>
        <v>14.99</v>
      </c>
      <c r="AF24" s="59">
        <f t="shared" si="2"/>
        <v>15.39</v>
      </c>
      <c r="AG24" s="59"/>
      <c r="AH24" s="59"/>
      <c r="AJ24">
        <v>70.400000000000006</v>
      </c>
      <c r="AK24">
        <v>56.5</v>
      </c>
      <c r="AL24">
        <v>83.3</v>
      </c>
      <c r="AN24" t="s">
        <v>956</v>
      </c>
      <c r="AP24">
        <v>122.7</v>
      </c>
      <c r="AT24" t="s">
        <v>955</v>
      </c>
      <c r="AX24" s="31" t="s">
        <v>11</v>
      </c>
      <c r="AY24" s="136">
        <v>1.8</v>
      </c>
      <c r="AZ24" s="137">
        <v>1.7</v>
      </c>
      <c r="BA24" s="137">
        <v>2</v>
      </c>
      <c r="BB24" s="11" t="s">
        <v>953</v>
      </c>
    </row>
    <row r="25" spans="12:54" x14ac:dyDescent="0.3">
      <c r="L25" s="25">
        <v>18.5</v>
      </c>
      <c r="M25" s="26"/>
      <c r="N25" s="26"/>
      <c r="O25" s="26"/>
      <c r="P25" s="26"/>
      <c r="R25" s="59">
        <v>15.19</v>
      </c>
      <c r="S25" s="59">
        <v>14.99</v>
      </c>
      <c r="T25" s="59">
        <v>15.39</v>
      </c>
      <c r="U25" t="s">
        <v>873</v>
      </c>
      <c r="V25" s="59" t="s">
        <v>963</v>
      </c>
      <c r="X25" s="52">
        <v>78</v>
      </c>
      <c r="Y25" s="52">
        <v>46</v>
      </c>
      <c r="Z25" s="52">
        <v>108</v>
      </c>
      <c r="AA25" s="52" t="s">
        <v>962</v>
      </c>
      <c r="AB25" s="59" t="s">
        <v>954</v>
      </c>
      <c r="AD25" s="59">
        <f t="shared" si="2"/>
        <v>15.19</v>
      </c>
      <c r="AE25" s="59">
        <f t="shared" si="2"/>
        <v>14.99</v>
      </c>
      <c r="AF25" s="59">
        <f t="shared" si="2"/>
        <v>15.39</v>
      </c>
      <c r="AG25" s="59"/>
      <c r="AH25" s="59"/>
      <c r="AJ25">
        <v>70.400000000000006</v>
      </c>
      <c r="AK25">
        <v>56.5</v>
      </c>
      <c r="AL25">
        <v>83.3</v>
      </c>
      <c r="AN25" t="s">
        <v>956</v>
      </c>
      <c r="AP25">
        <v>69.5</v>
      </c>
      <c r="AT25" t="s">
        <v>955</v>
      </c>
      <c r="AX25" s="31"/>
      <c r="AY25" s="136"/>
      <c r="AZ25" s="137"/>
      <c r="BA25" s="137"/>
      <c r="BB25" s="11"/>
    </row>
    <row r="26" spans="12:54" x14ac:dyDescent="0.3">
      <c r="L26" s="25">
        <v>18.5</v>
      </c>
      <c r="M26" s="26"/>
      <c r="N26" s="26"/>
      <c r="O26" s="26"/>
      <c r="P26" s="26"/>
      <c r="R26" s="59">
        <v>15.19</v>
      </c>
      <c r="S26" s="59">
        <v>14.99</v>
      </c>
      <c r="T26" s="59">
        <v>15.39</v>
      </c>
      <c r="U26" t="s">
        <v>873</v>
      </c>
      <c r="V26" s="59" t="s">
        <v>963</v>
      </c>
      <c r="X26" s="52">
        <v>78</v>
      </c>
      <c r="Y26" s="52">
        <v>46</v>
      </c>
      <c r="Z26" s="52">
        <v>108</v>
      </c>
      <c r="AA26" s="52" t="s">
        <v>962</v>
      </c>
      <c r="AB26" s="59" t="s">
        <v>954</v>
      </c>
      <c r="AD26" s="59">
        <f t="shared" si="2"/>
        <v>15.19</v>
      </c>
      <c r="AE26" s="59">
        <f t="shared" si="2"/>
        <v>14.99</v>
      </c>
      <c r="AF26" s="59">
        <f t="shared" si="2"/>
        <v>15.39</v>
      </c>
      <c r="AG26" s="59"/>
      <c r="AH26" s="59"/>
      <c r="AJ26">
        <v>70.400000000000006</v>
      </c>
      <c r="AK26">
        <v>56.5</v>
      </c>
      <c r="AL26">
        <v>83.3</v>
      </c>
      <c r="AN26" t="s">
        <v>956</v>
      </c>
      <c r="AP26">
        <v>69.500000000000014</v>
      </c>
      <c r="AT26" t="s">
        <v>955</v>
      </c>
      <c r="AX26" s="31" t="s">
        <v>227</v>
      </c>
      <c r="AY26" s="136">
        <v>1</v>
      </c>
      <c r="AZ26" s="137"/>
      <c r="BA26" s="137"/>
      <c r="BB26" s="11" t="s">
        <v>869</v>
      </c>
    </row>
    <row r="27" spans="12:54" x14ac:dyDescent="0.3">
      <c r="L27" s="25">
        <v>6.8</v>
      </c>
      <c r="M27" s="26"/>
      <c r="N27" s="26"/>
      <c r="O27" s="26"/>
      <c r="P27" s="26"/>
      <c r="R27" s="59">
        <v>2.33</v>
      </c>
      <c r="S27" s="59">
        <v>2.2999999999999998</v>
      </c>
      <c r="T27" s="59">
        <v>2.37</v>
      </c>
      <c r="U27" t="s">
        <v>873</v>
      </c>
      <c r="V27" s="59" t="s">
        <v>963</v>
      </c>
      <c r="X27" s="52">
        <v>27</v>
      </c>
      <c r="Y27" s="52">
        <v>12</v>
      </c>
      <c r="Z27" s="52">
        <v>42</v>
      </c>
      <c r="AA27" s="52" t="s">
        <v>962</v>
      </c>
      <c r="AB27" s="59" t="s">
        <v>954</v>
      </c>
      <c r="AD27" s="59">
        <f t="shared" si="2"/>
        <v>2.33</v>
      </c>
      <c r="AE27" s="59">
        <f t="shared" si="2"/>
        <v>2.2999999999999998</v>
      </c>
      <c r="AF27" s="59">
        <f t="shared" si="2"/>
        <v>2.37</v>
      </c>
      <c r="AG27" s="59"/>
      <c r="AH27" s="59"/>
      <c r="AJ27">
        <v>70.400000000000006</v>
      </c>
      <c r="AK27">
        <v>56.5</v>
      </c>
      <c r="AL27">
        <v>83.3</v>
      </c>
      <c r="AN27" t="s">
        <v>956</v>
      </c>
      <c r="AP27">
        <v>10.3</v>
      </c>
      <c r="AT27" t="s">
        <v>955</v>
      </c>
      <c r="AX27" s="31" t="s">
        <v>8</v>
      </c>
      <c r="AY27" s="136">
        <v>0.7</v>
      </c>
      <c r="AZ27" s="137">
        <v>0.6</v>
      </c>
      <c r="BA27" s="137">
        <v>0.8</v>
      </c>
      <c r="BB27" s="11" t="s">
        <v>953</v>
      </c>
    </row>
    <row r="28" spans="12:54" x14ac:dyDescent="0.3">
      <c r="L28" s="25">
        <v>6.8</v>
      </c>
      <c r="M28" s="26"/>
      <c r="N28" s="26"/>
      <c r="O28" s="26"/>
      <c r="P28" s="26"/>
      <c r="R28" s="59">
        <v>4.445555555555555</v>
      </c>
      <c r="S28" s="59">
        <v>4.4155555555555548</v>
      </c>
      <c r="T28" s="59">
        <v>4.4855555555555551</v>
      </c>
      <c r="U28" t="s">
        <v>873</v>
      </c>
      <c r="V28" s="59" t="s">
        <v>963</v>
      </c>
      <c r="X28" s="52">
        <v>22.794602371023252</v>
      </c>
      <c r="Y28" s="52">
        <v>11.530348852888485</v>
      </c>
      <c r="Z28" s="52">
        <v>36.80898876404494</v>
      </c>
      <c r="AA28" s="52" t="s">
        <v>962</v>
      </c>
      <c r="AB28" s="59" t="s">
        <v>954</v>
      </c>
      <c r="AD28" s="59">
        <f t="shared" si="2"/>
        <v>4.445555555555555</v>
      </c>
      <c r="AE28" s="59">
        <f t="shared" si="2"/>
        <v>4.4155555555555548</v>
      </c>
      <c r="AF28" s="59">
        <f t="shared" si="2"/>
        <v>4.4855555555555551</v>
      </c>
      <c r="AG28" s="59"/>
      <c r="AH28" s="59"/>
      <c r="AJ28">
        <v>3.756621528574708</v>
      </c>
      <c r="AK28">
        <v>2.1838539450165975</v>
      </c>
      <c r="AL28">
        <v>5.1967479674796753</v>
      </c>
      <c r="AN28" t="s">
        <v>956</v>
      </c>
      <c r="AP28">
        <v>8.4860889499952012</v>
      </c>
      <c r="AT28" t="s">
        <v>955</v>
      </c>
      <c r="AX28" s="31"/>
      <c r="AY28" s="136"/>
      <c r="AZ28" s="137"/>
      <c r="BA28" s="137"/>
      <c r="BB28" s="11"/>
    </row>
    <row r="29" spans="12:54" x14ac:dyDescent="0.3">
      <c r="L29" s="25">
        <v>37.9</v>
      </c>
      <c r="M29" s="26"/>
      <c r="N29" s="26"/>
      <c r="O29" s="26"/>
      <c r="P29" s="26"/>
      <c r="R29" s="59">
        <v>5.05</v>
      </c>
      <c r="S29" s="59">
        <v>5.0199999999999996</v>
      </c>
      <c r="T29" s="59">
        <v>5.09</v>
      </c>
      <c r="U29" t="s">
        <v>873</v>
      </c>
      <c r="V29" s="59" t="s">
        <v>963</v>
      </c>
      <c r="X29" s="52">
        <v>40</v>
      </c>
      <c r="Y29" s="52">
        <v>23</v>
      </c>
      <c r="Z29" s="52">
        <v>56</v>
      </c>
      <c r="AA29" s="52" t="s">
        <v>962</v>
      </c>
      <c r="AB29" s="59" t="s">
        <v>954</v>
      </c>
      <c r="AD29" s="59">
        <f t="shared" si="2"/>
        <v>5.05</v>
      </c>
      <c r="AE29" s="59">
        <f t="shared" si="2"/>
        <v>5.0199999999999996</v>
      </c>
      <c r="AF29" s="59">
        <f t="shared" si="2"/>
        <v>5.09</v>
      </c>
      <c r="AG29" s="59"/>
      <c r="AH29" s="59"/>
      <c r="AJ29">
        <v>6.8</v>
      </c>
      <c r="AK29">
        <v>14.9</v>
      </c>
      <c r="AL29">
        <v>20.2</v>
      </c>
      <c r="AN29" t="s">
        <v>956</v>
      </c>
      <c r="AP29">
        <v>15.100000000000001</v>
      </c>
      <c r="AT29" t="s">
        <v>955</v>
      </c>
      <c r="AX29" s="31" t="s">
        <v>920</v>
      </c>
      <c r="AY29" s="136">
        <v>1</v>
      </c>
      <c r="AZ29" s="137"/>
      <c r="BA29" s="137"/>
      <c r="BB29" s="11"/>
    </row>
    <row r="30" spans="12:54" x14ac:dyDescent="0.3">
      <c r="L30" s="25">
        <v>206.3</v>
      </c>
      <c r="M30" s="26"/>
      <c r="N30" s="26"/>
      <c r="O30" s="26"/>
      <c r="P30" s="26"/>
      <c r="R30" s="59">
        <v>47.26</v>
      </c>
      <c r="S30" s="59">
        <v>47.05</v>
      </c>
      <c r="T30" s="59">
        <v>47.47</v>
      </c>
      <c r="U30" t="s">
        <v>873</v>
      </c>
      <c r="V30" s="59" t="s">
        <v>963</v>
      </c>
      <c r="X30" s="52">
        <v>139.57446808510639</v>
      </c>
      <c r="Y30" s="52">
        <v>81.995362673899734</v>
      </c>
      <c r="Z30" s="52">
        <v>228.88001711596067</v>
      </c>
      <c r="AA30" s="52" t="s">
        <v>962</v>
      </c>
      <c r="AB30" s="59" t="s">
        <v>954</v>
      </c>
      <c r="AD30" s="59">
        <f t="shared" si="2"/>
        <v>47.26</v>
      </c>
      <c r="AE30" s="59">
        <f t="shared" si="2"/>
        <v>47.05</v>
      </c>
      <c r="AF30" s="59">
        <f t="shared" si="2"/>
        <v>47.47</v>
      </c>
      <c r="AG30" s="59"/>
      <c r="AH30" s="59"/>
      <c r="AJ30">
        <v>102.54078422761947</v>
      </c>
      <c r="AK30">
        <v>71.674939716619207</v>
      </c>
      <c r="AL30">
        <v>152.79558485093361</v>
      </c>
      <c r="AN30" t="s">
        <v>956</v>
      </c>
      <c r="AP30">
        <v>60.630255536626919</v>
      </c>
      <c r="AT30" t="s">
        <v>955</v>
      </c>
      <c r="AX30" s="31"/>
      <c r="AY30" s="136"/>
      <c r="AZ30" s="137"/>
      <c r="BA30" s="137"/>
      <c r="BB30" s="11"/>
    </row>
    <row r="31" spans="12:54" x14ac:dyDescent="0.3">
      <c r="L31" s="25"/>
      <c r="M31" s="26"/>
      <c r="N31" s="26"/>
      <c r="O31" s="26"/>
      <c r="P31" s="26"/>
      <c r="R31" s="59"/>
      <c r="S31" s="59"/>
      <c r="T31" s="59"/>
      <c r="V31" s="59"/>
      <c r="X31" s="52"/>
      <c r="Y31" s="52"/>
      <c r="Z31" s="52"/>
      <c r="AA31" s="52"/>
      <c r="AB31" s="59"/>
      <c r="AD31" s="59"/>
      <c r="AE31" s="59"/>
      <c r="AF31" s="59"/>
      <c r="AG31" s="59"/>
      <c r="AH31" s="59"/>
      <c r="AX31" s="31"/>
      <c r="AY31" s="136"/>
      <c r="AZ31" s="137"/>
      <c r="BA31" s="137"/>
      <c r="BB31" s="11"/>
    </row>
    <row r="32" spans="12:54" x14ac:dyDescent="0.3">
      <c r="AM32" s="23"/>
    </row>
    <row r="33" spans="2:55" x14ac:dyDescent="0.3">
      <c r="B33" s="22"/>
      <c r="C33" s="23"/>
      <c r="D33" s="23"/>
      <c r="E33" s="23"/>
      <c r="F33" s="23"/>
      <c r="L33" s="22" t="s">
        <v>629</v>
      </c>
      <c r="M33" s="23"/>
      <c r="N33" s="23"/>
      <c r="O33" s="23"/>
      <c r="P33" s="23"/>
      <c r="R33" s="23"/>
      <c r="S33" s="23"/>
      <c r="W33" s="23"/>
      <c r="X33" s="23"/>
      <c r="Y33" s="23"/>
      <c r="AC33" s="23"/>
      <c r="AD33" s="23"/>
      <c r="AE33" s="23"/>
      <c r="AF33" s="23"/>
      <c r="AG33" s="23"/>
      <c r="AH33" s="23"/>
      <c r="AI33" s="23"/>
      <c r="AK33" s="23"/>
      <c r="AL33" s="23"/>
      <c r="AM33" s="23"/>
      <c r="AN33" s="23"/>
      <c r="AO33" s="23"/>
    </row>
    <row r="34" spans="2:55" x14ac:dyDescent="0.3">
      <c r="B34" s="24" t="s">
        <v>1398</v>
      </c>
      <c r="C34" s="24"/>
      <c r="D34" s="73"/>
      <c r="E34" s="73"/>
      <c r="F34" s="73"/>
      <c r="G34" s="73"/>
      <c r="L34" s="24" t="s">
        <v>623</v>
      </c>
      <c r="M34" s="73"/>
      <c r="N34" s="73"/>
      <c r="O34" s="73"/>
      <c r="P34" s="73"/>
      <c r="R34" s="24" t="s">
        <v>627</v>
      </c>
      <c r="S34" s="73"/>
      <c r="T34" s="73"/>
      <c r="U34" s="73"/>
      <c r="V34" s="73"/>
      <c r="X34" s="24" t="s">
        <v>626</v>
      </c>
      <c r="Y34" s="73"/>
      <c r="Z34" s="73"/>
      <c r="AA34" s="73"/>
      <c r="AB34" s="73"/>
      <c r="AD34" s="24" t="s">
        <v>628</v>
      </c>
      <c r="AE34" s="73"/>
      <c r="AF34" s="73"/>
      <c r="AG34" s="73"/>
      <c r="AH34" s="73"/>
      <c r="AJ34" s="24" t="s">
        <v>625</v>
      </c>
      <c r="AK34" s="73"/>
      <c r="AL34" s="73"/>
      <c r="AM34" s="73"/>
      <c r="AN34" s="73"/>
      <c r="AP34" s="24" t="s">
        <v>624</v>
      </c>
      <c r="AQ34" s="73"/>
      <c r="AR34" s="73"/>
      <c r="AS34" s="73"/>
      <c r="AT34" s="73"/>
      <c r="AX34" s="159" t="s">
        <v>951</v>
      </c>
      <c r="AY34" s="73"/>
      <c r="AZ34" s="73"/>
      <c r="BA34" s="73"/>
      <c r="BB34" s="73"/>
      <c r="BC34" s="73"/>
    </row>
    <row r="35" spans="2:55" x14ac:dyDescent="0.3">
      <c r="B35" s="73" t="s">
        <v>1</v>
      </c>
      <c r="C35" s="73" t="s">
        <v>620</v>
      </c>
      <c r="D35" s="73" t="s">
        <v>621</v>
      </c>
      <c r="E35" s="73" t="s">
        <v>622</v>
      </c>
      <c r="F35" s="73" t="s">
        <v>592</v>
      </c>
      <c r="G35" s="73" t="s">
        <v>591</v>
      </c>
      <c r="L35" s="73" t="s">
        <v>620</v>
      </c>
      <c r="M35" s="73" t="s">
        <v>621</v>
      </c>
      <c r="N35" s="73" t="s">
        <v>622</v>
      </c>
      <c r="O35" s="73" t="s">
        <v>592</v>
      </c>
      <c r="P35" s="73" t="s">
        <v>591</v>
      </c>
      <c r="R35" s="73" t="s">
        <v>620</v>
      </c>
      <c r="S35" s="73" t="s">
        <v>621</v>
      </c>
      <c r="T35" s="73" t="s">
        <v>622</v>
      </c>
      <c r="U35" s="73" t="s">
        <v>592</v>
      </c>
      <c r="V35" s="73" t="s">
        <v>591</v>
      </c>
      <c r="X35" s="73" t="s">
        <v>620</v>
      </c>
      <c r="Y35" s="73" t="s">
        <v>621</v>
      </c>
      <c r="Z35" s="73" t="s">
        <v>622</v>
      </c>
      <c r="AA35" s="73" t="s">
        <v>592</v>
      </c>
      <c r="AB35" s="73" t="s">
        <v>591</v>
      </c>
      <c r="AD35" s="73" t="s">
        <v>620</v>
      </c>
      <c r="AE35" s="73" t="s">
        <v>621</v>
      </c>
      <c r="AF35" s="73" t="s">
        <v>622</v>
      </c>
      <c r="AG35" s="73" t="s">
        <v>592</v>
      </c>
      <c r="AH35" s="73" t="s">
        <v>591</v>
      </c>
      <c r="AJ35" s="73" t="s">
        <v>620</v>
      </c>
      <c r="AK35" s="73" t="s">
        <v>621</v>
      </c>
      <c r="AL35" s="73" t="s">
        <v>622</v>
      </c>
      <c r="AM35" s="73" t="s">
        <v>592</v>
      </c>
      <c r="AN35" s="73" t="s">
        <v>591</v>
      </c>
      <c r="AP35" s="73" t="s">
        <v>620</v>
      </c>
      <c r="AQ35" s="73" t="s">
        <v>621</v>
      </c>
      <c r="AR35" s="73" t="s">
        <v>622</v>
      </c>
      <c r="AS35" s="73" t="s">
        <v>592</v>
      </c>
      <c r="AT35" s="73" t="s">
        <v>591</v>
      </c>
      <c r="AX35" s="159" t="s">
        <v>1</v>
      </c>
      <c r="AY35" s="159" t="s">
        <v>619</v>
      </c>
      <c r="AZ35" s="73" t="s">
        <v>683</v>
      </c>
      <c r="BA35" s="73" t="s">
        <v>684</v>
      </c>
      <c r="BB35" s="73" t="s">
        <v>592</v>
      </c>
      <c r="BC35" s="73" t="s">
        <v>591</v>
      </c>
    </row>
    <row r="36" spans="2:55" x14ac:dyDescent="0.3">
      <c r="B36" s="31" t="s">
        <v>8</v>
      </c>
      <c r="C36" s="395">
        <f>IF($C$3="AMR",'BoD lists'!L36,IF('BoD lists'!$C$3="EUR",'BoD lists'!R36,IF('BoD lists'!$C$3="AFR",'BoD lists'!X36,IF('BoD lists'!$C$3="EMR",'BoD lists'!AD36,IF('BoD lists'!$C$3="SEA",'BoD lists'!AJ36,'BoD lists'!AP36)))))</f>
        <v>3.0069970845864691</v>
      </c>
      <c r="D36" s="395">
        <f>IF($C$3="AMR",'BoD lists'!M36,IF('BoD lists'!$C$3="EUR",'BoD lists'!S36,IF('BoD lists'!$C$3="AFR",'BoD lists'!Y36,IF('BoD lists'!$C$3="EMR",'BoD lists'!AE36,IF('BoD lists'!$C$3="SEA",'BoD lists'!AK36,'BoD lists'!AQ36)))))</f>
        <v>2.8190162478329497</v>
      </c>
      <c r="E36" s="395">
        <f>IF($C$3="AMR",'BoD lists'!N36,IF('BoD lists'!$C$3="EUR",'BoD lists'!T36,IF('BoD lists'!$C$3="AFR",'BoD lists'!Z36,IF('BoD lists'!$C$3="EMR",'BoD lists'!AF36,IF('BoD lists'!$C$3="SEA",'BoD lists'!AL36,'BoD lists'!AR36)))))</f>
        <v>3.1949357211296947</v>
      </c>
      <c r="F36" s="395" t="str">
        <f>IF($C$3="AMR",'BoD lists'!O36,IF('BoD lists'!$C$3="EUR",'BoD lists'!U36,IF('BoD lists'!$C$3="AFR",'BoD lists'!AA36,IF('BoD lists'!$C$3="EMR",'BoD lists'!AG36,IF('BoD lists'!$C$3="SEA",'BoD lists'!AM36,'BoD lists'!AS36)))))</f>
        <v>Glamour study</v>
      </c>
      <c r="G36" s="395" t="str">
        <f>IF($C$3="AMR",'BoD lists'!P36,IF('BoD lists'!$C$3="EUR",'BoD lists'!V36,IF('BoD lists'!$C$3="AFR",'BoD lists'!AB36,IF('BoD lists'!$C$3="EMR",'BoD lists'!AH36,IF('BoD lists'!$C$3="SEA",'BoD lists'!AN36,'BoD lists'!AT36)))))</f>
        <v>Average 1999-2011</v>
      </c>
      <c r="K36" s="393"/>
      <c r="L36" s="393">
        <v>1.5249999999999999</v>
      </c>
      <c r="M36" s="393">
        <v>1.3029999999999999</v>
      </c>
      <c r="N36" s="393">
        <v>1.7470000000000001</v>
      </c>
      <c r="O36" t="s">
        <v>1397</v>
      </c>
      <c r="P36" s="25" t="s">
        <v>1396</v>
      </c>
      <c r="R36" s="70">
        <v>1.1319999999999999</v>
      </c>
      <c r="S36" s="70">
        <v>0.95399999999999996</v>
      </c>
      <c r="T36" s="70">
        <v>1.3089999999999999</v>
      </c>
      <c r="U36" t="s">
        <v>1397</v>
      </c>
      <c r="V36" s="25" t="s">
        <v>1396</v>
      </c>
      <c r="X36" s="394">
        <v>3.0069970845864691</v>
      </c>
      <c r="Y36" s="394">
        <v>2.8190162478329497</v>
      </c>
      <c r="Z36" s="394">
        <v>3.1949357211296947</v>
      </c>
      <c r="AA36" t="s">
        <v>1397</v>
      </c>
      <c r="AB36" s="25" t="s">
        <v>1396</v>
      </c>
      <c r="AD36" s="70">
        <v>1.6819999999999999</v>
      </c>
      <c r="AE36" s="70">
        <v>1.407</v>
      </c>
      <c r="AF36" s="70">
        <v>1.9570000000000001</v>
      </c>
      <c r="AG36" t="s">
        <v>1397</v>
      </c>
      <c r="AH36" s="25" t="s">
        <v>1396</v>
      </c>
      <c r="AJ36" s="70">
        <v>2.012</v>
      </c>
      <c r="AK36" s="70">
        <v>1.633</v>
      </c>
      <c r="AL36" s="70">
        <v>2.391</v>
      </c>
      <c r="AM36" t="s">
        <v>1397</v>
      </c>
      <c r="AN36" s="25" t="s">
        <v>1396</v>
      </c>
      <c r="AP36" s="70">
        <v>1.5009999999999999</v>
      </c>
      <c r="AQ36" s="70">
        <v>1.22</v>
      </c>
      <c r="AR36" s="70">
        <v>1.7809999999999999</v>
      </c>
      <c r="AS36" t="s">
        <v>1397</v>
      </c>
      <c r="AT36" s="25" t="s">
        <v>1396</v>
      </c>
    </row>
    <row r="37" spans="2:55" x14ac:dyDescent="0.3">
      <c r="B37" s="31" t="s">
        <v>2</v>
      </c>
      <c r="C37" s="395">
        <f>IF($C$3="AMR",'BoD lists'!L37,IF('BoD lists'!$C$3="EUR",'BoD lists'!R37,IF('BoD lists'!$C$3="AFR",'BoD lists'!X37,IF('BoD lists'!$C$3="EMR",'BoD lists'!AD37,IF('BoD lists'!$C$3="SEA",'BoD lists'!AJ37,'BoD lists'!AP37)))))</f>
        <v>3.0069970845864691</v>
      </c>
      <c r="D37" s="395">
        <f>IF($C$3="AMR",'BoD lists'!M37,IF('BoD lists'!$C$3="EUR",'BoD lists'!S37,IF('BoD lists'!$C$3="AFR",'BoD lists'!Y37,IF('BoD lists'!$C$3="EMR",'BoD lists'!AE37,IF('BoD lists'!$C$3="SEA",'BoD lists'!AK37,'BoD lists'!AQ37)))))</f>
        <v>2.8190162478329497</v>
      </c>
      <c r="E37" s="395">
        <f>IF($C$3="AMR",'BoD lists'!N37,IF('BoD lists'!$C$3="EUR",'BoD lists'!T37,IF('BoD lists'!$C$3="AFR",'BoD lists'!Z37,IF('BoD lists'!$C$3="EMR",'BoD lists'!AF37,IF('BoD lists'!$C$3="SEA",'BoD lists'!AL37,'BoD lists'!AR37)))))</f>
        <v>3.1949357211296947</v>
      </c>
      <c r="F37" s="395" t="str">
        <f>IF($C$3="AMR",'BoD lists'!O37,IF('BoD lists'!$C$3="EUR",'BoD lists'!U37,IF('BoD lists'!$C$3="AFR",'BoD lists'!AA37,IF('BoD lists'!$C$3="EMR",'BoD lists'!AG37,IF('BoD lists'!$C$3="SEA",'BoD lists'!AM37,'BoD lists'!AS37)))))</f>
        <v>Glamour study</v>
      </c>
      <c r="G37" s="395" t="str">
        <f>IF($C$3="AMR",'BoD lists'!P37,IF('BoD lists'!$C$3="EUR",'BoD lists'!V37,IF('BoD lists'!$C$3="AFR",'BoD lists'!AB37,IF('BoD lists'!$C$3="EMR",'BoD lists'!AH37,IF('BoD lists'!$C$3="SEA",'BoD lists'!AN37,'BoD lists'!AT37)))))</f>
        <v>Average 1999-2011</v>
      </c>
      <c r="K37" s="393"/>
      <c r="L37" s="393">
        <v>1.5249999999999999</v>
      </c>
      <c r="M37" s="393">
        <v>1.3029999999999999</v>
      </c>
      <c r="N37" s="393">
        <v>1.7470000000000001</v>
      </c>
      <c r="O37" t="s">
        <v>1397</v>
      </c>
      <c r="P37" s="25" t="s">
        <v>1396</v>
      </c>
      <c r="R37" s="70">
        <v>1.1319999999999999</v>
      </c>
      <c r="S37" s="70">
        <v>0.95399999999999996</v>
      </c>
      <c r="T37" s="70">
        <v>1.3089999999999999</v>
      </c>
      <c r="U37" t="s">
        <v>1397</v>
      </c>
      <c r="V37" s="25" t="s">
        <v>1396</v>
      </c>
      <c r="X37" s="394">
        <v>3.0069970845864691</v>
      </c>
      <c r="Y37" s="394">
        <v>2.8190162478329497</v>
      </c>
      <c r="Z37" s="394">
        <v>3.1949357211296947</v>
      </c>
      <c r="AA37" t="s">
        <v>1397</v>
      </c>
      <c r="AB37" s="25" t="s">
        <v>1396</v>
      </c>
      <c r="AD37" s="70">
        <v>1.6819999999999999</v>
      </c>
      <c r="AE37" s="70">
        <v>1.407</v>
      </c>
      <c r="AF37" s="70">
        <v>1.9570000000000001</v>
      </c>
      <c r="AG37" t="s">
        <v>1397</v>
      </c>
      <c r="AH37" s="25" t="s">
        <v>1396</v>
      </c>
      <c r="AJ37" s="70">
        <v>2.012</v>
      </c>
      <c r="AK37" s="70">
        <v>1.633</v>
      </c>
      <c r="AL37" s="70">
        <v>2.391</v>
      </c>
      <c r="AM37" t="s">
        <v>1397</v>
      </c>
      <c r="AN37" s="25" t="s">
        <v>1396</v>
      </c>
      <c r="AP37" s="70">
        <v>1.5009999999999999</v>
      </c>
      <c r="AQ37" s="70">
        <v>1.22</v>
      </c>
      <c r="AR37" s="70">
        <v>1.7809999999999999</v>
      </c>
      <c r="AS37" t="s">
        <v>1397</v>
      </c>
      <c r="AT37" s="25" t="s">
        <v>1396</v>
      </c>
      <c r="AX37" s="31" t="s">
        <v>2</v>
      </c>
      <c r="AY37" s="136">
        <v>38.6</v>
      </c>
      <c r="AZ37" s="137">
        <v>33.4</v>
      </c>
      <c r="BA37" s="137">
        <v>44.8</v>
      </c>
      <c r="BB37" s="11" t="s">
        <v>953</v>
      </c>
    </row>
    <row r="38" spans="2:55" x14ac:dyDescent="0.3">
      <c r="B38" s="31" t="s">
        <v>3</v>
      </c>
      <c r="C38" s="395">
        <f>IF($C$3="AMR",'BoD lists'!L38,IF('BoD lists'!$C$3="EUR",'BoD lists'!R38,IF('BoD lists'!$C$3="AFR",'BoD lists'!X38,IF('BoD lists'!$C$3="EMR",'BoD lists'!AD38,IF('BoD lists'!$C$3="SEA",'BoD lists'!AJ38,'BoD lists'!AP38)))))</f>
        <v>3.0069970845864691</v>
      </c>
      <c r="D38" s="395">
        <f>IF($C$3="AMR",'BoD lists'!M38,IF('BoD lists'!$C$3="EUR",'BoD lists'!S38,IF('BoD lists'!$C$3="AFR",'BoD lists'!Y38,IF('BoD lists'!$C$3="EMR",'BoD lists'!AE38,IF('BoD lists'!$C$3="SEA",'BoD lists'!AK38,'BoD lists'!AQ38)))))</f>
        <v>2.8190162478329497</v>
      </c>
      <c r="E38" s="395">
        <f>IF($C$3="AMR",'BoD lists'!N38,IF('BoD lists'!$C$3="EUR",'BoD lists'!T38,IF('BoD lists'!$C$3="AFR",'BoD lists'!Z38,IF('BoD lists'!$C$3="EMR",'BoD lists'!AF38,IF('BoD lists'!$C$3="SEA",'BoD lists'!AL38,'BoD lists'!AR38)))))</f>
        <v>3.1949357211296947</v>
      </c>
      <c r="F38" s="395" t="str">
        <f>IF($C$3="AMR",'BoD lists'!O38,IF('BoD lists'!$C$3="EUR",'BoD lists'!U38,IF('BoD lists'!$C$3="AFR",'BoD lists'!AA38,IF('BoD lists'!$C$3="EMR",'BoD lists'!AG38,IF('BoD lists'!$C$3="SEA",'BoD lists'!AM38,'BoD lists'!AS38)))))</f>
        <v>Glamour study</v>
      </c>
      <c r="G38" s="395" t="str">
        <f>IF($C$3="AMR",'BoD lists'!P38,IF('BoD lists'!$C$3="EUR",'BoD lists'!V38,IF('BoD lists'!$C$3="AFR",'BoD lists'!AB38,IF('BoD lists'!$C$3="EMR",'BoD lists'!AH38,IF('BoD lists'!$C$3="SEA",'BoD lists'!AN38,'BoD lists'!AT38)))))</f>
        <v>Average 1999-2011</v>
      </c>
      <c r="K38" s="393"/>
      <c r="L38" s="393">
        <v>1.5249999999999999</v>
      </c>
      <c r="M38" s="393">
        <v>1.3029999999999999</v>
      </c>
      <c r="N38" s="393">
        <v>1.7470000000000001</v>
      </c>
      <c r="O38" t="s">
        <v>1397</v>
      </c>
      <c r="P38" s="25" t="s">
        <v>1396</v>
      </c>
      <c r="R38" s="70">
        <v>1.1319999999999999</v>
      </c>
      <c r="S38" s="70">
        <v>0.95399999999999996</v>
      </c>
      <c r="T38" s="70">
        <v>1.3089999999999999</v>
      </c>
      <c r="U38" t="s">
        <v>1397</v>
      </c>
      <c r="V38" s="25" t="s">
        <v>1396</v>
      </c>
      <c r="X38" s="394">
        <v>3.0069970845864691</v>
      </c>
      <c r="Y38" s="394">
        <v>2.8190162478329497</v>
      </c>
      <c r="Z38" s="394">
        <v>3.1949357211296947</v>
      </c>
      <c r="AA38" t="s">
        <v>1397</v>
      </c>
      <c r="AB38" s="25" t="s">
        <v>1396</v>
      </c>
      <c r="AD38" s="70">
        <v>1.6819999999999999</v>
      </c>
      <c r="AE38" s="70">
        <v>1.407</v>
      </c>
      <c r="AF38" s="70">
        <v>1.9570000000000001</v>
      </c>
      <c r="AG38" t="s">
        <v>1397</v>
      </c>
      <c r="AH38" s="25" t="s">
        <v>1396</v>
      </c>
      <c r="AJ38" s="70">
        <v>2.012</v>
      </c>
      <c r="AK38" s="70">
        <v>1.633</v>
      </c>
      <c r="AL38" s="70">
        <v>2.391</v>
      </c>
      <c r="AM38" t="s">
        <v>1397</v>
      </c>
      <c r="AN38" s="25" t="s">
        <v>1396</v>
      </c>
      <c r="AP38" s="70">
        <v>1.5009999999999999</v>
      </c>
      <c r="AQ38" s="70">
        <v>1.22</v>
      </c>
      <c r="AR38" s="70">
        <v>1.7809999999999999</v>
      </c>
      <c r="AS38" t="s">
        <v>1397</v>
      </c>
      <c r="AT38" s="25" t="s">
        <v>1396</v>
      </c>
      <c r="AX38" s="31" t="s">
        <v>3</v>
      </c>
      <c r="AY38" s="136">
        <v>38.6</v>
      </c>
      <c r="AZ38" s="137">
        <v>33.4</v>
      </c>
      <c r="BA38" s="137">
        <v>44.8</v>
      </c>
      <c r="BB38" s="11" t="s">
        <v>953</v>
      </c>
    </row>
    <row r="39" spans="2:55" x14ac:dyDescent="0.3">
      <c r="B39" s="31" t="s">
        <v>4</v>
      </c>
      <c r="C39" s="395">
        <f>IF($C$3="AMR",'BoD lists'!L39,IF('BoD lists'!$C$3="EUR",'BoD lists'!R39,IF('BoD lists'!$C$3="AFR",'BoD lists'!X39,IF('BoD lists'!$C$3="EMR",'BoD lists'!AD39,IF('BoD lists'!$C$3="SEA",'BoD lists'!AJ39,'BoD lists'!AP39)))))</f>
        <v>3.0069970845864691</v>
      </c>
      <c r="D39" s="395">
        <f>IF($C$3="AMR",'BoD lists'!M39,IF('BoD lists'!$C$3="EUR",'BoD lists'!S39,IF('BoD lists'!$C$3="AFR",'BoD lists'!Y39,IF('BoD lists'!$C$3="EMR",'BoD lists'!AE39,IF('BoD lists'!$C$3="SEA",'BoD lists'!AK39,'BoD lists'!AQ39)))))</f>
        <v>2.8190162478329497</v>
      </c>
      <c r="E39" s="395">
        <f>IF($C$3="AMR",'BoD lists'!N39,IF('BoD lists'!$C$3="EUR",'BoD lists'!T39,IF('BoD lists'!$C$3="AFR",'BoD lists'!Z39,IF('BoD lists'!$C$3="EMR",'BoD lists'!AF39,IF('BoD lists'!$C$3="SEA",'BoD lists'!AL39,'BoD lists'!AR39)))))</f>
        <v>3.1949357211296947</v>
      </c>
      <c r="F39" s="395" t="str">
        <f>IF($C$3="AMR",'BoD lists'!O39,IF('BoD lists'!$C$3="EUR",'BoD lists'!U39,IF('BoD lists'!$C$3="AFR",'BoD lists'!AA39,IF('BoD lists'!$C$3="EMR",'BoD lists'!AG39,IF('BoD lists'!$C$3="SEA",'BoD lists'!AM39,'BoD lists'!AS39)))))</f>
        <v>Glamour study</v>
      </c>
      <c r="G39" s="395" t="str">
        <f>IF($C$3="AMR",'BoD lists'!P39,IF('BoD lists'!$C$3="EUR",'BoD lists'!V39,IF('BoD lists'!$C$3="AFR",'BoD lists'!AB39,IF('BoD lists'!$C$3="EMR",'BoD lists'!AH39,IF('BoD lists'!$C$3="SEA",'BoD lists'!AN39,'BoD lists'!AT39)))))</f>
        <v>Average 1999-2011</v>
      </c>
      <c r="K39" s="393"/>
      <c r="L39" s="393">
        <v>1.5249999999999999</v>
      </c>
      <c r="M39" s="393">
        <v>1.3029999999999999</v>
      </c>
      <c r="N39" s="393">
        <v>1.7470000000000001</v>
      </c>
      <c r="O39" t="s">
        <v>1397</v>
      </c>
      <c r="P39" s="25" t="s">
        <v>1396</v>
      </c>
      <c r="R39" s="70">
        <v>1.1319999999999999</v>
      </c>
      <c r="S39" s="70">
        <v>0.95399999999999996</v>
      </c>
      <c r="T39" s="70">
        <v>1.3089999999999999</v>
      </c>
      <c r="U39" t="s">
        <v>1397</v>
      </c>
      <c r="V39" s="25" t="s">
        <v>1396</v>
      </c>
      <c r="X39" s="394">
        <v>3.0069970845864691</v>
      </c>
      <c r="Y39" s="394">
        <v>2.8190162478329497</v>
      </c>
      <c r="Z39" s="394">
        <v>3.1949357211296947</v>
      </c>
      <c r="AA39" t="s">
        <v>1397</v>
      </c>
      <c r="AB39" s="25" t="s">
        <v>1396</v>
      </c>
      <c r="AD39" s="70">
        <v>1.6819999999999999</v>
      </c>
      <c r="AE39" s="70">
        <v>1.407</v>
      </c>
      <c r="AF39" s="70">
        <v>1.9570000000000001</v>
      </c>
      <c r="AG39" t="s">
        <v>1397</v>
      </c>
      <c r="AH39" s="25" t="s">
        <v>1396</v>
      </c>
      <c r="AJ39" s="70">
        <v>2.012</v>
      </c>
      <c r="AK39" s="70">
        <v>1.633</v>
      </c>
      <c r="AL39" s="70">
        <v>2.391</v>
      </c>
      <c r="AM39" t="s">
        <v>1397</v>
      </c>
      <c r="AN39" s="25" t="s">
        <v>1396</v>
      </c>
      <c r="AP39" s="70">
        <v>1.5009999999999999</v>
      </c>
      <c r="AQ39" s="70">
        <v>1.22</v>
      </c>
      <c r="AR39" s="70">
        <v>1.7809999999999999</v>
      </c>
      <c r="AS39" t="s">
        <v>1397</v>
      </c>
      <c r="AT39" s="25" t="s">
        <v>1396</v>
      </c>
      <c r="AX39" s="31" t="s">
        <v>4</v>
      </c>
      <c r="AY39" s="136">
        <v>38.6</v>
      </c>
      <c r="AZ39" s="137">
        <v>33.4</v>
      </c>
      <c r="BA39" s="137">
        <v>44.8</v>
      </c>
      <c r="BB39" s="11" t="s">
        <v>953</v>
      </c>
    </row>
    <row r="40" spans="2:55" x14ac:dyDescent="0.3">
      <c r="B40" s="31" t="s">
        <v>5</v>
      </c>
      <c r="C40" s="395">
        <f>IF($C$3="AMR",'BoD lists'!L40,IF('BoD lists'!$C$3="EUR",'BoD lists'!R40,IF('BoD lists'!$C$3="AFR",'BoD lists'!X40,IF('BoD lists'!$C$3="EMR",'BoD lists'!AD40,IF('BoD lists'!$C$3="SEA",'BoD lists'!AJ40,'BoD lists'!AP40)))))</f>
        <v>3.0069970845864691</v>
      </c>
      <c r="D40" s="395">
        <f>IF($C$3="AMR",'BoD lists'!M40,IF('BoD lists'!$C$3="EUR",'BoD lists'!S40,IF('BoD lists'!$C$3="AFR",'BoD lists'!Y40,IF('BoD lists'!$C$3="EMR",'BoD lists'!AE40,IF('BoD lists'!$C$3="SEA",'BoD lists'!AK40,'BoD lists'!AQ40)))))</f>
        <v>2.8190162478329497</v>
      </c>
      <c r="E40" s="395">
        <f>IF($C$3="AMR",'BoD lists'!N40,IF('BoD lists'!$C$3="EUR",'BoD lists'!T40,IF('BoD lists'!$C$3="AFR",'BoD lists'!Z40,IF('BoD lists'!$C$3="EMR",'BoD lists'!AF40,IF('BoD lists'!$C$3="SEA",'BoD lists'!AL40,'BoD lists'!AR40)))))</f>
        <v>3.1949357211296947</v>
      </c>
      <c r="F40" s="395" t="str">
        <f>IF($C$3="AMR",'BoD lists'!O40,IF('BoD lists'!$C$3="EUR",'BoD lists'!U40,IF('BoD lists'!$C$3="AFR",'BoD lists'!AA40,IF('BoD lists'!$C$3="EMR",'BoD lists'!AG40,IF('BoD lists'!$C$3="SEA",'BoD lists'!AM40,'BoD lists'!AS40)))))</f>
        <v>Glamour study</v>
      </c>
      <c r="G40" s="395" t="str">
        <f>IF($C$3="AMR",'BoD lists'!P40,IF('BoD lists'!$C$3="EUR",'BoD lists'!V40,IF('BoD lists'!$C$3="AFR",'BoD lists'!AB40,IF('BoD lists'!$C$3="EMR",'BoD lists'!AH40,IF('BoD lists'!$C$3="SEA",'BoD lists'!AN40,'BoD lists'!AT40)))))</f>
        <v>Average 1999-2011</v>
      </c>
      <c r="K40" s="393"/>
      <c r="L40" s="393">
        <v>1.5249999999999999</v>
      </c>
      <c r="M40" s="393">
        <v>1.3029999999999999</v>
      </c>
      <c r="N40" s="393">
        <v>1.7470000000000001</v>
      </c>
      <c r="O40" t="s">
        <v>1397</v>
      </c>
      <c r="P40" s="25" t="s">
        <v>1396</v>
      </c>
      <c r="R40" s="70">
        <v>1.1319999999999999</v>
      </c>
      <c r="S40" s="70">
        <v>0.95399999999999996</v>
      </c>
      <c r="T40" s="70">
        <v>1.3089999999999999</v>
      </c>
      <c r="U40" t="s">
        <v>1397</v>
      </c>
      <c r="V40" s="25" t="s">
        <v>1396</v>
      </c>
      <c r="X40" s="394">
        <v>3.0069970845864691</v>
      </c>
      <c r="Y40" s="394">
        <v>2.8190162478329497</v>
      </c>
      <c r="Z40" s="394">
        <v>3.1949357211296947</v>
      </c>
      <c r="AA40" t="s">
        <v>1397</v>
      </c>
      <c r="AB40" s="25" t="s">
        <v>1396</v>
      </c>
      <c r="AD40" s="70">
        <v>1.6819999999999999</v>
      </c>
      <c r="AE40" s="70">
        <v>1.407</v>
      </c>
      <c r="AF40" s="70">
        <v>1.9570000000000001</v>
      </c>
      <c r="AG40" t="s">
        <v>1397</v>
      </c>
      <c r="AH40" s="25" t="s">
        <v>1396</v>
      </c>
      <c r="AJ40" s="70">
        <v>2.012</v>
      </c>
      <c r="AK40" s="70">
        <v>1.633</v>
      </c>
      <c r="AL40" s="70">
        <v>2.391</v>
      </c>
      <c r="AM40" t="s">
        <v>1397</v>
      </c>
      <c r="AN40" s="25" t="s">
        <v>1396</v>
      </c>
      <c r="AP40" s="70">
        <v>1.5009999999999999</v>
      </c>
      <c r="AQ40" s="70">
        <v>1.22</v>
      </c>
      <c r="AR40" s="70">
        <v>1.7809999999999999</v>
      </c>
      <c r="AS40" t="s">
        <v>1397</v>
      </c>
      <c r="AT40" s="25" t="s">
        <v>1396</v>
      </c>
      <c r="AX40" s="31" t="s">
        <v>5</v>
      </c>
      <c r="AY40" s="136">
        <v>38.6</v>
      </c>
      <c r="AZ40" s="137">
        <v>33.4</v>
      </c>
      <c r="BA40" s="137">
        <v>44.8</v>
      </c>
      <c r="BB40" s="11" t="s">
        <v>953</v>
      </c>
    </row>
    <row r="41" spans="2:55" x14ac:dyDescent="0.3">
      <c r="B41" s="31" t="s">
        <v>6</v>
      </c>
      <c r="C41" s="395">
        <f>IF($C$3="AMR",'BoD lists'!L41,IF('BoD lists'!$C$3="EUR",'BoD lists'!R41,IF('BoD lists'!$C$3="AFR",'BoD lists'!X41,IF('BoD lists'!$C$3="EMR",'BoD lists'!AD41,IF('BoD lists'!$C$3="SEA",'BoD lists'!AJ41,'BoD lists'!AP41)))))</f>
        <v>3.0069970845864691</v>
      </c>
      <c r="D41" s="395">
        <f>IF($C$3="AMR",'BoD lists'!M41,IF('BoD lists'!$C$3="EUR",'BoD lists'!S41,IF('BoD lists'!$C$3="AFR",'BoD lists'!Y41,IF('BoD lists'!$C$3="EMR",'BoD lists'!AE41,IF('BoD lists'!$C$3="SEA",'BoD lists'!AK41,'BoD lists'!AQ41)))))</f>
        <v>2.8190162478329497</v>
      </c>
      <c r="E41" s="395">
        <f>IF($C$3="AMR",'BoD lists'!N41,IF('BoD lists'!$C$3="EUR",'BoD lists'!T41,IF('BoD lists'!$C$3="AFR",'BoD lists'!Z41,IF('BoD lists'!$C$3="EMR",'BoD lists'!AF41,IF('BoD lists'!$C$3="SEA",'BoD lists'!AL41,'BoD lists'!AR41)))))</f>
        <v>3.1949357211296947</v>
      </c>
      <c r="F41" s="395" t="str">
        <f>IF($C$3="AMR",'BoD lists'!O41,IF('BoD lists'!$C$3="EUR",'BoD lists'!U41,IF('BoD lists'!$C$3="AFR",'BoD lists'!AA41,IF('BoD lists'!$C$3="EMR",'BoD lists'!AG41,IF('BoD lists'!$C$3="SEA",'BoD lists'!AM41,'BoD lists'!AS41)))))</f>
        <v>Glamour study</v>
      </c>
      <c r="G41" s="395" t="str">
        <f>IF($C$3="AMR",'BoD lists'!P41,IF('BoD lists'!$C$3="EUR",'BoD lists'!V41,IF('BoD lists'!$C$3="AFR",'BoD lists'!AB41,IF('BoD lists'!$C$3="EMR",'BoD lists'!AH41,IF('BoD lists'!$C$3="SEA",'BoD lists'!AN41,'BoD lists'!AT41)))))</f>
        <v>Average 1999-2011</v>
      </c>
      <c r="K41" s="393"/>
      <c r="L41" s="393">
        <v>1.5249999999999999</v>
      </c>
      <c r="M41" s="393">
        <v>1.3029999999999999</v>
      </c>
      <c r="N41" s="393">
        <v>1.7470000000000001</v>
      </c>
      <c r="O41" t="s">
        <v>1397</v>
      </c>
      <c r="P41" s="25" t="s">
        <v>1396</v>
      </c>
      <c r="R41" s="70">
        <v>1.1319999999999999</v>
      </c>
      <c r="S41" s="70">
        <v>0.95399999999999996</v>
      </c>
      <c r="T41" s="70">
        <v>1.3089999999999999</v>
      </c>
      <c r="U41" t="s">
        <v>1397</v>
      </c>
      <c r="V41" s="25" t="s">
        <v>1396</v>
      </c>
      <c r="X41" s="394">
        <v>3.0069970845864691</v>
      </c>
      <c r="Y41" s="394">
        <v>2.8190162478329497</v>
      </c>
      <c r="Z41" s="394">
        <v>3.1949357211296947</v>
      </c>
      <c r="AA41" t="s">
        <v>1397</v>
      </c>
      <c r="AB41" s="25" t="s">
        <v>1396</v>
      </c>
      <c r="AD41" s="70">
        <v>1.6819999999999999</v>
      </c>
      <c r="AE41" s="70">
        <v>1.407</v>
      </c>
      <c r="AF41" s="70">
        <v>1.9570000000000001</v>
      </c>
      <c r="AG41" t="s">
        <v>1397</v>
      </c>
      <c r="AH41" s="25" t="s">
        <v>1396</v>
      </c>
      <c r="AJ41" s="70">
        <v>2.012</v>
      </c>
      <c r="AK41" s="70">
        <v>1.633</v>
      </c>
      <c r="AL41" s="70">
        <v>2.391</v>
      </c>
      <c r="AM41" t="s">
        <v>1397</v>
      </c>
      <c r="AN41" s="25" t="s">
        <v>1396</v>
      </c>
      <c r="AP41" s="70">
        <v>1.5009999999999999</v>
      </c>
      <c r="AQ41" s="70">
        <v>1.22</v>
      </c>
      <c r="AR41" s="70">
        <v>1.7809999999999999</v>
      </c>
      <c r="AS41" t="s">
        <v>1397</v>
      </c>
      <c r="AT41" s="25" t="s">
        <v>1396</v>
      </c>
      <c r="AX41" s="31" t="s">
        <v>6</v>
      </c>
      <c r="AY41" s="136">
        <v>6.6</v>
      </c>
      <c r="AZ41" s="137">
        <v>6</v>
      </c>
      <c r="BA41" s="137">
        <v>7.3</v>
      </c>
      <c r="BB41" s="11" t="s">
        <v>953</v>
      </c>
    </row>
    <row r="42" spans="2:55" x14ac:dyDescent="0.3">
      <c r="B42" s="31" t="s">
        <v>7</v>
      </c>
      <c r="C42" s="395">
        <f>IF($C$3="AMR",'BoD lists'!L42,IF('BoD lists'!$C$3="EUR",'BoD lists'!R42,IF('BoD lists'!$C$3="AFR",'BoD lists'!X42,IF('BoD lists'!$C$3="EMR",'BoD lists'!AD42,IF('BoD lists'!$C$3="SEA",'BoD lists'!AJ42,'BoD lists'!AP42)))))</f>
        <v>3.0069970845864691</v>
      </c>
      <c r="D42" s="395">
        <f>IF($C$3="AMR",'BoD lists'!M42,IF('BoD lists'!$C$3="EUR",'BoD lists'!S42,IF('BoD lists'!$C$3="AFR",'BoD lists'!Y42,IF('BoD lists'!$C$3="EMR",'BoD lists'!AE42,IF('BoD lists'!$C$3="SEA",'BoD lists'!AK42,'BoD lists'!AQ42)))))</f>
        <v>2.8190162478329497</v>
      </c>
      <c r="E42" s="395">
        <f>IF($C$3="AMR",'BoD lists'!N42,IF('BoD lists'!$C$3="EUR",'BoD lists'!T42,IF('BoD lists'!$C$3="AFR",'BoD lists'!Z42,IF('BoD lists'!$C$3="EMR",'BoD lists'!AF42,IF('BoD lists'!$C$3="SEA",'BoD lists'!AL42,'BoD lists'!AR42)))))</f>
        <v>3.1949357211296947</v>
      </c>
      <c r="F42" s="395" t="str">
        <f>IF($C$3="AMR",'BoD lists'!O42,IF('BoD lists'!$C$3="EUR",'BoD lists'!U42,IF('BoD lists'!$C$3="AFR",'BoD lists'!AA42,IF('BoD lists'!$C$3="EMR",'BoD lists'!AG42,IF('BoD lists'!$C$3="SEA",'BoD lists'!AM42,'BoD lists'!AS42)))))</f>
        <v>Glamour study</v>
      </c>
      <c r="G42" s="395" t="str">
        <f>IF($C$3="AMR",'BoD lists'!P42,IF('BoD lists'!$C$3="EUR",'BoD lists'!V42,IF('BoD lists'!$C$3="AFR",'BoD lists'!AB42,IF('BoD lists'!$C$3="EMR",'BoD lists'!AH42,IF('BoD lists'!$C$3="SEA",'BoD lists'!AN42,'BoD lists'!AT42)))))</f>
        <v>Average 1999-2011</v>
      </c>
      <c r="K42" s="393"/>
      <c r="L42" s="393">
        <v>1.5249999999999999</v>
      </c>
      <c r="M42" s="393">
        <v>1.3029999999999999</v>
      </c>
      <c r="N42" s="393">
        <v>1.7470000000000001</v>
      </c>
      <c r="O42" t="s">
        <v>1397</v>
      </c>
      <c r="P42" s="25" t="s">
        <v>1396</v>
      </c>
      <c r="R42" s="70">
        <v>1.1319999999999999</v>
      </c>
      <c r="S42" s="70">
        <v>0.95399999999999996</v>
      </c>
      <c r="T42" s="70">
        <v>1.3089999999999999</v>
      </c>
      <c r="U42" t="s">
        <v>1397</v>
      </c>
      <c r="V42" s="25" t="s">
        <v>1396</v>
      </c>
      <c r="X42" s="394">
        <v>3.0069970845864691</v>
      </c>
      <c r="Y42" s="394">
        <v>2.8190162478329497</v>
      </c>
      <c r="Z42" s="394">
        <v>3.1949357211296947</v>
      </c>
      <c r="AA42" t="s">
        <v>1397</v>
      </c>
      <c r="AB42" s="25" t="s">
        <v>1396</v>
      </c>
      <c r="AD42" s="70">
        <v>1.6819999999999999</v>
      </c>
      <c r="AE42" s="70">
        <v>1.407</v>
      </c>
      <c r="AF42" s="70">
        <v>1.9570000000000001</v>
      </c>
      <c r="AG42" t="s">
        <v>1397</v>
      </c>
      <c r="AH42" s="25" t="s">
        <v>1396</v>
      </c>
      <c r="AJ42" s="70">
        <v>2.012</v>
      </c>
      <c r="AK42" s="70">
        <v>1.633</v>
      </c>
      <c r="AL42" s="70">
        <v>2.391</v>
      </c>
      <c r="AM42" t="s">
        <v>1397</v>
      </c>
      <c r="AN42" s="25" t="s">
        <v>1396</v>
      </c>
      <c r="AP42" s="70">
        <v>1.5009999999999999</v>
      </c>
      <c r="AQ42" s="70">
        <v>1.22</v>
      </c>
      <c r="AR42" s="70">
        <v>1.7809999999999999</v>
      </c>
      <c r="AS42" t="s">
        <v>1397</v>
      </c>
      <c r="AT42" s="25" t="s">
        <v>1396</v>
      </c>
      <c r="AX42" s="31" t="s">
        <v>7</v>
      </c>
      <c r="AY42" s="136">
        <v>6.6</v>
      </c>
      <c r="AZ42" s="137">
        <v>6</v>
      </c>
      <c r="BA42" s="137">
        <v>7.3</v>
      </c>
      <c r="BB42" s="11" t="s">
        <v>953</v>
      </c>
    </row>
    <row r="43" spans="2:55" x14ac:dyDescent="0.3">
      <c r="B43" s="31" t="s">
        <v>11</v>
      </c>
      <c r="C43" s="395">
        <f>IF($C$3="AMR",'BoD lists'!L43,IF('BoD lists'!$C$3="EUR",'BoD lists'!R43,IF('BoD lists'!$C$3="AFR",'BoD lists'!X43,IF('BoD lists'!$C$3="EMR",'BoD lists'!AD43,IF('BoD lists'!$C$3="SEA",'BoD lists'!AJ43,'BoD lists'!AP43)))))</f>
        <v>55.524657939490098</v>
      </c>
      <c r="D43" s="395">
        <f>IF($C$3="AMR",'BoD lists'!M43,IF('BoD lists'!$C$3="EUR",'BoD lists'!S43,IF('BoD lists'!$C$3="AFR",'BoD lists'!Y43,IF('BoD lists'!$C$3="EMR",'BoD lists'!AE43,IF('BoD lists'!$C$3="SEA",'BoD lists'!AK43,'BoD lists'!AQ43)))))</f>
        <v>51.168681882012393</v>
      </c>
      <c r="E43" s="395">
        <f>IF($C$3="AMR",'BoD lists'!N43,IF('BoD lists'!$C$3="EUR",'BoD lists'!T43,IF('BoD lists'!$C$3="AFR",'BoD lists'!Z43,IF('BoD lists'!$C$3="EMR",'BoD lists'!AF43,IF('BoD lists'!$C$3="SEA",'BoD lists'!AL43,'BoD lists'!AR43)))))</f>
        <v>59.880960434022477</v>
      </c>
      <c r="F43" s="395" t="str">
        <f>IF($C$3="AMR",'BoD lists'!O43,IF('BoD lists'!$C$3="EUR",'BoD lists'!U43,IF('BoD lists'!$C$3="AFR",'BoD lists'!AA43,IF('BoD lists'!$C$3="EMR",'BoD lists'!AG43,IF('BoD lists'!$C$3="SEA",'BoD lists'!AM43,'BoD lists'!AS43)))))</f>
        <v>Glamour study</v>
      </c>
      <c r="G43" s="395" t="str">
        <f>IF($C$3="AMR",'BoD lists'!P43,IF('BoD lists'!$C$3="EUR",'BoD lists'!V43,IF('BoD lists'!$C$3="AFR",'BoD lists'!AB43,IF('BoD lists'!$C$3="EMR",'BoD lists'!AH43,IF('BoD lists'!$C$3="SEA",'BoD lists'!AN43,'BoD lists'!AT43)))))</f>
        <v>Average 1999-2011</v>
      </c>
      <c r="K43" s="393"/>
      <c r="L43" s="393">
        <v>50.384</v>
      </c>
      <c r="M43" s="393">
        <v>45.238</v>
      </c>
      <c r="N43" s="393">
        <v>55.530999999999999</v>
      </c>
      <c r="O43" t="s">
        <v>1397</v>
      </c>
      <c r="P43" s="25" t="s">
        <v>1396</v>
      </c>
      <c r="R43" s="394">
        <v>30.914856264995752</v>
      </c>
      <c r="S43" s="394">
        <v>26.803357018995058</v>
      </c>
      <c r="T43" s="394">
        <v>35.026540989376294</v>
      </c>
      <c r="U43" t="s">
        <v>1397</v>
      </c>
      <c r="V43" s="25" t="s">
        <v>1396</v>
      </c>
      <c r="X43" s="394">
        <v>55.524657939490098</v>
      </c>
      <c r="Y43" s="394">
        <v>51.168681882012393</v>
      </c>
      <c r="Z43" s="394">
        <v>59.880960434022477</v>
      </c>
      <c r="AA43" t="s">
        <v>1397</v>
      </c>
      <c r="AB43" s="25" t="s">
        <v>1396</v>
      </c>
      <c r="AD43" s="70">
        <v>49.015000000000001</v>
      </c>
      <c r="AE43" s="70">
        <v>42.642000000000003</v>
      </c>
      <c r="AF43" s="70">
        <v>55.387</v>
      </c>
      <c r="AG43" t="s">
        <v>1397</v>
      </c>
      <c r="AH43" s="25" t="s">
        <v>1396</v>
      </c>
      <c r="AJ43" s="70">
        <v>53.698</v>
      </c>
      <c r="AK43" s="70">
        <v>44.88</v>
      </c>
      <c r="AL43" s="70">
        <v>62.515999999999998</v>
      </c>
      <c r="AM43" t="s">
        <v>1397</v>
      </c>
      <c r="AN43" s="25" t="s">
        <v>1396</v>
      </c>
      <c r="AP43" s="70">
        <v>47.661000000000001</v>
      </c>
      <c r="AQ43" s="70">
        <v>41.128</v>
      </c>
      <c r="AR43" s="70">
        <v>54.192999999999998</v>
      </c>
      <c r="AS43" t="s">
        <v>1397</v>
      </c>
      <c r="AT43" s="25" t="s">
        <v>1396</v>
      </c>
      <c r="AX43" s="31" t="s">
        <v>11</v>
      </c>
      <c r="AY43" s="136">
        <v>2.2999999999999998</v>
      </c>
      <c r="AZ43" s="137">
        <v>2.1</v>
      </c>
      <c r="BA43" s="137">
        <v>2.6</v>
      </c>
      <c r="BB43" s="11" t="s">
        <v>953</v>
      </c>
    </row>
    <row r="44" spans="2:55" x14ac:dyDescent="0.3">
      <c r="AX44" s="31"/>
      <c r="AY44" s="136"/>
      <c r="AZ44" s="137"/>
      <c r="BA44" s="137"/>
      <c r="BB44" s="11"/>
    </row>
    <row r="45" spans="2:55" x14ac:dyDescent="0.3">
      <c r="L45" s="11"/>
      <c r="S45" s="70"/>
      <c r="Y45" s="394"/>
      <c r="AE45" s="70"/>
      <c r="AK45" s="70"/>
      <c r="AQ45" s="70"/>
      <c r="AX45" s="31" t="s">
        <v>227</v>
      </c>
      <c r="AY45" s="136">
        <v>1</v>
      </c>
      <c r="AZ45" s="137"/>
      <c r="BA45" s="137"/>
      <c r="BB45" s="11" t="s">
        <v>869</v>
      </c>
    </row>
    <row r="46" spans="2:55" x14ac:dyDescent="0.3">
      <c r="L46" s="11"/>
      <c r="M46" s="11"/>
      <c r="S46" s="70"/>
      <c r="Y46" s="394"/>
      <c r="AE46" s="70"/>
      <c r="AK46" s="70"/>
      <c r="AQ46" s="70"/>
      <c r="AX46" s="31" t="s">
        <v>8</v>
      </c>
      <c r="AY46" s="136">
        <v>38.6</v>
      </c>
      <c r="AZ46" s="137">
        <v>33.4</v>
      </c>
      <c r="BA46" s="137">
        <v>44.8</v>
      </c>
      <c r="BB46" s="11" t="s">
        <v>953</v>
      </c>
    </row>
    <row r="47" spans="2:55" x14ac:dyDescent="0.3">
      <c r="S47" s="70"/>
      <c r="Y47" s="394"/>
      <c r="AE47" s="70"/>
      <c r="AK47" s="70"/>
      <c r="AQ47" s="70"/>
      <c r="AX47" s="31"/>
      <c r="AY47" s="136"/>
      <c r="AZ47" s="137"/>
      <c r="BA47" s="137"/>
      <c r="BB47" s="11"/>
    </row>
    <row r="48" spans="2:55" x14ac:dyDescent="0.3">
      <c r="L48" s="31"/>
      <c r="M48" s="145"/>
      <c r="N48" s="146"/>
      <c r="O48" s="146"/>
      <c r="P48" s="11"/>
      <c r="S48" s="70"/>
      <c r="Y48" s="394"/>
      <c r="AE48" s="70"/>
      <c r="AK48" s="70"/>
      <c r="AQ48" s="70"/>
      <c r="AX48" s="31" t="s">
        <v>920</v>
      </c>
      <c r="AY48" s="136">
        <v>1</v>
      </c>
      <c r="AZ48" s="137"/>
      <c r="BA48" s="137"/>
    </row>
    <row r="49" spans="8:53" x14ac:dyDescent="0.3">
      <c r="L49" s="31"/>
      <c r="M49" s="145"/>
      <c r="N49" s="146"/>
      <c r="O49" s="146"/>
      <c r="P49" s="11"/>
      <c r="S49" s="70"/>
      <c r="Y49" s="394"/>
      <c r="AE49" s="70"/>
      <c r="AK49" s="70"/>
      <c r="AQ49" s="70"/>
      <c r="AX49" s="31"/>
      <c r="AY49" s="136"/>
      <c r="AZ49" s="137"/>
      <c r="BA49" s="137"/>
    </row>
    <row r="50" spans="8:53" x14ac:dyDescent="0.3">
      <c r="L50" s="31"/>
      <c r="M50" s="145"/>
      <c r="N50" s="146"/>
      <c r="O50" s="146"/>
      <c r="P50" s="11"/>
      <c r="S50" s="70"/>
      <c r="Y50" s="394"/>
      <c r="AE50" s="70"/>
      <c r="AK50" s="70"/>
      <c r="AQ50" s="70"/>
    </row>
    <row r="51" spans="8:53" x14ac:dyDescent="0.3">
      <c r="L51" s="31"/>
      <c r="M51" s="145"/>
      <c r="N51" s="146"/>
      <c r="O51" s="146"/>
      <c r="P51" s="11"/>
      <c r="S51" s="70"/>
      <c r="Y51" s="394"/>
      <c r="AE51" s="70"/>
      <c r="AK51" s="70"/>
      <c r="AQ51" s="70"/>
    </row>
    <row r="52" spans="8:53" x14ac:dyDescent="0.3">
      <c r="H52" s="31"/>
      <c r="I52" s="145"/>
      <c r="J52" s="146"/>
      <c r="K52" s="146"/>
      <c r="L52" s="11"/>
      <c r="S52" s="394"/>
      <c r="Y52" s="394"/>
      <c r="AE52" s="70"/>
      <c r="AK52" s="70"/>
      <c r="AQ52" s="70"/>
    </row>
    <row r="53" spans="8:53" x14ac:dyDescent="0.3">
      <c r="H53" s="31"/>
      <c r="I53" s="145"/>
      <c r="J53" s="146"/>
      <c r="K53" s="146"/>
      <c r="L53" s="11"/>
    </row>
    <row r="54" spans="8:53" x14ac:dyDescent="0.3">
      <c r="H54" s="31"/>
      <c r="I54" s="145"/>
      <c r="J54" s="146"/>
      <c r="K54" s="146"/>
      <c r="L54"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E8"/>
  <sheetViews>
    <sheetView workbookViewId="0">
      <selection activeCell="B12" sqref="B12"/>
    </sheetView>
  </sheetViews>
  <sheetFormatPr defaultRowHeight="14.4" x14ac:dyDescent="0.3"/>
  <sheetData>
    <row r="2" spans="2:5" x14ac:dyDescent="0.3">
      <c r="B2" t="s">
        <v>1115</v>
      </c>
    </row>
    <row r="3" spans="2:5" x14ac:dyDescent="0.3">
      <c r="B3" s="23" t="s">
        <v>1117</v>
      </c>
    </row>
    <row r="4" spans="2:5" x14ac:dyDescent="0.3">
      <c r="B4" t="s">
        <v>1113</v>
      </c>
      <c r="C4" t="s">
        <v>1114</v>
      </c>
      <c r="D4" t="s">
        <v>985</v>
      </c>
      <c r="E4" t="s">
        <v>986</v>
      </c>
    </row>
    <row r="5" spans="2:5" x14ac:dyDescent="0.3">
      <c r="B5" t="s">
        <v>691</v>
      </c>
      <c r="C5">
        <v>4.2</v>
      </c>
      <c r="D5">
        <v>4.2</v>
      </c>
      <c r="E5">
        <v>4.2</v>
      </c>
    </row>
    <row r="6" spans="2:5" x14ac:dyDescent="0.3">
      <c r="B6" t="s">
        <v>688</v>
      </c>
      <c r="C6">
        <v>5.21</v>
      </c>
      <c r="D6">
        <v>5.16</v>
      </c>
      <c r="E6">
        <v>5.26</v>
      </c>
    </row>
    <row r="7" spans="2:5" x14ac:dyDescent="0.3">
      <c r="B7" t="s">
        <v>689</v>
      </c>
      <c r="C7">
        <v>3.2</v>
      </c>
      <c r="D7">
        <v>1.1200000000000001</v>
      </c>
      <c r="E7">
        <v>4.4400000000000004</v>
      </c>
    </row>
    <row r="8" spans="2:5" x14ac:dyDescent="0.3">
      <c r="B8" t="s">
        <v>690</v>
      </c>
      <c r="C8">
        <v>3.55</v>
      </c>
      <c r="D8">
        <v>2.91</v>
      </c>
      <c r="E8">
        <v>7.59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GM229"/>
  <sheetViews>
    <sheetView zoomScale="85" zoomScaleNormal="85" workbookViewId="0">
      <pane xSplit="5" ySplit="3" topLeftCell="F4" activePane="bottomRight" state="frozen"/>
      <selection activeCell="B12" sqref="B12"/>
      <selection pane="topRight" activeCell="B12" sqref="B12"/>
      <selection pane="bottomLeft" activeCell="B12" sqref="B12"/>
      <selection pane="bottomRight" activeCell="C4" sqref="C4"/>
    </sheetView>
  </sheetViews>
  <sheetFormatPr defaultColWidth="9.109375" defaultRowHeight="13.2" x14ac:dyDescent="0.25"/>
  <cols>
    <col min="1" max="1" width="9.109375" style="37"/>
    <col min="2" max="2" width="13.6640625" style="37" customWidth="1"/>
    <col min="3" max="3" width="9.88671875" style="37" customWidth="1"/>
    <col min="4" max="5" width="9.109375" style="37"/>
    <col min="6" max="6" width="19.88671875" style="37" customWidth="1"/>
    <col min="7" max="7" width="9.109375" style="37"/>
    <col min="8" max="8" width="14.44140625" style="37" customWidth="1"/>
    <col min="9" max="9" width="18.109375" style="37" bestFit="1" customWidth="1"/>
    <col min="10" max="10" width="12.33203125" style="37" bestFit="1" customWidth="1"/>
    <col min="11" max="12" width="9.109375" style="37" customWidth="1"/>
    <col min="13" max="13" width="12" style="37" customWidth="1"/>
    <col min="14" max="14" width="9.109375" style="37" customWidth="1"/>
    <col min="15" max="15" width="16" style="37" customWidth="1"/>
    <col min="16" max="17" width="12" style="37" customWidth="1"/>
    <col min="18" max="18" width="15.44140625" style="37" customWidth="1"/>
    <col min="19" max="19" width="9.109375" style="37"/>
    <col min="20" max="20" width="21.88671875" style="37" customWidth="1"/>
    <col min="21" max="21" width="7" style="37" customWidth="1"/>
    <col min="22" max="22" width="15.33203125" style="37" bestFit="1" customWidth="1"/>
    <col min="23" max="23" width="11.44140625" style="37" customWidth="1"/>
    <col min="24" max="24" width="14.33203125" style="37" customWidth="1"/>
    <col min="25" max="25" width="12.33203125" style="37" customWidth="1"/>
    <col min="26" max="26" width="13.6640625" style="37" customWidth="1"/>
    <col min="27" max="27" width="16.88671875" style="37" customWidth="1"/>
    <col min="28" max="28" width="16.5546875" style="37" customWidth="1"/>
    <col min="29" max="29" width="11.5546875" style="37" bestFit="1" customWidth="1"/>
    <col min="30" max="30" width="9.109375" style="37"/>
    <col min="31" max="31" width="10.109375" style="37" customWidth="1"/>
    <col min="32" max="32" width="10.5546875" style="37" bestFit="1" customWidth="1"/>
    <col min="33" max="33" width="10.33203125" style="37" bestFit="1" customWidth="1"/>
    <col min="34" max="34" width="9.109375" style="37"/>
    <col min="35" max="35" width="11.5546875" style="37" bestFit="1" customWidth="1"/>
    <col min="36" max="36" width="13.6640625" style="37" bestFit="1" customWidth="1"/>
    <col min="37" max="37" width="9.109375" style="37"/>
    <col min="38" max="38" width="11.5546875" style="37" bestFit="1" customWidth="1"/>
    <col min="39" max="42" width="9.109375" style="37"/>
    <col min="43" max="43" width="11" style="37" bestFit="1" customWidth="1"/>
    <col min="44" max="44" width="11.6640625" style="37" bestFit="1" customWidth="1"/>
    <col min="45" max="45" width="9.109375" style="37"/>
    <col min="46" max="46" width="9.6640625" style="37" customWidth="1"/>
    <col min="47" max="47" width="12.33203125" style="37" customWidth="1"/>
    <col min="48" max="48" width="9.6640625" style="37" customWidth="1"/>
    <col min="49" max="55" width="9.109375" style="37"/>
    <col min="56" max="56" width="9.6640625" style="37" bestFit="1" customWidth="1"/>
    <col min="57" max="64" width="10.33203125" style="37" bestFit="1" customWidth="1"/>
    <col min="65" max="75" width="9.109375" style="37"/>
    <col min="76" max="76" width="14.5546875" style="37" bestFit="1" customWidth="1"/>
    <col min="77" max="77" width="18.6640625" style="37" customWidth="1"/>
    <col min="78" max="78" width="9.109375" style="37"/>
    <col min="79" max="79" width="15.44140625" style="37" customWidth="1"/>
    <col min="80" max="80" width="13.5546875" style="37" customWidth="1"/>
    <col min="81" max="81" width="14.33203125" style="37" bestFit="1" customWidth="1"/>
    <col min="82" max="82" width="11.6640625" style="37" bestFit="1" customWidth="1"/>
    <col min="83" max="83" width="12.6640625" style="37" customWidth="1"/>
    <col min="84" max="85" width="10.33203125" style="37" bestFit="1" customWidth="1"/>
    <col min="86" max="87" width="9.33203125" style="37" bestFit="1" customWidth="1"/>
    <col min="88" max="88" width="9.109375" style="37"/>
    <col min="89" max="89" width="12.88671875" style="37" bestFit="1" customWidth="1"/>
    <col min="90" max="95" width="10.33203125" style="37" bestFit="1" customWidth="1"/>
    <col min="96" max="96" width="9.33203125" style="37" bestFit="1" customWidth="1"/>
    <col min="97" max="97" width="5.88671875" style="37" bestFit="1" customWidth="1"/>
    <col min="98" max="16384" width="9.109375" style="37"/>
  </cols>
  <sheetData>
    <row r="1" spans="1:97" x14ac:dyDescent="0.25">
      <c r="F1" s="37" t="s">
        <v>1352</v>
      </c>
    </row>
    <row r="2" spans="1:97" ht="14.4" x14ac:dyDescent="0.3">
      <c r="C2" s="210"/>
      <c r="F2" s="138"/>
      <c r="M2" s="2" t="s">
        <v>540</v>
      </c>
      <c r="P2" s="2" t="s">
        <v>243</v>
      </c>
      <c r="V2" s="2" t="s">
        <v>541</v>
      </c>
      <c r="W2" s="2"/>
      <c r="X2" s="2"/>
      <c r="Y2" s="2"/>
      <c r="Z2" s="2"/>
      <c r="AA2" s="2"/>
      <c r="AP2" s="38"/>
      <c r="AT2"/>
      <c r="AU2"/>
      <c r="AV2"/>
      <c r="AW2"/>
      <c r="AX2"/>
      <c r="AY2"/>
      <c r="AZ2"/>
      <c r="BA2"/>
      <c r="BB2"/>
      <c r="BC2"/>
      <c r="BD2"/>
      <c r="BE2"/>
      <c r="BF2"/>
      <c r="BG2"/>
      <c r="BH2"/>
      <c r="BI2"/>
      <c r="BJ2"/>
      <c r="BK2"/>
      <c r="BL2"/>
      <c r="BM2"/>
      <c r="BN2" s="39"/>
      <c r="BO2" s="39"/>
      <c r="BP2"/>
      <c r="BQ2"/>
      <c r="BR2" s="3"/>
      <c r="BS2" s="3"/>
      <c r="BT2"/>
      <c r="BU2"/>
      <c r="BV2"/>
      <c r="BW2"/>
      <c r="BX2"/>
      <c r="CA2"/>
      <c r="CB2"/>
      <c r="CC2"/>
      <c r="CD2"/>
      <c r="CE2"/>
      <c r="CF2"/>
      <c r="CG2"/>
      <c r="CH2"/>
      <c r="CI2"/>
      <c r="CJ2"/>
      <c r="CK2"/>
      <c r="CL2"/>
      <c r="CM2"/>
      <c r="CN2"/>
      <c r="CO2"/>
      <c r="CP2"/>
      <c r="CQ2"/>
      <c r="CR2"/>
      <c r="CS2"/>
    </row>
    <row r="3" spans="1:97" ht="41.4" x14ac:dyDescent="0.3">
      <c r="A3" s="215" t="s">
        <v>1</v>
      </c>
      <c r="B3" s="237" t="s">
        <v>1351</v>
      </c>
      <c r="C3" s="272" t="s">
        <v>1350</v>
      </c>
      <c r="E3" s="138"/>
      <c r="F3" s="12" t="s">
        <v>542</v>
      </c>
      <c r="H3" s="4" t="s">
        <v>237</v>
      </c>
      <c r="I3" s="4" t="s">
        <v>238</v>
      </c>
      <c r="J3" s="4" t="s">
        <v>239</v>
      </c>
      <c r="K3" s="4" t="s">
        <v>225</v>
      </c>
      <c r="L3" s="4" t="s">
        <v>240</v>
      </c>
      <c r="M3" s="4" t="s">
        <v>241</v>
      </c>
      <c r="N3" s="4" t="s">
        <v>242</v>
      </c>
      <c r="O3" s="4" t="s">
        <v>245</v>
      </c>
      <c r="P3" s="4" t="s">
        <v>243</v>
      </c>
      <c r="Q3" s="4" t="s">
        <v>244</v>
      </c>
      <c r="R3" s="4" t="s">
        <v>246</v>
      </c>
      <c r="T3" s="12" t="s">
        <v>543</v>
      </c>
      <c r="V3" s="4" t="s">
        <v>241</v>
      </c>
      <c r="W3" s="4" t="s">
        <v>242</v>
      </c>
      <c r="X3" s="4" t="s">
        <v>245</v>
      </c>
      <c r="Y3" s="4" t="s">
        <v>243</v>
      </c>
      <c r="Z3" s="4" t="s">
        <v>244</v>
      </c>
      <c r="AA3" s="4" t="s">
        <v>246</v>
      </c>
      <c r="AB3" s="4"/>
      <c r="AC3" s="37" t="s">
        <v>247</v>
      </c>
      <c r="AP3" s="41"/>
      <c r="AQ3" s="41"/>
      <c r="AR3" s="41"/>
      <c r="AS3" s="41"/>
      <c r="AT3"/>
      <c r="AU3" s="42"/>
      <c r="AV3"/>
      <c r="AW3"/>
      <c r="AX3"/>
      <c r="AY3"/>
      <c r="AZ3"/>
      <c r="BA3"/>
      <c r="BB3"/>
      <c r="BC3"/>
      <c r="BD3"/>
      <c r="BE3" s="42"/>
      <c r="BF3"/>
      <c r="BG3"/>
      <c r="BH3"/>
      <c r="BI3"/>
      <c r="BJ3"/>
      <c r="BK3"/>
      <c r="BL3"/>
      <c r="BN3" s="39"/>
      <c r="BO3" s="39"/>
      <c r="BP3" s="43"/>
      <c r="BQ3" s="43"/>
      <c r="BR3" s="43"/>
      <c r="BS3" s="43"/>
      <c r="BT3" s="43"/>
      <c r="BU3" s="43"/>
      <c r="BV3" s="43"/>
      <c r="BW3" s="43"/>
      <c r="BX3"/>
      <c r="BY3" s="5"/>
      <c r="CA3"/>
      <c r="CB3" s="42"/>
      <c r="CC3"/>
      <c r="CD3"/>
      <c r="CE3"/>
      <c r="CF3"/>
      <c r="CG3"/>
      <c r="CH3"/>
      <c r="CI3"/>
      <c r="CJ3"/>
      <c r="CK3"/>
      <c r="CL3" s="42"/>
      <c r="CM3"/>
      <c r="CN3"/>
      <c r="CO3"/>
      <c r="CP3"/>
      <c r="CQ3"/>
      <c r="CR3"/>
      <c r="CS3"/>
    </row>
    <row r="4" spans="1:97" ht="14.4" x14ac:dyDescent="0.3">
      <c r="A4" s="267" t="s">
        <v>597</v>
      </c>
      <c r="B4" s="371">
        <f>HLOOKUP('General input'!$C$4,'Life table (HE)'!$I$178:$GM$200,'Life table (HE)'!G179,FALSE)</f>
        <v>3.3500000000000002E-2</v>
      </c>
      <c r="C4" s="147">
        <v>0.84709999999999996</v>
      </c>
      <c r="E4" s="138">
        <v>0</v>
      </c>
      <c r="F4" s="44">
        <f>'Life table (HE)'!B4</f>
        <v>3.3500000000000002E-2</v>
      </c>
      <c r="H4" s="45">
        <f>F4</f>
        <v>3.3500000000000002E-2</v>
      </c>
      <c r="I4" s="46">
        <f>1-EXP(-H4)</f>
        <v>3.2945088768597142E-2</v>
      </c>
      <c r="J4" s="37">
        <v>100000</v>
      </c>
      <c r="K4" s="41">
        <f>I4*J4</f>
        <v>3294.5088768597143</v>
      </c>
      <c r="M4" s="37">
        <f t="shared" ref="M4:M67" si="0">J5+0.5*K4</f>
        <v>98352.745561570133</v>
      </c>
      <c r="N4" s="37">
        <f>SUM(M4:M$113)</f>
        <v>6216671.4551698826</v>
      </c>
      <c r="O4" s="47">
        <f t="shared" ref="O4:O35" si="1">N4/M4</f>
        <v>63.207909648827886</v>
      </c>
      <c r="P4" s="37">
        <f>(J5+0.5*K4)/(1+'General input'!$C$113)^E4</f>
        <v>98352.745561570133</v>
      </c>
      <c r="Q4" s="37">
        <f>SUM(P4:P$113)</f>
        <v>1879769.4887109492</v>
      </c>
      <c r="R4" s="37">
        <f t="shared" ref="R4:R35" si="2">Q4/P4</f>
        <v>19.112526833673275</v>
      </c>
      <c r="T4" s="44">
        <f>'Life table (HE)'!C4</f>
        <v>0.84709999999999996</v>
      </c>
      <c r="V4" s="48">
        <f>M4*T4</f>
        <v>83314.61076520606</v>
      </c>
      <c r="W4" s="37">
        <f>SUM(V4:V$115)</f>
        <v>4354453.7560776016</v>
      </c>
      <c r="X4" s="47">
        <f t="shared" ref="X4:X35" si="3">W4/M4</f>
        <v>44.273840361189059</v>
      </c>
      <c r="Y4" s="37">
        <f>V4/(1+'General input'!$C$113)^E4</f>
        <v>83314.61076520606</v>
      </c>
      <c r="Z4" s="37">
        <f>SUM(Y4:Y$115)</f>
        <v>1466631.0895474683</v>
      </c>
      <c r="AA4" s="47">
        <f t="shared" ref="AA4:AA35" si="4">Z4/P4</f>
        <v>14.911948631157813</v>
      </c>
      <c r="AB4" s="47"/>
      <c r="AC4" s="37">
        <v>0.5</v>
      </c>
      <c r="AD4" s="37">
        <f t="shared" ref="AD4:AD35" si="5">AC4*K4</f>
        <v>1647.2544384298571</v>
      </c>
      <c r="AF4" s="4"/>
      <c r="AI4" s="4"/>
      <c r="AL4" s="4"/>
      <c r="AP4" s="41"/>
      <c r="AQ4" s="41"/>
      <c r="AR4" s="49"/>
      <c r="AS4" s="41"/>
      <c r="AT4" s="41"/>
      <c r="AU4" s="41"/>
      <c r="AV4" s="41"/>
      <c r="AW4" s="41"/>
      <c r="AX4" s="41"/>
      <c r="AY4" s="41"/>
      <c r="AZ4" s="41"/>
      <c r="BA4" s="41"/>
      <c r="BB4" s="41"/>
      <c r="BD4" s="6"/>
      <c r="BE4" s="7"/>
      <c r="BF4" s="7"/>
      <c r="BG4" s="7"/>
      <c r="BH4" s="7"/>
      <c r="BI4" s="7"/>
      <c r="BJ4" s="7"/>
      <c r="BK4" s="7"/>
      <c r="BL4" s="7"/>
      <c r="BN4" s="39"/>
      <c r="BO4" s="39"/>
      <c r="BP4"/>
      <c r="BQ4"/>
      <c r="BR4"/>
      <c r="BS4"/>
      <c r="BT4"/>
      <c r="BU4"/>
      <c r="BV4"/>
      <c r="BW4"/>
      <c r="BX4"/>
      <c r="BY4" s="50"/>
      <c r="CA4" s="49"/>
      <c r="CB4" s="49"/>
      <c r="CC4" s="49"/>
      <c r="CD4" s="49"/>
      <c r="CE4" s="49"/>
      <c r="CF4" s="49"/>
      <c r="CG4" s="49"/>
      <c r="CH4" s="49"/>
      <c r="CI4" s="49"/>
      <c r="CK4" s="7"/>
      <c r="CL4" s="7"/>
      <c r="CM4" s="7"/>
      <c r="CN4" s="7"/>
      <c r="CO4" s="7"/>
      <c r="CP4" s="7"/>
      <c r="CQ4" s="7"/>
      <c r="CR4" s="7"/>
      <c r="CS4" s="7"/>
    </row>
    <row r="5" spans="1:97" ht="14.4" x14ac:dyDescent="0.3">
      <c r="A5" s="268" t="s">
        <v>598</v>
      </c>
      <c r="B5" s="371">
        <f>HLOOKUP('General input'!$C$4,'Life table (HE)'!$I$178:$GM$200,'Life table (HE)'!G180,FALSE)</f>
        <v>2.5000000000000001E-3</v>
      </c>
      <c r="C5" s="147">
        <v>0.84709999999999996</v>
      </c>
      <c r="E5" s="138">
        <v>1</v>
      </c>
      <c r="F5" s="44">
        <f>'Life table (HE)'!B$5</f>
        <v>2.5000000000000001E-3</v>
      </c>
      <c r="H5" s="45">
        <f t="shared" ref="H5:H68" si="6">F5</f>
        <v>2.5000000000000001E-3</v>
      </c>
      <c r="I5" s="46">
        <f t="shared" ref="I5:I68" si="7">1-EXP(-H5)</f>
        <v>2.4968776025399153E-3</v>
      </c>
      <c r="J5" s="37">
        <f t="shared" ref="J5:J68" si="8">J4-K4</f>
        <v>96705.49112314028</v>
      </c>
      <c r="K5" s="41">
        <f t="shared" ref="K5:K67" si="9">I5*J5</f>
        <v>241.46177482799158</v>
      </c>
      <c r="L5" s="41">
        <f>SUM($K$4:K4)</f>
        <v>3294.5088768597143</v>
      </c>
      <c r="M5" s="37">
        <f t="shared" si="0"/>
        <v>96584.760235726295</v>
      </c>
      <c r="N5" s="37">
        <f>SUM(M5:M$113)</f>
        <v>6118318.7096083127</v>
      </c>
      <c r="O5" s="47">
        <f t="shared" si="1"/>
        <v>63.346626265632871</v>
      </c>
      <c r="P5" s="37">
        <f>(J6+0.5*K5)/(1+'General input'!$C$113)^E5</f>
        <v>91985.485938786936</v>
      </c>
      <c r="Q5" s="37">
        <f>SUM(P5:P$113)</f>
        <v>1781416.743149379</v>
      </c>
      <c r="R5" s="37">
        <f t="shared" si="2"/>
        <v>19.366280723187661</v>
      </c>
      <c r="T5" s="44">
        <f>'Life table (HE)'!C$5</f>
        <v>0.84709999999999996</v>
      </c>
      <c r="V5" s="48">
        <f t="shared" ref="V5:V68" si="10">M5*T5</f>
        <v>81816.950395683743</v>
      </c>
      <c r="W5" s="37">
        <f>SUM(V5:V$115)</f>
        <v>4271139.1453123949</v>
      </c>
      <c r="X5" s="47">
        <f t="shared" si="3"/>
        <v>44.221667423392525</v>
      </c>
      <c r="Y5" s="37">
        <f>V5/(1+'General input'!$C$113)^E5</f>
        <v>77920.905138746413</v>
      </c>
      <c r="Z5" s="37">
        <f>SUM(Y5:Y$115)</f>
        <v>1383316.4787822624</v>
      </c>
      <c r="AA5" s="47">
        <f t="shared" si="4"/>
        <v>15.038421166822017</v>
      </c>
      <c r="AB5" s="47"/>
      <c r="AC5" s="37">
        <f t="shared" ref="AC5:AC36" si="11">E5+0.5</f>
        <v>1.5</v>
      </c>
      <c r="AD5" s="37">
        <f t="shared" si="5"/>
        <v>362.19266224198736</v>
      </c>
      <c r="AF5" s="4"/>
      <c r="AI5" s="4"/>
      <c r="AL5" s="4"/>
      <c r="AP5" s="41"/>
      <c r="AQ5" s="41"/>
      <c r="AR5" s="49"/>
      <c r="AS5" s="41"/>
      <c r="AT5" s="41"/>
      <c r="AU5" s="41"/>
      <c r="AV5" s="41"/>
      <c r="AW5" s="41"/>
      <c r="AX5" s="41"/>
      <c r="AY5" s="41"/>
      <c r="AZ5" s="41"/>
      <c r="BA5" s="41"/>
      <c r="BB5" s="41"/>
      <c r="BD5" s="6"/>
      <c r="BE5" s="7"/>
      <c r="BF5" s="7"/>
      <c r="BG5" s="7"/>
      <c r="BH5" s="7"/>
      <c r="BI5" s="7"/>
      <c r="BJ5" s="7"/>
      <c r="BK5" s="7"/>
      <c r="BL5" s="7"/>
      <c r="BN5" s="39"/>
      <c r="BO5" s="39"/>
      <c r="BP5"/>
      <c r="BQ5"/>
      <c r="BR5"/>
      <c r="BS5"/>
      <c r="BT5"/>
      <c r="BU5"/>
      <c r="BV5"/>
      <c r="BW5"/>
      <c r="BX5"/>
      <c r="BY5" s="50"/>
      <c r="CA5" s="49"/>
      <c r="CB5" s="49"/>
      <c r="CC5" s="49"/>
      <c r="CD5" s="49"/>
      <c r="CE5" s="49"/>
      <c r="CF5" s="49"/>
      <c r="CG5" s="49"/>
      <c r="CH5" s="49"/>
      <c r="CI5" s="49"/>
      <c r="CK5" s="7"/>
      <c r="CL5" s="7"/>
      <c r="CM5" s="7"/>
      <c r="CN5" s="7"/>
      <c r="CO5" s="7"/>
      <c r="CP5" s="7"/>
      <c r="CQ5" s="7"/>
      <c r="CR5" s="7"/>
      <c r="CS5" s="7"/>
    </row>
    <row r="6" spans="1:97" ht="14.4" x14ac:dyDescent="0.3">
      <c r="A6" s="268" t="s">
        <v>599</v>
      </c>
      <c r="B6" s="371">
        <f>HLOOKUP('General input'!$C$4,'Life table (HE)'!$I$178:$GM$200,'Life table (HE)'!G181,FALSE)</f>
        <v>1E-3</v>
      </c>
      <c r="C6" s="147">
        <v>0.81699999999999995</v>
      </c>
      <c r="E6" s="138">
        <v>2</v>
      </c>
      <c r="F6" s="44">
        <f>'Life table (HE)'!B$5</f>
        <v>2.5000000000000001E-3</v>
      </c>
      <c r="H6" s="45">
        <f t="shared" si="6"/>
        <v>2.5000000000000001E-3</v>
      </c>
      <c r="I6" s="46">
        <f t="shared" si="7"/>
        <v>2.4968776025399153E-3</v>
      </c>
      <c r="J6" s="37">
        <f t="shared" si="8"/>
        <v>96464.029348312295</v>
      </c>
      <c r="K6" s="41">
        <f t="shared" si="9"/>
        <v>240.85887433055404</v>
      </c>
      <c r="L6" s="41">
        <f>SUM($K$4:K5)</f>
        <v>3535.9706516877059</v>
      </c>
      <c r="M6" s="37">
        <f t="shared" si="0"/>
        <v>96343.599911147016</v>
      </c>
      <c r="N6" s="37">
        <f>SUM(M6:M$113)</f>
        <v>6021733.9493725877</v>
      </c>
      <c r="O6" s="47">
        <f t="shared" si="1"/>
        <v>62.502687826966586</v>
      </c>
      <c r="P6" s="37">
        <f>(J7+0.5*K6)/(1+'General input'!$C$113)^E6</f>
        <v>87386.485180178701</v>
      </c>
      <c r="Q6" s="37">
        <f>SUM(P6:P$113)</f>
        <v>1689431.257210592</v>
      </c>
      <c r="R6" s="37">
        <f t="shared" si="2"/>
        <v>19.332866560855734</v>
      </c>
      <c r="T6" s="44">
        <f>'Life table (HE)'!C$5</f>
        <v>0.84709999999999996</v>
      </c>
      <c r="V6" s="48">
        <f t="shared" si="10"/>
        <v>81612.663484732635</v>
      </c>
      <c r="W6" s="37">
        <f>SUM(V6:V$115)</f>
        <v>4189322.1949167098</v>
      </c>
      <c r="X6" s="47">
        <f t="shared" si="3"/>
        <v>43.483139500499426</v>
      </c>
      <c r="Y6" s="37">
        <f>V6/(1+'General input'!$C$113)^E6</f>
        <v>74025.091596129365</v>
      </c>
      <c r="Z6" s="37">
        <f>SUM(Y6:Y$115)</f>
        <v>1305395.5736435156</v>
      </c>
      <c r="AA6" s="47">
        <f t="shared" si="4"/>
        <v>14.938186047327257</v>
      </c>
      <c r="AB6" s="47"/>
      <c r="AC6" s="37">
        <f t="shared" si="11"/>
        <v>2.5</v>
      </c>
      <c r="AD6" s="37">
        <f t="shared" si="5"/>
        <v>602.14718582638511</v>
      </c>
      <c r="AF6" s="4"/>
      <c r="AI6" s="4"/>
      <c r="AL6" s="4"/>
      <c r="AP6" s="41"/>
      <c r="AQ6" s="41"/>
      <c r="AR6" s="49"/>
      <c r="AS6" s="41"/>
      <c r="AT6" s="41"/>
      <c r="AU6" s="41"/>
      <c r="AV6" s="41"/>
      <c r="AW6" s="41"/>
      <c r="AX6" s="41"/>
      <c r="AY6" s="41"/>
      <c r="AZ6" s="41"/>
      <c r="BA6" s="41"/>
      <c r="BB6" s="41"/>
      <c r="BD6" s="6"/>
      <c r="BE6" s="7"/>
      <c r="BF6" s="7"/>
      <c r="BG6" s="7"/>
      <c r="BH6" s="7"/>
      <c r="BI6" s="7"/>
      <c r="BJ6" s="7"/>
      <c r="BK6" s="7"/>
      <c r="BL6" s="7"/>
      <c r="BN6" s="39"/>
      <c r="BO6" s="39"/>
      <c r="BP6"/>
      <c r="BQ6"/>
      <c r="BR6"/>
      <c r="BS6"/>
      <c r="BT6"/>
      <c r="BU6"/>
      <c r="BV6"/>
      <c r="BW6"/>
      <c r="BX6"/>
      <c r="BY6" s="50"/>
      <c r="CA6" s="49"/>
      <c r="CB6" s="49"/>
      <c r="CC6" s="49"/>
      <c r="CD6" s="49"/>
      <c r="CE6" s="49"/>
      <c r="CF6" s="49"/>
      <c r="CG6" s="49"/>
      <c r="CH6" s="49"/>
      <c r="CI6" s="49"/>
      <c r="CK6" s="7"/>
      <c r="CL6" s="7"/>
      <c r="CM6" s="7"/>
      <c r="CN6" s="7"/>
      <c r="CO6" s="7"/>
      <c r="CP6" s="7"/>
      <c r="CQ6" s="7"/>
      <c r="CR6" s="7"/>
      <c r="CS6" s="7"/>
    </row>
    <row r="7" spans="1:97" ht="14.4" x14ac:dyDescent="0.3">
      <c r="A7" s="268" t="s">
        <v>600</v>
      </c>
      <c r="B7" s="371">
        <f>HLOOKUP('General input'!$C$4,'Life table (HE)'!$I$178:$GM$200,'Life table (HE)'!G182,FALSE)</f>
        <v>1E-3</v>
      </c>
      <c r="C7" s="147">
        <v>0.81699999999999995</v>
      </c>
      <c r="E7" s="138">
        <v>3</v>
      </c>
      <c r="F7" s="44">
        <f>'Life table (HE)'!B$5</f>
        <v>2.5000000000000001E-3</v>
      </c>
      <c r="H7" s="45">
        <f t="shared" si="6"/>
        <v>2.5000000000000001E-3</v>
      </c>
      <c r="I7" s="46">
        <f t="shared" si="7"/>
        <v>2.4968776025399153E-3</v>
      </c>
      <c r="J7" s="37">
        <f t="shared" si="8"/>
        <v>96223.170473981736</v>
      </c>
      <c r="K7" s="41">
        <f t="shared" si="9"/>
        <v>240.2574792018651</v>
      </c>
      <c r="L7" s="41">
        <f>SUM($K$4:K6)</f>
        <v>3776.8295260182599</v>
      </c>
      <c r="M7" s="37">
        <f t="shared" si="0"/>
        <v>96103.041734380793</v>
      </c>
      <c r="N7" s="37">
        <f>SUM(M7:M$113)</f>
        <v>5925390.3494614409</v>
      </c>
      <c r="O7" s="47">
        <f t="shared" si="1"/>
        <v>61.656636902696874</v>
      </c>
      <c r="P7" s="37">
        <f>(J8+0.5*K7)/(1+'General input'!$C$113)^E7</f>
        <v>83017.420783397713</v>
      </c>
      <c r="Q7" s="37">
        <f>SUM(P7:P$113)</f>
        <v>1602044.7720304134</v>
      </c>
      <c r="R7" s="37">
        <f t="shared" si="2"/>
        <v>19.297693868499458</v>
      </c>
      <c r="T7" s="44">
        <f>'Life table (HE)'!C$5</f>
        <v>0.84709999999999996</v>
      </c>
      <c r="V7" s="48">
        <f t="shared" si="10"/>
        <v>81408.886653193971</v>
      </c>
      <c r="W7" s="37">
        <f>SUM(V7:V$115)</f>
        <v>4107709.5314319772</v>
      </c>
      <c r="X7" s="47">
        <f t="shared" si="3"/>
        <v>42.742762947974903</v>
      </c>
      <c r="Y7" s="37">
        <f>V7/(1+'General input'!$C$113)^E7</f>
        <v>70324.057145616214</v>
      </c>
      <c r="Z7" s="37">
        <f>SUM(Y7:Y$115)</f>
        <v>1231370.4820473865</v>
      </c>
      <c r="AA7" s="47">
        <f t="shared" si="4"/>
        <v>14.832675725498362</v>
      </c>
      <c r="AB7" s="47"/>
      <c r="AC7" s="37">
        <f t="shared" si="11"/>
        <v>3.5</v>
      </c>
      <c r="AD7" s="37">
        <f t="shared" si="5"/>
        <v>840.90117720652779</v>
      </c>
      <c r="AF7" s="4"/>
      <c r="AI7" s="4"/>
      <c r="AL7" s="4"/>
      <c r="AP7" s="41"/>
      <c r="AQ7" s="41"/>
      <c r="AR7" s="49"/>
      <c r="AS7" s="41"/>
      <c r="AT7" s="41"/>
      <c r="AU7" s="41"/>
      <c r="AV7" s="41"/>
      <c r="AW7" s="41"/>
      <c r="AX7" s="41"/>
      <c r="AY7" s="41"/>
      <c r="AZ7" s="41"/>
      <c r="BA7" s="41"/>
      <c r="BB7" s="41"/>
      <c r="BD7" s="6"/>
      <c r="BE7" s="7"/>
      <c r="BF7" s="7"/>
      <c r="BG7" s="7"/>
      <c r="BH7" s="7"/>
      <c r="BI7" s="7"/>
      <c r="BJ7" s="7"/>
      <c r="BK7" s="7"/>
      <c r="BL7" s="7"/>
      <c r="BN7" s="39"/>
      <c r="BO7" s="39"/>
      <c r="BP7"/>
      <c r="BQ7"/>
      <c r="BR7"/>
      <c r="BS7"/>
      <c r="BT7"/>
      <c r="BU7"/>
      <c r="BV7"/>
      <c r="BW7"/>
      <c r="BX7"/>
      <c r="BY7" s="50"/>
      <c r="CA7" s="49"/>
      <c r="CB7" s="49"/>
      <c r="CC7" s="49"/>
      <c r="CD7" s="49"/>
      <c r="CE7" s="49"/>
      <c r="CF7" s="49"/>
      <c r="CG7" s="49"/>
      <c r="CH7" s="49"/>
      <c r="CI7" s="49"/>
      <c r="CK7" s="7"/>
      <c r="CL7" s="7"/>
      <c r="CM7" s="7"/>
      <c r="CN7" s="7"/>
      <c r="CO7" s="7"/>
      <c r="CP7" s="7"/>
      <c r="CQ7" s="7"/>
      <c r="CR7" s="7"/>
      <c r="CS7" s="7"/>
    </row>
    <row r="8" spans="1:97" ht="14.4" x14ac:dyDescent="0.3">
      <c r="A8" s="267" t="s">
        <v>601</v>
      </c>
      <c r="B8" s="371">
        <f>HLOOKUP('General input'!$C$4,'Life table (HE)'!$I$178:$GM$200,'Life table (HE)'!G183,FALSE)</f>
        <v>1.5E-3</v>
      </c>
      <c r="C8" s="147">
        <v>0.78948000000000007</v>
      </c>
      <c r="E8" s="138">
        <v>4</v>
      </c>
      <c r="F8" s="44">
        <f>'Life table (HE)'!B$5</f>
        <v>2.5000000000000001E-3</v>
      </c>
      <c r="H8" s="45">
        <f t="shared" si="6"/>
        <v>2.5000000000000001E-3</v>
      </c>
      <c r="I8" s="46">
        <f t="shared" si="7"/>
        <v>2.4968776025399153E-3</v>
      </c>
      <c r="J8" s="37">
        <f t="shared" si="8"/>
        <v>95982.912994779865</v>
      </c>
      <c r="K8" s="41">
        <f t="shared" si="9"/>
        <v>239.65758568320322</v>
      </c>
      <c r="L8" s="41">
        <f>SUM($K$4:K7)</f>
        <v>4017.0870052201249</v>
      </c>
      <c r="M8" s="37">
        <f t="shared" si="0"/>
        <v>95863.084201938254</v>
      </c>
      <c r="N8" s="37">
        <f>SUM(M8:M$113)</f>
        <v>5829287.3077270603</v>
      </c>
      <c r="O8" s="47">
        <f t="shared" si="1"/>
        <v>60.808468205002711</v>
      </c>
      <c r="P8" s="37">
        <f>(J9+0.5*K8)/(1+'General input'!$C$113)^E8</f>
        <v>78866.796614117164</v>
      </c>
      <c r="Q8" s="37">
        <f>SUM(P8:P$113)</f>
        <v>1519027.3512470154</v>
      </c>
      <c r="R8" s="37">
        <f t="shared" si="2"/>
        <v>19.260670097701286</v>
      </c>
      <c r="T8" s="44">
        <f>'Life table (HE)'!C$5</f>
        <v>0.84709999999999996</v>
      </c>
      <c r="V8" s="48">
        <f t="shared" si="10"/>
        <v>81205.618627461896</v>
      </c>
      <c r="W8" s="37">
        <f>SUM(V8:V$115)</f>
        <v>4026300.644778783</v>
      </c>
      <c r="X8" s="47">
        <f t="shared" si="3"/>
        <v>42.000533138463069</v>
      </c>
      <c r="Y8" s="37">
        <f>V8/(1+'General input'!$C$113)^E8</f>
        <v>66808.063411818657</v>
      </c>
      <c r="Z8" s="37">
        <f>SUM(Y8:Y$115)</f>
        <v>1161046.42490177</v>
      </c>
      <c r="AA8" s="47">
        <f t="shared" si="4"/>
        <v>14.721612576488781</v>
      </c>
      <c r="AB8" s="47"/>
      <c r="AC8" s="37">
        <f t="shared" si="11"/>
        <v>4.5</v>
      </c>
      <c r="AD8" s="37">
        <f t="shared" si="5"/>
        <v>1078.4591355744144</v>
      </c>
      <c r="AF8" s="4"/>
      <c r="AI8" s="4"/>
      <c r="AL8" s="4"/>
      <c r="AP8" s="41"/>
      <c r="AQ8" s="41"/>
      <c r="AR8" s="49"/>
      <c r="AS8" s="41"/>
      <c r="AT8" s="41"/>
      <c r="AU8" s="41"/>
      <c r="AV8" s="41"/>
      <c r="AW8" s="41"/>
      <c r="AX8" s="41"/>
      <c r="AY8" s="41"/>
      <c r="AZ8" s="41"/>
      <c r="BA8" s="41"/>
      <c r="BB8" s="41"/>
      <c r="BD8" s="6"/>
      <c r="BE8" s="7"/>
      <c r="BF8" s="7"/>
      <c r="BG8" s="7"/>
      <c r="BH8" s="7"/>
      <c r="BI8" s="7"/>
      <c r="BJ8" s="7"/>
      <c r="BK8" s="7"/>
      <c r="BL8" s="7"/>
      <c r="BN8" s="39"/>
      <c r="BO8" s="39"/>
      <c r="BP8"/>
      <c r="BQ8"/>
      <c r="BR8"/>
      <c r="BS8"/>
      <c r="BT8"/>
      <c r="BU8"/>
      <c r="BV8"/>
      <c r="BW8"/>
      <c r="BX8"/>
      <c r="BY8" s="50"/>
      <c r="CA8" s="49"/>
      <c r="CB8" s="49"/>
      <c r="CC8" s="49"/>
      <c r="CD8" s="49"/>
      <c r="CE8" s="49"/>
      <c r="CF8" s="49"/>
      <c r="CG8" s="49"/>
      <c r="CH8" s="49"/>
      <c r="CI8" s="49"/>
      <c r="CK8" s="7"/>
      <c r="CL8" s="7"/>
      <c r="CM8" s="7"/>
      <c r="CN8" s="7"/>
      <c r="CO8" s="7"/>
      <c r="CP8" s="7"/>
      <c r="CQ8" s="7"/>
      <c r="CR8" s="7"/>
      <c r="CS8" s="7"/>
    </row>
    <row r="9" spans="1:97" ht="14.4" x14ac:dyDescent="0.3">
      <c r="A9" s="268" t="s">
        <v>602</v>
      </c>
      <c r="B9" s="371">
        <f>HLOOKUP('General input'!$C$4,'Life table (HE)'!$I$178:$GM$200,'Life table (HE)'!G184,FALSE)</f>
        <v>2E-3</v>
      </c>
      <c r="C9" s="147">
        <v>0.76195999999999997</v>
      </c>
      <c r="E9" s="138">
        <v>5</v>
      </c>
      <c r="F9" s="44">
        <f>'Life table (HE)'!B$6</f>
        <v>1E-3</v>
      </c>
      <c r="H9" s="45">
        <f t="shared" si="6"/>
        <v>1E-3</v>
      </c>
      <c r="I9" s="46">
        <f t="shared" si="7"/>
        <v>9.9950016662497809E-4</v>
      </c>
      <c r="J9" s="37">
        <f t="shared" si="8"/>
        <v>95743.255409096659</v>
      </c>
      <c r="K9" s="41">
        <f t="shared" si="9"/>
        <v>95.69539973460995</v>
      </c>
      <c r="L9" s="41">
        <f>SUM($K$4:K8)</f>
        <v>4256.7445909033277</v>
      </c>
      <c r="M9" s="37">
        <f t="shared" si="0"/>
        <v>95695.407709229345</v>
      </c>
      <c r="N9" s="37">
        <f>SUM(M9:M$113)</f>
        <v>5733424.2235251209</v>
      </c>
      <c r="O9" s="47">
        <f t="shared" si="1"/>
        <v>59.913263977579156</v>
      </c>
      <c r="P9" s="37">
        <f>(J10+0.5*K9)/(1+'General input'!$C$113)^E9</f>
        <v>74979.855951048681</v>
      </c>
      <c r="Q9" s="37">
        <f>SUM(P9:P$113)</f>
        <v>1440160.5546328984</v>
      </c>
      <c r="R9" s="37">
        <f t="shared" si="2"/>
        <v>19.207299565540925</v>
      </c>
      <c r="T9" s="44">
        <f>'Life table (HE)'!C$6</f>
        <v>0.81699999999999995</v>
      </c>
      <c r="V9" s="48">
        <f t="shared" si="10"/>
        <v>78183.148098440375</v>
      </c>
      <c r="W9" s="37">
        <f>SUM(V9:V$115)</f>
        <v>3945095.0261513214</v>
      </c>
      <c r="X9" s="47">
        <f t="shared" si="3"/>
        <v>41.225541753670136</v>
      </c>
      <c r="Y9" s="37">
        <f>V9/(1+'General input'!$C$113)^E9</f>
        <v>61258.542312006772</v>
      </c>
      <c r="Z9" s="37">
        <f>SUM(Y9:Y$115)</f>
        <v>1094238.3614899518</v>
      </c>
      <c r="AA9" s="47">
        <f t="shared" si="4"/>
        <v>14.593764519957679</v>
      </c>
      <c r="AB9" s="47"/>
      <c r="AC9" s="37">
        <f t="shared" si="11"/>
        <v>5.5</v>
      </c>
      <c r="AD9" s="37">
        <f t="shared" si="5"/>
        <v>526.32469854035469</v>
      </c>
      <c r="AF9" s="4"/>
      <c r="AI9" s="4"/>
      <c r="AL9" s="4"/>
      <c r="AP9" s="41"/>
      <c r="AQ9" s="41"/>
      <c r="AR9" s="49"/>
      <c r="AS9" s="41"/>
      <c r="AT9" s="41"/>
      <c r="AU9" s="41"/>
      <c r="AV9" s="41"/>
      <c r="AW9" s="41"/>
      <c r="AX9" s="41"/>
      <c r="AY9" s="41"/>
      <c r="AZ9" s="41"/>
      <c r="BA9" s="41"/>
      <c r="BB9" s="41"/>
      <c r="BD9" s="6"/>
      <c r="BE9" s="7"/>
      <c r="BF9" s="7"/>
      <c r="BG9" s="7"/>
      <c r="BH9" s="7"/>
      <c r="BI9" s="7"/>
      <c r="BJ9" s="7"/>
      <c r="BK9" s="7"/>
      <c r="BL9" s="7"/>
      <c r="BN9" s="39"/>
      <c r="BO9" s="39"/>
      <c r="BP9"/>
      <c r="BQ9"/>
      <c r="BR9"/>
      <c r="BS9"/>
      <c r="BT9"/>
      <c r="BU9"/>
      <c r="BV9"/>
      <c r="BW9"/>
      <c r="BX9"/>
      <c r="BY9" s="50"/>
      <c r="CA9" s="49"/>
      <c r="CB9" s="49"/>
      <c r="CC9" s="49"/>
      <c r="CD9" s="49"/>
      <c r="CE9" s="49"/>
      <c r="CF9" s="49"/>
      <c r="CG9" s="49"/>
      <c r="CH9" s="49"/>
      <c r="CI9" s="49"/>
      <c r="CK9" s="7"/>
      <c r="CL9" s="7"/>
      <c r="CM9" s="7"/>
      <c r="CN9" s="7"/>
      <c r="CO9" s="7"/>
      <c r="CP9" s="7"/>
      <c r="CQ9" s="7"/>
      <c r="CR9" s="7"/>
      <c r="CS9" s="7"/>
    </row>
    <row r="10" spans="1:97" ht="14.4" x14ac:dyDescent="0.3">
      <c r="A10" s="267" t="s">
        <v>603</v>
      </c>
      <c r="B10" s="371">
        <f>HLOOKUP('General input'!$C$4,'Life table (HE)'!$I$178:$GM$200,'Life table (HE)'!G185,FALSE)</f>
        <v>3.5000000000000001E-3</v>
      </c>
      <c r="C10" s="147">
        <v>0.70004</v>
      </c>
      <c r="E10" s="138">
        <v>6</v>
      </c>
      <c r="F10" s="44">
        <f>'Life table (HE)'!B$6</f>
        <v>1E-3</v>
      </c>
      <c r="H10" s="45">
        <f t="shared" si="6"/>
        <v>1E-3</v>
      </c>
      <c r="I10" s="46">
        <f t="shared" si="7"/>
        <v>9.9950016662497809E-4</v>
      </c>
      <c r="J10" s="37">
        <f t="shared" si="8"/>
        <v>95647.560009362045</v>
      </c>
      <c r="K10" s="41">
        <f t="shared" si="9"/>
        <v>95.599752166629955</v>
      </c>
      <c r="L10" s="41">
        <f>SUM($K$4:K9)</f>
        <v>4352.4399906379376</v>
      </c>
      <c r="M10" s="37">
        <f t="shared" si="0"/>
        <v>95599.760133278731</v>
      </c>
      <c r="N10" s="37">
        <f>SUM(M10:M$113)</f>
        <v>5637728.8158158921</v>
      </c>
      <c r="O10" s="47">
        <f t="shared" si="1"/>
        <v>58.972206708010056</v>
      </c>
      <c r="P10" s="37">
        <f>(J11+0.5*K10)/(1+'General input'!$C$113)^E10</f>
        <v>71338.012926221054</v>
      </c>
      <c r="Q10" s="37">
        <f>SUM(P10:P$113)</f>
        <v>1365180.6986818498</v>
      </c>
      <c r="R10" s="37">
        <f t="shared" si="2"/>
        <v>19.13679177038113</v>
      </c>
      <c r="T10" s="44">
        <f>'Life table (HE)'!C$6</f>
        <v>0.81699999999999995</v>
      </c>
      <c r="V10" s="48">
        <f t="shared" si="10"/>
        <v>78105.004028888725</v>
      </c>
      <c r="W10" s="37">
        <f>SUM(V10:V$115)</f>
        <v>3866911.8780528815</v>
      </c>
      <c r="X10" s="47">
        <f t="shared" si="3"/>
        <v>40.448970506431124</v>
      </c>
      <c r="Y10" s="37">
        <f>V10/(1+'General input'!$C$113)^E10</f>
        <v>58283.1565607226</v>
      </c>
      <c r="Z10" s="37">
        <f>SUM(Y10:Y$115)</f>
        <v>1032979.8191779456</v>
      </c>
      <c r="AA10" s="47">
        <f t="shared" si="4"/>
        <v>14.480075583914433</v>
      </c>
      <c r="AB10" s="47"/>
      <c r="AC10" s="37">
        <f t="shared" si="11"/>
        <v>6.5</v>
      </c>
      <c r="AD10" s="37">
        <f t="shared" si="5"/>
        <v>621.39838908309468</v>
      </c>
      <c r="AF10" s="4"/>
      <c r="AI10" s="4"/>
      <c r="AL10" s="4"/>
      <c r="AP10" s="41"/>
      <c r="AQ10" s="41"/>
      <c r="AR10" s="49"/>
      <c r="AS10" s="41"/>
      <c r="AT10" s="41"/>
      <c r="AU10" s="41"/>
      <c r="AV10" s="41"/>
      <c r="AW10" s="41"/>
      <c r="AX10" s="41"/>
      <c r="AY10" s="41"/>
      <c r="AZ10" s="41"/>
      <c r="BA10" s="41"/>
      <c r="BB10" s="41"/>
      <c r="BD10" s="6"/>
      <c r="BE10" s="7"/>
      <c r="BF10" s="7"/>
      <c r="BG10" s="7"/>
      <c r="BH10" s="7"/>
      <c r="BI10" s="7"/>
      <c r="BJ10" s="7"/>
      <c r="BK10" s="7"/>
      <c r="BL10" s="7"/>
      <c r="BN10" s="39"/>
      <c r="BO10" s="39"/>
      <c r="BP10"/>
      <c r="BQ10"/>
      <c r="BR10"/>
      <c r="BS10"/>
      <c r="BT10"/>
      <c r="BU10"/>
      <c r="BV10"/>
      <c r="BW10"/>
      <c r="BX10"/>
      <c r="BY10" s="50"/>
      <c r="CA10" s="49"/>
      <c r="CB10" s="49"/>
      <c r="CC10" s="49"/>
      <c r="CD10" s="49"/>
      <c r="CE10" s="49"/>
      <c r="CF10" s="49"/>
      <c r="CG10" s="49"/>
      <c r="CH10" s="49"/>
      <c r="CI10" s="49"/>
      <c r="CK10" s="7"/>
      <c r="CL10" s="7"/>
      <c r="CM10" s="7"/>
      <c r="CN10" s="7"/>
      <c r="CO10" s="7"/>
      <c r="CP10" s="7"/>
      <c r="CQ10" s="7"/>
      <c r="CR10" s="7"/>
      <c r="CS10" s="7"/>
    </row>
    <row r="11" spans="1:97" ht="14.4" x14ac:dyDescent="0.3">
      <c r="A11" s="267" t="s">
        <v>604</v>
      </c>
      <c r="B11" s="371">
        <f>HLOOKUP('General input'!$C$4,'Life table (HE)'!$I$178:$GM$200,'Life table (HE)'!G186,FALSE)</f>
        <v>6.0000000000000001E-3</v>
      </c>
      <c r="C11" s="147">
        <v>0.70004</v>
      </c>
      <c r="E11" s="138">
        <v>7</v>
      </c>
      <c r="F11" s="44">
        <f>'Life table (HE)'!B$6</f>
        <v>1E-3</v>
      </c>
      <c r="H11" s="45">
        <f t="shared" si="6"/>
        <v>1E-3</v>
      </c>
      <c r="I11" s="46">
        <f t="shared" si="7"/>
        <v>9.9950016662497809E-4</v>
      </c>
      <c r="J11" s="37">
        <f t="shared" si="8"/>
        <v>95551.960257195416</v>
      </c>
      <c r="K11" s="41">
        <f t="shared" si="9"/>
        <v>95.504200198410103</v>
      </c>
      <c r="L11" s="41">
        <f>SUM($K$4:K10)</f>
        <v>4448.0397428045671</v>
      </c>
      <c r="M11" s="37">
        <f t="shared" si="0"/>
        <v>95504.208157096204</v>
      </c>
      <c r="N11" s="37">
        <f>SUM(M11:M$113)</f>
        <v>5542129.0556826135</v>
      </c>
      <c r="O11" s="47">
        <f t="shared" si="1"/>
        <v>58.030207910485871</v>
      </c>
      <c r="P11" s="37">
        <f>(J12+0.5*K11)/(1+'General input'!$C$113)^E11</f>
        <v>67873.057686109125</v>
      </c>
      <c r="Q11" s="37">
        <f>SUM(P11:P$113)</f>
        <v>1293842.6857556286</v>
      </c>
      <c r="R11" s="37">
        <f t="shared" si="2"/>
        <v>19.062684515249501</v>
      </c>
      <c r="T11" s="44">
        <f>'Life table (HE)'!C$6</f>
        <v>0.81699999999999995</v>
      </c>
      <c r="V11" s="48">
        <f t="shared" si="10"/>
        <v>78026.938064347589</v>
      </c>
      <c r="W11" s="37">
        <f>SUM(V11:V$115)</f>
        <v>3788806.8740239921</v>
      </c>
      <c r="X11" s="47">
        <f t="shared" si="3"/>
        <v>39.671622299529787</v>
      </c>
      <c r="Y11" s="37">
        <f>V11/(1+'General input'!$C$113)^E11</f>
        <v>55452.288129551147</v>
      </c>
      <c r="Z11" s="37">
        <f>SUM(Y11:Y$115)</f>
        <v>974696.66261722287</v>
      </c>
      <c r="AA11" s="47">
        <f t="shared" si="4"/>
        <v>14.360582767979583</v>
      </c>
      <c r="AB11" s="47"/>
      <c r="AC11" s="37">
        <f t="shared" si="11"/>
        <v>7.5</v>
      </c>
      <c r="AD11" s="37">
        <f t="shared" si="5"/>
        <v>716.28150148807572</v>
      </c>
      <c r="AF11" s="4"/>
      <c r="AI11" s="4"/>
      <c r="AL11" s="4"/>
      <c r="AP11" s="41"/>
      <c r="AQ11" s="41"/>
      <c r="AR11" s="49"/>
      <c r="AS11" s="41"/>
      <c r="AT11" s="41"/>
      <c r="AU11" s="41"/>
      <c r="AV11" s="41"/>
      <c r="AW11" s="41"/>
      <c r="AX11" s="41"/>
      <c r="AY11" s="41"/>
      <c r="AZ11" s="41"/>
      <c r="BA11" s="41"/>
      <c r="BB11" s="41"/>
      <c r="BD11" s="6"/>
      <c r="BE11" s="7"/>
      <c r="BF11" s="7"/>
      <c r="BG11" s="7"/>
      <c r="BH11" s="7"/>
      <c r="BI11" s="7"/>
      <c r="BJ11" s="7"/>
      <c r="BK11" s="7"/>
      <c r="BL11" s="7"/>
      <c r="BN11" s="39"/>
      <c r="BO11" s="39"/>
      <c r="BP11"/>
      <c r="BQ11"/>
      <c r="BR11"/>
      <c r="BS11"/>
      <c r="BT11"/>
      <c r="BU11"/>
      <c r="BV11"/>
      <c r="BW11"/>
      <c r="BX11"/>
      <c r="BY11" s="50"/>
      <c r="CA11" s="49"/>
      <c r="CB11" s="49"/>
      <c r="CC11" s="49"/>
      <c r="CD11" s="49"/>
      <c r="CE11" s="49"/>
      <c r="CF11" s="49"/>
      <c r="CG11" s="49"/>
      <c r="CH11" s="49"/>
      <c r="CI11" s="49"/>
      <c r="CK11" s="7"/>
      <c r="CL11" s="7"/>
      <c r="CM11" s="7"/>
      <c r="CN11" s="7"/>
      <c r="CO11" s="7"/>
      <c r="CP11" s="7"/>
      <c r="CQ11" s="7"/>
      <c r="CR11" s="7"/>
      <c r="CS11" s="7"/>
    </row>
    <row r="12" spans="1:97" ht="14.4" x14ac:dyDescent="0.3">
      <c r="A12" s="267" t="s">
        <v>605</v>
      </c>
      <c r="B12" s="371">
        <f>HLOOKUP('General input'!$C$4,'Life table (HE)'!$I$178:$GM$200,'Life table (HE)'!G187,FALSE)</f>
        <v>9.4999999999999998E-3</v>
      </c>
      <c r="C12" s="147">
        <v>0.70004</v>
      </c>
      <c r="E12" s="138">
        <v>8</v>
      </c>
      <c r="F12" s="44">
        <f>'Life table (HE)'!B$6</f>
        <v>1E-3</v>
      </c>
      <c r="H12" s="45">
        <f t="shared" si="6"/>
        <v>1E-3</v>
      </c>
      <c r="I12" s="46">
        <f t="shared" si="7"/>
        <v>9.9950016662497809E-4</v>
      </c>
      <c r="J12" s="37">
        <f t="shared" si="8"/>
        <v>95456.456056997005</v>
      </c>
      <c r="K12" s="41">
        <f t="shared" si="9"/>
        <v>95.408743734398399</v>
      </c>
      <c r="L12" s="41">
        <f>SUM($K$4:K11)</f>
        <v>4543.5439430029774</v>
      </c>
      <c r="M12" s="37">
        <f t="shared" si="0"/>
        <v>95408.751685129799</v>
      </c>
      <c r="N12" s="37">
        <f>SUM(M12:M$113)</f>
        <v>5446624.8475255165</v>
      </c>
      <c r="O12" s="47">
        <f t="shared" si="1"/>
        <v>57.087266643007716</v>
      </c>
      <c r="P12" s="37">
        <f>(J13+0.5*K12)/(1+'General input'!$C$113)^E12</f>
        <v>64576.398622516688</v>
      </c>
      <c r="Q12" s="37">
        <f>SUM(P12:P$113)</f>
        <v>1225969.6280695198</v>
      </c>
      <c r="R12" s="37">
        <f t="shared" si="2"/>
        <v>18.98479404582412</v>
      </c>
      <c r="T12" s="44">
        <f>'Life table (HE)'!C$6</f>
        <v>0.81699999999999995</v>
      </c>
      <c r="V12" s="48">
        <f t="shared" si="10"/>
        <v>77948.950126751035</v>
      </c>
      <c r="W12" s="37">
        <f>SUM(V12:V$115)</f>
        <v>3710779.9359596441</v>
      </c>
      <c r="X12" s="47">
        <f t="shared" si="3"/>
        <v>38.893496355617849</v>
      </c>
      <c r="Y12" s="37">
        <f>V12/(1+'General input'!$C$113)^E12</f>
        <v>52758.917674596123</v>
      </c>
      <c r="Z12" s="37">
        <f>SUM(Y12:Y$115)</f>
        <v>919244.37448767188</v>
      </c>
      <c r="AA12" s="47">
        <f t="shared" si="4"/>
        <v>14.234989781036614</v>
      </c>
      <c r="AB12" s="47"/>
      <c r="AC12" s="37">
        <f t="shared" si="11"/>
        <v>8.5</v>
      </c>
      <c r="AD12" s="37">
        <f t="shared" si="5"/>
        <v>810.97432174238634</v>
      </c>
      <c r="AF12" s="4"/>
      <c r="AI12" s="4"/>
      <c r="AL12" s="4"/>
      <c r="AP12" s="41"/>
      <c r="AQ12" s="41"/>
      <c r="AR12" s="49"/>
      <c r="AS12" s="51"/>
      <c r="AT12" s="41"/>
      <c r="AU12" s="41"/>
      <c r="AV12" s="41"/>
      <c r="AW12" s="41"/>
      <c r="AX12" s="41"/>
      <c r="AY12" s="41"/>
      <c r="AZ12" s="41"/>
      <c r="BA12" s="41"/>
      <c r="BB12" s="41"/>
      <c r="BD12" s="6"/>
      <c r="BE12" s="7"/>
      <c r="BF12" s="7"/>
      <c r="BG12" s="7"/>
      <c r="BH12" s="7"/>
      <c r="BI12" s="7"/>
      <c r="BJ12" s="7"/>
      <c r="BK12" s="7"/>
      <c r="BL12" s="7"/>
      <c r="BN12" s="39"/>
      <c r="BO12" s="39"/>
      <c r="BP12"/>
      <c r="BQ12"/>
      <c r="BR12"/>
      <c r="BS12"/>
      <c r="BT12"/>
      <c r="BU12"/>
      <c r="BV12"/>
      <c r="BW12"/>
      <c r="BX12"/>
      <c r="BY12" s="50"/>
      <c r="CA12" s="49"/>
      <c r="CB12" s="49"/>
      <c r="CC12" s="49"/>
      <c r="CD12" s="49"/>
      <c r="CE12" s="49"/>
      <c r="CF12" s="49"/>
      <c r="CG12" s="49"/>
      <c r="CH12" s="49"/>
      <c r="CI12" s="49"/>
      <c r="CK12" s="7"/>
      <c r="CL12" s="7"/>
      <c r="CM12" s="7"/>
      <c r="CN12" s="7"/>
      <c r="CO12" s="7"/>
      <c r="CP12" s="7"/>
      <c r="CQ12" s="7"/>
      <c r="CR12" s="7"/>
      <c r="CS12" s="7"/>
    </row>
    <row r="13" spans="1:97" ht="14.4" x14ac:dyDescent="0.3">
      <c r="A13" s="267" t="s">
        <v>606</v>
      </c>
      <c r="B13" s="371">
        <f>HLOOKUP('General input'!$C$4,'Life table (HE)'!$I$178:$GM$200,'Life table (HE)'!G188,FALSE)</f>
        <v>1.0499999999999999E-2</v>
      </c>
      <c r="C13" s="147">
        <v>0.70004</v>
      </c>
      <c r="E13" s="138">
        <v>9</v>
      </c>
      <c r="F13" s="44">
        <f>'Life table (HE)'!B$6</f>
        <v>1E-3</v>
      </c>
      <c r="H13" s="45">
        <f t="shared" si="6"/>
        <v>1E-3</v>
      </c>
      <c r="I13" s="46">
        <f t="shared" si="7"/>
        <v>9.9950016662497809E-4</v>
      </c>
      <c r="J13" s="37">
        <f t="shared" si="8"/>
        <v>95361.047313262607</v>
      </c>
      <c r="K13" s="41">
        <f t="shared" si="9"/>
        <v>95.3133826791384</v>
      </c>
      <c r="L13" s="41">
        <f>SUM($K$4:K12)</f>
        <v>4638.9526867373761</v>
      </c>
      <c r="M13" s="37">
        <f t="shared" si="0"/>
        <v>95313.390621923027</v>
      </c>
      <c r="N13" s="37">
        <f>SUM(M13:M$113)</f>
        <v>5351216.095840387</v>
      </c>
      <c r="O13" s="47">
        <f t="shared" si="1"/>
        <v>56.143381962634265</v>
      </c>
      <c r="P13" s="37">
        <f>(J14+0.5*K13)/(1+'General input'!$C$113)^E13</f>
        <v>61439.861429841367</v>
      </c>
      <c r="Q13" s="37">
        <f>SUM(P13:P$113)</f>
        <v>1161393.2294470028</v>
      </c>
      <c r="R13" s="37">
        <f t="shared" si="2"/>
        <v>18.902927227028439</v>
      </c>
      <c r="T13" s="44">
        <f>'Life table (HE)'!C$6</f>
        <v>0.81699999999999995</v>
      </c>
      <c r="V13" s="48">
        <f t="shared" si="10"/>
        <v>77871.040138111115</v>
      </c>
      <c r="W13" s="37">
        <f>SUM(V13:V$115)</f>
        <v>3632830.9858328938</v>
      </c>
      <c r="X13" s="47">
        <f t="shared" si="3"/>
        <v>38.114591896569323</v>
      </c>
      <c r="Y13" s="37">
        <f>V13/(1+'General input'!$C$113)^E13</f>
        <v>50196.366788180399</v>
      </c>
      <c r="Z13" s="37">
        <f>SUM(Y13:Y$115)</f>
        <v>866485.4568130757</v>
      </c>
      <c r="AA13" s="47">
        <f t="shared" si="4"/>
        <v>14.102985206151903</v>
      </c>
      <c r="AB13" s="47"/>
      <c r="AC13" s="37">
        <f t="shared" si="11"/>
        <v>9.5</v>
      </c>
      <c r="AD13" s="37">
        <f t="shared" si="5"/>
        <v>905.47713545181477</v>
      </c>
      <c r="AF13" s="4"/>
      <c r="AI13" s="4"/>
      <c r="AL13" s="4"/>
      <c r="AP13" s="41"/>
      <c r="AQ13" s="41"/>
      <c r="AR13" s="49"/>
      <c r="AS13" s="51"/>
      <c r="AT13" s="41"/>
      <c r="AU13" s="41"/>
      <c r="AV13" s="41"/>
      <c r="AW13" s="41"/>
      <c r="AX13" s="41"/>
      <c r="AY13" s="41"/>
      <c r="AZ13" s="41"/>
      <c r="BA13" s="41"/>
      <c r="BB13" s="41"/>
      <c r="BD13" s="6"/>
      <c r="BE13" s="7"/>
      <c r="BF13" s="7"/>
      <c r="BG13" s="7"/>
      <c r="BH13" s="7"/>
      <c r="BI13" s="7"/>
      <c r="BJ13" s="7"/>
      <c r="BK13" s="7"/>
      <c r="BL13" s="7"/>
      <c r="BN13" s="39"/>
      <c r="BO13" s="39"/>
      <c r="BP13"/>
      <c r="BQ13"/>
      <c r="BR13"/>
      <c r="BS13"/>
      <c r="BT13"/>
      <c r="BU13"/>
      <c r="BV13"/>
      <c r="BW13"/>
      <c r="BX13"/>
      <c r="BY13" s="50"/>
      <c r="CA13" s="49"/>
      <c r="CB13" s="49"/>
      <c r="CC13" s="49"/>
      <c r="CD13" s="49"/>
      <c r="CE13" s="49"/>
      <c r="CF13" s="49"/>
      <c r="CG13" s="49"/>
      <c r="CH13" s="49"/>
      <c r="CI13" s="49"/>
      <c r="CK13" s="7"/>
      <c r="CL13" s="7"/>
      <c r="CM13" s="7"/>
      <c r="CN13" s="7"/>
      <c r="CO13" s="7"/>
      <c r="CP13" s="7"/>
      <c r="CQ13" s="7"/>
      <c r="CR13" s="7"/>
      <c r="CS13" s="7"/>
    </row>
    <row r="14" spans="1:97" ht="14.4" x14ac:dyDescent="0.3">
      <c r="A14" s="267" t="s">
        <v>607</v>
      </c>
      <c r="B14" s="371">
        <f>HLOOKUP('General input'!$C$4,'Life table (HE)'!$I$178:$GM$200,'Life table (HE)'!G189,FALSE)</f>
        <v>1.2E-2</v>
      </c>
      <c r="C14" s="147">
        <v>0.60802</v>
      </c>
      <c r="E14" s="138">
        <v>10</v>
      </c>
      <c r="F14" s="44">
        <f>'Life table (HE)'!B$7</f>
        <v>1E-3</v>
      </c>
      <c r="H14" s="45">
        <f t="shared" si="6"/>
        <v>1E-3</v>
      </c>
      <c r="I14" s="46">
        <f t="shared" si="7"/>
        <v>9.9950016662497809E-4</v>
      </c>
      <c r="J14" s="37">
        <f t="shared" si="8"/>
        <v>95265.733930583461</v>
      </c>
      <c r="K14" s="41">
        <f t="shared" si="9"/>
        <v>95.218116937269002</v>
      </c>
      <c r="L14" s="41">
        <f>SUM($K$4:K13)</f>
        <v>4734.2660694165143</v>
      </c>
      <c r="M14" s="37">
        <f t="shared" si="0"/>
        <v>95218.124872114829</v>
      </c>
      <c r="N14" s="37">
        <f>SUM(M14:M$113)</f>
        <v>5255902.7052184641</v>
      </c>
      <c r="O14" s="47">
        <f t="shared" si="1"/>
        <v>55.19855292548074</v>
      </c>
      <c r="P14" s="37">
        <f>(J15+0.5*K14)/(1+'General input'!$C$113)^E14</f>
        <v>58455.668836290315</v>
      </c>
      <c r="Q14" s="37">
        <f>SUM(P14:P$113)</f>
        <v>1099953.3680171613</v>
      </c>
      <c r="R14" s="37">
        <f t="shared" si="2"/>
        <v>18.816881064138826</v>
      </c>
      <c r="T14" s="44">
        <f>'Life table (HE)'!C$7</f>
        <v>0.81699999999999995</v>
      </c>
      <c r="V14" s="48">
        <f t="shared" si="10"/>
        <v>77793.208020517806</v>
      </c>
      <c r="W14" s="37">
        <f>SUM(V14:V$115)</f>
        <v>3554959.9456947823</v>
      </c>
      <c r="X14" s="47">
        <f t="shared" si="3"/>
        <v>37.334908143479652</v>
      </c>
      <c r="Y14" s="37">
        <f>V14/(1+'General input'!$C$113)^E14</f>
        <v>47758.281439249178</v>
      </c>
      <c r="Z14" s="37">
        <f>SUM(Y14:Y$115)</f>
        <v>816289.09002489538</v>
      </c>
      <c r="AA14" s="47">
        <f t="shared" si="4"/>
        <v>13.964241728393819</v>
      </c>
      <c r="AB14" s="47"/>
      <c r="AC14" s="37">
        <f t="shared" si="11"/>
        <v>10.5</v>
      </c>
      <c r="AD14" s="37">
        <f t="shared" si="5"/>
        <v>999.79022784132451</v>
      </c>
      <c r="AF14" s="4"/>
      <c r="AI14" s="4"/>
      <c r="AL14" s="4"/>
      <c r="AP14" s="41"/>
      <c r="AQ14" s="41"/>
      <c r="AR14" s="49"/>
      <c r="AS14" s="51"/>
      <c r="AT14" s="41"/>
      <c r="AU14" s="41"/>
      <c r="AV14" s="41"/>
      <c r="AW14" s="41"/>
      <c r="AX14" s="41"/>
      <c r="AY14" s="41"/>
      <c r="AZ14" s="41"/>
      <c r="BA14" s="41"/>
      <c r="BB14" s="41"/>
      <c r="BD14" s="6"/>
      <c r="BE14" s="7"/>
      <c r="BF14" s="7"/>
      <c r="BG14" s="7"/>
      <c r="BH14" s="7"/>
      <c r="BI14" s="7"/>
      <c r="BJ14" s="7"/>
      <c r="BK14" s="7"/>
      <c r="BL14" s="7"/>
      <c r="BN14" s="39"/>
      <c r="BO14" s="39"/>
      <c r="BP14"/>
      <c r="BQ14"/>
      <c r="BR14"/>
      <c r="BS14"/>
      <c r="BT14"/>
      <c r="BU14"/>
      <c r="BV14"/>
      <c r="BW14"/>
      <c r="BX14"/>
      <c r="BY14" s="50"/>
      <c r="CA14" s="49"/>
      <c r="CB14" s="49"/>
      <c r="CC14" s="49"/>
      <c r="CD14" s="49"/>
      <c r="CE14" s="49"/>
      <c r="CF14" s="49"/>
      <c r="CG14" s="49"/>
      <c r="CH14" s="49"/>
      <c r="CI14" s="49"/>
      <c r="CK14" s="7"/>
      <c r="CL14" s="7"/>
      <c r="CM14" s="7"/>
      <c r="CN14" s="7"/>
      <c r="CO14" s="7"/>
      <c r="CP14" s="7"/>
      <c r="CQ14" s="7"/>
      <c r="CR14" s="7"/>
      <c r="CS14" s="7"/>
    </row>
    <row r="15" spans="1:97" ht="14.4" x14ac:dyDescent="0.3">
      <c r="A15" s="267" t="s">
        <v>608</v>
      </c>
      <c r="B15" s="371">
        <f>HLOOKUP('General input'!$C$4,'Life table (HE)'!$I$178:$GM$200,'Life table (HE)'!G190,FALSE)</f>
        <v>1.55E-2</v>
      </c>
      <c r="C15" s="147">
        <v>0.60802</v>
      </c>
      <c r="E15" s="138">
        <v>11</v>
      </c>
      <c r="F15" s="44">
        <f>'Life table (HE)'!B$7</f>
        <v>1E-3</v>
      </c>
      <c r="H15" s="45">
        <f t="shared" si="6"/>
        <v>1E-3</v>
      </c>
      <c r="I15" s="46">
        <f t="shared" si="7"/>
        <v>9.9950016662497809E-4</v>
      </c>
      <c r="J15" s="37">
        <f t="shared" si="8"/>
        <v>95170.515813646198</v>
      </c>
      <c r="K15" s="41">
        <f t="shared" si="9"/>
        <v>95.122946413524488</v>
      </c>
      <c r="L15" s="41">
        <f>SUM($K$4:K14)</f>
        <v>4829.4841863537831</v>
      </c>
      <c r="M15" s="37">
        <f t="shared" si="0"/>
        <v>95122.954340439435</v>
      </c>
      <c r="N15" s="37">
        <f>SUM(M15:M$113)</f>
        <v>5160684.5803463496</v>
      </c>
      <c r="O15" s="47">
        <f t="shared" si="1"/>
        <v>54.25277858671803</v>
      </c>
      <c r="P15" s="37">
        <f>(J16+0.5*K15)/(1+'General input'!$C$113)^E15</f>
        <v>55616.421319569774</v>
      </c>
      <c r="Q15" s="37">
        <f>SUM(P15:P$113)</f>
        <v>1041497.6991808716</v>
      </c>
      <c r="R15" s="37">
        <f t="shared" si="2"/>
        <v>18.726442199444417</v>
      </c>
      <c r="T15" s="44">
        <f>'Life table (HE)'!C$7</f>
        <v>0.81699999999999995</v>
      </c>
      <c r="V15" s="48">
        <f t="shared" si="10"/>
        <v>77715.453696139011</v>
      </c>
      <c r="W15" s="37">
        <f>SUM(V15:V$115)</f>
        <v>3477166.7376742647</v>
      </c>
      <c r="X15" s="47">
        <f t="shared" si="3"/>
        <v>36.554444316665041</v>
      </c>
      <c r="Y15" s="37">
        <f>V15/(1+'General input'!$C$113)^E15</f>
        <v>45438.6162180885</v>
      </c>
      <c r="Z15" s="37">
        <f>SUM(Y15:Y$115)</f>
        <v>768530.80858564621</v>
      </c>
      <c r="AA15" s="47">
        <f t="shared" si="4"/>
        <v>13.818415323231575</v>
      </c>
      <c r="AB15" s="47"/>
      <c r="AC15" s="37">
        <f t="shared" si="11"/>
        <v>11.5</v>
      </c>
      <c r="AD15" s="37">
        <f t="shared" si="5"/>
        <v>1093.9138837555315</v>
      </c>
      <c r="AF15" s="4"/>
      <c r="AI15" s="4"/>
      <c r="AL15" s="4"/>
      <c r="AP15" s="41"/>
      <c r="AQ15" s="41"/>
      <c r="AR15" s="49"/>
      <c r="AS15" s="51"/>
      <c r="AT15" s="41"/>
      <c r="AU15" s="41"/>
      <c r="AV15" s="41"/>
      <c r="AW15" s="41"/>
      <c r="AX15" s="41"/>
      <c r="AY15" s="41"/>
      <c r="AZ15" s="41"/>
      <c r="BA15" s="41"/>
      <c r="BB15" s="41"/>
      <c r="BD15" s="6"/>
      <c r="BE15" s="7"/>
      <c r="BF15" s="7"/>
      <c r="BG15" s="7"/>
      <c r="BH15" s="7"/>
      <c r="BI15" s="7"/>
      <c r="BJ15" s="7"/>
      <c r="BK15" s="7"/>
      <c r="BL15" s="7"/>
      <c r="BN15" s="39"/>
      <c r="BO15" s="39"/>
      <c r="BP15"/>
      <c r="BQ15"/>
      <c r="BR15"/>
      <c r="BS15"/>
      <c r="BT15"/>
      <c r="BU15"/>
      <c r="BV15"/>
      <c r="BW15"/>
      <c r="BX15"/>
      <c r="BY15" s="50"/>
      <c r="CA15" s="49"/>
      <c r="CB15" s="49"/>
      <c r="CC15" s="49"/>
      <c r="CD15" s="49"/>
      <c r="CE15" s="49"/>
      <c r="CF15" s="49"/>
      <c r="CG15" s="49"/>
      <c r="CH15" s="49"/>
      <c r="CI15" s="49"/>
      <c r="CK15" s="7"/>
      <c r="CL15" s="7"/>
      <c r="CM15" s="7"/>
      <c r="CN15" s="7"/>
      <c r="CO15" s="7"/>
      <c r="CP15" s="7"/>
      <c r="CQ15" s="7"/>
      <c r="CR15" s="7"/>
      <c r="CS15" s="7"/>
    </row>
    <row r="16" spans="1:97" ht="14.4" x14ac:dyDescent="0.3">
      <c r="A16" s="267" t="s">
        <v>609</v>
      </c>
      <c r="B16" s="371">
        <f>HLOOKUP('General input'!$C$4,'Life table (HE)'!$I$178:$GM$200,'Life table (HE)'!G191,FALSE)</f>
        <v>2.0500000000000001E-2</v>
      </c>
      <c r="C16" s="147">
        <v>0.60802</v>
      </c>
      <c r="E16" s="138">
        <v>12</v>
      </c>
      <c r="F16" s="44">
        <f>'Life table (HE)'!B$7</f>
        <v>1E-3</v>
      </c>
      <c r="H16" s="45">
        <f t="shared" si="6"/>
        <v>1E-3</v>
      </c>
      <c r="I16" s="46">
        <f t="shared" si="7"/>
        <v>9.9950016662497809E-4</v>
      </c>
      <c r="J16" s="37">
        <f t="shared" si="8"/>
        <v>95075.392867232673</v>
      </c>
      <c r="K16" s="41">
        <f t="shared" si="9"/>
        <v>95.027871012734309</v>
      </c>
      <c r="L16" s="41">
        <f>SUM($K$4:K15)</f>
        <v>4924.607132767308</v>
      </c>
      <c r="M16" s="37">
        <f t="shared" si="0"/>
        <v>95027.878931726314</v>
      </c>
      <c r="N16" s="37">
        <f>SUM(M16:M$113)</f>
        <v>5065561.6260059094</v>
      </c>
      <c r="O16" s="47">
        <f t="shared" si="1"/>
        <v>53.30605800057171</v>
      </c>
      <c r="P16" s="37">
        <f>(J17+0.5*K16)/(1+'General input'!$C$113)^E16</f>
        <v>52915.078759232179</v>
      </c>
      <c r="Q16" s="37">
        <f>SUM(P16:P$113)</f>
        <v>985881.2778613019</v>
      </c>
      <c r="R16" s="37">
        <f t="shared" si="2"/>
        <v>18.631386383211112</v>
      </c>
      <c r="T16" s="44">
        <f>'Life table (HE)'!C$7</f>
        <v>0.81699999999999995</v>
      </c>
      <c r="V16" s="48">
        <f t="shared" si="10"/>
        <v>77637.777087220398</v>
      </c>
      <c r="W16" s="37">
        <f>SUM(V16:V$115)</f>
        <v>3399451.2839781255</v>
      </c>
      <c r="X16" s="47">
        <f t="shared" si="3"/>
        <v>35.773199635661591</v>
      </c>
      <c r="Y16" s="37">
        <f>V16/(1+'General input'!$C$113)^E16</f>
        <v>43231.619346292689</v>
      </c>
      <c r="Z16" s="37">
        <f>SUM(Y16:Y$115)</f>
        <v>723092.19236755755</v>
      </c>
      <c r="AA16" s="47">
        <f t="shared" si="4"/>
        <v>13.665144403501403</v>
      </c>
      <c r="AB16" s="47"/>
      <c r="AC16" s="37">
        <f t="shared" si="11"/>
        <v>12.5</v>
      </c>
      <c r="AD16" s="37">
        <f t="shared" si="5"/>
        <v>1187.8483876591788</v>
      </c>
      <c r="AF16" s="4"/>
      <c r="AI16" s="4"/>
      <c r="AL16" s="4"/>
      <c r="AP16" s="41"/>
      <c r="AQ16" s="41"/>
      <c r="AR16" s="49"/>
      <c r="AS16" s="51"/>
      <c r="AT16" s="41"/>
      <c r="AU16" s="41"/>
      <c r="AV16" s="41"/>
      <c r="AW16" s="41"/>
      <c r="AX16" s="41"/>
      <c r="AY16" s="41"/>
      <c r="AZ16" s="41"/>
      <c r="BA16" s="41"/>
      <c r="BB16" s="41"/>
      <c r="BD16" s="6"/>
      <c r="BE16" s="7"/>
      <c r="BF16" s="7"/>
      <c r="BG16" s="7"/>
      <c r="BH16" s="7"/>
      <c r="BI16" s="7"/>
      <c r="BJ16" s="7"/>
      <c r="BK16" s="7"/>
      <c r="BL16" s="7"/>
      <c r="BN16" s="39"/>
      <c r="BO16" s="39"/>
      <c r="BP16"/>
      <c r="BQ16"/>
      <c r="BR16"/>
      <c r="BS16"/>
      <c r="BT16"/>
      <c r="BU16"/>
      <c r="BV16"/>
      <c r="BW16"/>
      <c r="BX16"/>
      <c r="BY16" s="50"/>
      <c r="CA16" s="49"/>
      <c r="CB16" s="49"/>
      <c r="CC16" s="49"/>
      <c r="CD16" s="49"/>
      <c r="CE16" s="49"/>
      <c r="CF16" s="49"/>
      <c r="CG16" s="49"/>
      <c r="CH16" s="49"/>
      <c r="CI16" s="49"/>
      <c r="CK16" s="7"/>
      <c r="CL16" s="7"/>
      <c r="CM16" s="7"/>
      <c r="CN16" s="7"/>
      <c r="CO16" s="7"/>
      <c r="CP16" s="7"/>
      <c r="CQ16" s="7"/>
      <c r="CR16" s="7"/>
      <c r="CS16" s="7"/>
    </row>
    <row r="17" spans="1:97" ht="14.4" x14ac:dyDescent="0.3">
      <c r="A17" s="267" t="s">
        <v>610</v>
      </c>
      <c r="B17" s="371">
        <f>HLOOKUP('General input'!$C$4,'Life table (HE)'!$I$178:$GM$200,'Life table (HE)'!G192,FALSE)</f>
        <v>2.8999999999999998E-2</v>
      </c>
      <c r="C17" s="147">
        <v>0.60802</v>
      </c>
      <c r="E17" s="138">
        <v>13</v>
      </c>
      <c r="F17" s="44">
        <f>'Life table (HE)'!B$7</f>
        <v>1E-3</v>
      </c>
      <c r="H17" s="45">
        <f t="shared" si="6"/>
        <v>1E-3</v>
      </c>
      <c r="I17" s="46">
        <f t="shared" si="7"/>
        <v>9.9950016662497809E-4</v>
      </c>
      <c r="J17" s="37">
        <f t="shared" si="8"/>
        <v>94980.364996219942</v>
      </c>
      <c r="K17" s="41">
        <f t="shared" si="9"/>
        <v>94.932890639823071</v>
      </c>
      <c r="L17" s="41">
        <f>SUM($K$4:K16)</f>
        <v>5019.6350037800421</v>
      </c>
      <c r="M17" s="37">
        <f t="shared" si="0"/>
        <v>94932.898550900019</v>
      </c>
      <c r="N17" s="37">
        <f>SUM(M17:M$113)</f>
        <v>4970533.747074184</v>
      </c>
      <c r="O17" s="47">
        <f t="shared" si="1"/>
        <v>52.358390220321155</v>
      </c>
      <c r="P17" s="37">
        <f>(J18+0.5*K17)/(1+'General input'!$C$113)^E17</f>
        <v>50344.942980186039</v>
      </c>
      <c r="Q17" s="37">
        <f>SUM(P17:P$113)</f>
        <v>932966.19910206972</v>
      </c>
      <c r="R17" s="37">
        <f t="shared" si="2"/>
        <v>18.531477917638156</v>
      </c>
      <c r="T17" s="44">
        <f>'Life table (HE)'!C$7</f>
        <v>0.81699999999999995</v>
      </c>
      <c r="V17" s="48">
        <f t="shared" si="10"/>
        <v>77560.178116085313</v>
      </c>
      <c r="W17" s="37">
        <f>SUM(V17:V$115)</f>
        <v>3321813.5068909051</v>
      </c>
      <c r="X17" s="47">
        <f t="shared" si="3"/>
        <v>34.991173319224565</v>
      </c>
      <c r="Y17" s="37">
        <f>V17/(1+'General input'!$C$113)^E17</f>
        <v>41131.818414811991</v>
      </c>
      <c r="Z17" s="37">
        <f>SUM(Y17:Y$115)</f>
        <v>679860.57302126475</v>
      </c>
      <c r="AA17" s="47">
        <f t="shared" si="4"/>
        <v>13.504048922824948</v>
      </c>
      <c r="AB17" s="47"/>
      <c r="AC17" s="37">
        <f t="shared" si="11"/>
        <v>13.5</v>
      </c>
      <c r="AD17" s="37">
        <f t="shared" si="5"/>
        <v>1281.5940236376114</v>
      </c>
      <c r="AF17" s="4"/>
      <c r="AI17" s="4"/>
      <c r="AL17" s="4"/>
      <c r="AP17" s="41"/>
      <c r="AQ17" s="41"/>
      <c r="AR17" s="49"/>
      <c r="AS17" s="51"/>
      <c r="AT17" s="41"/>
      <c r="AU17" s="41"/>
      <c r="AV17" s="41"/>
      <c r="AW17" s="41"/>
      <c r="AX17" s="41"/>
      <c r="AY17" s="41"/>
      <c r="AZ17" s="41"/>
      <c r="BA17" s="41"/>
      <c r="BB17" s="41"/>
      <c r="BD17" s="6"/>
      <c r="BE17" s="7"/>
      <c r="BF17" s="7"/>
      <c r="BG17" s="7"/>
      <c r="BH17" s="7"/>
      <c r="BI17" s="7"/>
      <c r="BJ17" s="7"/>
      <c r="BK17" s="7"/>
      <c r="BL17" s="7"/>
      <c r="BN17" s="39"/>
      <c r="BO17" s="39"/>
      <c r="BP17"/>
      <c r="BQ17"/>
      <c r="BR17"/>
      <c r="BS17"/>
      <c r="BT17"/>
      <c r="BU17"/>
      <c r="BV17"/>
      <c r="BW17"/>
      <c r="BX17"/>
      <c r="BY17" s="50"/>
      <c r="CA17" s="49"/>
      <c r="CB17" s="49"/>
      <c r="CC17" s="49"/>
      <c r="CD17" s="49"/>
      <c r="CE17" s="49"/>
      <c r="CF17" s="49"/>
      <c r="CG17" s="49"/>
      <c r="CH17" s="49"/>
      <c r="CI17" s="49"/>
      <c r="CK17" s="7"/>
      <c r="CL17" s="7"/>
      <c r="CM17" s="7"/>
      <c r="CN17" s="7"/>
      <c r="CO17" s="7"/>
      <c r="CP17" s="7"/>
      <c r="CQ17" s="7"/>
      <c r="CR17" s="7"/>
      <c r="CS17" s="7"/>
    </row>
    <row r="18" spans="1:97" ht="14.4" x14ac:dyDescent="0.3">
      <c r="A18" s="267" t="s">
        <v>611</v>
      </c>
      <c r="B18" s="371">
        <f>HLOOKUP('General input'!$C$4,'Life table (HE)'!$I$178:$GM$200,'Life table (HE)'!G193,FALSE)</f>
        <v>4.2500000000000003E-2</v>
      </c>
      <c r="C18" s="147">
        <v>0.52288000000000001</v>
      </c>
      <c r="E18" s="138">
        <v>14</v>
      </c>
      <c r="F18" s="44">
        <f>'Life table (HE)'!B$7</f>
        <v>1E-3</v>
      </c>
      <c r="H18" s="45">
        <f t="shared" si="6"/>
        <v>1E-3</v>
      </c>
      <c r="I18" s="46">
        <f t="shared" si="7"/>
        <v>9.9950016662497809E-4</v>
      </c>
      <c r="J18" s="37">
        <f t="shared" si="8"/>
        <v>94885.432105580112</v>
      </c>
      <c r="K18" s="41">
        <f t="shared" si="9"/>
        <v>94.838005199810368</v>
      </c>
      <c r="L18" s="41">
        <f>SUM($K$4:K17)</f>
        <v>5114.5678944198653</v>
      </c>
      <c r="M18" s="37">
        <f t="shared" si="0"/>
        <v>94838.013102980214</v>
      </c>
      <c r="N18" s="37">
        <f>SUM(M18:M$113)</f>
        <v>4875600.8485232843</v>
      </c>
      <c r="O18" s="47">
        <f t="shared" si="1"/>
        <v>51.409774298298451</v>
      </c>
      <c r="P18" s="37">
        <f>(J19+0.5*K18)/(1+'General input'!$C$113)^E18</f>
        <v>47899.641144084409</v>
      </c>
      <c r="Q18" s="37">
        <f>SUM(P18:P$113)</f>
        <v>882621.25612188363</v>
      </c>
      <c r="R18" s="37">
        <f t="shared" si="2"/>
        <v>18.426469072428262</v>
      </c>
      <c r="T18" s="44">
        <f>'Life table (HE)'!C$7</f>
        <v>0.81699999999999995</v>
      </c>
      <c r="V18" s="48">
        <f t="shared" si="10"/>
        <v>77482.656705134825</v>
      </c>
      <c r="W18" s="37">
        <f>SUM(V18:V$115)</f>
        <v>3244253.3287748196</v>
      </c>
      <c r="X18" s="47">
        <f t="shared" si="3"/>
        <v>34.208364585327558</v>
      </c>
      <c r="Y18" s="37">
        <f>V18/(1+'General input'!$C$113)^E18</f>
        <v>39134.006814716959</v>
      </c>
      <c r="Z18" s="37">
        <f>SUM(Y18:Y$115)</f>
        <v>638728.75460645289</v>
      </c>
      <c r="AA18" s="47">
        <f t="shared" si="4"/>
        <v>13.334729433256635</v>
      </c>
      <c r="AB18" s="47"/>
      <c r="AC18" s="37">
        <f t="shared" si="11"/>
        <v>14.5</v>
      </c>
      <c r="AD18" s="37">
        <f t="shared" si="5"/>
        <v>1375.1510753972502</v>
      </c>
      <c r="AF18" s="4"/>
      <c r="AI18" s="4"/>
      <c r="AL18" s="4"/>
      <c r="AP18" s="41"/>
      <c r="AQ18" s="41"/>
      <c r="AR18" s="49"/>
      <c r="AS18" s="51"/>
      <c r="AT18" s="41"/>
      <c r="AU18" s="41"/>
      <c r="AV18" s="41"/>
      <c r="AW18" s="41"/>
      <c r="AX18" s="41"/>
      <c r="AY18" s="41"/>
      <c r="AZ18" s="41"/>
      <c r="BA18" s="41"/>
      <c r="BB18" s="41"/>
      <c r="BD18" s="6"/>
      <c r="BE18" s="7"/>
      <c r="BF18" s="7"/>
      <c r="BG18" s="7"/>
      <c r="BH18" s="7"/>
      <c r="BI18" s="7"/>
      <c r="BJ18" s="7"/>
      <c r="BK18" s="7"/>
      <c r="BL18" s="7"/>
      <c r="BN18" s="39"/>
      <c r="BO18" s="39"/>
      <c r="BP18"/>
      <c r="BQ18"/>
      <c r="BR18"/>
      <c r="BS18"/>
      <c r="BT18"/>
      <c r="BU18"/>
      <c r="BV18"/>
      <c r="BW18"/>
      <c r="BX18"/>
      <c r="BY18" s="50"/>
      <c r="CA18" s="49"/>
      <c r="CB18" s="49"/>
      <c r="CC18" s="49"/>
      <c r="CD18" s="49"/>
      <c r="CE18" s="49"/>
      <c r="CF18" s="49"/>
      <c r="CG18" s="49"/>
      <c r="CH18" s="49"/>
      <c r="CI18" s="49"/>
      <c r="CK18" s="7"/>
      <c r="CL18" s="7"/>
      <c r="CM18" s="7"/>
      <c r="CN18" s="7"/>
      <c r="CO18" s="7"/>
      <c r="CP18" s="7"/>
      <c r="CQ18" s="7"/>
      <c r="CR18" s="7"/>
      <c r="CS18" s="7"/>
    </row>
    <row r="19" spans="1:97" ht="14.4" x14ac:dyDescent="0.3">
      <c r="A19" s="267" t="s">
        <v>612</v>
      </c>
      <c r="B19" s="371">
        <f>HLOOKUP('General input'!$C$4,'Life table (HE)'!$I$178:$GM$200,'Life table (HE)'!G194,FALSE)</f>
        <v>6.0999999999999999E-2</v>
      </c>
      <c r="C19" s="147">
        <v>0.52288000000000001</v>
      </c>
      <c r="E19" s="138">
        <v>15</v>
      </c>
      <c r="F19" s="44">
        <f>'Life table (HE)'!B$8</f>
        <v>1.5E-3</v>
      </c>
      <c r="H19" s="45">
        <f t="shared" si="6"/>
        <v>1.5E-3</v>
      </c>
      <c r="I19" s="46">
        <f t="shared" si="7"/>
        <v>1.4988755622891148E-3</v>
      </c>
      <c r="J19" s="37">
        <f t="shared" si="8"/>
        <v>94790.594100380302</v>
      </c>
      <c r="K19" s="41">
        <f t="shared" si="9"/>
        <v>142.07930503192676</v>
      </c>
      <c r="L19" s="41">
        <f>SUM($K$4:K18)</f>
        <v>5209.4058996196754</v>
      </c>
      <c r="M19" s="37">
        <f t="shared" si="0"/>
        <v>94719.554447864328</v>
      </c>
      <c r="N19" s="37">
        <f>SUM(M19:M$113)</f>
        <v>4780762.835420304</v>
      </c>
      <c r="O19" s="47">
        <f t="shared" si="1"/>
        <v>50.472818028844699</v>
      </c>
      <c r="P19" s="37">
        <f>(J20+0.5*K19)/(1+'General input'!$C$113)^E19</f>
        <v>45561.72521298135</v>
      </c>
      <c r="Q19" s="37">
        <f>SUM(P19:P$113)</f>
        <v>834721.61497779924</v>
      </c>
      <c r="R19" s="37">
        <f t="shared" si="2"/>
        <v>18.320676205210336</v>
      </c>
      <c r="T19" s="44">
        <f>'Life table (HE)'!C$8</f>
        <v>0.78948000000000007</v>
      </c>
      <c r="V19" s="48">
        <f t="shared" si="10"/>
        <v>74779.193845499933</v>
      </c>
      <c r="W19" s="37">
        <f>SUM(V19:V$115)</f>
        <v>3166770.6720696846</v>
      </c>
      <c r="X19" s="47">
        <f t="shared" si="3"/>
        <v>33.433124665010361</v>
      </c>
      <c r="Y19" s="37">
        <f>V19/(1+'General input'!$C$113)^E19</f>
        <v>35970.070821144516</v>
      </c>
      <c r="Z19" s="37">
        <f>SUM(Y19:Y$115)</f>
        <v>599594.7477917358</v>
      </c>
      <c r="AA19" s="47">
        <f t="shared" si="4"/>
        <v>13.160053641272139</v>
      </c>
      <c r="AB19" s="47"/>
      <c r="AC19" s="37">
        <f t="shared" si="11"/>
        <v>15.5</v>
      </c>
      <c r="AD19" s="37">
        <f t="shared" si="5"/>
        <v>2202.2292279948647</v>
      </c>
      <c r="AF19" s="4"/>
      <c r="AI19" s="4"/>
      <c r="AL19" s="4"/>
      <c r="AP19" s="41"/>
      <c r="AQ19" s="41"/>
      <c r="AR19" s="49"/>
      <c r="AS19" s="51"/>
      <c r="AT19" s="41"/>
      <c r="AU19" s="41"/>
      <c r="AV19" s="41"/>
      <c r="AW19" s="41"/>
      <c r="AX19" s="41"/>
      <c r="AY19" s="41"/>
      <c r="AZ19" s="41"/>
      <c r="BA19" s="41"/>
      <c r="BB19" s="41"/>
      <c r="BD19" s="6"/>
      <c r="BE19" s="7"/>
      <c r="BF19" s="7"/>
      <c r="BG19" s="7"/>
      <c r="BH19" s="7"/>
      <c r="BI19" s="7"/>
      <c r="BJ19" s="7"/>
      <c r="BK19" s="7"/>
      <c r="BL19" s="7"/>
      <c r="BN19" s="39"/>
      <c r="BO19" s="39"/>
      <c r="BP19" s="39"/>
      <c r="BQ19" s="39"/>
      <c r="BR19" s="39"/>
      <c r="BS19" s="39"/>
      <c r="BT19" s="52"/>
      <c r="BU19" s="52"/>
      <c r="BV19" s="53"/>
      <c r="BW19" s="53"/>
      <c r="BX19" s="52"/>
      <c r="BY19" s="50"/>
      <c r="CA19" s="49"/>
      <c r="CB19" s="49"/>
      <c r="CC19" s="49"/>
      <c r="CD19" s="49"/>
      <c r="CE19" s="49"/>
      <c r="CF19" s="49"/>
      <c r="CG19" s="49"/>
      <c r="CH19" s="49"/>
      <c r="CI19" s="49"/>
      <c r="CK19" s="7"/>
      <c r="CL19" s="7"/>
      <c r="CM19" s="7"/>
      <c r="CN19" s="7"/>
      <c r="CO19" s="7"/>
      <c r="CP19" s="7"/>
      <c r="CQ19" s="7"/>
      <c r="CR19" s="7"/>
      <c r="CS19" s="7"/>
    </row>
    <row r="20" spans="1:97" ht="14.4" x14ac:dyDescent="0.3">
      <c r="A20" s="267" t="s">
        <v>613</v>
      </c>
      <c r="B20" s="371">
        <f>HLOOKUP('General input'!$C$4,'Life table (HE)'!$I$178:$GM$200,'Life table (HE)'!G195,FALSE)</f>
        <v>8.6999999999999994E-2</v>
      </c>
      <c r="C20" s="147">
        <v>0.52288000000000001</v>
      </c>
      <c r="E20" s="138">
        <v>16</v>
      </c>
      <c r="F20" s="44">
        <f>'Life table (HE)'!B$8</f>
        <v>1.5E-3</v>
      </c>
      <c r="H20" s="45">
        <f t="shared" si="6"/>
        <v>1.5E-3</v>
      </c>
      <c r="I20" s="46">
        <f t="shared" si="7"/>
        <v>1.4988755622891148E-3</v>
      </c>
      <c r="J20" s="37">
        <f t="shared" si="8"/>
        <v>94648.514795348368</v>
      </c>
      <c r="K20" s="41">
        <f t="shared" si="9"/>
        <v>141.86634583370738</v>
      </c>
      <c r="L20" s="41">
        <f>SUM($K$4:K19)</f>
        <v>5351.4852046516025</v>
      </c>
      <c r="M20" s="37">
        <f t="shared" si="0"/>
        <v>94577.581622431506</v>
      </c>
      <c r="N20" s="37">
        <f>SUM(M20:M$113)</f>
        <v>4686043.2809724398</v>
      </c>
      <c r="O20" s="47">
        <f t="shared" si="1"/>
        <v>49.547082940647151</v>
      </c>
      <c r="P20" s="37">
        <f>(J21+0.5*K20)/(1+'General input'!$C$113)^E20</f>
        <v>43327.07986331798</v>
      </c>
      <c r="Q20" s="37">
        <f>SUM(P20:P$113)</f>
        <v>789159.8897648179</v>
      </c>
      <c r="R20" s="37">
        <f t="shared" si="2"/>
        <v>18.214010550776688</v>
      </c>
      <c r="T20" s="44">
        <f>'Life table (HE)'!C$8</f>
        <v>0.78948000000000007</v>
      </c>
      <c r="V20" s="48">
        <f t="shared" si="10"/>
        <v>74667.109139277236</v>
      </c>
      <c r="W20" s="37">
        <f>SUM(V20:V$115)</f>
        <v>3091991.4782241848</v>
      </c>
      <c r="X20" s="47">
        <f t="shared" si="3"/>
        <v>32.692646874477063</v>
      </c>
      <c r="Y20" s="37">
        <f>V20/(1+'General input'!$C$113)^E20</f>
        <v>34205.863010492285</v>
      </c>
      <c r="Z20" s="37">
        <f>SUM(Y20:Y$115)</f>
        <v>563624.6769705913</v>
      </c>
      <c r="AA20" s="47">
        <f t="shared" si="4"/>
        <v>13.008600596869973</v>
      </c>
      <c r="AB20" s="47"/>
      <c r="AC20" s="37">
        <f t="shared" si="11"/>
        <v>16.5</v>
      </c>
      <c r="AD20" s="37">
        <f t="shared" si="5"/>
        <v>2340.794706256172</v>
      </c>
      <c r="AF20" s="4"/>
      <c r="AI20" s="4"/>
      <c r="AL20" s="4"/>
      <c r="AP20" s="41"/>
      <c r="AQ20" s="41"/>
      <c r="AR20" s="49"/>
      <c r="AS20" s="51"/>
      <c r="AT20" s="41"/>
      <c r="AU20" s="41"/>
      <c r="AV20" s="41"/>
      <c r="AW20" s="41"/>
      <c r="AX20" s="41"/>
      <c r="AY20" s="41"/>
      <c r="AZ20" s="41"/>
      <c r="BA20" s="41"/>
      <c r="BB20" s="41"/>
      <c r="BD20" s="6"/>
      <c r="BE20" s="7"/>
      <c r="BF20" s="7"/>
      <c r="BG20" s="7"/>
      <c r="BH20" s="7"/>
      <c r="BI20" s="7"/>
      <c r="BJ20" s="7"/>
      <c r="BK20" s="7"/>
      <c r="BL20" s="7"/>
      <c r="BN20" s="39"/>
      <c r="BO20" s="39"/>
      <c r="BP20" s="39"/>
      <c r="BQ20" s="39"/>
      <c r="BR20" s="39"/>
      <c r="BS20" s="39"/>
      <c r="BT20" s="52"/>
      <c r="BU20" s="52"/>
      <c r="BV20" s="53"/>
      <c r="BW20" s="53"/>
      <c r="BX20" s="52"/>
      <c r="BY20" s="50"/>
      <c r="CA20" s="49"/>
      <c r="CB20" s="49"/>
      <c r="CC20" s="49"/>
      <c r="CD20" s="49"/>
      <c r="CE20" s="49"/>
      <c r="CF20" s="49"/>
      <c r="CG20" s="49"/>
      <c r="CH20" s="49"/>
      <c r="CI20" s="49"/>
      <c r="CK20" s="7"/>
      <c r="CL20" s="7"/>
      <c r="CM20" s="7"/>
      <c r="CN20" s="7"/>
      <c r="CO20" s="7"/>
      <c r="CP20" s="7"/>
      <c r="CQ20" s="7"/>
      <c r="CR20" s="7"/>
      <c r="CS20" s="7"/>
    </row>
    <row r="21" spans="1:97" ht="14.4" x14ac:dyDescent="0.3">
      <c r="A21" s="267" t="s">
        <v>614</v>
      </c>
      <c r="B21" s="371">
        <f>HLOOKUP('General input'!$C$4,'Life table (HE)'!$I$178:$GM$200,'Life table (HE)'!G196,FALSE)</f>
        <v>0.127</v>
      </c>
      <c r="C21" s="147">
        <v>0.52288000000000001</v>
      </c>
      <c r="E21" s="138">
        <v>17</v>
      </c>
      <c r="F21" s="44">
        <f>'Life table (HE)'!B$8</f>
        <v>1.5E-3</v>
      </c>
      <c r="H21" s="45">
        <f t="shared" si="6"/>
        <v>1.5E-3</v>
      </c>
      <c r="I21" s="46">
        <f t="shared" si="7"/>
        <v>1.4988755622891148E-3</v>
      </c>
      <c r="J21" s="37">
        <f t="shared" si="8"/>
        <v>94506.648449514658</v>
      </c>
      <c r="K21" s="41">
        <f t="shared" si="9"/>
        <v>141.65370583482598</v>
      </c>
      <c r="L21" s="41">
        <f>SUM($K$4:K20)</f>
        <v>5493.3515504853103</v>
      </c>
      <c r="M21" s="37">
        <f t="shared" si="0"/>
        <v>94435.821596597234</v>
      </c>
      <c r="N21" s="37">
        <f>SUM(M21:M$113)</f>
        <v>4591465.6993500087</v>
      </c>
      <c r="O21" s="47">
        <f t="shared" si="1"/>
        <v>48.619958207844419</v>
      </c>
      <c r="P21" s="37">
        <f>(J22+0.5*K21)/(1+'General input'!$C$113)^E21</f>
        <v>41202.036154405236</v>
      </c>
      <c r="Q21" s="37">
        <f>SUM(P21:P$113)</f>
        <v>745832.80990149989</v>
      </c>
      <c r="R21" s="37">
        <f t="shared" si="2"/>
        <v>18.101843489153801</v>
      </c>
      <c r="T21" s="44">
        <f>'Life table (HE)'!C$8</f>
        <v>0.78948000000000007</v>
      </c>
      <c r="V21" s="48">
        <f t="shared" si="10"/>
        <v>74555.192434081589</v>
      </c>
      <c r="W21" s="37">
        <f>SUM(V21:V$115)</f>
        <v>3017324.3690849077</v>
      </c>
      <c r="X21" s="47">
        <f t="shared" si="3"/>
        <v>31.95105753380378</v>
      </c>
      <c r="Y21" s="37">
        <f>V21/(1+'General input'!$C$113)^E21</f>
        <v>32528.183503179847</v>
      </c>
      <c r="Z21" s="37">
        <f>SUM(Y21:Y$115)</f>
        <v>529418.81396009889</v>
      </c>
      <c r="AA21" s="47">
        <f t="shared" si="4"/>
        <v>12.849336182709372</v>
      </c>
      <c r="AB21" s="47"/>
      <c r="AC21" s="37">
        <f t="shared" si="11"/>
        <v>17.5</v>
      </c>
      <c r="AD21" s="37">
        <f t="shared" si="5"/>
        <v>2478.9398521094549</v>
      </c>
      <c r="AF21" s="4"/>
      <c r="AI21" s="4"/>
      <c r="AL21" s="4"/>
      <c r="AP21" s="41"/>
      <c r="AQ21" s="41"/>
      <c r="AR21" s="49"/>
      <c r="AS21" s="41"/>
      <c r="AT21" s="41"/>
      <c r="AU21" s="41"/>
      <c r="AV21" s="41"/>
      <c r="AW21" s="41"/>
      <c r="AX21" s="41"/>
      <c r="AY21" s="41"/>
      <c r="AZ21" s="41"/>
      <c r="BA21" s="41"/>
      <c r="BB21" s="41"/>
      <c r="BD21" s="6"/>
      <c r="BE21" s="7"/>
      <c r="BF21" s="7"/>
      <c r="BG21" s="7"/>
      <c r="BH21" s="7"/>
      <c r="BI21" s="7"/>
      <c r="BJ21" s="7"/>
      <c r="BK21" s="7"/>
      <c r="BL21" s="7"/>
      <c r="BN21" s="39"/>
      <c r="BO21" s="39"/>
      <c r="BP21" s="39"/>
      <c r="BQ21" s="39"/>
      <c r="BR21" s="39"/>
      <c r="BS21" s="39"/>
      <c r="BT21" s="52"/>
      <c r="BU21" s="52"/>
      <c r="BV21" s="53"/>
      <c r="BW21" s="53"/>
      <c r="BX21" s="52"/>
      <c r="BY21" s="50"/>
      <c r="CA21" s="49"/>
      <c r="CB21" s="49"/>
      <c r="CC21" s="49"/>
      <c r="CD21" s="49"/>
      <c r="CE21" s="49"/>
      <c r="CF21" s="49"/>
      <c r="CG21" s="49"/>
      <c r="CH21" s="49"/>
      <c r="CI21" s="49"/>
      <c r="CK21" s="7"/>
      <c r="CL21" s="7"/>
      <c r="CM21" s="7"/>
      <c r="CN21" s="7"/>
      <c r="CO21" s="7"/>
      <c r="CP21" s="7"/>
      <c r="CQ21" s="7"/>
      <c r="CR21" s="7"/>
      <c r="CS21" s="7"/>
    </row>
    <row r="22" spans="1:97" ht="14.4" x14ac:dyDescent="0.3">
      <c r="A22" s="267" t="s">
        <v>615</v>
      </c>
      <c r="B22" s="371">
        <f>HLOOKUP('General input'!$C$4,'Life table (HE)'!$I$178:$GM$200,'Life table (HE)'!G197,FALSE)</f>
        <v>0.1825</v>
      </c>
      <c r="C22" s="147">
        <v>0.52288000000000001</v>
      </c>
      <c r="E22" s="138">
        <v>18</v>
      </c>
      <c r="F22" s="44">
        <f>'Life table (HE)'!B$8</f>
        <v>1.5E-3</v>
      </c>
      <c r="H22" s="45">
        <f t="shared" si="6"/>
        <v>1.5E-3</v>
      </c>
      <c r="I22" s="46">
        <f t="shared" si="7"/>
        <v>1.4988755622891148E-3</v>
      </c>
      <c r="J22" s="37">
        <f t="shared" si="8"/>
        <v>94364.994743679825</v>
      </c>
      <c r="K22" s="41">
        <f t="shared" si="9"/>
        <v>141.44138455684245</v>
      </c>
      <c r="L22" s="41">
        <f>SUM($K$4:K21)</f>
        <v>5635.0052563201361</v>
      </c>
      <c r="M22" s="37">
        <f t="shared" si="0"/>
        <v>94294.2740514014</v>
      </c>
      <c r="N22" s="37">
        <f>SUM(M22:M$113)</f>
        <v>4497029.8777534114</v>
      </c>
      <c r="O22" s="47">
        <f t="shared" si="1"/>
        <v>47.691441744405438</v>
      </c>
      <c r="P22" s="37">
        <f>(J23+0.5*K22)/(1+'General input'!$C$113)^E22</f>
        <v>39181.218504092234</v>
      </c>
      <c r="Q22" s="37">
        <f>SUM(P22:P$113)</f>
        <v>704630.77374709479</v>
      </c>
      <c r="R22" s="37">
        <f t="shared" si="2"/>
        <v>17.983891278764098</v>
      </c>
      <c r="T22" s="44">
        <f>'Life table (HE)'!C$8</f>
        <v>0.78948000000000007</v>
      </c>
      <c r="V22" s="48">
        <f t="shared" si="10"/>
        <v>74443.44347810038</v>
      </c>
      <c r="W22" s="37">
        <f>SUM(V22:V$115)</f>
        <v>2942769.1766508254</v>
      </c>
      <c r="X22" s="47">
        <f t="shared" si="3"/>
        <v>31.208354974414164</v>
      </c>
      <c r="Y22" s="37">
        <f>V22/(1+'General input'!$C$113)^E22</f>
        <v>30932.788384610736</v>
      </c>
      <c r="Z22" s="37">
        <f>SUM(Y22:Y$115)</f>
        <v>496890.63045691885</v>
      </c>
      <c r="AA22" s="47">
        <f t="shared" si="4"/>
        <v>12.681857518163243</v>
      </c>
      <c r="AB22" s="47"/>
      <c r="AC22" s="37">
        <f t="shared" si="11"/>
        <v>18.5</v>
      </c>
      <c r="AD22" s="37">
        <f t="shared" si="5"/>
        <v>2616.6656143015853</v>
      </c>
      <c r="AF22" s="4"/>
      <c r="AI22" s="4"/>
      <c r="AL22" s="4"/>
      <c r="AP22" s="41"/>
      <c r="AQ22" s="41"/>
      <c r="AR22" s="49"/>
      <c r="AS22" s="41"/>
      <c r="AT22" s="41"/>
      <c r="AU22" s="41"/>
      <c r="AV22" s="41"/>
      <c r="AW22" s="41"/>
      <c r="AX22" s="41"/>
      <c r="AY22" s="41"/>
      <c r="AZ22" s="41"/>
      <c r="BA22" s="41"/>
      <c r="BB22" s="41"/>
      <c r="BD22" s="6"/>
      <c r="BE22" s="7"/>
      <c r="BF22" s="7"/>
      <c r="BG22" s="7"/>
      <c r="BH22" s="7"/>
      <c r="BI22" s="7"/>
      <c r="BJ22" s="7"/>
      <c r="BK22" s="7"/>
      <c r="BL22" s="7"/>
      <c r="BN22" s="39"/>
      <c r="BO22" s="39"/>
      <c r="BP22" s="39"/>
      <c r="BQ22" s="39"/>
      <c r="BR22" s="39"/>
      <c r="BS22" s="39"/>
      <c r="BT22" s="52"/>
      <c r="BU22" s="52"/>
      <c r="BV22" s="53"/>
      <c r="BW22" s="53"/>
      <c r="BX22" s="52"/>
      <c r="BY22" s="50"/>
      <c r="CA22" s="49"/>
      <c r="CB22" s="49"/>
      <c r="CC22" s="49"/>
      <c r="CD22" s="49"/>
      <c r="CE22" s="49"/>
      <c r="CF22" s="49"/>
      <c r="CG22" s="49"/>
      <c r="CH22" s="49"/>
      <c r="CI22" s="49"/>
      <c r="CK22" s="7"/>
      <c r="CL22" s="7"/>
      <c r="CM22" s="7"/>
      <c r="CN22" s="7"/>
      <c r="CO22" s="7"/>
      <c r="CP22" s="7"/>
      <c r="CQ22" s="7"/>
      <c r="CR22" s="7"/>
      <c r="CS22" s="7"/>
    </row>
    <row r="23" spans="1:97" ht="14.4" x14ac:dyDescent="0.3">
      <c r="A23" s="267" t="s">
        <v>616</v>
      </c>
      <c r="B23" s="371">
        <f>HLOOKUP('General input'!$C$4,'Life table (HE)'!$I$178:$GM$200,'Life table (HE)'!G198,FALSE)</f>
        <v>0.25850000000000001</v>
      </c>
      <c r="C23" s="147">
        <v>0.52288000000000001</v>
      </c>
      <c r="E23" s="138">
        <v>19</v>
      </c>
      <c r="F23" s="44">
        <f>'Life table (HE)'!B$8</f>
        <v>1.5E-3</v>
      </c>
      <c r="H23" s="45">
        <f t="shared" si="6"/>
        <v>1.5E-3</v>
      </c>
      <c r="I23" s="46">
        <f t="shared" si="7"/>
        <v>1.4988755622891148E-3</v>
      </c>
      <c r="J23" s="37">
        <f t="shared" si="8"/>
        <v>94223.553359122976</v>
      </c>
      <c r="K23" s="41">
        <f t="shared" si="9"/>
        <v>141.22938152203386</v>
      </c>
      <c r="L23" s="41">
        <f>SUM($K$4:K22)</f>
        <v>5776.4466408769786</v>
      </c>
      <c r="M23" s="37">
        <f t="shared" si="0"/>
        <v>94152.938668361967</v>
      </c>
      <c r="N23" s="37">
        <f>SUM(M23:M$113)</f>
        <v>4402735.6037020097</v>
      </c>
      <c r="O23" s="47">
        <f t="shared" si="1"/>
        <v>46.761531461167792</v>
      </c>
      <c r="P23" s="37">
        <f>(J24+0.5*K23)/(1+'General input'!$C$113)^E23</f>
        <v>37259.514983976893</v>
      </c>
      <c r="Q23" s="37">
        <f>SUM(P23:P$113)</f>
        <v>665449.5552430026</v>
      </c>
      <c r="R23" s="37">
        <f t="shared" si="2"/>
        <v>17.859855543722805</v>
      </c>
      <c r="T23" s="44">
        <f>'Life table (HE)'!C$8</f>
        <v>0.78948000000000007</v>
      </c>
      <c r="V23" s="48">
        <f t="shared" si="10"/>
        <v>74331.862019898414</v>
      </c>
      <c r="W23" s="37">
        <f>SUM(V23:V$115)</f>
        <v>2868325.7331727254</v>
      </c>
      <c r="X23" s="47">
        <f t="shared" si="3"/>
        <v>30.464537525227172</v>
      </c>
      <c r="Y23" s="37">
        <f>V23/(1+'General input'!$C$113)^E23</f>
        <v>29415.641889550083</v>
      </c>
      <c r="Z23" s="37">
        <f>SUM(Y23:Y$115)</f>
        <v>465957.84207230812</v>
      </c>
      <c r="AA23" s="47">
        <f t="shared" si="4"/>
        <v>12.505740943560026</v>
      </c>
      <c r="AB23" s="47"/>
      <c r="AC23" s="37">
        <f t="shared" si="11"/>
        <v>19.5</v>
      </c>
      <c r="AD23" s="37">
        <f t="shared" si="5"/>
        <v>2753.9729396796602</v>
      </c>
      <c r="AF23" s="4"/>
      <c r="AI23" s="4"/>
      <c r="AL23" s="4"/>
      <c r="AP23" s="41"/>
      <c r="AQ23" s="41"/>
      <c r="AR23" s="49"/>
      <c r="AS23" s="41"/>
      <c r="AT23" s="41"/>
      <c r="AU23" s="41"/>
      <c r="AV23" s="41"/>
      <c r="AW23" s="41"/>
      <c r="AX23" s="41"/>
      <c r="AY23" s="41"/>
      <c r="AZ23" s="41"/>
      <c r="BA23" s="41"/>
      <c r="BB23" s="41"/>
      <c r="BD23" s="6"/>
      <c r="BE23" s="7"/>
      <c r="BF23" s="7"/>
      <c r="BG23" s="7"/>
      <c r="BH23" s="7"/>
      <c r="BI23" s="7"/>
      <c r="BJ23" s="7"/>
      <c r="BK23" s="7"/>
      <c r="BL23" s="7"/>
      <c r="BN23" s="39"/>
      <c r="BO23" s="39"/>
      <c r="BP23" s="39"/>
      <c r="BQ23" s="39"/>
      <c r="BR23" s="39"/>
      <c r="BS23" s="39"/>
      <c r="BT23" s="52"/>
      <c r="BU23" s="52"/>
      <c r="BV23" s="53"/>
      <c r="BW23" s="53"/>
      <c r="BX23" s="52"/>
      <c r="BY23" s="50"/>
      <c r="CA23" s="49"/>
      <c r="CB23" s="49"/>
      <c r="CC23" s="49"/>
      <c r="CD23" s="49"/>
      <c r="CE23" s="49"/>
      <c r="CF23" s="49"/>
      <c r="CG23" s="49"/>
      <c r="CH23" s="49"/>
      <c r="CI23" s="49"/>
      <c r="CK23" s="7"/>
      <c r="CL23" s="7"/>
      <c r="CM23" s="7"/>
      <c r="CN23" s="7"/>
      <c r="CO23" s="7"/>
      <c r="CP23" s="7"/>
      <c r="CQ23" s="7"/>
      <c r="CR23" s="7"/>
      <c r="CS23" s="7"/>
    </row>
    <row r="24" spans="1:97" ht="14.4" x14ac:dyDescent="0.3">
      <c r="A24" s="267" t="s">
        <v>617</v>
      </c>
      <c r="B24" s="371">
        <f>HLOOKUP('General input'!$C$4,'Life table (HE)'!$I$178:$GM$200,'Life table (HE)'!G199,FALSE)</f>
        <v>0.35550000000000004</v>
      </c>
      <c r="C24" s="147">
        <v>0.52288000000000001</v>
      </c>
      <c r="E24" s="138">
        <v>20</v>
      </c>
      <c r="F24" s="44">
        <f>'Life table (HE)'!B$9</f>
        <v>2E-3</v>
      </c>
      <c r="H24" s="45">
        <f t="shared" si="6"/>
        <v>2E-3</v>
      </c>
      <c r="I24" s="46">
        <f t="shared" si="7"/>
        <v>1.998001332666921E-3</v>
      </c>
      <c r="J24" s="37">
        <f t="shared" si="8"/>
        <v>94082.323977600943</v>
      </c>
      <c r="K24" s="41">
        <f t="shared" si="9"/>
        <v>187.97660868764771</v>
      </c>
      <c r="L24" s="41">
        <f>SUM($K$4:K23)</f>
        <v>5917.6760223990123</v>
      </c>
      <c r="M24" s="37">
        <f t="shared" si="0"/>
        <v>93988.335673257112</v>
      </c>
      <c r="N24" s="37">
        <f>SUM(M24:M$113)</f>
        <v>4308582.6650336478</v>
      </c>
      <c r="O24" s="47">
        <f t="shared" si="1"/>
        <v>45.841674226598592</v>
      </c>
      <c r="P24" s="37">
        <f>(J25+0.5*K24)/(1+'General input'!$C$113)^E24</f>
        <v>35423.215227987865</v>
      </c>
      <c r="Q24" s="37">
        <f>SUM(P24:P$113)</f>
        <v>628190.04025902576</v>
      </c>
      <c r="R24" s="37">
        <f t="shared" si="2"/>
        <v>17.73385154949721</v>
      </c>
      <c r="T24" s="44">
        <f>'Life table (HE)'!C$9</f>
        <v>0.76195999999999997</v>
      </c>
      <c r="V24" s="48">
        <f t="shared" si="10"/>
        <v>71615.352249594987</v>
      </c>
      <c r="W24" s="37">
        <f>SUM(V24:V$115)</f>
        <v>2793993.8711528271</v>
      </c>
      <c r="X24" s="47">
        <f t="shared" si="3"/>
        <v>29.727027839560026</v>
      </c>
      <c r="Y24" s="37">
        <f>V24/(1+'General input'!$C$113)^E24</f>
        <v>26991.073075117634</v>
      </c>
      <c r="Z24" s="37">
        <f>SUM(Y24:Y$115)</f>
        <v>436542.2001827581</v>
      </c>
      <c r="AA24" s="47">
        <f t="shared" si="4"/>
        <v>12.3236187729748</v>
      </c>
      <c r="AB24" s="47"/>
      <c r="AC24" s="37">
        <f t="shared" si="11"/>
        <v>20.5</v>
      </c>
      <c r="AD24" s="37">
        <f t="shared" si="5"/>
        <v>3853.5204780967779</v>
      </c>
      <c r="AF24" s="4"/>
      <c r="AI24" s="4"/>
      <c r="AL24" s="4"/>
      <c r="AP24" s="41"/>
      <c r="AQ24" s="41"/>
      <c r="AR24" s="49"/>
      <c r="AS24" s="41"/>
      <c r="AT24" s="41"/>
      <c r="AU24" s="41"/>
      <c r="AV24" s="41"/>
      <c r="AW24" s="41"/>
      <c r="AX24" s="41"/>
      <c r="AY24" s="41"/>
      <c r="AZ24" s="41"/>
      <c r="BA24" s="41"/>
      <c r="BB24" s="41"/>
      <c r="BD24" s="6"/>
      <c r="BE24" s="7"/>
      <c r="BF24" s="7"/>
      <c r="BG24" s="7"/>
      <c r="BH24" s="7"/>
      <c r="BI24" s="7"/>
      <c r="BJ24" s="7"/>
      <c r="BK24" s="7"/>
      <c r="BL24" s="7"/>
      <c r="BN24" s="39"/>
      <c r="BO24" s="39"/>
      <c r="BP24" s="39"/>
      <c r="BQ24" s="39"/>
      <c r="BR24" s="39"/>
      <c r="BS24" s="39"/>
      <c r="BT24" s="52"/>
      <c r="BU24" s="52"/>
      <c r="BV24" s="53"/>
      <c r="BW24" s="53"/>
      <c r="BX24" s="52"/>
      <c r="BY24" s="50"/>
      <c r="CA24" s="49"/>
      <c r="CB24" s="49"/>
      <c r="CC24" s="49"/>
      <c r="CD24" s="49"/>
      <c r="CE24" s="49"/>
      <c r="CF24" s="49"/>
      <c r="CG24" s="49"/>
      <c r="CH24" s="49"/>
      <c r="CI24" s="49"/>
      <c r="CK24" s="7"/>
      <c r="CL24" s="7"/>
      <c r="CM24" s="7"/>
      <c r="CN24" s="7"/>
      <c r="CO24" s="7"/>
      <c r="CP24" s="7"/>
      <c r="CQ24" s="7"/>
      <c r="CR24" s="7"/>
      <c r="CS24" s="7"/>
    </row>
    <row r="25" spans="1:97" ht="14.4" x14ac:dyDescent="0.3">
      <c r="A25" s="267" t="s">
        <v>596</v>
      </c>
      <c r="B25" s="371">
        <f>HLOOKUP('General input'!$C$4,'Life table (HE)'!$I$178:$GM$200,'Life table (HE)'!G200,FALSE)</f>
        <v>0.47299999999999998</v>
      </c>
      <c r="C25" s="147">
        <v>0.52288000000000001</v>
      </c>
      <c r="E25" s="138">
        <v>21</v>
      </c>
      <c r="F25" s="44">
        <f>'Life table (HE)'!B$9</f>
        <v>2E-3</v>
      </c>
      <c r="H25" s="45">
        <f t="shared" si="6"/>
        <v>2E-3</v>
      </c>
      <c r="I25" s="46">
        <f t="shared" si="7"/>
        <v>1.998001332666921E-3</v>
      </c>
      <c r="J25" s="37">
        <f t="shared" si="8"/>
        <v>93894.347368913295</v>
      </c>
      <c r="K25" s="41">
        <f t="shared" si="9"/>
        <v>187.60103117297959</v>
      </c>
      <c r="L25" s="41">
        <f>SUM($K$4:K24)</f>
        <v>6105.6526310866602</v>
      </c>
      <c r="M25" s="37">
        <f t="shared" si="0"/>
        <v>93800.546853326814</v>
      </c>
      <c r="N25" s="37">
        <f>SUM(M25:M$113)</f>
        <v>4214594.329360391</v>
      </c>
      <c r="O25" s="47">
        <f t="shared" si="1"/>
        <v>44.931447318219043</v>
      </c>
      <c r="P25" s="37">
        <f>(J26+0.5*K25)/(1+'General input'!$C$113)^E25</f>
        <v>33668.990092147629</v>
      </c>
      <c r="Q25" s="37">
        <f>SUM(P25:P$113)</f>
        <v>592766.82503103779</v>
      </c>
      <c r="R25" s="37">
        <f t="shared" si="2"/>
        <v>17.605720379753368</v>
      </c>
      <c r="T25" s="44">
        <f>'Life table (HE)'!C$9</f>
        <v>0.76195999999999997</v>
      </c>
      <c r="V25" s="48">
        <f t="shared" si="10"/>
        <v>71472.264680360895</v>
      </c>
      <c r="W25" s="37">
        <f>SUM(V25:V$115)</f>
        <v>2722378.5189032317</v>
      </c>
      <c r="X25" s="47">
        <f t="shared" si="3"/>
        <v>29.023055944014228</v>
      </c>
      <c r="Y25" s="37">
        <f>V25/(1+'General input'!$C$113)^E25</f>
        <v>25654.423690612803</v>
      </c>
      <c r="Z25" s="37">
        <f>SUM(Y25:Y$115)</f>
        <v>409551.12710764038</v>
      </c>
      <c r="AA25" s="47">
        <f t="shared" si="4"/>
        <v>12.164045490724623</v>
      </c>
      <c r="AB25" s="47"/>
      <c r="AC25" s="37">
        <f t="shared" si="11"/>
        <v>21.5</v>
      </c>
      <c r="AD25" s="37">
        <f t="shared" si="5"/>
        <v>4033.4221702190612</v>
      </c>
      <c r="AF25" s="4"/>
      <c r="AI25" s="4"/>
      <c r="AL25" s="4"/>
      <c r="AP25" s="41"/>
      <c r="AQ25" s="41"/>
      <c r="AR25" s="49"/>
      <c r="AS25" s="41"/>
      <c r="AT25" s="41"/>
      <c r="AU25" s="41"/>
      <c r="AV25" s="41"/>
      <c r="AW25" s="41"/>
      <c r="AX25" s="41"/>
      <c r="AY25" s="41"/>
      <c r="AZ25" s="41"/>
      <c r="BA25" s="41"/>
      <c r="BB25" s="41"/>
      <c r="BD25" s="6"/>
      <c r="BE25" s="7"/>
      <c r="BF25" s="7"/>
      <c r="BG25" s="7"/>
      <c r="BH25" s="7"/>
      <c r="BI25" s="7"/>
      <c r="BJ25" s="7"/>
      <c r="BK25" s="7"/>
      <c r="BL25" s="7"/>
      <c r="BN25" s="39"/>
      <c r="BO25" s="39"/>
      <c r="BP25" s="39"/>
      <c r="BQ25" s="39"/>
      <c r="BR25" s="39"/>
      <c r="BS25" s="39"/>
      <c r="BT25" s="52"/>
      <c r="BU25" s="52"/>
      <c r="BV25" s="53"/>
      <c r="BW25" s="53"/>
      <c r="BX25" s="52"/>
      <c r="BY25" s="50"/>
      <c r="CA25" s="49"/>
      <c r="CB25" s="49"/>
      <c r="CC25" s="49"/>
      <c r="CD25" s="49"/>
      <c r="CE25" s="49"/>
      <c r="CF25" s="49"/>
      <c r="CG25" s="49"/>
      <c r="CH25" s="49"/>
      <c r="CI25" s="49"/>
      <c r="CK25" s="7"/>
      <c r="CL25" s="7"/>
      <c r="CM25" s="7"/>
      <c r="CN25" s="7"/>
      <c r="CO25" s="7"/>
      <c r="CP25" s="7"/>
      <c r="CQ25" s="7"/>
      <c r="CR25" s="7"/>
      <c r="CS25" s="7"/>
    </row>
    <row r="26" spans="1:97" ht="14.4" x14ac:dyDescent="0.3">
      <c r="E26" s="138">
        <v>22</v>
      </c>
      <c r="F26" s="44">
        <f>'Life table (HE)'!B$9</f>
        <v>2E-3</v>
      </c>
      <c r="H26" s="45">
        <f t="shared" si="6"/>
        <v>2E-3</v>
      </c>
      <c r="I26" s="46">
        <f t="shared" si="7"/>
        <v>1.998001332666921E-3</v>
      </c>
      <c r="J26" s="37">
        <f t="shared" si="8"/>
        <v>93706.746337740318</v>
      </c>
      <c r="K26" s="41">
        <f t="shared" si="9"/>
        <v>187.22620406268626</v>
      </c>
      <c r="L26" s="41">
        <f>SUM($K$4:K25)</f>
        <v>6293.2536622596399</v>
      </c>
      <c r="M26" s="37">
        <f t="shared" si="0"/>
        <v>93613.133235708985</v>
      </c>
      <c r="N26" s="37">
        <f>SUM(M26:M$113)</f>
        <v>4120793.7825070629</v>
      </c>
      <c r="O26" s="47">
        <f t="shared" si="1"/>
        <v>44.019398134354667</v>
      </c>
      <c r="P26" s="37">
        <f>(J27+0.5*K26)/(1+'General input'!$C$113)^E26</f>
        <v>32001.637528641877</v>
      </c>
      <c r="Q26" s="37">
        <f>SUM(P26:P$113)</f>
        <v>559097.83493889053</v>
      </c>
      <c r="R26" s="37">
        <f t="shared" si="2"/>
        <v>17.470913306810964</v>
      </c>
      <c r="T26" s="44">
        <f>'Life table (HE)'!C$9</f>
        <v>0.76195999999999997</v>
      </c>
      <c r="V26" s="48">
        <f t="shared" si="10"/>
        <v>71329.463000280812</v>
      </c>
      <c r="W26" s="37">
        <f>SUM(V26:V$115)</f>
        <v>2650906.2542228713</v>
      </c>
      <c r="X26" s="47">
        <f t="shared" si="3"/>
        <v>28.317674695794455</v>
      </c>
      <c r="Y26" s="37">
        <f>V26/(1+'General input'!$C$113)^E26</f>
        <v>24383.967731323963</v>
      </c>
      <c r="Z26" s="37">
        <f>SUM(Y26:Y$115)</f>
        <v>383896.7034170276</v>
      </c>
      <c r="AA26" s="47">
        <f t="shared" si="4"/>
        <v>11.996158105141811</v>
      </c>
      <c r="AB26" s="47"/>
      <c r="AC26" s="37">
        <f t="shared" si="11"/>
        <v>22.5</v>
      </c>
      <c r="AD26" s="37">
        <f t="shared" si="5"/>
        <v>4212.5895914104412</v>
      </c>
      <c r="AF26" s="4"/>
      <c r="AI26" s="4"/>
      <c r="AL26" s="4"/>
      <c r="AP26" s="41"/>
      <c r="AQ26" s="41"/>
      <c r="AR26" s="49"/>
      <c r="AS26" s="41"/>
      <c r="AT26" s="41"/>
      <c r="AU26" s="41"/>
      <c r="AV26" s="41"/>
      <c r="AW26" s="41"/>
      <c r="AX26" s="41"/>
      <c r="AY26" s="41"/>
      <c r="AZ26" s="41"/>
      <c r="BA26" s="41"/>
      <c r="BB26" s="41"/>
      <c r="BD26" s="6"/>
      <c r="BE26" s="7"/>
      <c r="BF26" s="7"/>
      <c r="BG26" s="7"/>
      <c r="BH26" s="7"/>
      <c r="BI26" s="7"/>
      <c r="BJ26" s="7"/>
      <c r="BK26" s="7"/>
      <c r="BL26" s="7"/>
      <c r="BN26" s="39"/>
      <c r="BO26" s="39"/>
      <c r="BP26" s="39"/>
      <c r="BQ26" s="39"/>
      <c r="BR26" s="39"/>
      <c r="BS26" s="39"/>
      <c r="BT26" s="52"/>
      <c r="BU26" s="52"/>
      <c r="BV26" s="53"/>
      <c r="BW26" s="53"/>
      <c r="BX26" s="52"/>
      <c r="BY26" s="50"/>
      <c r="CA26" s="49"/>
      <c r="CB26" s="49"/>
      <c r="CC26" s="49"/>
      <c r="CD26" s="49"/>
      <c r="CE26" s="49"/>
      <c r="CF26" s="49"/>
      <c r="CG26" s="49"/>
      <c r="CH26" s="49"/>
      <c r="CI26" s="49"/>
      <c r="CK26" s="7"/>
      <c r="CL26" s="7"/>
      <c r="CM26" s="7"/>
      <c r="CN26" s="7"/>
      <c r="CO26" s="7"/>
      <c r="CP26" s="7"/>
      <c r="CQ26" s="7"/>
      <c r="CR26" s="7"/>
      <c r="CS26" s="7"/>
    </row>
    <row r="27" spans="1:97" ht="14.4" x14ac:dyDescent="0.3">
      <c r="E27" s="138">
        <v>23</v>
      </c>
      <c r="F27" s="44">
        <f>'Life table (HE)'!B$9</f>
        <v>2E-3</v>
      </c>
      <c r="H27" s="45">
        <f t="shared" si="6"/>
        <v>2E-3</v>
      </c>
      <c r="I27" s="46">
        <f t="shared" si="7"/>
        <v>1.998001332666921E-3</v>
      </c>
      <c r="J27" s="37">
        <f t="shared" si="8"/>
        <v>93519.520133677637</v>
      </c>
      <c r="K27" s="41">
        <f t="shared" si="9"/>
        <v>186.85212585745887</v>
      </c>
      <c r="L27" s="41">
        <f>SUM($K$4:K26)</f>
        <v>6480.4798663223264</v>
      </c>
      <c r="M27" s="37">
        <f t="shared" si="0"/>
        <v>93426.094070748906</v>
      </c>
      <c r="N27" s="37">
        <f>SUM(M27:M$113)</f>
        <v>4027180.6492713541</v>
      </c>
      <c r="O27" s="47">
        <f t="shared" si="1"/>
        <v>43.105523026807539</v>
      </c>
      <c r="P27" s="37">
        <f>(J28+0.5*K27)/(1+'General input'!$C$113)^E27</f>
        <v>30416.855442106778</v>
      </c>
      <c r="Q27" s="37">
        <f>SUM(P27:P$113)</f>
        <v>527096.19741024845</v>
      </c>
      <c r="R27" s="37">
        <f t="shared" si="2"/>
        <v>17.329082502084571</v>
      </c>
      <c r="T27" s="44">
        <f>'Life table (HE)'!C$9</f>
        <v>0.76195999999999997</v>
      </c>
      <c r="V27" s="48">
        <f t="shared" si="10"/>
        <v>71186.946638147827</v>
      </c>
      <c r="W27" s="37">
        <f>SUM(V27:V$115)</f>
        <v>2579576.7912225905</v>
      </c>
      <c r="X27" s="47">
        <f t="shared" si="3"/>
        <v>27.610881273374769</v>
      </c>
      <c r="Y27" s="37">
        <f>V27/(1+'General input'!$C$113)^E27</f>
        <v>23176.427172667678</v>
      </c>
      <c r="Z27" s="37">
        <f>SUM(Y27:Y$115)</f>
        <v>359512.73568570358</v>
      </c>
      <c r="AA27" s="47">
        <f t="shared" si="4"/>
        <v>11.819523433971465</v>
      </c>
      <c r="AB27" s="47"/>
      <c r="AC27" s="37">
        <f t="shared" si="11"/>
        <v>23.5</v>
      </c>
      <c r="AD27" s="37">
        <f t="shared" si="5"/>
        <v>4391.0249576502838</v>
      </c>
      <c r="AF27" s="4"/>
      <c r="AI27" s="4"/>
      <c r="AL27" s="4"/>
      <c r="AP27" s="41"/>
      <c r="AQ27" s="41"/>
      <c r="AR27" s="49"/>
      <c r="AS27" s="41"/>
      <c r="AT27" s="41"/>
      <c r="AU27" s="41"/>
      <c r="AV27" s="41"/>
      <c r="AW27" s="41"/>
      <c r="AX27" s="41"/>
      <c r="AY27" s="41"/>
      <c r="AZ27" s="41"/>
      <c r="BA27" s="41"/>
      <c r="BB27" s="41"/>
      <c r="BD27" s="6"/>
      <c r="BE27" s="7"/>
      <c r="BF27" s="7"/>
      <c r="BG27" s="7"/>
      <c r="BH27" s="7"/>
      <c r="BI27" s="7"/>
      <c r="BJ27" s="7"/>
      <c r="BK27" s="7"/>
      <c r="BL27" s="7"/>
      <c r="BN27" s="39"/>
      <c r="BO27" s="39"/>
      <c r="BP27" s="39"/>
      <c r="BQ27" s="39"/>
      <c r="BR27" s="39"/>
      <c r="BS27" s="39"/>
      <c r="BT27" s="52"/>
      <c r="BU27" s="52"/>
      <c r="BV27" s="53"/>
      <c r="BW27" s="53"/>
      <c r="BX27" s="52"/>
      <c r="BY27" s="50"/>
      <c r="CA27" s="49"/>
      <c r="CB27" s="49"/>
      <c r="CC27" s="49"/>
      <c r="CD27" s="49"/>
      <c r="CE27" s="49"/>
      <c r="CF27" s="49"/>
      <c r="CG27" s="49"/>
      <c r="CH27" s="49"/>
      <c r="CI27" s="49"/>
      <c r="CK27" s="7"/>
      <c r="CL27" s="7"/>
      <c r="CM27" s="7"/>
      <c r="CN27" s="7"/>
      <c r="CO27" s="7"/>
      <c r="CP27" s="7"/>
      <c r="CQ27" s="7"/>
      <c r="CR27" s="7"/>
      <c r="CS27" s="7"/>
    </row>
    <row r="28" spans="1:97" ht="14.4" x14ac:dyDescent="0.3">
      <c r="E28" s="138">
        <v>24</v>
      </c>
      <c r="F28" s="44">
        <f>'Life table (HE)'!B$9</f>
        <v>2E-3</v>
      </c>
      <c r="H28" s="45">
        <f t="shared" si="6"/>
        <v>2E-3</v>
      </c>
      <c r="I28" s="46">
        <f t="shared" si="7"/>
        <v>1.998001332666921E-3</v>
      </c>
      <c r="J28" s="37">
        <f t="shared" si="8"/>
        <v>93332.668007820175</v>
      </c>
      <c r="K28" s="41">
        <f t="shared" si="9"/>
        <v>186.47879506098403</v>
      </c>
      <c r="L28" s="41">
        <f>SUM($K$4:K27)</f>
        <v>6667.3319921797856</v>
      </c>
      <c r="M28" s="37">
        <f t="shared" si="0"/>
        <v>93239.428610289673</v>
      </c>
      <c r="N28" s="37">
        <f>SUM(M28:M$113)</f>
        <v>3933754.5552006052</v>
      </c>
      <c r="O28" s="47">
        <f t="shared" si="1"/>
        <v>42.189818340075988</v>
      </c>
      <c r="P28" s="37">
        <f>(J29+0.5*K28)/(1+'General input'!$C$113)^E28</f>
        <v>28910.554785140866</v>
      </c>
      <c r="Q28" s="37">
        <f>SUM(P28:P$113)</f>
        <v>496679.34196814161</v>
      </c>
      <c r="R28" s="37">
        <f t="shared" si="2"/>
        <v>17.179862014388583</v>
      </c>
      <c r="T28" s="44">
        <f>'Life table (HE)'!C$9</f>
        <v>0.76195999999999997</v>
      </c>
      <c r="V28" s="48">
        <f t="shared" si="10"/>
        <v>71044.715023896322</v>
      </c>
      <c r="W28" s="37">
        <f>SUM(V28:V$115)</f>
        <v>2508389.8445844427</v>
      </c>
      <c r="X28" s="47">
        <f t="shared" si="3"/>
        <v>26.902672849580537</v>
      </c>
      <c r="Y28" s="37">
        <f>V28/(1+'General input'!$C$113)^E28</f>
        <v>22028.686324085938</v>
      </c>
      <c r="Z28" s="37">
        <f>SUM(Y28:Y$115)</f>
        <v>336336.30851303588</v>
      </c>
      <c r="AA28" s="47">
        <f t="shared" si="4"/>
        <v>11.633685725252922</v>
      </c>
      <c r="AB28" s="47"/>
      <c r="AC28" s="37">
        <f t="shared" si="11"/>
        <v>24.5</v>
      </c>
      <c r="AD28" s="37">
        <f t="shared" si="5"/>
        <v>4568.730478994109</v>
      </c>
      <c r="AF28" s="4"/>
      <c r="AI28" s="4"/>
      <c r="AL28" s="4"/>
      <c r="AP28" s="41"/>
      <c r="AQ28" s="41"/>
      <c r="AR28" s="49"/>
      <c r="AS28" s="41"/>
      <c r="AT28" s="41"/>
      <c r="AU28" s="41"/>
      <c r="AV28" s="41"/>
      <c r="AW28" s="41"/>
      <c r="AX28" s="41"/>
      <c r="AY28" s="41"/>
      <c r="AZ28" s="41"/>
      <c r="BA28" s="41"/>
      <c r="BB28" s="41"/>
      <c r="BD28" s="6"/>
      <c r="BE28" s="7"/>
      <c r="BF28" s="7"/>
      <c r="BG28" s="7"/>
      <c r="BH28" s="7"/>
      <c r="BI28" s="7"/>
      <c r="BJ28" s="7"/>
      <c r="BK28" s="7"/>
      <c r="BL28" s="7"/>
      <c r="BN28" s="39"/>
      <c r="BO28" s="39"/>
      <c r="BP28" s="39"/>
      <c r="BQ28" s="39"/>
      <c r="BR28" s="39"/>
      <c r="BS28" s="39"/>
      <c r="BT28" s="52"/>
      <c r="BU28" s="52"/>
      <c r="BV28" s="53"/>
      <c r="BW28" s="53"/>
      <c r="BX28" s="52"/>
      <c r="BY28" s="50"/>
      <c r="CA28" s="49"/>
      <c r="CB28" s="49"/>
      <c r="CC28" s="49"/>
      <c r="CD28" s="49"/>
      <c r="CE28" s="49"/>
      <c r="CF28" s="49"/>
      <c r="CG28" s="49"/>
      <c r="CH28" s="49"/>
      <c r="CI28" s="49"/>
      <c r="CK28" s="7"/>
      <c r="CL28" s="7"/>
      <c r="CM28" s="7"/>
      <c r="CN28" s="7"/>
      <c r="CO28" s="7"/>
      <c r="CP28" s="7"/>
      <c r="CQ28" s="7"/>
      <c r="CR28" s="7"/>
      <c r="CS28" s="7"/>
    </row>
    <row r="29" spans="1:97" ht="14.4" x14ac:dyDescent="0.3">
      <c r="E29" s="138">
        <v>25</v>
      </c>
      <c r="F29" s="44">
        <f>'Life table (HE)'!B$10</f>
        <v>3.5000000000000001E-3</v>
      </c>
      <c r="H29" s="45">
        <f t="shared" si="6"/>
        <v>3.5000000000000001E-3</v>
      </c>
      <c r="I29" s="46">
        <f t="shared" si="7"/>
        <v>3.4938821395851249E-3</v>
      </c>
      <c r="J29" s="37">
        <f t="shared" si="8"/>
        <v>93146.189212759185</v>
      </c>
      <c r="K29" s="41">
        <f t="shared" si="9"/>
        <v>325.44180686087594</v>
      </c>
      <c r="L29" s="41">
        <f>SUM($K$4:K28)</f>
        <v>6853.81078724077</v>
      </c>
      <c r="M29" s="37">
        <f t="shared" si="0"/>
        <v>92983.468309328746</v>
      </c>
      <c r="N29" s="37">
        <f>SUM(M29:M$113)</f>
        <v>3840515.1265903153</v>
      </c>
      <c r="O29" s="47">
        <f t="shared" si="1"/>
        <v>41.303203638458044</v>
      </c>
      <c r="P29" s="37">
        <f>(J30+0.5*K29)/(1+'General input'!$C$113)^E29</f>
        <v>27458.275913815804</v>
      </c>
      <c r="Q29" s="37">
        <f>SUM(P29:P$113)</f>
        <v>467768.78718300082</v>
      </c>
      <c r="R29" s="37">
        <f t="shared" si="2"/>
        <v>17.035621196727796</v>
      </c>
      <c r="T29" s="44">
        <f>'Life table (HE)'!C$10</f>
        <v>0.70004</v>
      </c>
      <c r="V29" s="48">
        <f t="shared" si="10"/>
        <v>65092.147155262493</v>
      </c>
      <c r="W29" s="37">
        <f>SUM(V29:V$115)</f>
        <v>2437345.129560546</v>
      </c>
      <c r="X29" s="47">
        <f t="shared" si="3"/>
        <v>26.212671713343852</v>
      </c>
      <c r="Y29" s="37">
        <f>V29/(1+'General input'!$C$113)^E29</f>
        <v>19221.891470707615</v>
      </c>
      <c r="Z29" s="37">
        <f>SUM(Y29:Y$115)</f>
        <v>314307.62218894984</v>
      </c>
      <c r="AA29" s="47">
        <f t="shared" si="4"/>
        <v>11.446735518846031</v>
      </c>
      <c r="AB29" s="47"/>
      <c r="AC29" s="37">
        <f t="shared" si="11"/>
        <v>25.5</v>
      </c>
      <c r="AD29" s="37">
        <f t="shared" si="5"/>
        <v>8298.7660749523366</v>
      </c>
      <c r="AF29" s="4"/>
      <c r="AI29" s="4"/>
      <c r="AL29" s="4"/>
      <c r="AP29" s="41"/>
      <c r="AQ29" s="41"/>
      <c r="AR29" s="49"/>
      <c r="AS29" s="41"/>
      <c r="AT29" s="41"/>
      <c r="AU29" s="41"/>
      <c r="AV29" s="41"/>
      <c r="AW29" s="41"/>
      <c r="AX29" s="41"/>
      <c r="AY29" s="41"/>
      <c r="AZ29" s="41"/>
      <c r="BA29" s="41"/>
      <c r="BB29" s="41"/>
      <c r="BD29" s="6"/>
      <c r="BE29" s="7"/>
      <c r="BF29" s="7"/>
      <c r="BG29" s="7"/>
      <c r="BH29" s="7"/>
      <c r="BI29" s="7"/>
      <c r="BJ29" s="7"/>
      <c r="BK29" s="7"/>
      <c r="BL29" s="7"/>
      <c r="BN29" s="39"/>
      <c r="BO29" s="39"/>
      <c r="BP29" s="39"/>
      <c r="BQ29" s="39"/>
      <c r="BR29" s="39"/>
      <c r="BS29" s="39"/>
      <c r="BT29" s="52"/>
      <c r="BU29" s="52"/>
      <c r="BV29" s="53"/>
      <c r="BW29" s="53"/>
      <c r="BX29" s="52"/>
      <c r="BY29" s="50"/>
      <c r="CA29" s="49"/>
      <c r="CB29" s="49"/>
      <c r="CC29" s="49"/>
      <c r="CD29" s="49"/>
      <c r="CE29" s="49"/>
      <c r="CF29" s="49"/>
      <c r="CG29" s="49"/>
      <c r="CH29" s="49"/>
      <c r="CI29" s="49"/>
      <c r="CK29" s="7"/>
      <c r="CL29" s="7"/>
      <c r="CM29" s="7"/>
      <c r="CN29" s="7"/>
      <c r="CO29" s="7"/>
      <c r="CP29" s="7"/>
      <c r="CQ29" s="7"/>
      <c r="CR29" s="7"/>
      <c r="CS29" s="7"/>
    </row>
    <row r="30" spans="1:97" ht="14.4" x14ac:dyDescent="0.3">
      <c r="E30" s="138">
        <v>26</v>
      </c>
      <c r="F30" s="44">
        <f>'Life table (HE)'!B$10</f>
        <v>3.5000000000000001E-3</v>
      </c>
      <c r="H30" s="45">
        <f t="shared" si="6"/>
        <v>3.5000000000000001E-3</v>
      </c>
      <c r="I30" s="46">
        <f t="shared" si="7"/>
        <v>3.4938821395851249E-3</v>
      </c>
      <c r="J30" s="37">
        <f t="shared" si="8"/>
        <v>92820.747405898306</v>
      </c>
      <c r="K30" s="41">
        <f t="shared" si="9"/>
        <v>324.30475154441041</v>
      </c>
      <c r="L30" s="41">
        <f>SUM($K$4:K29)</f>
        <v>7179.2525941016456</v>
      </c>
      <c r="M30" s="37">
        <f t="shared" si="0"/>
        <v>92658.595030126104</v>
      </c>
      <c r="N30" s="37">
        <f>SUM(M30:M$113)</f>
        <v>3747531.6582809868</v>
      </c>
      <c r="O30" s="47">
        <f t="shared" si="1"/>
        <v>40.444511996567087</v>
      </c>
      <c r="P30" s="37">
        <f>(J31+0.5*K30)/(1+'General input'!$C$113)^E30</f>
        <v>26059.371365730211</v>
      </c>
      <c r="Q30" s="37">
        <f>SUM(P30:P$113)</f>
        <v>440310.51126918499</v>
      </c>
      <c r="R30" s="37">
        <f t="shared" si="2"/>
        <v>16.896436413973603</v>
      </c>
      <c r="T30" s="44">
        <f>'Life table (HE)'!C$10</f>
        <v>0.70004</v>
      </c>
      <c r="V30" s="48">
        <f t="shared" si="10"/>
        <v>64864.722864889474</v>
      </c>
      <c r="W30" s="37">
        <f>SUM(V30:V$115)</f>
        <v>2372252.982405284</v>
      </c>
      <c r="X30" s="47">
        <f t="shared" si="3"/>
        <v>25.602082371678449</v>
      </c>
      <c r="Y30" s="37">
        <f>V30/(1+'General input'!$C$113)^E30</f>
        <v>18242.602330865775</v>
      </c>
      <c r="Z30" s="37">
        <f>SUM(Y30:Y$115)</f>
        <v>295085.7307182423</v>
      </c>
      <c r="AA30" s="47">
        <f t="shared" si="4"/>
        <v>11.323593596210054</v>
      </c>
      <c r="AB30" s="47"/>
      <c r="AC30" s="37">
        <f t="shared" si="11"/>
        <v>26.5</v>
      </c>
      <c r="AD30" s="37">
        <f t="shared" si="5"/>
        <v>8594.0759159268764</v>
      </c>
      <c r="AF30" s="4"/>
      <c r="AI30" s="4"/>
      <c r="AL30" s="4"/>
      <c r="AP30" s="41"/>
      <c r="AQ30" s="41"/>
      <c r="AR30" s="49"/>
      <c r="AS30" s="41"/>
      <c r="AT30" s="41"/>
      <c r="AU30" s="41"/>
      <c r="AV30" s="41"/>
      <c r="AW30" s="41"/>
      <c r="AX30" s="41"/>
      <c r="AY30" s="41"/>
      <c r="AZ30" s="41"/>
      <c r="BA30" s="41"/>
      <c r="BB30" s="41"/>
      <c r="BD30" s="6"/>
      <c r="BE30" s="7"/>
      <c r="BF30" s="7"/>
      <c r="BG30" s="7"/>
      <c r="BH30" s="7"/>
      <c r="BI30" s="7"/>
      <c r="BJ30" s="7"/>
      <c r="BK30" s="7"/>
      <c r="BL30" s="7"/>
      <c r="BN30" s="39"/>
      <c r="BO30" s="39"/>
      <c r="BP30" s="39"/>
      <c r="BQ30" s="39"/>
      <c r="BR30" s="39"/>
      <c r="BS30" s="39"/>
      <c r="BT30" s="52"/>
      <c r="BU30" s="52"/>
      <c r="BV30" s="53"/>
      <c r="BW30" s="53"/>
      <c r="BX30" s="52"/>
      <c r="BY30" s="50"/>
      <c r="CA30" s="49"/>
      <c r="CB30" s="49"/>
      <c r="CC30" s="49"/>
      <c r="CD30" s="49"/>
      <c r="CE30" s="49"/>
      <c r="CF30" s="49"/>
      <c r="CG30" s="49"/>
      <c r="CH30" s="49"/>
      <c r="CI30" s="49"/>
      <c r="CK30" s="7"/>
      <c r="CL30" s="7"/>
      <c r="CM30" s="7"/>
      <c r="CN30" s="7"/>
      <c r="CO30" s="7"/>
      <c r="CP30" s="7"/>
      <c r="CQ30" s="7"/>
      <c r="CR30" s="7"/>
      <c r="CS30" s="7"/>
    </row>
    <row r="31" spans="1:97" ht="14.4" x14ac:dyDescent="0.3">
      <c r="E31" s="138">
        <v>27</v>
      </c>
      <c r="F31" s="44">
        <f>'Life table (HE)'!B$10</f>
        <v>3.5000000000000001E-3</v>
      </c>
      <c r="H31" s="45">
        <f t="shared" si="6"/>
        <v>3.5000000000000001E-3</v>
      </c>
      <c r="I31" s="46">
        <f t="shared" si="7"/>
        <v>3.4938821395851249E-3</v>
      </c>
      <c r="J31" s="37">
        <f t="shared" si="8"/>
        <v>92496.442654353901</v>
      </c>
      <c r="K31" s="41">
        <f t="shared" si="9"/>
        <v>323.17166896520683</v>
      </c>
      <c r="L31" s="41">
        <f>SUM($K$4:K30)</f>
        <v>7503.5573456460561</v>
      </c>
      <c r="M31" s="37">
        <f t="shared" si="0"/>
        <v>92334.856819871289</v>
      </c>
      <c r="N31" s="37">
        <f>SUM(M31:M$113)</f>
        <v>3654873.0632508607</v>
      </c>
      <c r="O31" s="47">
        <f t="shared" si="1"/>
        <v>39.582809668301771</v>
      </c>
      <c r="P31" s="37">
        <f>(J32+0.5*K31)/(1+'General input'!$C$113)^E31</f>
        <v>24731.736184330159</v>
      </c>
      <c r="Q31" s="37">
        <f>SUM(P31:P$113)</f>
        <v>414251.13990345469</v>
      </c>
      <c r="R31" s="37">
        <f t="shared" si="2"/>
        <v>16.749779991827712</v>
      </c>
      <c r="T31" s="44">
        <f>'Life table (HE)'!C$10</f>
        <v>0.70004</v>
      </c>
      <c r="V31" s="48">
        <f t="shared" si="10"/>
        <v>64638.093168182699</v>
      </c>
      <c r="W31" s="37">
        <f>SUM(V31:V$115)</f>
        <v>2307388.2595403949</v>
      </c>
      <c r="X31" s="47">
        <f t="shared" si="3"/>
        <v>24.989352223090513</v>
      </c>
      <c r="Y31" s="37">
        <f>V31/(1+'General input'!$C$113)^E31</f>
        <v>17313.204598478485</v>
      </c>
      <c r="Z31" s="37">
        <f>SUM(Y31:Y$115)</f>
        <v>276843.12838737638</v>
      </c>
      <c r="AA31" s="47">
        <f t="shared" si="4"/>
        <v>11.193841237995336</v>
      </c>
      <c r="AB31" s="47"/>
      <c r="AC31" s="37">
        <f t="shared" si="11"/>
        <v>27.5</v>
      </c>
      <c r="AD31" s="37">
        <f t="shared" si="5"/>
        <v>8887.2208965431873</v>
      </c>
      <c r="AF31" s="4"/>
      <c r="AI31" s="4"/>
      <c r="AL31" s="4"/>
      <c r="AP31" s="41"/>
      <c r="AQ31" s="41"/>
      <c r="AR31" s="49"/>
      <c r="AS31" s="41"/>
      <c r="AT31" s="41"/>
      <c r="AU31" s="41"/>
      <c r="AV31" s="41"/>
      <c r="AW31" s="41"/>
      <c r="AX31" s="41"/>
      <c r="AY31" s="41"/>
      <c r="AZ31" s="41"/>
      <c r="BA31" s="41"/>
      <c r="BB31" s="41"/>
      <c r="BD31" s="6"/>
      <c r="BE31" s="7"/>
      <c r="BF31" s="7"/>
      <c r="BG31" s="7"/>
      <c r="BH31" s="7"/>
      <c r="BI31" s="7"/>
      <c r="BJ31" s="7"/>
      <c r="BK31" s="7"/>
      <c r="BL31" s="7"/>
      <c r="BN31" s="39"/>
      <c r="BO31" s="39"/>
      <c r="BP31" s="39"/>
      <c r="BQ31" s="39"/>
      <c r="BR31" s="39"/>
      <c r="BS31" s="39"/>
      <c r="BT31" s="52"/>
      <c r="BU31" s="52"/>
      <c r="BV31" s="53"/>
      <c r="BW31" s="53"/>
      <c r="BX31" s="52"/>
      <c r="BY31" s="50"/>
      <c r="CA31" s="49"/>
      <c r="CB31" s="49"/>
      <c r="CC31" s="49"/>
      <c r="CD31" s="49"/>
      <c r="CE31" s="49"/>
      <c r="CF31" s="49"/>
      <c r="CG31" s="49"/>
      <c r="CH31" s="49"/>
      <c r="CI31" s="49"/>
      <c r="CK31" s="7"/>
      <c r="CL31" s="7"/>
      <c r="CM31" s="7"/>
      <c r="CN31" s="7"/>
      <c r="CO31" s="7"/>
      <c r="CP31" s="7"/>
      <c r="CQ31" s="7"/>
      <c r="CR31" s="7"/>
      <c r="CS31" s="7"/>
    </row>
    <row r="32" spans="1:97" ht="14.4" x14ac:dyDescent="0.3">
      <c r="E32" s="138">
        <v>28</v>
      </c>
      <c r="F32" s="44">
        <f>'Life table (HE)'!B$10</f>
        <v>3.5000000000000001E-3</v>
      </c>
      <c r="H32" s="45">
        <f t="shared" si="6"/>
        <v>3.5000000000000001E-3</v>
      </c>
      <c r="I32" s="46">
        <f t="shared" si="7"/>
        <v>3.4938821395851249E-3</v>
      </c>
      <c r="J32" s="37">
        <f t="shared" si="8"/>
        <v>92173.270985388692</v>
      </c>
      <c r="K32" s="41">
        <f t="shared" si="9"/>
        <v>322.04254524298938</v>
      </c>
      <c r="L32" s="41">
        <f>SUM($K$4:K31)</f>
        <v>7826.7290146112628</v>
      </c>
      <c r="M32" s="37">
        <f t="shared" si="0"/>
        <v>92012.249712767196</v>
      </c>
      <c r="N32" s="37">
        <f>SUM(M32:M$113)</f>
        <v>3562538.2064309893</v>
      </c>
      <c r="O32" s="47">
        <f t="shared" si="1"/>
        <v>38.71808609779778</v>
      </c>
      <c r="P32" s="37">
        <f>(J33+0.5*K32)/(1+'General input'!$C$113)^E32</f>
        <v>23471.739440947429</v>
      </c>
      <c r="Q32" s="37">
        <f>SUM(P32:P$113)</f>
        <v>389519.40371912462</v>
      </c>
      <c r="R32" s="37">
        <f t="shared" si="2"/>
        <v>16.595250841937677</v>
      </c>
      <c r="T32" s="44">
        <f>'Life table (HE)'!C$10</f>
        <v>0.70004</v>
      </c>
      <c r="V32" s="48">
        <f t="shared" si="10"/>
        <v>64412.255288925546</v>
      </c>
      <c r="W32" s="37">
        <f>SUM(V32:V$115)</f>
        <v>2242750.1663722121</v>
      </c>
      <c r="X32" s="47">
        <f t="shared" si="3"/>
        <v>24.37447376162805</v>
      </c>
      <c r="Y32" s="37">
        <f>V32/(1+'General input'!$C$113)^E32</f>
        <v>16431.156478240839</v>
      </c>
      <c r="Z32" s="37">
        <f>SUM(Y32:Y$115)</f>
        <v>259529.92378889796</v>
      </c>
      <c r="AA32" s="47">
        <f t="shared" si="4"/>
        <v>11.057123586509194</v>
      </c>
      <c r="AB32" s="47"/>
      <c r="AC32" s="37">
        <f t="shared" si="11"/>
        <v>28.5</v>
      </c>
      <c r="AD32" s="37">
        <f t="shared" si="5"/>
        <v>9178.212539425198</v>
      </c>
      <c r="AF32" s="4"/>
      <c r="AI32" s="4"/>
      <c r="AL32" s="4"/>
      <c r="AP32" s="41"/>
      <c r="AQ32" s="41"/>
      <c r="AR32" s="49"/>
      <c r="AS32" s="41"/>
      <c r="AT32" s="41"/>
      <c r="AU32" s="41"/>
      <c r="AV32" s="41"/>
      <c r="AW32" s="41"/>
      <c r="AX32" s="41"/>
      <c r="AY32" s="41"/>
      <c r="AZ32" s="41"/>
      <c r="BA32" s="41"/>
      <c r="BB32" s="41"/>
      <c r="BD32" s="6"/>
      <c r="BE32" s="7"/>
      <c r="BF32" s="7"/>
      <c r="BG32" s="7"/>
      <c r="BH32" s="7"/>
      <c r="BI32" s="7"/>
      <c r="BJ32" s="7"/>
      <c r="BK32" s="7"/>
      <c r="BL32" s="7"/>
      <c r="BN32" s="39"/>
      <c r="BO32" s="39"/>
      <c r="BP32" s="39"/>
      <c r="BQ32" s="39"/>
      <c r="BR32" s="39"/>
      <c r="BS32" s="39"/>
      <c r="BT32" s="52"/>
      <c r="BU32" s="52"/>
      <c r="BV32" s="53"/>
      <c r="BW32" s="53"/>
      <c r="BX32" s="52"/>
      <c r="BY32" s="50"/>
      <c r="CA32" s="49"/>
      <c r="CB32" s="49"/>
      <c r="CC32" s="49"/>
      <c r="CD32" s="49"/>
      <c r="CE32" s="49"/>
      <c r="CF32" s="49"/>
      <c r="CG32" s="49"/>
      <c r="CH32" s="49"/>
      <c r="CI32" s="49"/>
      <c r="CK32" s="7"/>
      <c r="CL32" s="7"/>
      <c r="CM32" s="7"/>
      <c r="CN32" s="7"/>
      <c r="CO32" s="7"/>
      <c r="CP32" s="7"/>
      <c r="CQ32" s="7"/>
      <c r="CR32" s="7"/>
      <c r="CS32" s="7"/>
    </row>
    <row r="33" spans="5:97" ht="14.4" x14ac:dyDescent="0.3">
      <c r="E33" s="138">
        <v>29</v>
      </c>
      <c r="F33" s="44">
        <f>'Life table (HE)'!B$10</f>
        <v>3.5000000000000001E-3</v>
      </c>
      <c r="H33" s="45">
        <f t="shared" si="6"/>
        <v>3.5000000000000001E-3</v>
      </c>
      <c r="I33" s="46">
        <f t="shared" si="7"/>
        <v>3.4938821395851249E-3</v>
      </c>
      <c r="J33" s="37">
        <f t="shared" si="8"/>
        <v>91851.2284401457</v>
      </c>
      <c r="K33" s="41">
        <f t="shared" si="9"/>
        <v>320.91736654597833</v>
      </c>
      <c r="L33" s="41">
        <f>SUM($K$4:K32)</f>
        <v>8148.7715598542518</v>
      </c>
      <c r="M33" s="37">
        <f t="shared" si="0"/>
        <v>91690.769756872702</v>
      </c>
      <c r="N33" s="37">
        <f>SUM(M33:M$113)</f>
        <v>3470525.9567182227</v>
      </c>
      <c r="O33" s="47">
        <f t="shared" si="1"/>
        <v>37.850330692180592</v>
      </c>
      <c r="P33" s="37">
        <f>(J34+0.5*K33)/(1+'General input'!$C$113)^E33</f>
        <v>22275.935190218763</v>
      </c>
      <c r="Q33" s="37">
        <f>SUM(P33:P$113)</f>
        <v>366047.6642781772</v>
      </c>
      <c r="R33" s="37">
        <f t="shared" si="2"/>
        <v>16.432426344951239</v>
      </c>
      <c r="T33" s="44">
        <f>'Life table (HE)'!C$10</f>
        <v>0.70004</v>
      </c>
      <c r="V33" s="48">
        <f t="shared" si="10"/>
        <v>64187.206460601163</v>
      </c>
      <c r="W33" s="37">
        <f>SUM(V33:V$115)</f>
        <v>2178337.9110832866</v>
      </c>
      <c r="X33" s="47">
        <f t="shared" si="3"/>
        <v>23.757439455022229</v>
      </c>
      <c r="Y33" s="37">
        <f>V33/(1+'General input'!$C$113)^E33</f>
        <v>15594.045670560741</v>
      </c>
      <c r="Z33" s="37">
        <f>SUM(Y33:Y$115)</f>
        <v>243098.76731065713</v>
      </c>
      <c r="AA33" s="47">
        <f t="shared" si="4"/>
        <v>10.913066734787431</v>
      </c>
      <c r="AB33" s="47"/>
      <c r="AC33" s="37">
        <f t="shared" si="11"/>
        <v>29.5</v>
      </c>
      <c r="AD33" s="37">
        <f t="shared" si="5"/>
        <v>9467.0623131063603</v>
      </c>
      <c r="AF33" s="4"/>
      <c r="AI33" s="4"/>
      <c r="AL33" s="4"/>
      <c r="AP33" s="41"/>
      <c r="AQ33" s="41"/>
      <c r="AR33" s="49"/>
      <c r="AS33" s="41"/>
      <c r="AT33" s="41"/>
      <c r="AU33" s="41"/>
      <c r="AV33" s="41"/>
      <c r="AW33" s="41"/>
      <c r="AX33" s="41"/>
      <c r="AY33" s="41"/>
      <c r="AZ33" s="41"/>
      <c r="BA33" s="41"/>
      <c r="BB33" s="41"/>
      <c r="BD33" s="6"/>
      <c r="BE33" s="7"/>
      <c r="BF33" s="7"/>
      <c r="BG33" s="7"/>
      <c r="BH33" s="7"/>
      <c r="BI33" s="7"/>
      <c r="BJ33" s="7"/>
      <c r="BK33" s="7"/>
      <c r="BL33" s="7"/>
      <c r="BN33" s="39"/>
      <c r="BO33" s="39"/>
      <c r="BP33" s="39"/>
      <c r="BQ33" s="39"/>
      <c r="BR33" s="39"/>
      <c r="BS33" s="39"/>
      <c r="BT33" s="52"/>
      <c r="BU33" s="52"/>
      <c r="BV33" s="53"/>
      <c r="BW33" s="53"/>
      <c r="BX33" s="52"/>
      <c r="BY33" s="50"/>
      <c r="CA33" s="49"/>
      <c r="CB33" s="49"/>
      <c r="CC33" s="49"/>
      <c r="CD33" s="49"/>
      <c r="CE33" s="49"/>
      <c r="CF33" s="49"/>
      <c r="CG33" s="49"/>
      <c r="CH33" s="49"/>
      <c r="CI33" s="49"/>
      <c r="CK33" s="7"/>
      <c r="CL33" s="7"/>
      <c r="CM33" s="7"/>
      <c r="CN33" s="7"/>
      <c r="CO33" s="7"/>
      <c r="CP33" s="7"/>
      <c r="CQ33" s="7"/>
      <c r="CR33" s="7"/>
      <c r="CS33" s="7"/>
    </row>
    <row r="34" spans="5:97" ht="14.4" x14ac:dyDescent="0.3">
      <c r="E34" s="138">
        <v>30</v>
      </c>
      <c r="F34" s="44">
        <f>'Life table (HE)'!B$11</f>
        <v>6.0000000000000001E-3</v>
      </c>
      <c r="H34" s="45">
        <f t="shared" si="6"/>
        <v>6.0000000000000001E-3</v>
      </c>
      <c r="I34" s="46">
        <f t="shared" si="7"/>
        <v>5.9820359460647232E-3</v>
      </c>
      <c r="J34" s="37">
        <f t="shared" si="8"/>
        <v>91530.311073599718</v>
      </c>
      <c r="K34" s="41">
        <f t="shared" si="9"/>
        <v>547.53761099675955</v>
      </c>
      <c r="L34" s="41">
        <f>SUM($K$4:K33)</f>
        <v>8469.6889264002293</v>
      </c>
      <c r="M34" s="37">
        <f t="shared" si="0"/>
        <v>91256.54226810133</v>
      </c>
      <c r="N34" s="37">
        <f>SUM(M34:M$113)</f>
        <v>3378835.1869613496</v>
      </c>
      <c r="O34" s="47">
        <f t="shared" si="1"/>
        <v>37.02567621984533</v>
      </c>
      <c r="P34" s="37">
        <f>(J35+0.5*K34)/(1+'General input'!$C$113)^E34</f>
        <v>21114.705923148766</v>
      </c>
      <c r="Q34" s="37">
        <f>SUM(P34:P$113)</f>
        <v>343771.72908795846</v>
      </c>
      <c r="R34" s="37">
        <f t="shared" si="2"/>
        <v>16.281151645643803</v>
      </c>
      <c r="T34" s="44">
        <f>'Life table (HE)'!C$11</f>
        <v>0.70004</v>
      </c>
      <c r="V34" s="48">
        <f t="shared" si="10"/>
        <v>63883.229849361654</v>
      </c>
      <c r="W34" s="37">
        <f>SUM(V34:V$115)</f>
        <v>2114150.7046226854</v>
      </c>
      <c r="X34" s="47">
        <f t="shared" si="3"/>
        <v>23.167113853728441</v>
      </c>
      <c r="Y34" s="37">
        <f>V34/(1+'General input'!$C$113)^E34</f>
        <v>14781.138734441061</v>
      </c>
      <c r="Z34" s="37">
        <f>SUM(Y34:Y$115)</f>
        <v>227504.7216400964</v>
      </c>
      <c r="AA34" s="47">
        <f t="shared" si="4"/>
        <v>10.774704723245767</v>
      </c>
      <c r="AB34" s="47"/>
      <c r="AC34" s="37">
        <f t="shared" si="11"/>
        <v>30.5</v>
      </c>
      <c r="AD34" s="37">
        <f t="shared" si="5"/>
        <v>16699.897135401166</v>
      </c>
      <c r="AF34" s="4"/>
      <c r="AI34" s="4"/>
      <c r="AL34" s="4"/>
      <c r="AP34" s="41"/>
      <c r="AQ34" s="41"/>
      <c r="AR34" s="49"/>
      <c r="AS34" s="41"/>
      <c r="AT34" s="41"/>
      <c r="AU34" s="41"/>
      <c r="AV34" s="41"/>
      <c r="AW34" s="41"/>
      <c r="AX34" s="41"/>
      <c r="AY34" s="41"/>
      <c r="AZ34" s="41"/>
      <c r="BA34" s="41"/>
      <c r="BB34" s="41"/>
      <c r="BD34" s="6"/>
      <c r="BE34" s="7"/>
      <c r="BF34" s="7"/>
      <c r="BG34" s="7"/>
      <c r="BH34" s="7"/>
      <c r="BI34" s="7"/>
      <c r="BJ34" s="7"/>
      <c r="BK34" s="7"/>
      <c r="BL34" s="7"/>
      <c r="BN34" s="39"/>
      <c r="BO34" s="39"/>
      <c r="BP34" s="39"/>
      <c r="BQ34" s="39"/>
      <c r="BR34" s="39"/>
      <c r="BS34" s="39"/>
      <c r="BT34" s="52"/>
      <c r="BU34" s="52"/>
      <c r="BV34" s="53"/>
      <c r="BW34" s="53"/>
      <c r="BX34" s="52"/>
      <c r="BY34" s="50"/>
      <c r="CA34" s="49"/>
      <c r="CB34" s="49"/>
      <c r="CC34" s="49"/>
      <c r="CD34" s="49"/>
      <c r="CE34" s="49"/>
      <c r="CF34" s="49"/>
      <c r="CG34" s="49"/>
      <c r="CH34" s="49"/>
      <c r="CI34" s="49"/>
      <c r="CK34" s="7"/>
      <c r="CL34" s="7"/>
      <c r="CM34" s="7"/>
      <c r="CN34" s="7"/>
      <c r="CO34" s="7"/>
      <c r="CP34" s="7"/>
      <c r="CQ34" s="7"/>
      <c r="CR34" s="7"/>
      <c r="CS34" s="7"/>
    </row>
    <row r="35" spans="5:97" ht="14.4" x14ac:dyDescent="0.3">
      <c r="E35" s="138">
        <v>31</v>
      </c>
      <c r="F35" s="44">
        <f>'Life table (HE)'!B$11</f>
        <v>6.0000000000000001E-3</v>
      </c>
      <c r="H35" s="45">
        <f t="shared" si="6"/>
        <v>6.0000000000000001E-3</v>
      </c>
      <c r="I35" s="46">
        <f t="shared" si="7"/>
        <v>5.9820359460647232E-3</v>
      </c>
      <c r="J35" s="37">
        <f t="shared" si="8"/>
        <v>90982.773462602956</v>
      </c>
      <c r="K35" s="41">
        <f t="shared" si="9"/>
        <v>544.26222132595444</v>
      </c>
      <c r="L35" s="41">
        <f>SUM($K$4:K34)</f>
        <v>9017.2265373969894</v>
      </c>
      <c r="M35" s="37">
        <f t="shared" si="0"/>
        <v>90710.642351939969</v>
      </c>
      <c r="N35" s="37">
        <f>SUM(M35:M$113)</f>
        <v>3287578.6446932484</v>
      </c>
      <c r="O35" s="47">
        <f t="shared" si="1"/>
        <v>36.242480038208427</v>
      </c>
      <c r="P35" s="37">
        <f>(J36+0.5*K35)/(1+'General input'!$C$113)^E35</f>
        <v>19988.949517453231</v>
      </c>
      <c r="Q35" s="37">
        <f>SUM(P35:P$113)</f>
        <v>322657.02316480968</v>
      </c>
      <c r="R35" s="37">
        <f t="shared" si="2"/>
        <v>16.141769875554672</v>
      </c>
      <c r="T35" s="44">
        <f>'Life table (HE)'!C$11</f>
        <v>0.70004</v>
      </c>
      <c r="V35" s="48">
        <f t="shared" si="10"/>
        <v>63501.078072052056</v>
      </c>
      <c r="W35" s="37">
        <f>SUM(V35:V$115)</f>
        <v>2050267.4747733243</v>
      </c>
      <c r="X35" s="47">
        <f t="shared" si="3"/>
        <v>22.602281514209526</v>
      </c>
      <c r="Y35" s="37">
        <f>V35/(1+'General input'!$C$113)^E35</f>
        <v>13993.064220197961</v>
      </c>
      <c r="Z35" s="37">
        <f>SUM(Y35:Y$115)</f>
        <v>212723.58290565535</v>
      </c>
      <c r="AA35" s="47">
        <f t="shared" si="4"/>
        <v>10.642059139722026</v>
      </c>
      <c r="AB35" s="47"/>
      <c r="AC35" s="37">
        <f t="shared" si="11"/>
        <v>31.5</v>
      </c>
      <c r="AD35" s="37">
        <f t="shared" si="5"/>
        <v>17144.259971767566</v>
      </c>
      <c r="AF35" s="4"/>
      <c r="AI35" s="4"/>
      <c r="AL35" s="4"/>
      <c r="AP35" s="41"/>
      <c r="AQ35" s="41"/>
      <c r="AR35" s="49"/>
      <c r="AS35" s="41"/>
      <c r="AT35" s="41"/>
      <c r="AU35" s="41"/>
      <c r="AV35" s="41"/>
      <c r="AW35" s="41"/>
      <c r="AX35" s="41"/>
      <c r="AY35" s="41"/>
      <c r="AZ35" s="41"/>
      <c r="BA35" s="41"/>
      <c r="BB35" s="41"/>
      <c r="BD35" s="6"/>
      <c r="BE35" s="7"/>
      <c r="BF35" s="7"/>
      <c r="BG35" s="7"/>
      <c r="BH35" s="7"/>
      <c r="BI35" s="7"/>
      <c r="BJ35" s="7"/>
      <c r="BK35" s="7"/>
      <c r="BL35" s="7"/>
      <c r="BN35" s="39"/>
      <c r="BO35" s="39"/>
      <c r="BP35" s="39"/>
      <c r="BQ35" s="39"/>
      <c r="BR35" s="39"/>
      <c r="BS35" s="39"/>
      <c r="BT35" s="52"/>
      <c r="BU35" s="52"/>
      <c r="BV35" s="53"/>
      <c r="BW35" s="53"/>
      <c r="BX35" s="52"/>
      <c r="BY35" s="50"/>
      <c r="CA35" s="49"/>
      <c r="CB35" s="49"/>
      <c r="CC35" s="49"/>
      <c r="CD35" s="49"/>
      <c r="CE35" s="49"/>
      <c r="CF35" s="49"/>
      <c r="CG35" s="49"/>
      <c r="CH35" s="49"/>
      <c r="CI35" s="49"/>
      <c r="CK35" s="7"/>
      <c r="CL35" s="7"/>
      <c r="CM35" s="7"/>
      <c r="CN35" s="7"/>
      <c r="CO35" s="7"/>
      <c r="CP35" s="7"/>
      <c r="CQ35" s="7"/>
      <c r="CR35" s="7"/>
      <c r="CS35" s="7"/>
    </row>
    <row r="36" spans="5:97" ht="14.4" x14ac:dyDescent="0.3">
      <c r="E36" s="138">
        <v>32</v>
      </c>
      <c r="F36" s="44">
        <f>'Life table (HE)'!B$11</f>
        <v>6.0000000000000001E-3</v>
      </c>
      <c r="H36" s="45">
        <f t="shared" si="6"/>
        <v>6.0000000000000001E-3</v>
      </c>
      <c r="I36" s="46">
        <f t="shared" si="7"/>
        <v>5.9820359460647232E-3</v>
      </c>
      <c r="J36" s="37">
        <f t="shared" si="8"/>
        <v>90438.511241276996</v>
      </c>
      <c r="K36" s="41">
        <f t="shared" si="9"/>
        <v>541.00642515389757</v>
      </c>
      <c r="L36" s="41">
        <f>SUM($K$4:K35)</f>
        <v>9561.4887587229441</v>
      </c>
      <c r="M36" s="37">
        <f t="shared" si="0"/>
        <v>90168.008028700046</v>
      </c>
      <c r="N36" s="37">
        <f>SUM(M36:M$113)</f>
        <v>3196868.0023413086</v>
      </c>
      <c r="O36" s="47">
        <f t="shared" ref="O36:O67" si="12">N36/M36</f>
        <v>35.454570553713026</v>
      </c>
      <c r="P36" s="37">
        <f>(J37+0.5*K36)/(1+'General input'!$C$113)^E36</f>
        <v>18923.214193253101</v>
      </c>
      <c r="Q36" s="37">
        <f>SUM(P36:P$113)</f>
        <v>302668.07364735648</v>
      </c>
      <c r="R36" s="37">
        <f t="shared" ref="R36:R67" si="13">Q36/P36</f>
        <v>15.994538272217518</v>
      </c>
      <c r="T36" s="44">
        <f>'Life table (HE)'!C$11</f>
        <v>0.70004</v>
      </c>
      <c r="V36" s="48">
        <f t="shared" si="10"/>
        <v>63121.212340411177</v>
      </c>
      <c r="W36" s="37">
        <f>SUM(V36:V$115)</f>
        <v>1986766.3967012719</v>
      </c>
      <c r="X36" s="47">
        <f t="shared" ref="X36:X67" si="14">W36/M36</f>
        <v>22.034049993306869</v>
      </c>
      <c r="Y36" s="37">
        <f>V36/(1+'General input'!$C$113)^E36</f>
        <v>13247.006863844899</v>
      </c>
      <c r="Z36" s="37">
        <f>SUM(Y36:Y$115)</f>
        <v>198730.51868545738</v>
      </c>
      <c r="AA36" s="47">
        <f t="shared" ref="AA36:AA67" si="15">Z36/P36</f>
        <v>10.501943097822828</v>
      </c>
      <c r="AB36" s="47"/>
      <c r="AC36" s="37">
        <f t="shared" si="11"/>
        <v>32.5</v>
      </c>
      <c r="AD36" s="37">
        <f t="shared" ref="AD36:AD67" si="16">AC36*K36</f>
        <v>17582.708817501672</v>
      </c>
      <c r="AF36" s="4"/>
      <c r="AI36" s="4"/>
      <c r="AL36" s="4"/>
      <c r="AP36" s="41"/>
      <c r="AQ36" s="41"/>
      <c r="AR36" s="49"/>
      <c r="AS36" s="41"/>
      <c r="AT36" s="41"/>
      <c r="AU36" s="41"/>
      <c r="AV36" s="41"/>
      <c r="AW36" s="41"/>
      <c r="AX36" s="41"/>
      <c r="AY36" s="41"/>
      <c r="AZ36" s="41"/>
      <c r="BA36" s="41"/>
      <c r="BB36" s="41"/>
      <c r="BD36" s="6"/>
      <c r="BE36" s="7"/>
      <c r="BF36" s="7"/>
      <c r="BG36" s="7"/>
      <c r="BH36" s="7"/>
      <c r="BI36" s="7"/>
      <c r="BJ36" s="7"/>
      <c r="BK36" s="7"/>
      <c r="BL36" s="7"/>
      <c r="BN36" s="39"/>
      <c r="BO36" s="39"/>
      <c r="BP36" s="39"/>
      <c r="BQ36" s="39"/>
      <c r="BR36" s="39"/>
      <c r="BS36" s="39"/>
      <c r="BT36" s="52"/>
      <c r="BU36" s="52"/>
      <c r="BV36" s="53"/>
      <c r="BW36" s="53"/>
      <c r="BX36" s="52"/>
      <c r="BY36" s="50"/>
      <c r="CA36" s="49"/>
      <c r="CB36" s="49"/>
      <c r="CC36" s="49"/>
      <c r="CD36" s="49"/>
      <c r="CE36" s="49"/>
      <c r="CF36" s="49"/>
      <c r="CG36" s="49"/>
      <c r="CH36" s="49"/>
      <c r="CI36" s="49"/>
      <c r="CK36" s="7"/>
      <c r="CL36" s="7"/>
      <c r="CM36" s="7"/>
      <c r="CN36" s="7"/>
      <c r="CO36" s="7"/>
      <c r="CP36" s="7"/>
      <c r="CQ36" s="7"/>
      <c r="CR36" s="7"/>
      <c r="CS36" s="7"/>
    </row>
    <row r="37" spans="5:97" ht="14.4" x14ac:dyDescent="0.3">
      <c r="E37" s="138">
        <v>33</v>
      </c>
      <c r="F37" s="44">
        <f>'Life table (HE)'!B$11</f>
        <v>6.0000000000000001E-3</v>
      </c>
      <c r="H37" s="45">
        <f t="shared" si="6"/>
        <v>6.0000000000000001E-3</v>
      </c>
      <c r="I37" s="46">
        <f t="shared" si="7"/>
        <v>5.9820359460647232E-3</v>
      </c>
      <c r="J37" s="37">
        <f t="shared" si="8"/>
        <v>89897.504816123095</v>
      </c>
      <c r="K37" s="41">
        <f t="shared" si="9"/>
        <v>537.77010527157495</v>
      </c>
      <c r="L37" s="41">
        <f>SUM($K$4:K36)</f>
        <v>10102.495183876841</v>
      </c>
      <c r="M37" s="37">
        <f t="shared" si="0"/>
        <v>89628.61976348731</v>
      </c>
      <c r="N37" s="37">
        <f>SUM(M37:M$113)</f>
        <v>3106699.9943126086</v>
      </c>
      <c r="O37" s="47">
        <f t="shared" si="12"/>
        <v>34.661919401532593</v>
      </c>
      <c r="P37" s="37">
        <f>(J38+0.5*K37)/(1+'General input'!$C$113)^E37</f>
        <v>17914.299853079978</v>
      </c>
      <c r="Q37" s="37">
        <f>SUM(P37:P$113)</f>
        <v>283744.8594541034</v>
      </c>
      <c r="R37" s="37">
        <f t="shared" si="13"/>
        <v>15.839014741361471</v>
      </c>
      <c r="T37" s="44">
        <f>'Life table (HE)'!C$11</f>
        <v>0.70004</v>
      </c>
      <c r="V37" s="48">
        <f t="shared" si="10"/>
        <v>62743.618979231658</v>
      </c>
      <c r="W37" s="37">
        <f>SUM(V37:V$115)</f>
        <v>1923645.1843608611</v>
      </c>
      <c r="X37" s="47">
        <f t="shared" si="14"/>
        <v>21.462398834624373</v>
      </c>
      <c r="Y37" s="37">
        <f>V37/(1+'General input'!$C$113)^E37</f>
        <v>12540.726469150108</v>
      </c>
      <c r="Z37" s="37">
        <f>SUM(Y37:Y$115)</f>
        <v>185483.51182161251</v>
      </c>
      <c r="AA37" s="47">
        <f t="shared" si="15"/>
        <v>10.353935869267177</v>
      </c>
      <c r="AB37" s="47"/>
      <c r="AC37" s="37">
        <f t="shared" ref="AC37:AC68" si="17">E37+0.5</f>
        <v>33.5</v>
      </c>
      <c r="AD37" s="37">
        <f t="shared" si="16"/>
        <v>18015.298526597762</v>
      </c>
      <c r="AF37" s="4"/>
      <c r="AI37" s="4"/>
      <c r="AL37" s="4"/>
      <c r="AP37" s="41"/>
      <c r="AQ37" s="41"/>
      <c r="AR37" s="49"/>
      <c r="AS37" s="41"/>
      <c r="AT37" s="41"/>
      <c r="AU37" s="41"/>
      <c r="AV37" s="41"/>
      <c r="AW37" s="41"/>
      <c r="AX37" s="41"/>
      <c r="AY37" s="41"/>
      <c r="AZ37" s="41"/>
      <c r="BA37" s="41"/>
      <c r="BB37" s="41"/>
      <c r="BD37" s="6"/>
      <c r="BE37" s="7"/>
      <c r="BF37" s="7"/>
      <c r="BG37" s="7"/>
      <c r="BH37" s="7"/>
      <c r="BI37" s="7"/>
      <c r="BJ37" s="7"/>
      <c r="BK37" s="7"/>
      <c r="BL37" s="7"/>
      <c r="BN37" s="39"/>
      <c r="BO37" s="39"/>
      <c r="BP37" s="39"/>
      <c r="BQ37" s="39"/>
      <c r="BR37" s="39"/>
      <c r="BS37" s="39"/>
      <c r="BT37" s="52"/>
      <c r="BU37" s="52"/>
      <c r="BV37" s="53"/>
      <c r="BW37" s="53"/>
      <c r="BX37" s="52"/>
      <c r="BY37" s="50"/>
      <c r="CA37" s="49"/>
      <c r="CB37" s="49"/>
      <c r="CC37" s="49"/>
      <c r="CD37" s="49"/>
      <c r="CE37" s="49"/>
      <c r="CF37" s="49"/>
      <c r="CG37" s="49"/>
      <c r="CH37" s="49"/>
      <c r="CI37" s="49"/>
      <c r="CK37" s="7"/>
      <c r="CL37" s="7"/>
      <c r="CM37" s="7"/>
      <c r="CN37" s="7"/>
      <c r="CO37" s="7"/>
      <c r="CP37" s="7"/>
      <c r="CQ37" s="7"/>
      <c r="CR37" s="7"/>
      <c r="CS37" s="7"/>
    </row>
    <row r="38" spans="5:97" ht="14.4" x14ac:dyDescent="0.3">
      <c r="E38" s="138">
        <v>34</v>
      </c>
      <c r="F38" s="44">
        <f>'Life table (HE)'!B$11</f>
        <v>6.0000000000000001E-3</v>
      </c>
      <c r="H38" s="45">
        <f t="shared" si="6"/>
        <v>6.0000000000000001E-3</v>
      </c>
      <c r="I38" s="46">
        <f t="shared" si="7"/>
        <v>5.9820359460647232E-3</v>
      </c>
      <c r="J38" s="37">
        <f t="shared" si="8"/>
        <v>89359.734710851524</v>
      </c>
      <c r="K38" s="41">
        <f t="shared" si="9"/>
        <v>534.5531451711214</v>
      </c>
      <c r="L38" s="41">
        <f>SUM($K$4:K37)</f>
        <v>10640.265289148416</v>
      </c>
      <c r="M38" s="37">
        <f t="shared" si="0"/>
        <v>89092.458138265953</v>
      </c>
      <c r="N38" s="37">
        <f>SUM(M38:M$113)</f>
        <v>3017071.3745491211</v>
      </c>
      <c r="O38" s="47">
        <f t="shared" si="12"/>
        <v>33.864498046140042</v>
      </c>
      <c r="P38" s="37">
        <f>(J39+0.5*K38)/(1+'General input'!$C$113)^E38</f>
        <v>16959.177016581212</v>
      </c>
      <c r="Q38" s="37">
        <f>SUM(P38:P$113)</f>
        <v>265830.55960102339</v>
      </c>
      <c r="R38" s="37">
        <f t="shared" si="13"/>
        <v>15.67473229043587</v>
      </c>
      <c r="T38" s="44">
        <f>'Life table (HE)'!C$11</f>
        <v>0.70004</v>
      </c>
      <c r="V38" s="48">
        <f t="shared" si="10"/>
        <v>62368.284395111696</v>
      </c>
      <c r="W38" s="37">
        <f>SUM(V38:V$115)</f>
        <v>1860901.5653816292</v>
      </c>
      <c r="X38" s="47">
        <f t="shared" si="14"/>
        <v>20.887307458658572</v>
      </c>
      <c r="Y38" s="37">
        <f>V38/(1+'General input'!$C$113)^E38</f>
        <v>11872.102278687511</v>
      </c>
      <c r="Z38" s="37">
        <f>SUM(Y38:Y$115)</f>
        <v>172942.78535246241</v>
      </c>
      <c r="AA38" s="47">
        <f t="shared" si="15"/>
        <v>10.197593030804146</v>
      </c>
      <c r="AB38" s="47"/>
      <c r="AC38" s="37">
        <f t="shared" si="17"/>
        <v>34.5</v>
      </c>
      <c r="AD38" s="37">
        <f t="shared" si="16"/>
        <v>18442.083508403688</v>
      </c>
      <c r="AF38" s="4"/>
      <c r="AI38" s="4"/>
      <c r="AL38" s="4"/>
      <c r="AP38" s="41"/>
      <c r="AQ38" s="41"/>
      <c r="AR38" s="49"/>
      <c r="AS38" s="41"/>
      <c r="AT38" s="41"/>
      <c r="AU38" s="41"/>
      <c r="AV38" s="41"/>
      <c r="AW38" s="41"/>
      <c r="AX38" s="41"/>
      <c r="AY38" s="41"/>
      <c r="AZ38" s="41"/>
      <c r="BA38" s="41"/>
      <c r="BB38" s="41"/>
      <c r="BD38" s="6"/>
      <c r="BE38" s="7"/>
      <c r="BF38" s="7"/>
      <c r="BG38" s="7"/>
      <c r="BH38" s="7"/>
      <c r="BI38" s="7"/>
      <c r="BJ38" s="7"/>
      <c r="BK38" s="7"/>
      <c r="BL38" s="7"/>
      <c r="BN38" s="39"/>
      <c r="BO38" s="39"/>
      <c r="BP38" s="39"/>
      <c r="BQ38" s="39"/>
      <c r="BR38" s="39"/>
      <c r="BS38" s="39"/>
      <c r="BT38" s="52"/>
      <c r="BU38" s="52"/>
      <c r="BV38" s="53"/>
      <c r="BW38" s="53"/>
      <c r="BX38" s="52"/>
      <c r="BY38" s="50"/>
      <c r="CA38" s="49"/>
      <c r="CB38" s="49"/>
      <c r="CC38" s="49"/>
      <c r="CD38" s="49"/>
      <c r="CE38" s="49"/>
      <c r="CF38" s="49"/>
      <c r="CG38" s="49"/>
      <c r="CH38" s="49"/>
      <c r="CI38" s="49"/>
      <c r="CK38" s="7"/>
      <c r="CL38" s="7"/>
      <c r="CM38" s="7"/>
      <c r="CN38" s="7"/>
      <c r="CO38" s="7"/>
      <c r="CP38" s="7"/>
      <c r="CQ38" s="7"/>
      <c r="CR38" s="7"/>
      <c r="CS38" s="7"/>
    </row>
    <row r="39" spans="5:97" ht="14.4" x14ac:dyDescent="0.3">
      <c r="E39" s="138">
        <v>35</v>
      </c>
      <c r="F39" s="44">
        <f>'Life table (HE)'!B$12</f>
        <v>9.4999999999999998E-3</v>
      </c>
      <c r="H39" s="45">
        <f t="shared" si="6"/>
        <v>9.4999999999999998E-3</v>
      </c>
      <c r="I39" s="46">
        <f t="shared" si="7"/>
        <v>9.4550175570995432E-3</v>
      </c>
      <c r="J39" s="37">
        <f t="shared" si="8"/>
        <v>88825.181565680396</v>
      </c>
      <c r="K39" s="41">
        <f t="shared" si="9"/>
        <v>839.84365121606288</v>
      </c>
      <c r="L39" s="41">
        <f>SUM($K$4:K38)</f>
        <v>11174.818434319537</v>
      </c>
      <c r="M39" s="37">
        <f t="shared" si="0"/>
        <v>88405.259740072361</v>
      </c>
      <c r="N39" s="37">
        <f>SUM(M39:M$113)</f>
        <v>2927978.916410855</v>
      </c>
      <c r="O39" s="47">
        <f t="shared" si="12"/>
        <v>33.11996282822593</v>
      </c>
      <c r="P39" s="37">
        <f>(J40+0.5*K39)/(1+'General input'!$C$113)^E39</f>
        <v>16027.01476494642</v>
      </c>
      <c r="Q39" s="37">
        <f>SUM(P39:P$113)</f>
        <v>248871.38258444218</v>
      </c>
      <c r="R39" s="37">
        <f t="shared" si="13"/>
        <v>15.528243171570709</v>
      </c>
      <c r="T39" s="44">
        <f>'Life table (HE)'!C$12</f>
        <v>0.70004</v>
      </c>
      <c r="V39" s="48">
        <f t="shared" si="10"/>
        <v>61887.218028440257</v>
      </c>
      <c r="W39" s="37">
        <f>SUM(V39:V$115)</f>
        <v>1798533.2809865174</v>
      </c>
      <c r="X39" s="47">
        <f t="shared" si="14"/>
        <v>20.34418864074982</v>
      </c>
      <c r="Y39" s="37">
        <f>V39/(1+'General input'!$C$113)^E39</f>
        <v>11219.551416053091</v>
      </c>
      <c r="Z39" s="37">
        <f>SUM(Y39:Y$115)</f>
        <v>161070.68307377488</v>
      </c>
      <c r="AA39" s="47">
        <f t="shared" si="15"/>
        <v>10.049949128771104</v>
      </c>
      <c r="AB39" s="47"/>
      <c r="AC39" s="37">
        <f t="shared" si="17"/>
        <v>35.5</v>
      </c>
      <c r="AD39" s="37">
        <f t="shared" si="16"/>
        <v>29814.449618170231</v>
      </c>
      <c r="AF39" s="4"/>
      <c r="AI39" s="4"/>
      <c r="AL39" s="4"/>
      <c r="AP39" s="41"/>
      <c r="AQ39" s="41"/>
      <c r="AR39" s="49"/>
      <c r="AS39" s="41"/>
      <c r="AT39" s="41"/>
      <c r="AU39" s="41"/>
      <c r="AV39" s="41"/>
      <c r="AW39" s="41"/>
      <c r="AX39" s="41"/>
      <c r="AY39" s="41"/>
      <c r="AZ39" s="41"/>
      <c r="BA39" s="41"/>
      <c r="BB39" s="41"/>
      <c r="BD39" s="6"/>
      <c r="BE39" s="7"/>
      <c r="BF39" s="7"/>
      <c r="BG39" s="7"/>
      <c r="BH39" s="7"/>
      <c r="BI39" s="7"/>
      <c r="BJ39" s="7"/>
      <c r="BK39" s="7"/>
      <c r="BL39" s="7"/>
      <c r="BN39" s="39"/>
      <c r="BO39" s="39"/>
      <c r="BP39" s="39"/>
      <c r="BQ39" s="39"/>
      <c r="BR39" s="39"/>
      <c r="BS39" s="39"/>
      <c r="BT39" s="52"/>
      <c r="BU39" s="52"/>
      <c r="BV39" s="53"/>
      <c r="BW39" s="53"/>
      <c r="BX39" s="52"/>
      <c r="BY39" s="50"/>
      <c r="CA39" s="49"/>
      <c r="CB39" s="49"/>
      <c r="CC39" s="49"/>
      <c r="CD39" s="49"/>
      <c r="CE39" s="49"/>
      <c r="CF39" s="49"/>
      <c r="CG39" s="49"/>
      <c r="CH39" s="49"/>
      <c r="CI39" s="49"/>
      <c r="CK39" s="7"/>
      <c r="CL39" s="7"/>
      <c r="CM39" s="7"/>
      <c r="CN39" s="7"/>
      <c r="CO39" s="7"/>
      <c r="CP39" s="7"/>
      <c r="CQ39" s="7"/>
      <c r="CR39" s="7"/>
      <c r="CS39" s="7"/>
    </row>
    <row r="40" spans="5:97" ht="14.4" x14ac:dyDescent="0.3">
      <c r="E40" s="138">
        <v>36</v>
      </c>
      <c r="F40" s="44">
        <f>'Life table (HE)'!B$12</f>
        <v>9.4999999999999998E-3</v>
      </c>
      <c r="H40" s="45">
        <f t="shared" si="6"/>
        <v>9.4999999999999998E-3</v>
      </c>
      <c r="I40" s="46">
        <f t="shared" si="7"/>
        <v>9.4550175570995432E-3</v>
      </c>
      <c r="J40" s="37">
        <f t="shared" si="8"/>
        <v>87985.337914464326</v>
      </c>
      <c r="K40" s="41">
        <f t="shared" si="9"/>
        <v>831.90291474859634</v>
      </c>
      <c r="L40" s="41">
        <f>SUM($K$4:K39)</f>
        <v>12014.6620855356</v>
      </c>
      <c r="M40" s="37">
        <f t="shared" si="0"/>
        <v>87569.386457090019</v>
      </c>
      <c r="N40" s="37">
        <f>SUM(M40:M$113)</f>
        <v>2839573.6566707827</v>
      </c>
      <c r="O40" s="47">
        <f t="shared" si="12"/>
        <v>32.426556489147103</v>
      </c>
      <c r="P40" s="37">
        <f>(J41+0.5*K40)/(1+'General input'!$C$113)^E40</f>
        <v>15119.503865672341</v>
      </c>
      <c r="Q40" s="37">
        <f>SUM(P40:P$113)</f>
        <v>232844.36781949576</v>
      </c>
      <c r="R40" s="37">
        <f t="shared" si="13"/>
        <v>15.400265107121061</v>
      </c>
      <c r="T40" s="44">
        <f>'Life table (HE)'!C$12</f>
        <v>0.70004</v>
      </c>
      <c r="V40" s="48">
        <f t="shared" si="10"/>
        <v>61302.073295421294</v>
      </c>
      <c r="W40" s="37">
        <f>SUM(V40:V$115)</f>
        <v>1736646.0629580778</v>
      </c>
      <c r="X40" s="47">
        <f t="shared" si="14"/>
        <v>19.831657308790827</v>
      </c>
      <c r="Y40" s="37">
        <f>V40/(1+'General input'!$C$113)^E40</f>
        <v>10584.257486125265</v>
      </c>
      <c r="Z40" s="37">
        <f>SUM(Y40:Y$115)</f>
        <v>149851.13165772182</v>
      </c>
      <c r="AA40" s="47">
        <f t="shared" si="15"/>
        <v>9.9111143453554167</v>
      </c>
      <c r="AB40" s="47"/>
      <c r="AC40" s="37">
        <f t="shared" si="17"/>
        <v>36.5</v>
      </c>
      <c r="AD40" s="37">
        <f t="shared" si="16"/>
        <v>30364.456388323768</v>
      </c>
      <c r="AF40" s="4"/>
      <c r="AI40" s="4"/>
      <c r="AL40" s="4"/>
      <c r="AP40" s="41"/>
      <c r="AQ40" s="41"/>
      <c r="AR40" s="49"/>
      <c r="AS40" s="41"/>
      <c r="AT40" s="41"/>
      <c r="AU40" s="41"/>
      <c r="AV40" s="41"/>
      <c r="AW40" s="41"/>
      <c r="AX40" s="41"/>
      <c r="AY40" s="41"/>
      <c r="AZ40" s="41"/>
      <c r="BA40" s="41"/>
      <c r="BB40" s="41"/>
      <c r="BD40" s="6"/>
      <c r="BE40" s="7"/>
      <c r="BF40" s="7"/>
      <c r="BG40" s="7"/>
      <c r="BH40" s="7"/>
      <c r="BI40" s="7"/>
      <c r="BJ40" s="7"/>
      <c r="BK40" s="7"/>
      <c r="BL40" s="7"/>
      <c r="BN40" s="39"/>
      <c r="BO40" s="39"/>
      <c r="BP40" s="39"/>
      <c r="BQ40" s="39"/>
      <c r="BR40" s="39"/>
      <c r="BS40" s="39"/>
      <c r="BT40" s="52"/>
      <c r="BU40" s="52"/>
      <c r="BV40" s="53"/>
      <c r="BW40" s="53"/>
      <c r="BX40" s="52"/>
      <c r="BY40" s="50"/>
      <c r="CA40" s="49"/>
      <c r="CB40" s="49"/>
      <c r="CC40" s="49"/>
      <c r="CD40" s="49"/>
      <c r="CE40" s="49"/>
      <c r="CF40" s="49"/>
      <c r="CG40" s="49"/>
      <c r="CH40" s="49"/>
      <c r="CI40" s="49"/>
      <c r="CK40" s="7"/>
      <c r="CL40" s="7"/>
      <c r="CM40" s="7"/>
      <c r="CN40" s="7"/>
      <c r="CO40" s="7"/>
      <c r="CP40" s="7"/>
      <c r="CQ40" s="7"/>
      <c r="CR40" s="7"/>
      <c r="CS40" s="7"/>
    </row>
    <row r="41" spans="5:97" ht="14.4" x14ac:dyDescent="0.3">
      <c r="E41" s="138">
        <v>37</v>
      </c>
      <c r="F41" s="44">
        <f>'Life table (HE)'!B$12</f>
        <v>9.4999999999999998E-3</v>
      </c>
      <c r="H41" s="45">
        <f t="shared" si="6"/>
        <v>9.4999999999999998E-3</v>
      </c>
      <c r="I41" s="46">
        <f t="shared" si="7"/>
        <v>9.4550175570995432E-3</v>
      </c>
      <c r="J41" s="37">
        <f t="shared" si="8"/>
        <v>87153.434999715726</v>
      </c>
      <c r="K41" s="41">
        <f t="shared" si="9"/>
        <v>824.03725808384604</v>
      </c>
      <c r="L41" s="41">
        <f>SUM($K$4:K40)</f>
        <v>12846.565000284196</v>
      </c>
      <c r="M41" s="37">
        <f t="shared" si="0"/>
        <v>86741.416370673804</v>
      </c>
      <c r="N41" s="37">
        <f>SUM(M41:M$113)</f>
        <v>2752004.2702136924</v>
      </c>
      <c r="O41" s="47">
        <f t="shared" si="12"/>
        <v>31.726531400565314</v>
      </c>
      <c r="P41" s="37">
        <f>(J42+0.5*K41)/(1+'General input'!$C$113)^E41</f>
        <v>14263.379705874069</v>
      </c>
      <c r="Q41" s="37">
        <f>SUM(P41:P$113)</f>
        <v>217724.8639538234</v>
      </c>
      <c r="R41" s="37">
        <f t="shared" si="13"/>
        <v>15.26460547524778</v>
      </c>
      <c r="T41" s="44">
        <f>'Life table (HE)'!C$12</f>
        <v>0.70004</v>
      </c>
      <c r="V41" s="48">
        <f t="shared" si="10"/>
        <v>60722.461116126491</v>
      </c>
      <c r="W41" s="37">
        <f>SUM(V41:V$115)</f>
        <v>1675343.9896626563</v>
      </c>
      <c r="X41" s="47">
        <f t="shared" si="14"/>
        <v>19.314233727788995</v>
      </c>
      <c r="Y41" s="37">
        <f>V41/(1+'General input'!$C$113)^E41</f>
        <v>9984.9363293000843</v>
      </c>
      <c r="Z41" s="37">
        <f>SUM(Y41:Y$115)</f>
        <v>139266.87417159657</v>
      </c>
      <c r="AA41" s="47">
        <f t="shared" si="15"/>
        <v>9.7639463467583685</v>
      </c>
      <c r="AB41" s="47"/>
      <c r="AC41" s="37">
        <f t="shared" si="17"/>
        <v>37.5</v>
      </c>
      <c r="AD41" s="37">
        <f t="shared" si="16"/>
        <v>30901.397178144227</v>
      </c>
      <c r="AF41" s="4"/>
      <c r="AI41" s="4"/>
      <c r="AL41" s="4"/>
      <c r="AP41" s="41"/>
      <c r="AQ41" s="41"/>
      <c r="AR41" s="49"/>
      <c r="AS41" s="41"/>
      <c r="AT41" s="41"/>
      <c r="AU41" s="41"/>
      <c r="AV41" s="41"/>
      <c r="AW41" s="41"/>
      <c r="AX41" s="41"/>
      <c r="AY41" s="41"/>
      <c r="AZ41" s="41"/>
      <c r="BA41" s="41"/>
      <c r="BB41" s="41"/>
      <c r="BD41" s="6"/>
      <c r="BE41" s="7"/>
      <c r="BF41" s="7"/>
      <c r="BG41" s="7"/>
      <c r="BH41" s="7"/>
      <c r="BI41" s="7"/>
      <c r="BJ41" s="7"/>
      <c r="BK41" s="7"/>
      <c r="BL41" s="7"/>
      <c r="BN41" s="39"/>
      <c r="BO41" s="39"/>
      <c r="BP41" s="39"/>
      <c r="BQ41" s="39"/>
      <c r="BR41" s="39"/>
      <c r="BS41" s="39"/>
      <c r="BT41" s="52"/>
      <c r="BU41" s="52"/>
      <c r="BV41" s="53"/>
      <c r="BW41" s="53"/>
      <c r="BX41" s="52"/>
      <c r="BY41" s="50"/>
      <c r="CA41" s="49"/>
      <c r="CB41" s="49"/>
      <c r="CC41" s="49"/>
      <c r="CD41" s="49"/>
      <c r="CE41" s="49"/>
      <c r="CF41" s="49"/>
      <c r="CG41" s="49"/>
      <c r="CH41" s="49"/>
      <c r="CI41" s="49"/>
      <c r="CK41" s="7"/>
      <c r="CL41" s="7"/>
      <c r="CM41" s="7"/>
      <c r="CN41" s="7"/>
      <c r="CO41" s="7"/>
      <c r="CP41" s="7"/>
      <c r="CQ41" s="7"/>
      <c r="CR41" s="7"/>
      <c r="CS41" s="7"/>
    </row>
    <row r="42" spans="5:97" ht="14.4" x14ac:dyDescent="0.3">
      <c r="E42" s="138">
        <v>38</v>
      </c>
      <c r="F42" s="44">
        <f>'Life table (HE)'!B$12</f>
        <v>9.4999999999999998E-3</v>
      </c>
      <c r="H42" s="45">
        <f t="shared" si="6"/>
        <v>9.4999999999999998E-3</v>
      </c>
      <c r="I42" s="46">
        <f t="shared" si="7"/>
        <v>9.4550175570995432E-3</v>
      </c>
      <c r="J42" s="37">
        <f t="shared" si="8"/>
        <v>86329.397741631881</v>
      </c>
      <c r="K42" s="41">
        <f t="shared" si="9"/>
        <v>816.24597134095904</v>
      </c>
      <c r="L42" s="41">
        <f>SUM($K$4:K41)</f>
        <v>13670.602258368042</v>
      </c>
      <c r="M42" s="37">
        <f t="shared" si="0"/>
        <v>85921.274755961393</v>
      </c>
      <c r="N42" s="37">
        <f>SUM(M42:M$113)</f>
        <v>2665262.8538430189</v>
      </c>
      <c r="O42" s="47">
        <f t="shared" si="12"/>
        <v>31.019824384741192</v>
      </c>
      <c r="P42" s="37">
        <f>(J43+0.5*K42)/(1+'General input'!$C$113)^E42</f>
        <v>13455.732571744242</v>
      </c>
      <c r="Q42" s="37">
        <f>SUM(P42:P$113)</f>
        <v>203461.48424794929</v>
      </c>
      <c r="R42" s="37">
        <f t="shared" si="13"/>
        <v>15.120803208827073</v>
      </c>
      <c r="T42" s="44">
        <f>'Life table (HE)'!C$12</f>
        <v>0.70004</v>
      </c>
      <c r="V42" s="48">
        <f t="shared" si="10"/>
        <v>60148.329180163215</v>
      </c>
      <c r="W42" s="37">
        <f>SUM(V42:V$115)</f>
        <v>1614621.5285465296</v>
      </c>
      <c r="X42" s="47">
        <f t="shared" si="14"/>
        <v>18.79187119991494</v>
      </c>
      <c r="Y42" s="37">
        <f>V42/(1+'General input'!$C$113)^E42</f>
        <v>9419.55102952384</v>
      </c>
      <c r="Z42" s="37">
        <f>SUM(Y42:Y$115)</f>
        <v>129281.9378422966</v>
      </c>
      <c r="AA42" s="47">
        <f t="shared" si="15"/>
        <v>9.6079449523080118</v>
      </c>
      <c r="AB42" s="47"/>
      <c r="AC42" s="37">
        <f t="shared" si="17"/>
        <v>38.5</v>
      </c>
      <c r="AD42" s="37">
        <f t="shared" si="16"/>
        <v>31425.469896626924</v>
      </c>
      <c r="AF42" s="4"/>
      <c r="AI42" s="4"/>
      <c r="AL42" s="4"/>
      <c r="AP42" s="41"/>
      <c r="AQ42" s="41"/>
      <c r="AR42" s="49"/>
      <c r="AS42" s="41"/>
      <c r="AT42" s="41"/>
      <c r="AU42" s="41"/>
      <c r="AV42" s="41"/>
      <c r="AW42" s="41"/>
      <c r="AX42" s="41"/>
      <c r="AY42" s="41"/>
      <c r="AZ42" s="41"/>
      <c r="BA42" s="41"/>
      <c r="BB42" s="41"/>
      <c r="BD42" s="6"/>
      <c r="BE42" s="7"/>
      <c r="BF42" s="7"/>
      <c r="BG42" s="7"/>
      <c r="BH42" s="7"/>
      <c r="BI42" s="7"/>
      <c r="BJ42" s="7"/>
      <c r="BK42" s="7"/>
      <c r="BL42" s="7"/>
      <c r="BN42" s="39"/>
      <c r="BO42" s="39"/>
      <c r="BP42" s="39"/>
      <c r="BQ42" s="39"/>
      <c r="BR42" s="39"/>
      <c r="BS42" s="39"/>
      <c r="BT42" s="52"/>
      <c r="BU42" s="52"/>
      <c r="BV42" s="53"/>
      <c r="BW42" s="53"/>
      <c r="BX42" s="52"/>
      <c r="BY42" s="50"/>
      <c r="CA42" s="49"/>
      <c r="CB42" s="49"/>
      <c r="CC42" s="49"/>
      <c r="CD42" s="49"/>
      <c r="CE42" s="49"/>
      <c r="CF42" s="49"/>
      <c r="CG42" s="49"/>
      <c r="CH42" s="49"/>
      <c r="CI42" s="49"/>
      <c r="CK42" s="7"/>
      <c r="CL42" s="7"/>
      <c r="CM42" s="7"/>
      <c r="CN42" s="7"/>
      <c r="CO42" s="7"/>
      <c r="CP42" s="7"/>
      <c r="CQ42" s="7"/>
      <c r="CR42" s="7"/>
      <c r="CS42" s="7"/>
    </row>
    <row r="43" spans="5:97" ht="14.4" x14ac:dyDescent="0.3">
      <c r="E43" s="138">
        <v>39</v>
      </c>
      <c r="F43" s="44">
        <f>'Life table (HE)'!B$12</f>
        <v>9.4999999999999998E-3</v>
      </c>
      <c r="H43" s="45">
        <f t="shared" si="6"/>
        <v>9.4999999999999998E-3</v>
      </c>
      <c r="I43" s="46">
        <f t="shared" si="7"/>
        <v>9.4550175570995432E-3</v>
      </c>
      <c r="J43" s="37">
        <f t="shared" si="8"/>
        <v>85513.151770290919</v>
      </c>
      <c r="K43" s="41">
        <f t="shared" si="9"/>
        <v>808.5283513510185</v>
      </c>
      <c r="L43" s="41">
        <f>SUM($K$4:K42)</f>
        <v>14486.848229709001</v>
      </c>
      <c r="M43" s="37">
        <f t="shared" si="0"/>
        <v>85108.8875946154</v>
      </c>
      <c r="N43" s="37">
        <f>SUM(M43:M$113)</f>
        <v>2579341.5790870576</v>
      </c>
      <c r="O43" s="47">
        <f t="shared" si="12"/>
        <v>30.306371660886864</v>
      </c>
      <c r="P43" s="37">
        <f>(J44+0.5*K43)/(1+'General input'!$C$113)^E43</f>
        <v>12693.817508604534</v>
      </c>
      <c r="Q43" s="37">
        <f>SUM(P43:P$113)</f>
        <v>190005.75167620505</v>
      </c>
      <c r="R43" s="37">
        <f t="shared" si="13"/>
        <v>14.968369566319131</v>
      </c>
      <c r="T43" s="44">
        <f>'Life table (HE)'!C$12</f>
        <v>0.70004</v>
      </c>
      <c r="V43" s="48">
        <f t="shared" si="10"/>
        <v>59579.625671734568</v>
      </c>
      <c r="W43" s="37">
        <f>SUM(V43:V$115)</f>
        <v>1554473.1993663663</v>
      </c>
      <c r="X43" s="47">
        <f t="shared" si="14"/>
        <v>18.264522581595973</v>
      </c>
      <c r="Y43" s="37">
        <f>V43/(1+'General input'!$C$113)^E43</f>
        <v>8886.1800087235188</v>
      </c>
      <c r="Z43" s="37">
        <f>SUM(Y43:Y$115)</f>
        <v>119862.38681277275</v>
      </c>
      <c r="AA43" s="47">
        <f t="shared" si="15"/>
        <v>9.4425799592221757</v>
      </c>
      <c r="AB43" s="47"/>
      <c r="AC43" s="37">
        <f t="shared" si="17"/>
        <v>39.5</v>
      </c>
      <c r="AD43" s="37">
        <f t="shared" si="16"/>
        <v>31936.869878365229</v>
      </c>
      <c r="AF43" s="4"/>
      <c r="AI43" s="4"/>
      <c r="AL43" s="4"/>
      <c r="AP43" s="41"/>
      <c r="AQ43" s="41"/>
      <c r="AR43" s="49"/>
      <c r="AS43" s="41"/>
      <c r="AT43" s="41"/>
      <c r="AU43" s="41"/>
      <c r="AV43" s="41"/>
      <c r="AW43" s="41"/>
      <c r="AX43" s="41"/>
      <c r="AY43" s="41"/>
      <c r="AZ43" s="41"/>
      <c r="BA43" s="41"/>
      <c r="BB43" s="41"/>
      <c r="BD43" s="6"/>
      <c r="BE43" s="7"/>
      <c r="BF43" s="7"/>
      <c r="BG43" s="7"/>
      <c r="BH43" s="7"/>
      <c r="BI43" s="7"/>
      <c r="BJ43" s="7"/>
      <c r="BK43" s="7"/>
      <c r="BL43" s="7"/>
      <c r="BN43" s="39"/>
      <c r="BO43" s="39"/>
      <c r="BP43" s="39"/>
      <c r="BQ43" s="39"/>
      <c r="BR43" s="39"/>
      <c r="BS43" s="39"/>
      <c r="BT43" s="52"/>
      <c r="BU43" s="52"/>
      <c r="BV43" s="53"/>
      <c r="BW43" s="53"/>
      <c r="BX43" s="52"/>
      <c r="BY43" s="50"/>
      <c r="CA43" s="49"/>
      <c r="CB43" s="49"/>
      <c r="CC43" s="49"/>
      <c r="CD43" s="49"/>
      <c r="CE43" s="49"/>
      <c r="CF43" s="49"/>
      <c r="CG43" s="49"/>
      <c r="CH43" s="49"/>
      <c r="CI43" s="49"/>
      <c r="CK43" s="7"/>
      <c r="CL43" s="7"/>
      <c r="CM43" s="7"/>
      <c r="CN43" s="7"/>
      <c r="CO43" s="7"/>
      <c r="CP43" s="7"/>
      <c r="CQ43" s="7"/>
      <c r="CR43" s="7"/>
      <c r="CS43" s="7"/>
    </row>
    <row r="44" spans="5:97" ht="14.4" x14ac:dyDescent="0.3">
      <c r="E44" s="138">
        <v>40</v>
      </c>
      <c r="F44" s="44">
        <f>'Life table (HE)'!B$13</f>
        <v>1.0499999999999999E-2</v>
      </c>
      <c r="H44" s="45">
        <f t="shared" si="6"/>
        <v>1.0499999999999999E-2</v>
      </c>
      <c r="I44" s="46">
        <f t="shared" si="7"/>
        <v>1.0445067432100719E-2</v>
      </c>
      <c r="J44" s="37">
        <f t="shared" si="8"/>
        <v>84704.623418939897</v>
      </c>
      <c r="K44" s="41">
        <f t="shared" si="9"/>
        <v>884.74550342152497</v>
      </c>
      <c r="L44" s="41">
        <f>SUM($K$4:K43)</f>
        <v>15295.37658106002</v>
      </c>
      <c r="M44" s="37">
        <f t="shared" si="0"/>
        <v>84262.250667229135</v>
      </c>
      <c r="N44" s="37">
        <f>SUM(M44:M$113)</f>
        <v>2494232.691492442</v>
      </c>
      <c r="O44" s="47">
        <f t="shared" si="12"/>
        <v>29.60083159115624</v>
      </c>
      <c r="P44" s="37">
        <f>(J45+0.5*K44)/(1+'General input'!$C$113)^E44</f>
        <v>11969.088888183604</v>
      </c>
      <c r="Q44" s="37">
        <f>SUM(P44:P$113)</f>
        <v>177311.93416760053</v>
      </c>
      <c r="R44" s="37">
        <f t="shared" si="13"/>
        <v>14.81415467994815</v>
      </c>
      <c r="T44" s="44">
        <f>'Life table (HE)'!C$13</f>
        <v>0.70004</v>
      </c>
      <c r="V44" s="48">
        <f t="shared" si="10"/>
        <v>58986.945957087082</v>
      </c>
      <c r="W44" s="37">
        <f>SUM(V44:V$115)</f>
        <v>1494893.5736946317</v>
      </c>
      <c r="X44" s="47">
        <f t="shared" si="14"/>
        <v>17.740964214192516</v>
      </c>
      <c r="Y44" s="37">
        <f>V44/(1+'General input'!$C$113)^E44</f>
        <v>8378.8409852840487</v>
      </c>
      <c r="Z44" s="37">
        <f>SUM(Y44:Y$115)</f>
        <v>110976.20680404923</v>
      </c>
      <c r="AA44" s="47">
        <f t="shared" si="15"/>
        <v>9.2719009642922519</v>
      </c>
      <c r="AB44" s="47"/>
      <c r="AC44" s="37">
        <f t="shared" si="17"/>
        <v>40.5</v>
      </c>
      <c r="AD44" s="37">
        <f t="shared" si="16"/>
        <v>35832.192888571764</v>
      </c>
      <c r="AF44" s="4"/>
      <c r="AI44" s="4"/>
      <c r="AL44" s="4"/>
      <c r="AP44" s="41"/>
      <c r="AQ44" s="41"/>
      <c r="AR44" s="49"/>
      <c r="AS44" s="41"/>
      <c r="AT44" s="41"/>
      <c r="AU44" s="41"/>
      <c r="AV44" s="41"/>
      <c r="AW44" s="41"/>
      <c r="AX44" s="41"/>
      <c r="AY44" s="41"/>
      <c r="AZ44" s="41"/>
      <c r="BA44" s="41"/>
      <c r="BB44" s="41"/>
      <c r="BD44" s="6"/>
      <c r="BE44" s="7"/>
      <c r="BF44" s="7"/>
      <c r="BG44" s="7"/>
      <c r="BH44" s="7"/>
      <c r="BI44" s="7"/>
      <c r="BJ44" s="7"/>
      <c r="BK44" s="7"/>
      <c r="BL44" s="7"/>
      <c r="BN44" s="39"/>
      <c r="BO44" s="39"/>
      <c r="BP44" s="39"/>
      <c r="BQ44" s="39"/>
      <c r="BR44" s="39"/>
      <c r="BS44" s="39"/>
      <c r="BT44" s="52"/>
      <c r="BU44" s="52"/>
      <c r="BV44" s="53"/>
      <c r="BW44" s="53"/>
      <c r="BX44" s="52"/>
      <c r="BY44" s="50"/>
      <c r="CA44" s="49"/>
      <c r="CB44" s="49"/>
      <c r="CC44" s="49"/>
      <c r="CD44" s="49"/>
      <c r="CE44" s="49"/>
      <c r="CF44" s="49"/>
      <c r="CG44" s="49"/>
      <c r="CH44" s="49"/>
      <c r="CI44" s="49"/>
      <c r="CK44" s="7"/>
      <c r="CL44" s="7"/>
      <c r="CM44" s="7"/>
      <c r="CN44" s="7"/>
      <c r="CO44" s="7"/>
      <c r="CP44" s="7"/>
      <c r="CQ44" s="7"/>
      <c r="CR44" s="7"/>
      <c r="CS44" s="7"/>
    </row>
    <row r="45" spans="5:97" ht="14.4" x14ac:dyDescent="0.3">
      <c r="E45" s="138">
        <v>41</v>
      </c>
      <c r="F45" s="44">
        <f>'Life table (HE)'!B$13</f>
        <v>1.0499999999999999E-2</v>
      </c>
      <c r="H45" s="45">
        <f t="shared" si="6"/>
        <v>1.0499999999999999E-2</v>
      </c>
      <c r="I45" s="46">
        <f t="shared" si="7"/>
        <v>1.0445067432100719E-2</v>
      </c>
      <c r="J45" s="37">
        <f t="shared" si="8"/>
        <v>83819.877915518373</v>
      </c>
      <c r="K45" s="41">
        <f t="shared" si="9"/>
        <v>875.50427697803923</v>
      </c>
      <c r="L45" s="41">
        <f>SUM($K$4:K44)</f>
        <v>16180.122084481545</v>
      </c>
      <c r="M45" s="37">
        <f t="shared" si="0"/>
        <v>83382.125777029345</v>
      </c>
      <c r="N45" s="37">
        <f>SUM(M45:M$113)</f>
        <v>2409970.4408252132</v>
      </c>
      <c r="O45" s="47">
        <f t="shared" si="12"/>
        <v>28.902722476393468</v>
      </c>
      <c r="P45" s="37">
        <f>(J46+0.5*K45)/(1+'General input'!$C$113)^E45</f>
        <v>11280.067569186396</v>
      </c>
      <c r="Q45" s="37">
        <f>SUM(P45:P$113)</f>
        <v>165342.84527941688</v>
      </c>
      <c r="R45" s="37">
        <f t="shared" si="13"/>
        <v>14.657965855726045</v>
      </c>
      <c r="T45" s="44">
        <f>'Life table (HE)'!C$13</f>
        <v>0.70004</v>
      </c>
      <c r="V45" s="48">
        <f t="shared" si="10"/>
        <v>58370.823328951621</v>
      </c>
      <c r="W45" s="37">
        <f>SUM(V45:V$115)</f>
        <v>1435906.6277375452</v>
      </c>
      <c r="X45" s="47">
        <f t="shared" si="14"/>
        <v>17.220796595870887</v>
      </c>
      <c r="Y45" s="37">
        <f>V45/(1+'General input'!$C$113)^E45</f>
        <v>7896.4985011332446</v>
      </c>
      <c r="Z45" s="37">
        <f>SUM(Y45:Y$115)</f>
        <v>102597.36581876519</v>
      </c>
      <c r="AA45" s="47">
        <f t="shared" si="15"/>
        <v>9.0954566707586917</v>
      </c>
      <c r="AB45" s="47"/>
      <c r="AC45" s="37">
        <f t="shared" si="17"/>
        <v>41.5</v>
      </c>
      <c r="AD45" s="37">
        <f t="shared" si="16"/>
        <v>36333.427494588628</v>
      </c>
      <c r="AF45" s="4"/>
      <c r="AI45" s="4"/>
      <c r="AL45" s="4"/>
      <c r="AP45" s="41"/>
      <c r="AQ45" s="41"/>
      <c r="AR45" s="49"/>
      <c r="AS45" s="41"/>
      <c r="AT45" s="41"/>
      <c r="AU45" s="41"/>
      <c r="AV45" s="41"/>
      <c r="AW45" s="41"/>
      <c r="AX45" s="41"/>
      <c r="AY45" s="41"/>
      <c r="AZ45" s="41"/>
      <c r="BA45" s="41"/>
      <c r="BB45" s="41"/>
      <c r="BD45" s="6"/>
      <c r="BE45" s="7"/>
      <c r="BF45" s="7"/>
      <c r="BG45" s="7"/>
      <c r="BH45" s="7"/>
      <c r="BI45" s="7"/>
      <c r="BJ45" s="7"/>
      <c r="BK45" s="7"/>
      <c r="BL45" s="7"/>
      <c r="BN45" s="39"/>
      <c r="BO45" s="39"/>
      <c r="BP45" s="39"/>
      <c r="BQ45" s="39"/>
      <c r="BR45" s="39"/>
      <c r="BS45" s="39"/>
      <c r="BT45" s="52"/>
      <c r="BU45" s="52"/>
      <c r="BV45" s="53"/>
      <c r="BW45" s="53"/>
      <c r="BX45" s="52"/>
      <c r="BY45" s="50"/>
      <c r="CA45" s="49"/>
      <c r="CB45" s="49"/>
      <c r="CC45" s="49"/>
      <c r="CD45" s="49"/>
      <c r="CE45" s="49"/>
      <c r="CF45" s="49"/>
      <c r="CG45" s="49"/>
      <c r="CH45" s="49"/>
      <c r="CI45" s="49"/>
      <c r="CK45" s="7"/>
      <c r="CL45" s="7"/>
      <c r="CM45" s="7"/>
      <c r="CN45" s="7"/>
      <c r="CO45" s="7"/>
      <c r="CP45" s="7"/>
      <c r="CQ45" s="7"/>
      <c r="CR45" s="7"/>
      <c r="CS45" s="7"/>
    </row>
    <row r="46" spans="5:97" ht="14.4" x14ac:dyDescent="0.3">
      <c r="E46" s="138">
        <v>42</v>
      </c>
      <c r="F46" s="44">
        <f>'Life table (HE)'!B$13</f>
        <v>1.0499999999999999E-2</v>
      </c>
      <c r="H46" s="45">
        <f t="shared" si="6"/>
        <v>1.0499999999999999E-2</v>
      </c>
      <c r="I46" s="46">
        <f t="shared" si="7"/>
        <v>1.0445067432100719E-2</v>
      </c>
      <c r="J46" s="37">
        <f t="shared" si="8"/>
        <v>82944.373638540332</v>
      </c>
      <c r="K46" s="41">
        <f t="shared" si="9"/>
        <v>866.359575767911</v>
      </c>
      <c r="L46" s="41">
        <f>SUM($K$4:K45)</f>
        <v>17055.626361459585</v>
      </c>
      <c r="M46" s="37">
        <f t="shared" si="0"/>
        <v>82511.193850656375</v>
      </c>
      <c r="N46" s="37">
        <f>SUM(M46:M$113)</f>
        <v>2326588.3150481838</v>
      </c>
      <c r="O46" s="47">
        <f t="shared" si="12"/>
        <v>28.19724459761499</v>
      </c>
      <c r="P46" s="37">
        <f>(J47+0.5*K46)/(1+'General input'!$C$113)^E46</f>
        <v>10630.710955035802</v>
      </c>
      <c r="Q46" s="37">
        <f>SUM(P46:P$113)</f>
        <v>154062.77771023053</v>
      </c>
      <c r="R46" s="37">
        <f t="shared" si="13"/>
        <v>14.49223653637676</v>
      </c>
      <c r="T46" s="44">
        <f>'Life table (HE)'!C$13</f>
        <v>0.70004</v>
      </c>
      <c r="V46" s="48">
        <f t="shared" si="10"/>
        <v>57761.136143213487</v>
      </c>
      <c r="W46" s="37">
        <f>SUM(V46:V$115)</f>
        <v>1377535.8044085933</v>
      </c>
      <c r="X46" s="47">
        <f t="shared" si="14"/>
        <v>16.695138442693072</v>
      </c>
      <c r="Y46" s="37">
        <f>V46/(1+'General input'!$C$113)^E46</f>
        <v>7441.9228969632632</v>
      </c>
      <c r="Z46" s="37">
        <f>SUM(Y46:Y$115)</f>
        <v>94700.867317631943</v>
      </c>
      <c r="AA46" s="47">
        <f t="shared" si="15"/>
        <v>8.9082346155570935</v>
      </c>
      <c r="AB46" s="47"/>
      <c r="AC46" s="37">
        <f t="shared" si="17"/>
        <v>42.5</v>
      </c>
      <c r="AD46" s="37">
        <f t="shared" si="16"/>
        <v>36820.281970136217</v>
      </c>
      <c r="AF46" s="4"/>
      <c r="AI46" s="4"/>
      <c r="AL46" s="4"/>
      <c r="AP46" s="41"/>
      <c r="AQ46" s="41"/>
      <c r="AR46" s="49"/>
      <c r="AS46" s="41"/>
      <c r="AT46" s="41"/>
      <c r="AU46" s="41"/>
      <c r="AV46" s="41"/>
      <c r="AW46" s="41"/>
      <c r="AX46" s="41"/>
      <c r="AY46" s="41"/>
      <c r="AZ46" s="41"/>
      <c r="BA46" s="41"/>
      <c r="BB46" s="41"/>
      <c r="BD46" s="6"/>
      <c r="BE46" s="7"/>
      <c r="BF46" s="7"/>
      <c r="BG46" s="7"/>
      <c r="BH46" s="7"/>
      <c r="BI46" s="7"/>
      <c r="BJ46" s="7"/>
      <c r="BK46" s="7"/>
      <c r="BL46" s="7"/>
      <c r="BN46" s="39"/>
      <c r="BO46" s="39"/>
      <c r="BP46" s="39"/>
      <c r="BQ46" s="39"/>
      <c r="BR46" s="39"/>
      <c r="BS46" s="39"/>
      <c r="BT46" s="52"/>
      <c r="BU46" s="52"/>
      <c r="BV46" s="53"/>
      <c r="BW46" s="53"/>
      <c r="BX46" s="52"/>
      <c r="BY46" s="50"/>
      <c r="CA46" s="49"/>
      <c r="CB46" s="49"/>
      <c r="CC46" s="49"/>
      <c r="CD46" s="49"/>
      <c r="CE46" s="49"/>
      <c r="CF46" s="49"/>
      <c r="CG46" s="49"/>
      <c r="CH46" s="49"/>
      <c r="CI46" s="49"/>
      <c r="CK46" s="7"/>
      <c r="CL46" s="7"/>
      <c r="CM46" s="7"/>
      <c r="CN46" s="7"/>
      <c r="CO46" s="7"/>
      <c r="CP46" s="7"/>
      <c r="CQ46" s="7"/>
      <c r="CR46" s="7"/>
      <c r="CS46" s="7"/>
    </row>
    <row r="47" spans="5:97" ht="14.4" x14ac:dyDescent="0.3">
      <c r="E47" s="138">
        <v>43</v>
      </c>
      <c r="F47" s="44">
        <f>'Life table (HE)'!B$13</f>
        <v>1.0499999999999999E-2</v>
      </c>
      <c r="H47" s="45">
        <f t="shared" si="6"/>
        <v>1.0499999999999999E-2</v>
      </c>
      <c r="I47" s="46">
        <f t="shared" si="7"/>
        <v>1.0445067432100719E-2</v>
      </c>
      <c r="J47" s="37">
        <f t="shared" si="8"/>
        <v>82078.014062772418</v>
      </c>
      <c r="K47" s="41">
        <f t="shared" si="9"/>
        <v>857.31039157856901</v>
      </c>
      <c r="L47" s="41">
        <f>SUM($K$4:K46)</f>
        <v>17921.985937227495</v>
      </c>
      <c r="M47" s="37">
        <f t="shared" si="0"/>
        <v>81649.358866983122</v>
      </c>
      <c r="N47" s="37">
        <f>SUM(M47:M$113)</f>
        <v>2244077.1211975273</v>
      </c>
      <c r="O47" s="47">
        <f t="shared" si="12"/>
        <v>27.48432017517009</v>
      </c>
      <c r="P47" s="37">
        <f>(J48+0.5*K47)/(1+'General input'!$C$113)^E47</f>
        <v>10018.735678342171</v>
      </c>
      <c r="Q47" s="37">
        <f>SUM(P47:P$113)</f>
        <v>143432.06675519474</v>
      </c>
      <c r="R47" s="37">
        <f t="shared" si="13"/>
        <v>14.316383959031532</v>
      </c>
      <c r="T47" s="44">
        <f>'Life table (HE)'!C$13</f>
        <v>0.70004</v>
      </c>
      <c r="V47" s="48">
        <f t="shared" si="10"/>
        <v>57157.817181242863</v>
      </c>
      <c r="W47" s="37">
        <f>SUM(V47:V$115)</f>
        <v>1319774.66826538</v>
      </c>
      <c r="X47" s="47">
        <f t="shared" si="14"/>
        <v>16.163931800315243</v>
      </c>
      <c r="Y47" s="37">
        <f>V47/(1+'General input'!$C$113)^E47</f>
        <v>7013.5157242666528</v>
      </c>
      <c r="Z47" s="37">
        <f>SUM(Y47:Y$115)</f>
        <v>87258.944420668704</v>
      </c>
      <c r="AA47" s="47">
        <f t="shared" si="15"/>
        <v>8.7095764597622054</v>
      </c>
      <c r="AB47" s="47"/>
      <c r="AC47" s="37">
        <f t="shared" si="17"/>
        <v>43.5</v>
      </c>
      <c r="AD47" s="37">
        <f t="shared" si="16"/>
        <v>37293.002033667755</v>
      </c>
      <c r="AF47" s="4"/>
      <c r="AI47" s="4"/>
      <c r="AL47" s="4"/>
      <c r="AP47" s="41"/>
      <c r="AQ47" s="41"/>
      <c r="AR47" s="49"/>
      <c r="AS47" s="41"/>
      <c r="AT47" s="41"/>
      <c r="AU47" s="41"/>
      <c r="AV47" s="41"/>
      <c r="AW47" s="41"/>
      <c r="AX47" s="41"/>
      <c r="AY47" s="41"/>
      <c r="AZ47" s="41"/>
      <c r="BA47" s="41"/>
      <c r="BB47" s="41"/>
      <c r="BD47" s="6"/>
      <c r="BE47" s="7"/>
      <c r="BF47" s="7"/>
      <c r="BG47" s="7"/>
      <c r="BH47" s="7"/>
      <c r="BI47" s="7"/>
      <c r="BJ47" s="7"/>
      <c r="BK47" s="7"/>
      <c r="BL47" s="7"/>
      <c r="BN47" s="39"/>
      <c r="BO47" s="39"/>
      <c r="BP47" s="39"/>
      <c r="BQ47" s="39"/>
      <c r="BR47" s="39"/>
      <c r="BS47" s="39"/>
      <c r="BT47" s="52"/>
      <c r="BU47" s="52"/>
      <c r="BV47" s="53"/>
      <c r="BW47" s="53"/>
      <c r="BX47" s="52"/>
      <c r="BY47" s="50"/>
      <c r="CA47" s="49"/>
      <c r="CB47" s="49"/>
      <c r="CC47" s="49"/>
      <c r="CD47" s="49"/>
      <c r="CE47" s="49"/>
      <c r="CF47" s="49"/>
      <c r="CG47" s="49"/>
      <c r="CH47" s="49"/>
      <c r="CI47" s="49"/>
      <c r="CK47" s="7"/>
      <c r="CL47" s="7"/>
      <c r="CM47" s="7"/>
      <c r="CN47" s="7"/>
      <c r="CO47" s="7"/>
      <c r="CP47" s="7"/>
      <c r="CQ47" s="7"/>
      <c r="CR47" s="7"/>
      <c r="CS47" s="7"/>
    </row>
    <row r="48" spans="5:97" ht="14.4" x14ac:dyDescent="0.3">
      <c r="E48" s="138">
        <v>44</v>
      </c>
      <c r="F48" s="44">
        <f>'Life table (HE)'!B$13</f>
        <v>1.0499999999999999E-2</v>
      </c>
      <c r="H48" s="45">
        <f t="shared" si="6"/>
        <v>1.0499999999999999E-2</v>
      </c>
      <c r="I48" s="46">
        <f t="shared" si="7"/>
        <v>1.0445067432100719E-2</v>
      </c>
      <c r="J48" s="37">
        <f t="shared" si="8"/>
        <v>81220.703671193842</v>
      </c>
      <c r="K48" s="41">
        <f t="shared" si="9"/>
        <v>848.35572672829005</v>
      </c>
      <c r="L48" s="41">
        <f>SUM($K$4:K47)</f>
        <v>18779.296328806064</v>
      </c>
      <c r="M48" s="37">
        <f t="shared" si="0"/>
        <v>80796.525807829705</v>
      </c>
      <c r="N48" s="37">
        <f>SUM(M48:M$113)</f>
        <v>2162427.7623305437</v>
      </c>
      <c r="O48" s="47">
        <f t="shared" si="12"/>
        <v>26.763870608419037</v>
      </c>
      <c r="P48" s="37">
        <f>(J49+0.5*K48)/(1+'General input'!$C$113)^E48</f>
        <v>9441.9898177119012</v>
      </c>
      <c r="Q48" s="37">
        <f>SUM(P48:P$113)</f>
        <v>133413.33107685257</v>
      </c>
      <c r="R48" s="37">
        <f t="shared" si="13"/>
        <v>14.129789763868112</v>
      </c>
      <c r="T48" s="44">
        <f>'Life table (HE)'!C$13</f>
        <v>0.70004</v>
      </c>
      <c r="V48" s="48">
        <f t="shared" si="10"/>
        <v>56560.799926513107</v>
      </c>
      <c r="W48" s="37">
        <f>SUM(V48:V$115)</f>
        <v>1262616.8510841371</v>
      </c>
      <c r="X48" s="47">
        <f t="shared" si="14"/>
        <v>15.627118102667001</v>
      </c>
      <c r="Y48" s="37">
        <f>V48/(1+'General input'!$C$113)^E48</f>
        <v>6609.7705519910387</v>
      </c>
      <c r="Z48" s="37">
        <f>SUM(Y48:Y$115)</f>
        <v>80245.428696402028</v>
      </c>
      <c r="AA48" s="47">
        <f t="shared" si="15"/>
        <v>8.4987836510766428</v>
      </c>
      <c r="AB48" s="47"/>
      <c r="AC48" s="37">
        <f t="shared" si="17"/>
        <v>44.5</v>
      </c>
      <c r="AD48" s="37">
        <f t="shared" si="16"/>
        <v>37751.829839408907</v>
      </c>
      <c r="AF48" s="4"/>
      <c r="AI48" s="4"/>
      <c r="AL48" s="4"/>
      <c r="AP48" s="41"/>
      <c r="AQ48" s="41"/>
      <c r="AR48" s="49"/>
      <c r="AS48" s="41"/>
      <c r="AT48" s="41"/>
      <c r="AU48" s="41"/>
      <c r="AV48" s="41"/>
      <c r="AW48" s="41"/>
      <c r="AX48" s="41"/>
      <c r="AY48" s="41"/>
      <c r="AZ48" s="41"/>
      <c r="BA48" s="41"/>
      <c r="BB48" s="41"/>
      <c r="BD48" s="6"/>
      <c r="BE48" s="7"/>
      <c r="BF48" s="7"/>
      <c r="BG48" s="7"/>
      <c r="BH48" s="7"/>
      <c r="BI48" s="7"/>
      <c r="BJ48" s="7"/>
      <c r="BK48" s="7"/>
      <c r="BL48" s="7"/>
      <c r="BN48" s="39"/>
      <c r="BO48" s="39"/>
      <c r="BP48" s="39"/>
      <c r="BQ48" s="39"/>
      <c r="BR48" s="39"/>
      <c r="BS48" s="39"/>
      <c r="BT48" s="52"/>
      <c r="BU48" s="52"/>
      <c r="BV48" s="53"/>
      <c r="BW48" s="53"/>
      <c r="BX48" s="52"/>
      <c r="BY48" s="50"/>
      <c r="CA48" s="49"/>
      <c r="CB48" s="49"/>
      <c r="CC48" s="49"/>
      <c r="CD48" s="49"/>
      <c r="CE48" s="49"/>
      <c r="CF48" s="49"/>
      <c r="CG48" s="49"/>
      <c r="CH48" s="49"/>
      <c r="CI48" s="49"/>
      <c r="CK48" s="7"/>
      <c r="CL48" s="7"/>
      <c r="CM48" s="7"/>
      <c r="CN48" s="7"/>
      <c r="CO48" s="7"/>
      <c r="CP48" s="7"/>
      <c r="CQ48" s="7"/>
      <c r="CR48" s="7"/>
      <c r="CS48" s="7"/>
    </row>
    <row r="49" spans="5:97" ht="14.4" x14ac:dyDescent="0.3">
      <c r="E49" s="138">
        <v>45</v>
      </c>
      <c r="F49" s="44">
        <f>'Life table (HE)'!B$14</f>
        <v>1.2E-2</v>
      </c>
      <c r="H49" s="45">
        <f t="shared" si="6"/>
        <v>1.2E-2</v>
      </c>
      <c r="I49" s="46">
        <f t="shared" si="7"/>
        <v>1.1928287138069482E-2</v>
      </c>
      <c r="J49" s="37">
        <f t="shared" si="8"/>
        <v>80372.347944465553</v>
      </c>
      <c r="K49" s="41">
        <f t="shared" si="9"/>
        <v>958.70444424241362</v>
      </c>
      <c r="L49" s="41">
        <f>SUM($K$4:K48)</f>
        <v>19627.652055534352</v>
      </c>
      <c r="M49" s="37">
        <f t="shared" si="0"/>
        <v>79892.995722344349</v>
      </c>
      <c r="N49" s="37">
        <f>SUM(M49:M$113)</f>
        <v>2081631.2365227141</v>
      </c>
      <c r="O49" s="47">
        <f t="shared" si="12"/>
        <v>26.055240734207779</v>
      </c>
      <c r="P49" s="37">
        <f>(J50+0.5*K49)/(1+'General input'!$C$113)^E49</f>
        <v>8891.8115107484973</v>
      </c>
      <c r="Q49" s="37">
        <f>SUM(P49:P$113)</f>
        <v>123971.3412591407</v>
      </c>
      <c r="R49" s="37">
        <f t="shared" si="13"/>
        <v>13.942191769279306</v>
      </c>
      <c r="T49" s="44">
        <f>'Life table (HE)'!C$14</f>
        <v>0.60802</v>
      </c>
      <c r="V49" s="48">
        <f t="shared" si="10"/>
        <v>48576.539259099809</v>
      </c>
      <c r="W49" s="37">
        <f>SUM(V49:V$115)</f>
        <v>1206056.051157624</v>
      </c>
      <c r="X49" s="47">
        <f t="shared" si="14"/>
        <v>15.095892202478973</v>
      </c>
      <c r="Y49" s="37">
        <f>V49/(1+'General input'!$C$113)^E49</f>
        <v>5406.3992347653011</v>
      </c>
      <c r="Z49" s="37">
        <f>SUM(Y49:Y$115)</f>
        <v>73635.658144410976</v>
      </c>
      <c r="AA49" s="47">
        <f t="shared" si="15"/>
        <v>8.2812886952675022</v>
      </c>
      <c r="AB49" s="47"/>
      <c r="AC49" s="37">
        <f t="shared" si="17"/>
        <v>45.5</v>
      </c>
      <c r="AD49" s="37">
        <f t="shared" si="16"/>
        <v>43621.05221302982</v>
      </c>
      <c r="AF49" s="4"/>
      <c r="AI49" s="4"/>
      <c r="AL49" s="4"/>
      <c r="AP49" s="41"/>
      <c r="AQ49" s="41"/>
      <c r="AR49" s="49"/>
      <c r="AS49" s="41"/>
      <c r="AT49" s="41"/>
      <c r="AU49" s="41"/>
      <c r="AV49" s="41"/>
      <c r="AW49" s="41"/>
      <c r="AX49" s="41"/>
      <c r="AY49" s="41"/>
      <c r="AZ49" s="41"/>
      <c r="BA49" s="41"/>
      <c r="BB49" s="41"/>
      <c r="BD49" s="6"/>
      <c r="BE49" s="7"/>
      <c r="BF49" s="7"/>
      <c r="BG49" s="7"/>
      <c r="BH49" s="7"/>
      <c r="BI49" s="7"/>
      <c r="BJ49" s="7"/>
      <c r="BK49" s="7"/>
      <c r="BL49" s="7"/>
      <c r="BN49" s="39"/>
      <c r="BO49" s="39"/>
      <c r="BP49" s="39"/>
      <c r="BQ49" s="39"/>
      <c r="BR49" s="39"/>
      <c r="BS49" s="39"/>
      <c r="BT49" s="52"/>
      <c r="BU49" s="52"/>
      <c r="BV49" s="53"/>
      <c r="BW49" s="53"/>
      <c r="BX49" s="52"/>
      <c r="BY49" s="50"/>
      <c r="CA49" s="49"/>
      <c r="CB49" s="49"/>
      <c r="CC49" s="49"/>
      <c r="CD49" s="49"/>
      <c r="CE49" s="49"/>
      <c r="CF49" s="49"/>
      <c r="CG49" s="49"/>
      <c r="CH49" s="49"/>
      <c r="CI49" s="49"/>
      <c r="CK49" s="7"/>
      <c r="CL49" s="7"/>
      <c r="CM49" s="7"/>
      <c r="CN49" s="7"/>
      <c r="CO49" s="7"/>
      <c r="CP49" s="7"/>
      <c r="CQ49" s="7"/>
      <c r="CR49" s="7"/>
      <c r="CS49" s="7"/>
    </row>
    <row r="50" spans="5:97" ht="14.4" x14ac:dyDescent="0.3">
      <c r="E50" s="138">
        <v>46</v>
      </c>
      <c r="F50" s="44">
        <f>'Life table (HE)'!B$14</f>
        <v>1.2E-2</v>
      </c>
      <c r="H50" s="45">
        <f t="shared" si="6"/>
        <v>1.2E-2</v>
      </c>
      <c r="I50" s="46">
        <f t="shared" si="7"/>
        <v>1.1928287138069482E-2</v>
      </c>
      <c r="J50" s="37">
        <f t="shared" si="8"/>
        <v>79413.643500223145</v>
      </c>
      <c r="K50" s="41">
        <f t="shared" si="9"/>
        <v>947.26874235094692</v>
      </c>
      <c r="L50" s="41">
        <f>SUM($K$4:K49)</f>
        <v>20586.356499776764</v>
      </c>
      <c r="M50" s="37">
        <f t="shared" si="0"/>
        <v>78940.00912904767</v>
      </c>
      <c r="N50" s="37">
        <f>SUM(M50:M$113)</f>
        <v>2001738.2408003698</v>
      </c>
      <c r="O50" s="47">
        <f t="shared" si="12"/>
        <v>25.357714837960252</v>
      </c>
      <c r="P50" s="37">
        <f>(J51+0.5*K50)/(1+'General input'!$C$113)^E50</f>
        <v>8367.378504638762</v>
      </c>
      <c r="Q50" s="37">
        <f>SUM(P50:P$113)</f>
        <v>115079.5297483922</v>
      </c>
      <c r="R50" s="37">
        <f t="shared" si="13"/>
        <v>13.75335532922213</v>
      </c>
      <c r="T50" s="44">
        <f>'Life table (HE)'!C$14</f>
        <v>0.60802</v>
      </c>
      <c r="V50" s="48">
        <f t="shared" si="10"/>
        <v>47997.104350643567</v>
      </c>
      <c r="W50" s="37">
        <f>SUM(V50:V$115)</f>
        <v>1157479.5118985239</v>
      </c>
      <c r="X50" s="47">
        <f t="shared" si="14"/>
        <v>14.662773980762113</v>
      </c>
      <c r="Y50" s="37">
        <f>V50/(1+'General input'!$C$113)^E50</f>
        <v>5087.5334783904609</v>
      </c>
      <c r="Z50" s="37">
        <f>SUM(Y50:Y$115)</f>
        <v>68229.258909645665</v>
      </c>
      <c r="AA50" s="47">
        <f t="shared" si="15"/>
        <v>8.1541977420789902</v>
      </c>
      <c r="AB50" s="47"/>
      <c r="AC50" s="37">
        <f t="shared" si="17"/>
        <v>46.5</v>
      </c>
      <c r="AD50" s="37">
        <f t="shared" si="16"/>
        <v>44047.996519319029</v>
      </c>
      <c r="AF50" s="4"/>
      <c r="AI50" s="4"/>
      <c r="AL50" s="4"/>
      <c r="AP50" s="41"/>
      <c r="AQ50" s="41"/>
      <c r="AR50" s="49"/>
      <c r="AS50" s="41"/>
      <c r="AT50" s="41"/>
      <c r="AU50" s="41"/>
      <c r="AV50" s="41"/>
      <c r="AW50" s="41"/>
      <c r="AX50" s="41"/>
      <c r="AY50" s="41"/>
      <c r="AZ50" s="41"/>
      <c r="BA50" s="41"/>
      <c r="BB50" s="41"/>
      <c r="BD50" s="6"/>
      <c r="BE50" s="7"/>
      <c r="BF50" s="7"/>
      <c r="BG50" s="7"/>
      <c r="BH50" s="7"/>
      <c r="BI50" s="7"/>
      <c r="BJ50" s="7"/>
      <c r="BK50" s="7"/>
      <c r="BL50" s="7"/>
      <c r="BN50" s="39"/>
      <c r="BO50" s="39"/>
      <c r="BP50" s="39"/>
      <c r="BQ50" s="39"/>
      <c r="BR50" s="39"/>
      <c r="BS50" s="39"/>
      <c r="BT50" s="52"/>
      <c r="BU50" s="52"/>
      <c r="BV50" s="53"/>
      <c r="BW50" s="53"/>
      <c r="BX50" s="52"/>
      <c r="BY50" s="50"/>
      <c r="CA50" s="49"/>
      <c r="CB50" s="49"/>
      <c r="CC50" s="49"/>
      <c r="CD50" s="49"/>
      <c r="CE50" s="49"/>
      <c r="CF50" s="49"/>
      <c r="CG50" s="49"/>
      <c r="CH50" s="49"/>
      <c r="CI50" s="49"/>
      <c r="CK50" s="7"/>
      <c r="CL50" s="7"/>
      <c r="CM50" s="7"/>
      <c r="CN50" s="7"/>
      <c r="CO50" s="7"/>
      <c r="CP50" s="7"/>
      <c r="CQ50" s="7"/>
      <c r="CR50" s="7"/>
      <c r="CS50" s="7"/>
    </row>
    <row r="51" spans="5:97" ht="14.4" x14ac:dyDescent="0.3">
      <c r="E51" s="138">
        <v>47</v>
      </c>
      <c r="F51" s="44">
        <f>'Life table (HE)'!B$14</f>
        <v>1.2E-2</v>
      </c>
      <c r="H51" s="45">
        <f t="shared" si="6"/>
        <v>1.2E-2</v>
      </c>
      <c r="I51" s="46">
        <f t="shared" si="7"/>
        <v>1.1928287138069482E-2</v>
      </c>
      <c r="J51" s="37">
        <f t="shared" si="8"/>
        <v>78466.374757872196</v>
      </c>
      <c r="K51" s="41">
        <f t="shared" si="9"/>
        <v>935.96944879526677</v>
      </c>
      <c r="L51" s="41">
        <f>SUM($K$4:K50)</f>
        <v>21533.625242127709</v>
      </c>
      <c r="M51" s="37">
        <f t="shared" si="0"/>
        <v>77998.39003347457</v>
      </c>
      <c r="N51" s="37">
        <f>SUM(M51:M$113)</f>
        <v>1922798.2316713219</v>
      </c>
      <c r="O51" s="47">
        <f t="shared" si="12"/>
        <v>24.651768207601652</v>
      </c>
      <c r="P51" s="37">
        <f>(J52+0.5*K51)/(1+'General input'!$C$113)^E51</f>
        <v>7873.8762011833514</v>
      </c>
      <c r="Q51" s="37">
        <f>SUM(P51:P$113)</f>
        <v>106712.15124375345</v>
      </c>
      <c r="R51" s="37">
        <f t="shared" si="13"/>
        <v>13.552683394706646</v>
      </c>
      <c r="T51" s="44">
        <f>'Life table (HE)'!C$14</f>
        <v>0.60802</v>
      </c>
      <c r="V51" s="48">
        <f t="shared" si="10"/>
        <v>47424.581108153208</v>
      </c>
      <c r="W51" s="37">
        <f>SUM(V51:V$115)</f>
        <v>1109482.4075478804</v>
      </c>
      <c r="X51" s="47">
        <f t="shared" si="14"/>
        <v>14.22442703075953</v>
      </c>
      <c r="Y51" s="37">
        <f>V51/(1+'General input'!$C$113)^E51</f>
        <v>4787.4742078435011</v>
      </c>
      <c r="Z51" s="37">
        <f>SUM(Y51:Y$115)</f>
        <v>63141.725431255159</v>
      </c>
      <c r="AA51" s="47">
        <f t="shared" si="15"/>
        <v>8.0191412485969362</v>
      </c>
      <c r="AB51" s="47"/>
      <c r="AC51" s="37">
        <f t="shared" si="17"/>
        <v>47.5</v>
      </c>
      <c r="AD51" s="37">
        <f t="shared" si="16"/>
        <v>44458.548817775169</v>
      </c>
      <c r="AF51" s="4"/>
      <c r="AI51" s="4"/>
      <c r="AL51" s="4"/>
      <c r="AP51" s="41"/>
      <c r="AQ51" s="41"/>
      <c r="AR51" s="49"/>
      <c r="AS51" s="41"/>
      <c r="AT51" s="41"/>
      <c r="AU51" s="41"/>
      <c r="AV51" s="41"/>
      <c r="AW51" s="41"/>
      <c r="AX51" s="41"/>
      <c r="AY51" s="41"/>
      <c r="AZ51" s="41"/>
      <c r="BA51" s="41"/>
      <c r="BB51" s="41"/>
      <c r="BD51" s="6"/>
      <c r="BE51" s="7"/>
      <c r="BF51" s="7"/>
      <c r="BG51" s="7"/>
      <c r="BH51" s="7"/>
      <c r="BI51" s="7"/>
      <c r="BJ51" s="7"/>
      <c r="BK51" s="7"/>
      <c r="BL51" s="7"/>
      <c r="BN51" s="39"/>
      <c r="BO51" s="39"/>
      <c r="BP51" s="39"/>
      <c r="BQ51" s="39"/>
      <c r="BR51" s="39"/>
      <c r="BS51" s="39"/>
      <c r="BT51" s="52"/>
      <c r="BU51" s="52"/>
      <c r="BV51" s="53"/>
      <c r="BW51" s="53"/>
      <c r="BX51" s="52"/>
      <c r="BY51" s="50"/>
      <c r="CA51" s="49"/>
      <c r="CB51" s="49"/>
      <c r="CC51" s="49"/>
      <c r="CD51" s="49"/>
      <c r="CE51" s="49"/>
      <c r="CF51" s="49"/>
      <c r="CG51" s="49"/>
      <c r="CH51" s="49"/>
      <c r="CI51" s="49"/>
      <c r="CK51" s="7"/>
      <c r="CL51" s="7"/>
      <c r="CM51" s="7"/>
      <c r="CN51" s="7"/>
      <c r="CO51" s="7"/>
      <c r="CP51" s="7"/>
      <c r="CQ51" s="7"/>
      <c r="CR51" s="7"/>
      <c r="CS51" s="7"/>
    </row>
    <row r="52" spans="5:97" ht="14.4" x14ac:dyDescent="0.3">
      <c r="E52" s="138">
        <v>48</v>
      </c>
      <c r="F52" s="44">
        <f>'Life table (HE)'!B$14</f>
        <v>1.2E-2</v>
      </c>
      <c r="H52" s="45">
        <f t="shared" si="6"/>
        <v>1.2E-2</v>
      </c>
      <c r="I52" s="46">
        <f t="shared" si="7"/>
        <v>1.1928287138069482E-2</v>
      </c>
      <c r="J52" s="37">
        <f t="shared" si="8"/>
        <v>77530.40530907693</v>
      </c>
      <c r="K52" s="41">
        <f t="shared" si="9"/>
        <v>924.80493645757622</v>
      </c>
      <c r="L52" s="41">
        <f>SUM($K$4:K51)</f>
        <v>22469.594690922975</v>
      </c>
      <c r="M52" s="37">
        <f t="shared" si="0"/>
        <v>77068.002840848145</v>
      </c>
      <c r="N52" s="37">
        <f>SUM(M52:M$113)</f>
        <v>1844799.8416378475</v>
      </c>
      <c r="O52" s="47">
        <f t="shared" si="12"/>
        <v>23.937299185597336</v>
      </c>
      <c r="P52" s="37">
        <f>(J53+0.5*K52)/(1+'General input'!$C$113)^E52</f>
        <v>7409.4803285390708</v>
      </c>
      <c r="Q52" s="37">
        <f>SUM(P52:P$113)</f>
        <v>98838.275042570094</v>
      </c>
      <c r="R52" s="37">
        <f t="shared" si="13"/>
        <v>13.33943416542656</v>
      </c>
      <c r="T52" s="44">
        <f>'Life table (HE)'!C$14</f>
        <v>0.60802</v>
      </c>
      <c r="V52" s="48">
        <f t="shared" si="10"/>
        <v>46858.887087292489</v>
      </c>
      <c r="W52" s="37">
        <f>SUM(V52:V$115)</f>
        <v>1062057.8264397269</v>
      </c>
      <c r="X52" s="47">
        <f t="shared" si="14"/>
        <v>13.780788229752948</v>
      </c>
      <c r="Y52" s="37">
        <f>V52/(1+'General input'!$C$113)^E52</f>
        <v>4505.1122293583257</v>
      </c>
      <c r="Z52" s="37">
        <f>SUM(Y52:Y$115)</f>
        <v>58354.251223411666</v>
      </c>
      <c r="AA52" s="47">
        <f t="shared" si="15"/>
        <v>7.8756199673881024</v>
      </c>
      <c r="AB52" s="47"/>
      <c r="AC52" s="37">
        <f t="shared" si="17"/>
        <v>48.5</v>
      </c>
      <c r="AD52" s="37">
        <f t="shared" si="16"/>
        <v>44853.039418192449</v>
      </c>
      <c r="AF52" s="4"/>
      <c r="AI52" s="4"/>
      <c r="AL52" s="4"/>
      <c r="AP52" s="41"/>
      <c r="AQ52" s="41"/>
      <c r="AR52" s="49"/>
      <c r="AS52" s="41"/>
      <c r="AT52" s="41"/>
      <c r="AU52" s="41"/>
      <c r="AV52" s="41"/>
      <c r="AW52" s="41"/>
      <c r="AX52" s="41"/>
      <c r="AY52" s="41"/>
      <c r="AZ52" s="41"/>
      <c r="BA52" s="41"/>
      <c r="BB52" s="41"/>
      <c r="BD52" s="6"/>
      <c r="BE52" s="7"/>
      <c r="BF52" s="7"/>
      <c r="BG52" s="7"/>
      <c r="BH52" s="7"/>
      <c r="BI52" s="7"/>
      <c r="BJ52" s="7"/>
      <c r="BK52" s="7"/>
      <c r="BL52" s="7"/>
      <c r="BN52" s="39"/>
      <c r="BO52" s="39"/>
      <c r="BP52" s="39"/>
      <c r="BQ52" s="39"/>
      <c r="BR52" s="39"/>
      <c r="BS52" s="39"/>
      <c r="BT52" s="52"/>
      <c r="BU52" s="52"/>
      <c r="BV52" s="53"/>
      <c r="BW52" s="53"/>
      <c r="BX52" s="52"/>
      <c r="BY52" s="50"/>
      <c r="CA52" s="49"/>
      <c r="CB52" s="49"/>
      <c r="CC52" s="49"/>
      <c r="CD52" s="49"/>
      <c r="CE52" s="49"/>
      <c r="CF52" s="49"/>
      <c r="CG52" s="49"/>
      <c r="CH52" s="49"/>
      <c r="CI52" s="49"/>
      <c r="CK52" s="7"/>
      <c r="CL52" s="7"/>
      <c r="CM52" s="7"/>
      <c r="CN52" s="7"/>
      <c r="CO52" s="7"/>
      <c r="CP52" s="7"/>
      <c r="CQ52" s="7"/>
      <c r="CR52" s="7"/>
      <c r="CS52" s="7"/>
    </row>
    <row r="53" spans="5:97" ht="14.4" x14ac:dyDescent="0.3">
      <c r="E53" s="138">
        <v>49</v>
      </c>
      <c r="F53" s="44">
        <f>'Life table (HE)'!B$14</f>
        <v>1.2E-2</v>
      </c>
      <c r="H53" s="45">
        <f t="shared" si="6"/>
        <v>1.2E-2</v>
      </c>
      <c r="I53" s="46">
        <f t="shared" si="7"/>
        <v>1.1928287138069482E-2</v>
      </c>
      <c r="J53" s="37">
        <f t="shared" si="8"/>
        <v>76605.600372619359</v>
      </c>
      <c r="K53" s="41">
        <f t="shared" si="9"/>
        <v>913.77359762880621</v>
      </c>
      <c r="L53" s="41">
        <f>SUM($K$4:K52)</f>
        <v>23394.39962738055</v>
      </c>
      <c r="M53" s="37">
        <f t="shared" si="0"/>
        <v>76148.713573804955</v>
      </c>
      <c r="N53" s="37">
        <f>SUM(M53:M$113)</f>
        <v>1767731.8387969993</v>
      </c>
      <c r="O53" s="47">
        <f t="shared" si="12"/>
        <v>23.214204887173516</v>
      </c>
      <c r="P53" s="37">
        <f>(J54+0.5*K53)/(1+'General input'!$C$113)^E53</f>
        <v>6972.4742091775042</v>
      </c>
      <c r="Q53" s="37">
        <f>SUM(P53:P$113)</f>
        <v>91428.794714031028</v>
      </c>
      <c r="R53" s="37">
        <f t="shared" si="13"/>
        <v>13.112819348071316</v>
      </c>
      <c r="T53" s="44">
        <f>'Life table (HE)'!C$14</f>
        <v>0.60802</v>
      </c>
      <c r="V53" s="48">
        <f t="shared" si="10"/>
        <v>46299.940827144892</v>
      </c>
      <c r="W53" s="37">
        <f>SUM(V53:V$115)</f>
        <v>1015198.9393524346</v>
      </c>
      <c r="X53" s="47">
        <f t="shared" si="14"/>
        <v>13.33179369298842</v>
      </c>
      <c r="Y53" s="37">
        <f>V53/(1+'General input'!$C$113)^E53</f>
        <v>4239.4037686641068</v>
      </c>
      <c r="Z53" s="37">
        <f>SUM(Y53:Y$115)</f>
        <v>53849.138994053348</v>
      </c>
      <c r="AA53" s="47">
        <f t="shared" si="15"/>
        <v>7.7231033602353856</v>
      </c>
      <c r="AB53" s="47"/>
      <c r="AC53" s="37">
        <f t="shared" si="17"/>
        <v>49.5</v>
      </c>
      <c r="AD53" s="37">
        <f t="shared" si="16"/>
        <v>45231.793082625911</v>
      </c>
      <c r="AE53" s="54">
        <f>SUM(AD19:AD53)/SUM(K19:K53)</f>
        <v>38.036343947054299</v>
      </c>
      <c r="AF53" s="4"/>
      <c r="AI53" s="4"/>
      <c r="AL53" s="4"/>
      <c r="AP53" s="41"/>
      <c r="AQ53" s="41"/>
      <c r="AR53" s="49"/>
      <c r="AS53" s="41"/>
      <c r="AT53" s="41"/>
      <c r="AU53" s="41"/>
      <c r="AV53" s="41"/>
      <c r="AW53" s="41"/>
      <c r="AX53" s="41"/>
      <c r="AY53" s="41"/>
      <c r="AZ53" s="41"/>
      <c r="BA53" s="41"/>
      <c r="BB53" s="41"/>
      <c r="BD53" s="6"/>
      <c r="BE53" s="7"/>
      <c r="BF53" s="7"/>
      <c r="BG53" s="7"/>
      <c r="BH53" s="7"/>
      <c r="BI53" s="7"/>
      <c r="BJ53" s="7"/>
      <c r="BK53" s="7"/>
      <c r="BL53" s="7"/>
      <c r="BN53" s="39"/>
      <c r="BO53" s="39"/>
      <c r="BP53" s="39"/>
      <c r="BQ53" s="39"/>
      <c r="BR53" s="39"/>
      <c r="BS53" s="39"/>
      <c r="BT53" s="52"/>
      <c r="BU53" s="52"/>
      <c r="BV53" s="53"/>
      <c r="BW53" s="53"/>
      <c r="BX53" s="52"/>
      <c r="BY53" s="50"/>
      <c r="CA53" s="49"/>
      <c r="CB53" s="49"/>
      <c r="CC53" s="49"/>
      <c r="CD53" s="49"/>
      <c r="CE53" s="49"/>
      <c r="CF53" s="49"/>
      <c r="CG53" s="49"/>
      <c r="CH53" s="49"/>
      <c r="CI53" s="49"/>
      <c r="CK53" s="7"/>
      <c r="CL53" s="7"/>
      <c r="CM53" s="7"/>
      <c r="CN53" s="7"/>
      <c r="CO53" s="7"/>
      <c r="CP53" s="7"/>
      <c r="CQ53" s="7"/>
      <c r="CR53" s="7"/>
      <c r="CS53" s="7"/>
    </row>
    <row r="54" spans="5:97" ht="14.4" x14ac:dyDescent="0.3">
      <c r="E54" s="138">
        <v>50</v>
      </c>
      <c r="F54" s="44">
        <f>'Life table (HE)'!B$15</f>
        <v>1.55E-2</v>
      </c>
      <c r="H54" s="45">
        <f t="shared" si="6"/>
        <v>1.55E-2</v>
      </c>
      <c r="I54" s="46">
        <f t="shared" si="7"/>
        <v>1.5380493248267069E-2</v>
      </c>
      <c r="J54" s="37">
        <f t="shared" si="8"/>
        <v>75691.82677499055</v>
      </c>
      <c r="K54" s="41">
        <f t="shared" si="9"/>
        <v>1164.1776306617426</v>
      </c>
      <c r="L54" s="41">
        <f>SUM($K$4:K53)</f>
        <v>24308.173225009356</v>
      </c>
      <c r="M54" s="37">
        <f t="shared" si="0"/>
        <v>75109.737959659687</v>
      </c>
      <c r="N54" s="37">
        <f>SUM(M54:M$113)</f>
        <v>1691583.1252231945</v>
      </c>
      <c r="O54" s="47">
        <f t="shared" si="12"/>
        <v>22.521488839858801</v>
      </c>
      <c r="P54" s="37">
        <f>(J55+0.5*K54)/(1+'General input'!$C$113)^E54</f>
        <v>6549.8490820012139</v>
      </c>
      <c r="Q54" s="37">
        <f>SUM(P54:P$113)</f>
        <v>84456.320504853516</v>
      </c>
      <c r="R54" s="37">
        <f t="shared" si="13"/>
        <v>12.894391832162503</v>
      </c>
      <c r="T54" s="44">
        <f>'Life table (HE)'!C$15</f>
        <v>0.60802</v>
      </c>
      <c r="V54" s="48">
        <f t="shared" si="10"/>
        <v>45668.222874232284</v>
      </c>
      <c r="W54" s="37">
        <f>SUM(V54:V$115)</f>
        <v>968898.9985252897</v>
      </c>
      <c r="X54" s="47">
        <f t="shared" si="14"/>
        <v>12.899778708396916</v>
      </c>
      <c r="Y54" s="37">
        <f>V54/(1+'General input'!$C$113)^E54</f>
        <v>3982.4392388383781</v>
      </c>
      <c r="Z54" s="37">
        <f>SUM(Y54:Y$115)</f>
        <v>49609.735225389246</v>
      </c>
      <c r="AA54" s="47">
        <f t="shared" si="15"/>
        <v>7.5741798939635556</v>
      </c>
      <c r="AB54" s="47"/>
      <c r="AC54" s="37">
        <f t="shared" si="17"/>
        <v>50.5</v>
      </c>
      <c r="AD54" s="37">
        <f t="shared" si="16"/>
        <v>58790.970348417999</v>
      </c>
      <c r="AF54" s="4"/>
      <c r="AI54" s="4"/>
      <c r="AL54" s="4"/>
      <c r="AP54" s="41"/>
      <c r="AQ54" s="41"/>
      <c r="AR54" s="49"/>
      <c r="AS54" s="41"/>
      <c r="AT54" s="41"/>
      <c r="AU54" s="41"/>
      <c r="AV54" s="41"/>
      <c r="AW54" s="41"/>
      <c r="AX54" s="41"/>
      <c r="AY54" s="41"/>
      <c r="AZ54" s="41"/>
      <c r="BA54" s="41"/>
      <c r="BB54" s="41"/>
      <c r="BD54" s="6"/>
      <c r="BE54" s="7"/>
      <c r="BF54" s="7"/>
      <c r="BG54" s="7"/>
      <c r="BH54" s="7"/>
      <c r="BI54" s="7"/>
      <c r="BJ54" s="7"/>
      <c r="BK54" s="7"/>
      <c r="BL54" s="7"/>
      <c r="BN54" s="39"/>
      <c r="BO54" s="39"/>
      <c r="BP54" s="39"/>
      <c r="BQ54" s="39"/>
      <c r="BR54" s="39"/>
      <c r="BS54" s="39"/>
      <c r="BT54" s="52"/>
      <c r="BU54" s="52"/>
      <c r="BV54" s="53"/>
      <c r="BW54" s="53"/>
      <c r="BX54" s="52"/>
      <c r="BY54" s="50"/>
      <c r="CA54" s="49"/>
      <c r="CB54" s="49"/>
      <c r="CC54" s="49"/>
      <c r="CD54" s="49"/>
      <c r="CE54" s="49"/>
      <c r="CF54" s="49"/>
      <c r="CG54" s="49"/>
      <c r="CH54" s="49"/>
      <c r="CI54" s="49"/>
      <c r="CK54" s="7"/>
      <c r="CL54" s="7"/>
      <c r="CM54" s="7"/>
      <c r="CN54" s="7"/>
      <c r="CO54" s="7"/>
      <c r="CP54" s="7"/>
      <c r="CQ54" s="7"/>
      <c r="CR54" s="7"/>
      <c r="CS54" s="7"/>
    </row>
    <row r="55" spans="5:97" ht="14.4" x14ac:dyDescent="0.3">
      <c r="E55" s="138">
        <v>51</v>
      </c>
      <c r="F55" s="44">
        <f>'Life table (HE)'!B$15</f>
        <v>1.55E-2</v>
      </c>
      <c r="H55" s="45">
        <f t="shared" si="6"/>
        <v>1.55E-2</v>
      </c>
      <c r="I55" s="46">
        <f t="shared" si="7"/>
        <v>1.5380493248267069E-2</v>
      </c>
      <c r="J55" s="37">
        <f t="shared" si="8"/>
        <v>74527.649144328811</v>
      </c>
      <c r="K55" s="41">
        <f t="shared" si="9"/>
        <v>1146.2720044735663</v>
      </c>
      <c r="L55" s="41">
        <f>SUM($K$4:K54)</f>
        <v>25472.350855671099</v>
      </c>
      <c r="M55" s="37">
        <f t="shared" si="0"/>
        <v>73954.513142092037</v>
      </c>
      <c r="N55" s="37">
        <f>SUM(M55:M$113)</f>
        <v>1616473.3872635346</v>
      </c>
      <c r="O55" s="47">
        <f t="shared" si="12"/>
        <v>21.857670594865976</v>
      </c>
      <c r="P55" s="37">
        <f>(J56+0.5*K55)/(1+'General input'!$C$113)^E55</f>
        <v>6142.0087356365011</v>
      </c>
      <c r="Q55" s="37">
        <f>SUM(P55:P$113)</f>
        <v>77906.471422852293</v>
      </c>
      <c r="R55" s="37">
        <f t="shared" si="13"/>
        <v>12.684200686793519</v>
      </c>
      <c r="T55" s="44">
        <f>'Life table (HE)'!C$15</f>
        <v>0.60802</v>
      </c>
      <c r="V55" s="48">
        <f t="shared" si="10"/>
        <v>44965.823080654802</v>
      </c>
      <c r="W55" s="37">
        <f>SUM(V55:V$115)</f>
        <v>923230.77565105748</v>
      </c>
      <c r="X55" s="47">
        <f t="shared" si="14"/>
        <v>12.483765174374334</v>
      </c>
      <c r="Y55" s="37">
        <f>V55/(1+'General input'!$C$113)^E55</f>
        <v>3734.4641514417058</v>
      </c>
      <c r="Z55" s="37">
        <f>SUM(Y55:Y$115)</f>
        <v>45627.29598655086</v>
      </c>
      <c r="AA55" s="47">
        <f t="shared" si="15"/>
        <v>7.4287253487311213</v>
      </c>
      <c r="AB55" s="47"/>
      <c r="AC55" s="37">
        <f t="shared" si="17"/>
        <v>51.5</v>
      </c>
      <c r="AD55" s="37">
        <f t="shared" si="16"/>
        <v>59033.008230388667</v>
      </c>
      <c r="AF55" s="4"/>
      <c r="AI55" s="4"/>
      <c r="AL55" s="4"/>
      <c r="AP55" s="41"/>
      <c r="AQ55" s="41"/>
      <c r="AR55" s="49"/>
      <c r="AS55" s="41"/>
      <c r="AT55" s="41"/>
      <c r="AU55" s="41"/>
      <c r="AV55" s="41"/>
      <c r="AW55" s="41"/>
      <c r="AX55" s="41"/>
      <c r="AY55" s="41"/>
      <c r="AZ55" s="41"/>
      <c r="BA55" s="41"/>
      <c r="BB55" s="41"/>
      <c r="BD55" s="6"/>
      <c r="BE55" s="7"/>
      <c r="BF55" s="7"/>
      <c r="BG55" s="7"/>
      <c r="BH55" s="7"/>
      <c r="BI55" s="7"/>
      <c r="BJ55" s="7"/>
      <c r="BK55" s="7"/>
      <c r="BL55" s="7"/>
      <c r="BN55" s="39"/>
      <c r="BO55" s="39"/>
      <c r="BP55" s="39"/>
      <c r="BQ55" s="39"/>
      <c r="BR55" s="39"/>
      <c r="BS55" s="39"/>
      <c r="BT55" s="52"/>
      <c r="BU55" s="52"/>
      <c r="BV55" s="53"/>
      <c r="BW55" s="53"/>
      <c r="BX55" s="52"/>
      <c r="BY55" s="50"/>
      <c r="CA55" s="49"/>
      <c r="CB55" s="49"/>
      <c r="CC55" s="49"/>
      <c r="CD55" s="49"/>
      <c r="CE55" s="49"/>
      <c r="CF55" s="49"/>
      <c r="CG55" s="49"/>
      <c r="CH55" s="49"/>
      <c r="CI55" s="49"/>
      <c r="CK55" s="7"/>
      <c r="CL55" s="7"/>
      <c r="CM55" s="7"/>
      <c r="CN55" s="7"/>
      <c r="CO55" s="7"/>
      <c r="CP55" s="7"/>
      <c r="CQ55" s="7"/>
      <c r="CR55" s="7"/>
      <c r="CS55" s="7"/>
    </row>
    <row r="56" spans="5:97" ht="14.4" x14ac:dyDescent="0.3">
      <c r="E56" s="138">
        <v>52</v>
      </c>
      <c r="F56" s="44">
        <f>'Life table (HE)'!B$15</f>
        <v>1.55E-2</v>
      </c>
      <c r="H56" s="45">
        <f t="shared" si="6"/>
        <v>1.55E-2</v>
      </c>
      <c r="I56" s="46">
        <f t="shared" si="7"/>
        <v>1.5380493248267069E-2</v>
      </c>
      <c r="J56" s="37">
        <f t="shared" si="8"/>
        <v>73381.377139855249</v>
      </c>
      <c r="K56" s="41">
        <f t="shared" si="9"/>
        <v>1128.641775648083</v>
      </c>
      <c r="L56" s="41">
        <f>SUM($K$4:K55)</f>
        <v>26618.622860144664</v>
      </c>
      <c r="M56" s="37">
        <f t="shared" si="0"/>
        <v>72817.056252031209</v>
      </c>
      <c r="N56" s="37">
        <f>SUM(M56:M$113)</f>
        <v>1542518.8741214424</v>
      </c>
      <c r="O56" s="47">
        <f t="shared" si="12"/>
        <v>21.183483012311616</v>
      </c>
      <c r="P56" s="37">
        <f>(J57+0.5*K56)/(1+'General input'!$C$113)^E56</f>
        <v>5759.5634397592821</v>
      </c>
      <c r="Q56" s="37">
        <f>SUM(P56:P$113)</f>
        <v>71764.462687215753</v>
      </c>
      <c r="R56" s="37">
        <f t="shared" si="13"/>
        <v>12.460052474083888</v>
      </c>
      <c r="T56" s="44">
        <f>'Life table (HE)'!C$15</f>
        <v>0.60802</v>
      </c>
      <c r="V56" s="48">
        <f t="shared" si="10"/>
        <v>44274.226542360018</v>
      </c>
      <c r="W56" s="37">
        <f>SUM(V56:V$115)</f>
        <v>878264.95257040265</v>
      </c>
      <c r="X56" s="47">
        <f t="shared" si="14"/>
        <v>12.061253197747934</v>
      </c>
      <c r="Y56" s="37">
        <f>V56/(1+'General input'!$C$113)^E56</f>
        <v>3501.9297626424391</v>
      </c>
      <c r="Z56" s="37">
        <f>SUM(Y56:Y$115)</f>
        <v>41892.831835109158</v>
      </c>
      <c r="AA56" s="47">
        <f t="shared" si="15"/>
        <v>7.2736123619918054</v>
      </c>
      <c r="AB56" s="47"/>
      <c r="AC56" s="37">
        <f t="shared" si="17"/>
        <v>52.5</v>
      </c>
      <c r="AD56" s="37">
        <f t="shared" si="16"/>
        <v>59253.693221524358</v>
      </c>
      <c r="AF56" s="4"/>
      <c r="AI56" s="4"/>
      <c r="AL56" s="4"/>
      <c r="AP56" s="41"/>
      <c r="AQ56" s="41"/>
      <c r="AR56" s="49"/>
      <c r="AS56" s="41"/>
      <c r="AT56" s="41"/>
      <c r="AU56" s="41"/>
      <c r="AV56" s="41"/>
      <c r="AW56" s="41"/>
      <c r="AX56" s="41"/>
      <c r="AY56" s="41"/>
      <c r="AZ56" s="41"/>
      <c r="BA56" s="41"/>
      <c r="BB56" s="41"/>
      <c r="BD56" s="6"/>
      <c r="BE56" s="7"/>
      <c r="BF56" s="7"/>
      <c r="BG56" s="7"/>
      <c r="BH56" s="7"/>
      <c r="BI56" s="7"/>
      <c r="BJ56" s="7"/>
      <c r="BK56" s="7"/>
      <c r="BL56" s="7"/>
      <c r="BN56" s="39"/>
      <c r="BO56" s="39"/>
      <c r="BP56" s="39"/>
      <c r="BQ56" s="39"/>
      <c r="BR56" s="39"/>
      <c r="BS56" s="39"/>
      <c r="BT56" s="52"/>
      <c r="BU56" s="52"/>
      <c r="BV56" s="53"/>
      <c r="BW56" s="53"/>
      <c r="BX56" s="52"/>
      <c r="BY56" s="50"/>
      <c r="CA56" s="49"/>
      <c r="CB56" s="49"/>
      <c r="CC56" s="49"/>
      <c r="CD56" s="49"/>
      <c r="CE56" s="49"/>
      <c r="CF56" s="49"/>
      <c r="CG56" s="49"/>
      <c r="CH56" s="49"/>
      <c r="CI56" s="49"/>
      <c r="CK56" s="7"/>
      <c r="CL56" s="7"/>
      <c r="CM56" s="7"/>
      <c r="CN56" s="7"/>
      <c r="CO56" s="7"/>
      <c r="CP56" s="7"/>
      <c r="CQ56" s="7"/>
      <c r="CR56" s="7"/>
      <c r="CS56" s="7"/>
    </row>
    <row r="57" spans="5:97" ht="14.4" x14ac:dyDescent="0.3">
      <c r="E57" s="138">
        <v>53</v>
      </c>
      <c r="F57" s="44">
        <f>'Life table (HE)'!B$15</f>
        <v>1.55E-2</v>
      </c>
      <c r="H57" s="45">
        <f t="shared" si="6"/>
        <v>1.55E-2</v>
      </c>
      <c r="I57" s="46">
        <f t="shared" si="7"/>
        <v>1.5380493248267069E-2</v>
      </c>
      <c r="J57" s="37">
        <f t="shared" si="8"/>
        <v>72252.735364207168</v>
      </c>
      <c r="K57" s="41">
        <f t="shared" si="9"/>
        <v>1111.2827084380156</v>
      </c>
      <c r="L57" s="41">
        <f>SUM($K$4:K56)</f>
        <v>27747.264635792748</v>
      </c>
      <c r="M57" s="37">
        <f t="shared" si="0"/>
        <v>71697.09400998817</v>
      </c>
      <c r="N57" s="37">
        <f>SUM(M57:M$113)</f>
        <v>1469701.8178694113</v>
      </c>
      <c r="O57" s="47">
        <f t="shared" si="12"/>
        <v>20.49876411538613</v>
      </c>
      <c r="P57" s="37">
        <f>(J58+0.5*K57)/(1+'General input'!$C$113)^E57</f>
        <v>5400.931917296286</v>
      </c>
      <c r="Q57" s="37">
        <f>SUM(P57:P$113)</f>
        <v>66004.899247456473</v>
      </c>
      <c r="R57" s="37">
        <f t="shared" si="13"/>
        <v>12.2210204198424</v>
      </c>
      <c r="T57" s="44">
        <f>'Life table (HE)'!C$15</f>
        <v>0.60802</v>
      </c>
      <c r="V57" s="48">
        <f t="shared" si="10"/>
        <v>43593.267099953009</v>
      </c>
      <c r="W57" s="37">
        <f>SUM(V57:V$115)</f>
        <v>833990.72602804261</v>
      </c>
      <c r="X57" s="47">
        <f t="shared" si="14"/>
        <v>11.632141267983034</v>
      </c>
      <c r="Y57" s="37">
        <f>V57/(1+'General input'!$C$113)^E57</f>
        <v>3283.8746243544879</v>
      </c>
      <c r="Z57" s="37">
        <f>SUM(Y57:Y$115)</f>
        <v>38390.902072466713</v>
      </c>
      <c r="AA57" s="47">
        <f t="shared" si="15"/>
        <v>7.1081995959847708</v>
      </c>
      <c r="AB57" s="47"/>
      <c r="AC57" s="37">
        <f t="shared" si="17"/>
        <v>53.5</v>
      </c>
      <c r="AD57" s="37">
        <f t="shared" si="16"/>
        <v>59453.624901433832</v>
      </c>
      <c r="AF57" s="4"/>
      <c r="AI57" s="4"/>
      <c r="AL57" s="4"/>
      <c r="AP57" s="41"/>
      <c r="AQ57" s="41"/>
      <c r="AR57" s="49"/>
      <c r="AS57" s="41"/>
      <c r="AT57" s="41"/>
      <c r="AU57" s="41"/>
      <c r="AV57" s="41"/>
      <c r="AW57" s="41"/>
      <c r="AX57" s="41"/>
      <c r="AY57" s="41"/>
      <c r="AZ57" s="41"/>
      <c r="BA57" s="41"/>
      <c r="BB57" s="41"/>
      <c r="BD57" s="6"/>
      <c r="BE57" s="7"/>
      <c r="BF57" s="7"/>
      <c r="BG57" s="7"/>
      <c r="BH57" s="7"/>
      <c r="BI57" s="7"/>
      <c r="BJ57" s="7"/>
      <c r="BK57" s="7"/>
      <c r="BL57" s="7"/>
      <c r="BN57" s="39"/>
      <c r="BO57" s="39"/>
      <c r="BP57" s="39"/>
      <c r="BQ57" s="39"/>
      <c r="BR57" s="39"/>
      <c r="BS57" s="39"/>
      <c r="BT57" s="52"/>
      <c r="BU57" s="52"/>
      <c r="BV57" s="53"/>
      <c r="BW57" s="53"/>
      <c r="BX57" s="52"/>
      <c r="BY57" s="50"/>
      <c r="CA57" s="49"/>
      <c r="CB57" s="49"/>
      <c r="CC57" s="49"/>
      <c r="CD57" s="49"/>
      <c r="CE57" s="49"/>
      <c r="CF57" s="49"/>
      <c r="CG57" s="49"/>
      <c r="CH57" s="49"/>
      <c r="CI57" s="49"/>
      <c r="CK57" s="7"/>
      <c r="CL57" s="7"/>
      <c r="CM57" s="7"/>
      <c r="CN57" s="7"/>
      <c r="CO57" s="7"/>
      <c r="CP57" s="7"/>
      <c r="CQ57" s="7"/>
      <c r="CR57" s="7"/>
      <c r="CS57" s="7"/>
    </row>
    <row r="58" spans="5:97" ht="14.4" x14ac:dyDescent="0.3">
      <c r="E58" s="138">
        <v>54</v>
      </c>
      <c r="F58" s="44">
        <f>'Life table (HE)'!B$15</f>
        <v>1.55E-2</v>
      </c>
      <c r="H58" s="45">
        <f t="shared" si="6"/>
        <v>1.55E-2</v>
      </c>
      <c r="I58" s="46">
        <f t="shared" si="7"/>
        <v>1.5380493248267069E-2</v>
      </c>
      <c r="J58" s="37">
        <f t="shared" si="8"/>
        <v>71141.452655769157</v>
      </c>
      <c r="K58" s="41">
        <f t="shared" si="9"/>
        <v>1094.1906322439688</v>
      </c>
      <c r="L58" s="41">
        <f>SUM($K$4:K57)</f>
        <v>28858.547344230763</v>
      </c>
      <c r="M58" s="37">
        <f t="shared" si="0"/>
        <v>70594.357339647162</v>
      </c>
      <c r="N58" s="37">
        <f>SUM(M58:M$113)</f>
        <v>1398004.7238594231</v>
      </c>
      <c r="O58" s="47">
        <f t="shared" si="12"/>
        <v>19.803349397081011</v>
      </c>
      <c r="P58" s="37">
        <f>(J59+0.5*K58)/(1+'General input'!$C$113)^E58</f>
        <v>5064.6313527694847</v>
      </c>
      <c r="Q58" s="37">
        <f>SUM(P58:P$113)</f>
        <v>60603.967330160194</v>
      </c>
      <c r="R58" s="37">
        <f t="shared" si="13"/>
        <v>11.966116210416819</v>
      </c>
      <c r="T58" s="44">
        <f>'Life table (HE)'!C$15</f>
        <v>0.60802</v>
      </c>
      <c r="V58" s="48">
        <f t="shared" si="10"/>
        <v>42922.78114965227</v>
      </c>
      <c r="W58" s="37">
        <f>SUM(V58:V$115)</f>
        <v>790397.45892808959</v>
      </c>
      <c r="X58" s="47">
        <f t="shared" si="14"/>
        <v>11.196326288874465</v>
      </c>
      <c r="Y58" s="37">
        <f>V58/(1+'General input'!$C$113)^E58</f>
        <v>3079.3971551109025</v>
      </c>
      <c r="Z58" s="37">
        <f>SUM(Y58:Y$115)</f>
        <v>35107.02744811224</v>
      </c>
      <c r="AA58" s="47">
        <f t="shared" si="15"/>
        <v>6.9318031269767975</v>
      </c>
      <c r="AB58" s="47"/>
      <c r="AC58" s="37">
        <f t="shared" si="17"/>
        <v>54.5</v>
      </c>
      <c r="AD58" s="37">
        <f t="shared" si="16"/>
        <v>59633.389457296304</v>
      </c>
      <c r="AF58" s="4"/>
      <c r="AI58" s="4"/>
      <c r="AL58" s="4"/>
      <c r="AP58" s="41"/>
      <c r="AQ58" s="41"/>
      <c r="AR58" s="49"/>
      <c r="AS58" s="41"/>
      <c r="AT58" s="41"/>
      <c r="AU58" s="41"/>
      <c r="AV58" s="41"/>
      <c r="AW58" s="41"/>
      <c r="AX58" s="41"/>
      <c r="AY58" s="41"/>
      <c r="AZ58" s="41"/>
      <c r="BA58" s="41"/>
      <c r="BB58" s="41"/>
      <c r="BD58" s="6"/>
      <c r="BE58" s="7"/>
      <c r="BF58" s="7"/>
      <c r="BG58" s="7"/>
      <c r="BH58" s="7"/>
      <c r="BI58" s="7"/>
      <c r="BJ58" s="7"/>
      <c r="BK58" s="7"/>
      <c r="BL58" s="7"/>
      <c r="BN58" s="39"/>
      <c r="BO58" s="39"/>
      <c r="BP58" s="39"/>
      <c r="BQ58" s="39"/>
      <c r="BR58" s="39"/>
      <c r="BS58" s="39"/>
      <c r="BT58" s="52"/>
      <c r="BU58" s="52"/>
      <c r="BV58" s="53"/>
      <c r="BW58" s="53"/>
      <c r="BX58" s="52"/>
      <c r="BY58" s="50"/>
      <c r="CA58" s="49"/>
      <c r="CB58" s="49"/>
      <c r="CC58" s="49"/>
      <c r="CD58" s="49"/>
      <c r="CE58" s="49"/>
      <c r="CF58" s="49"/>
      <c r="CG58" s="49"/>
      <c r="CH58" s="49"/>
      <c r="CI58" s="49"/>
      <c r="CK58" s="7"/>
      <c r="CL58" s="7"/>
      <c r="CM58" s="7"/>
      <c r="CN58" s="7"/>
      <c r="CO58" s="7"/>
      <c r="CP58" s="7"/>
      <c r="CQ58" s="7"/>
      <c r="CR58" s="7"/>
      <c r="CS58" s="7"/>
    </row>
    <row r="59" spans="5:97" ht="14.4" x14ac:dyDescent="0.3">
      <c r="E59" s="138">
        <v>55</v>
      </c>
      <c r="F59" s="44">
        <f>'Life table (HE)'!B$16</f>
        <v>2.0500000000000001E-2</v>
      </c>
      <c r="H59" s="45">
        <f t="shared" si="6"/>
        <v>2.0500000000000001E-2</v>
      </c>
      <c r="I59" s="46">
        <f t="shared" si="7"/>
        <v>2.0291303525482141E-2</v>
      </c>
      <c r="J59" s="37">
        <f t="shared" si="8"/>
        <v>70047.262023525182</v>
      </c>
      <c r="K59" s="41">
        <f t="shared" si="9"/>
        <v>1421.3502548483277</v>
      </c>
      <c r="L59" s="41">
        <f>SUM($K$4:K58)</f>
        <v>29952.737976474731</v>
      </c>
      <c r="M59" s="37">
        <f t="shared" si="0"/>
        <v>69336.586896101027</v>
      </c>
      <c r="N59" s="37">
        <f>SUM(M59:M$113)</f>
        <v>1327410.3665197759</v>
      </c>
      <c r="O59" s="47">
        <f t="shared" si="12"/>
        <v>19.144443445260205</v>
      </c>
      <c r="P59" s="37">
        <f>(J60+0.5*K59)/(1+'General input'!$C$113)^E59</f>
        <v>4737.5195023898459</v>
      </c>
      <c r="Q59" s="37">
        <f>SUM(P59:P$113)</f>
        <v>55539.335977390692</v>
      </c>
      <c r="R59" s="37">
        <f t="shared" si="13"/>
        <v>11.723294426413196</v>
      </c>
      <c r="T59" s="44">
        <f>'Life table (HE)'!C$16</f>
        <v>0.60802</v>
      </c>
      <c r="V59" s="48">
        <f t="shared" si="10"/>
        <v>42158.031564567347</v>
      </c>
      <c r="W59" s="37">
        <f>SUM(V59:V$115)</f>
        <v>747474.67777843727</v>
      </c>
      <c r="X59" s="47">
        <f t="shared" si="14"/>
        <v>10.78037889142867</v>
      </c>
      <c r="Y59" s="37">
        <f>V59/(1+'General input'!$C$113)^E59</f>
        <v>2880.5066078430741</v>
      </c>
      <c r="Z59" s="37">
        <f>SUM(Y59:Y$115)</f>
        <v>32027.63029300133</v>
      </c>
      <c r="AA59" s="47">
        <f t="shared" si="15"/>
        <v>6.7604218361201394</v>
      </c>
      <c r="AB59" s="47"/>
      <c r="AC59" s="37">
        <f t="shared" si="17"/>
        <v>55.5</v>
      </c>
      <c r="AD59" s="37">
        <f t="shared" si="16"/>
        <v>78884.939144082193</v>
      </c>
      <c r="AF59" s="4"/>
      <c r="AI59" s="4"/>
      <c r="AL59" s="4"/>
      <c r="AP59" s="41"/>
      <c r="AQ59" s="41"/>
      <c r="AR59" s="49"/>
      <c r="AS59" s="41"/>
      <c r="AT59" s="41"/>
      <c r="AU59" s="41"/>
      <c r="AV59" s="41"/>
      <c r="AW59" s="41"/>
      <c r="AX59" s="41"/>
      <c r="AY59" s="41"/>
      <c r="AZ59" s="41"/>
      <c r="BA59" s="41"/>
      <c r="BB59" s="41"/>
      <c r="BD59" s="6"/>
      <c r="BE59" s="7"/>
      <c r="BF59" s="7"/>
      <c r="BG59" s="7"/>
      <c r="BH59" s="7"/>
      <c r="BI59" s="7"/>
      <c r="BJ59" s="7"/>
      <c r="BK59" s="7"/>
      <c r="BL59" s="7"/>
      <c r="BN59" s="39"/>
      <c r="BO59" s="39"/>
      <c r="BP59" s="39"/>
      <c r="BQ59" s="39"/>
      <c r="BR59" s="39"/>
      <c r="BS59" s="39"/>
      <c r="BT59" s="52"/>
      <c r="BU59" s="52"/>
      <c r="BV59" s="53"/>
      <c r="BW59" s="53"/>
      <c r="BX59" s="52"/>
      <c r="BY59" s="50"/>
      <c r="CA59" s="49"/>
      <c r="CB59" s="49"/>
      <c r="CC59" s="49"/>
      <c r="CD59" s="49"/>
      <c r="CE59" s="49"/>
      <c r="CF59" s="49"/>
      <c r="CG59" s="49"/>
      <c r="CH59" s="49"/>
      <c r="CI59" s="49"/>
      <c r="CK59" s="7"/>
      <c r="CL59" s="7"/>
      <c r="CM59" s="7"/>
      <c r="CN59" s="7"/>
      <c r="CO59" s="7"/>
      <c r="CP59" s="7"/>
      <c r="CQ59" s="7"/>
      <c r="CR59" s="7"/>
      <c r="CS59" s="7"/>
    </row>
    <row r="60" spans="5:97" ht="14.4" x14ac:dyDescent="0.3">
      <c r="E60" s="138">
        <v>56</v>
      </c>
      <c r="F60" s="44">
        <f>'Life table (HE)'!B$16</f>
        <v>2.0500000000000001E-2</v>
      </c>
      <c r="H60" s="45">
        <f t="shared" si="6"/>
        <v>2.0500000000000001E-2</v>
      </c>
      <c r="I60" s="46">
        <f t="shared" si="7"/>
        <v>2.0291303525482141E-2</v>
      </c>
      <c r="J60" s="37">
        <f t="shared" si="8"/>
        <v>68625.911768676859</v>
      </c>
      <c r="K60" s="41">
        <f t="shared" si="9"/>
        <v>1392.509205411179</v>
      </c>
      <c r="L60" s="41">
        <f>SUM($K$4:K59)</f>
        <v>31374.088231323058</v>
      </c>
      <c r="M60" s="37">
        <f t="shared" si="0"/>
        <v>67929.657165971279</v>
      </c>
      <c r="N60" s="37">
        <f>SUM(M60:M$113)</f>
        <v>1258073.7796236749</v>
      </c>
      <c r="O60" s="47">
        <f t="shared" si="12"/>
        <v>18.520243323911476</v>
      </c>
      <c r="P60" s="37">
        <f>(J61+0.5*K60)/(1+'General input'!$C$113)^E60</f>
        <v>4420.3705297228225</v>
      </c>
      <c r="Q60" s="37">
        <f>SUM(P60:P$113)</f>
        <v>50801.816475000851</v>
      </c>
      <c r="R60" s="37">
        <f t="shared" si="13"/>
        <v>11.492660204253591</v>
      </c>
      <c r="T60" s="44">
        <f>'Life table (HE)'!C$16</f>
        <v>0.60802</v>
      </c>
      <c r="V60" s="48">
        <f t="shared" si="10"/>
        <v>41302.59015005386</v>
      </c>
      <c r="W60" s="37">
        <f>SUM(V60:V$115)</f>
        <v>705316.64621387003</v>
      </c>
      <c r="X60" s="47">
        <f t="shared" si="14"/>
        <v>10.383044396802752</v>
      </c>
      <c r="Y60" s="37">
        <f>V60/(1+'General input'!$C$113)^E60</f>
        <v>2687.673689482071</v>
      </c>
      <c r="Z60" s="37">
        <f>SUM(Y60:Y$115)</f>
        <v>29147.123685158254</v>
      </c>
      <c r="AA60" s="47">
        <f t="shared" si="15"/>
        <v>6.5938191129389132</v>
      </c>
      <c r="AB60" s="47"/>
      <c r="AC60" s="37">
        <f t="shared" si="17"/>
        <v>56.5</v>
      </c>
      <c r="AD60" s="37">
        <f t="shared" si="16"/>
        <v>78676.770105731615</v>
      </c>
      <c r="AF60" s="4"/>
      <c r="AI60" s="4"/>
      <c r="AL60" s="4"/>
      <c r="AP60" s="41"/>
      <c r="AQ60" s="41"/>
      <c r="AR60" s="49"/>
      <c r="AS60" s="41"/>
      <c r="AT60" s="41"/>
      <c r="AU60" s="41"/>
      <c r="AV60" s="41"/>
      <c r="AW60" s="41"/>
      <c r="AX60" s="41"/>
      <c r="AY60" s="41"/>
      <c r="AZ60" s="41"/>
      <c r="BA60" s="41"/>
      <c r="BB60" s="41"/>
      <c r="BD60" s="6"/>
      <c r="BE60" s="7"/>
      <c r="BF60" s="7"/>
      <c r="BG60" s="7"/>
      <c r="BH60" s="7"/>
      <c r="BI60" s="7"/>
      <c r="BJ60" s="7"/>
      <c r="BK60" s="7"/>
      <c r="BL60" s="7"/>
      <c r="BN60" s="39"/>
      <c r="BO60" s="39"/>
      <c r="BP60" s="39"/>
      <c r="BQ60" s="39"/>
      <c r="BR60" s="39"/>
      <c r="BS60" s="39"/>
      <c r="BT60" s="52"/>
      <c r="BU60" s="52"/>
      <c r="BV60" s="53"/>
      <c r="BW60" s="53"/>
      <c r="BX60" s="52"/>
      <c r="BY60" s="50"/>
      <c r="CA60" s="49"/>
      <c r="CB60" s="49"/>
      <c r="CC60" s="49"/>
      <c r="CD60" s="49"/>
      <c r="CE60" s="49"/>
      <c r="CF60" s="49"/>
      <c r="CG60" s="49"/>
      <c r="CH60" s="49"/>
      <c r="CI60" s="49"/>
      <c r="CK60" s="7"/>
      <c r="CL60" s="7"/>
      <c r="CM60" s="7"/>
      <c r="CN60" s="7"/>
      <c r="CO60" s="7"/>
      <c r="CP60" s="7"/>
      <c r="CQ60" s="7"/>
      <c r="CR60" s="7"/>
      <c r="CS60" s="7"/>
    </row>
    <row r="61" spans="5:97" ht="14.4" x14ac:dyDescent="0.3">
      <c r="E61" s="138">
        <v>57</v>
      </c>
      <c r="F61" s="44">
        <f>'Life table (HE)'!B$16</f>
        <v>2.0500000000000001E-2</v>
      </c>
      <c r="H61" s="45">
        <f t="shared" si="6"/>
        <v>2.0500000000000001E-2</v>
      </c>
      <c r="I61" s="46">
        <f t="shared" si="7"/>
        <v>2.0291303525482141E-2</v>
      </c>
      <c r="J61" s="37">
        <f t="shared" si="8"/>
        <v>67233.402563265685</v>
      </c>
      <c r="K61" s="41">
        <f t="shared" si="9"/>
        <v>1364.253378462153</v>
      </c>
      <c r="L61" s="41">
        <f>SUM($K$4:K60)</f>
        <v>32766.597436734235</v>
      </c>
      <c r="M61" s="37">
        <f t="shared" si="0"/>
        <v>66551.275874034618</v>
      </c>
      <c r="N61" s="37">
        <f>SUM(M61:M$113)</f>
        <v>1190144.1224577033</v>
      </c>
      <c r="O61" s="47">
        <f t="shared" si="12"/>
        <v>17.883115039152017</v>
      </c>
      <c r="P61" s="37">
        <f>(J62+0.5*K61)/(1+'General input'!$C$113)^E61</f>
        <v>4124.4528091515431</v>
      </c>
      <c r="Q61" s="37">
        <f>SUM(P61:P$113)</f>
        <v>46381.445945278036</v>
      </c>
      <c r="R61" s="37">
        <f t="shared" si="13"/>
        <v>11.245478634732965</v>
      </c>
      <c r="T61" s="44">
        <f>'Life table (HE)'!C$16</f>
        <v>0.60802</v>
      </c>
      <c r="V61" s="48">
        <f t="shared" si="10"/>
        <v>40464.506756930532</v>
      </c>
      <c r="W61" s="37">
        <f>SUM(V61:V$115)</f>
        <v>664014.05606381607</v>
      </c>
      <c r="X61" s="47">
        <f t="shared" si="14"/>
        <v>9.977480481676011</v>
      </c>
      <c r="Y61" s="37">
        <f>V61/(1+'General input'!$C$113)^E61</f>
        <v>2507.7497970203217</v>
      </c>
      <c r="Z61" s="37">
        <f>SUM(Y61:Y$115)</f>
        <v>26459.449995676183</v>
      </c>
      <c r="AA61" s="47">
        <f t="shared" si="15"/>
        <v>6.4152631197444245</v>
      </c>
      <c r="AB61" s="47"/>
      <c r="AC61" s="37">
        <f t="shared" si="17"/>
        <v>57.5</v>
      </c>
      <c r="AD61" s="37">
        <f t="shared" si="16"/>
        <v>78444.569261573793</v>
      </c>
      <c r="AF61" s="4"/>
      <c r="AI61" s="4"/>
      <c r="AL61" s="4"/>
      <c r="AP61" s="41"/>
      <c r="AQ61" s="41"/>
      <c r="AR61" s="49"/>
      <c r="AS61" s="41"/>
      <c r="AT61" s="41"/>
      <c r="AU61" s="41"/>
      <c r="AV61" s="41"/>
      <c r="AW61" s="41"/>
      <c r="AX61" s="41"/>
      <c r="AY61" s="41"/>
      <c r="AZ61" s="41"/>
      <c r="BA61" s="41"/>
      <c r="BB61" s="41"/>
      <c r="BD61" s="6"/>
      <c r="BE61" s="7"/>
      <c r="BF61" s="7"/>
      <c r="BG61" s="7"/>
      <c r="BH61" s="7"/>
      <c r="BI61" s="7"/>
      <c r="BJ61" s="7"/>
      <c r="BK61" s="7"/>
      <c r="BL61" s="7"/>
      <c r="BN61" s="39"/>
      <c r="BO61" s="39"/>
      <c r="BP61" s="39"/>
      <c r="BQ61" s="39"/>
      <c r="BR61" s="39"/>
      <c r="BS61" s="39"/>
      <c r="BT61" s="52"/>
      <c r="BU61" s="52"/>
      <c r="BV61" s="53"/>
      <c r="BW61" s="53"/>
      <c r="BX61" s="52"/>
      <c r="BY61" s="50"/>
      <c r="CA61" s="49"/>
      <c r="CB61" s="49"/>
      <c r="CC61" s="49"/>
      <c r="CD61" s="49"/>
      <c r="CE61" s="49"/>
      <c r="CF61" s="49"/>
      <c r="CG61" s="49"/>
      <c r="CH61" s="49"/>
      <c r="CI61" s="49"/>
      <c r="CK61" s="7"/>
      <c r="CL61" s="7"/>
      <c r="CM61" s="7"/>
      <c r="CN61" s="7"/>
      <c r="CO61" s="7"/>
      <c r="CP61" s="7"/>
      <c r="CQ61" s="7"/>
      <c r="CR61" s="7"/>
      <c r="CS61" s="7"/>
    </row>
    <row r="62" spans="5:97" ht="14.4" x14ac:dyDescent="0.3">
      <c r="E62" s="138">
        <v>58</v>
      </c>
      <c r="F62" s="44">
        <f>'Life table (HE)'!B$16</f>
        <v>2.0500000000000001E-2</v>
      </c>
      <c r="H62" s="45">
        <f t="shared" si="6"/>
        <v>2.0500000000000001E-2</v>
      </c>
      <c r="I62" s="46">
        <f t="shared" si="7"/>
        <v>2.0291303525482141E-2</v>
      </c>
      <c r="J62" s="37">
        <f t="shared" si="8"/>
        <v>65869.149184803537</v>
      </c>
      <c r="K62" s="41">
        <f t="shared" si="9"/>
        <v>1336.570899074113</v>
      </c>
      <c r="L62" s="41">
        <f>SUM($K$4:K61)</f>
        <v>34130.850815196391</v>
      </c>
      <c r="M62" s="37">
        <f t="shared" si="0"/>
        <v>65200.863735266481</v>
      </c>
      <c r="N62" s="37">
        <f>SUM(M62:M$113)</f>
        <v>1123592.8465836691</v>
      </c>
      <c r="O62" s="47">
        <f t="shared" si="12"/>
        <v>17.232790828443108</v>
      </c>
      <c r="P62" s="37">
        <f>(J63+0.5*K62)/(1+'General input'!$C$113)^E62</f>
        <v>3848.3450336424012</v>
      </c>
      <c r="Q62" s="37">
        <f>SUM(P62:P$113)</f>
        <v>42256.993136126497</v>
      </c>
      <c r="R62" s="37">
        <f t="shared" si="13"/>
        <v>10.980562492893441</v>
      </c>
      <c r="T62" s="44">
        <f>'Life table (HE)'!C$16</f>
        <v>0.60802</v>
      </c>
      <c r="V62" s="48">
        <f t="shared" si="10"/>
        <v>39643.429168316725</v>
      </c>
      <c r="W62" s="37">
        <f>SUM(V62:V$115)</f>
        <v>623549.54930688557</v>
      </c>
      <c r="X62" s="47">
        <f t="shared" si="14"/>
        <v>9.5635167018441507</v>
      </c>
      <c r="Y62" s="37">
        <f>V62/(1+'General input'!$C$113)^E62</f>
        <v>2339.8707473552527</v>
      </c>
      <c r="Z62" s="37">
        <f>SUM(Y62:Y$115)</f>
        <v>23951.700198655861</v>
      </c>
      <c r="AA62" s="47">
        <f t="shared" si="15"/>
        <v>6.2238962435200191</v>
      </c>
      <c r="AB62" s="47"/>
      <c r="AC62" s="37">
        <f t="shared" si="17"/>
        <v>58.5</v>
      </c>
      <c r="AD62" s="37">
        <f t="shared" si="16"/>
        <v>78189.397595835602</v>
      </c>
      <c r="AF62" s="4"/>
      <c r="AI62" s="4"/>
      <c r="AL62" s="4"/>
      <c r="AP62" s="41"/>
      <c r="AQ62" s="41"/>
      <c r="AR62" s="49"/>
      <c r="AS62" s="41"/>
      <c r="AT62" s="41"/>
      <c r="AU62" s="41"/>
      <c r="AV62" s="41"/>
      <c r="AW62" s="41"/>
      <c r="AX62" s="41"/>
      <c r="AY62" s="41"/>
      <c r="AZ62" s="41"/>
      <c r="BA62" s="41"/>
      <c r="BB62" s="41"/>
      <c r="BD62" s="6"/>
      <c r="BE62" s="7"/>
      <c r="BF62" s="7"/>
      <c r="BG62" s="7"/>
      <c r="BH62" s="7"/>
      <c r="BI62" s="7"/>
      <c r="BJ62" s="7"/>
      <c r="BK62" s="7"/>
      <c r="BL62" s="7"/>
      <c r="BN62" s="39"/>
      <c r="BO62" s="39"/>
      <c r="BP62" s="39"/>
      <c r="BQ62" s="39"/>
      <c r="BR62" s="39"/>
      <c r="BS62" s="39"/>
      <c r="BT62" s="52"/>
      <c r="BU62" s="52"/>
      <c r="BV62" s="53"/>
      <c r="BW62" s="53"/>
      <c r="BX62" s="52"/>
      <c r="BY62" s="50"/>
      <c r="CA62" s="49"/>
      <c r="CB62" s="49"/>
      <c r="CC62" s="49"/>
      <c r="CD62" s="49"/>
      <c r="CE62" s="49"/>
      <c r="CF62" s="49"/>
      <c r="CG62" s="49"/>
      <c r="CH62" s="49"/>
      <c r="CI62" s="49"/>
      <c r="CK62" s="7"/>
      <c r="CL62" s="7"/>
      <c r="CM62" s="7"/>
      <c r="CN62" s="7"/>
      <c r="CO62" s="7"/>
      <c r="CP62" s="7"/>
      <c r="CQ62" s="7"/>
      <c r="CR62" s="7"/>
      <c r="CS62" s="7"/>
    </row>
    <row r="63" spans="5:97" ht="14.4" x14ac:dyDescent="0.3">
      <c r="E63" s="138">
        <v>59</v>
      </c>
      <c r="F63" s="44">
        <f>'Life table (HE)'!B$16</f>
        <v>2.0500000000000001E-2</v>
      </c>
      <c r="H63" s="45">
        <f t="shared" si="6"/>
        <v>2.0500000000000001E-2</v>
      </c>
      <c r="I63" s="46">
        <f t="shared" si="7"/>
        <v>2.0291303525482141E-2</v>
      </c>
      <c r="J63" s="37">
        <f t="shared" si="8"/>
        <v>64532.578285729425</v>
      </c>
      <c r="K63" s="41">
        <f t="shared" si="9"/>
        <v>1309.4501332776738</v>
      </c>
      <c r="L63" s="41">
        <f>SUM($K$4:K62)</f>
        <v>35467.421714270502</v>
      </c>
      <c r="M63" s="37">
        <f t="shared" si="0"/>
        <v>63877.85321909059</v>
      </c>
      <c r="N63" s="37">
        <f>SUM(M63:M$113)</f>
        <v>1058391.9828484026</v>
      </c>
      <c r="O63" s="47">
        <f t="shared" si="12"/>
        <v>16.568997383463891</v>
      </c>
      <c r="P63" s="37">
        <f>(J64+0.5*K63)/(1+'General input'!$C$113)^E63</f>
        <v>3590.7210442799824</v>
      </c>
      <c r="Q63" s="37">
        <f>SUM(P63:P$113)</f>
        <v>38408.648102484105</v>
      </c>
      <c r="R63" s="37">
        <f t="shared" si="13"/>
        <v>10.696639373773987</v>
      </c>
      <c r="T63" s="44">
        <f>'Life table (HE)'!C$16</f>
        <v>0.60802</v>
      </c>
      <c r="V63" s="48">
        <f t="shared" si="10"/>
        <v>38839.012314271458</v>
      </c>
      <c r="W63" s="37">
        <f>SUM(V63:V$115)</f>
        <v>583906.1201385688</v>
      </c>
      <c r="X63" s="47">
        <f t="shared" si="14"/>
        <v>9.1409790829360897</v>
      </c>
      <c r="Y63" s="37">
        <f>V63/(1+'General input'!$C$113)^E63</f>
        <v>2183.2302093431149</v>
      </c>
      <c r="Z63" s="37">
        <f>SUM(Y63:Y$115)</f>
        <v>21611.829451300608</v>
      </c>
      <c r="AA63" s="47">
        <f t="shared" si="15"/>
        <v>6.0187993399621629</v>
      </c>
      <c r="AB63" s="47"/>
      <c r="AC63" s="37">
        <f t="shared" si="17"/>
        <v>59.5</v>
      </c>
      <c r="AD63" s="37">
        <f t="shared" si="16"/>
        <v>77912.282930021596</v>
      </c>
      <c r="AF63" s="4"/>
      <c r="AI63" s="4"/>
      <c r="AL63" s="4"/>
      <c r="AP63" s="41"/>
      <c r="AQ63" s="41"/>
      <c r="AR63" s="49"/>
      <c r="AS63" s="41"/>
      <c r="AT63" s="41"/>
      <c r="AU63" s="41"/>
      <c r="AV63" s="41"/>
      <c r="AW63" s="41"/>
      <c r="AX63" s="41"/>
      <c r="AY63" s="41"/>
      <c r="AZ63" s="41"/>
      <c r="BA63" s="41"/>
      <c r="BB63" s="41"/>
      <c r="BD63" s="6"/>
      <c r="BE63" s="7"/>
      <c r="BF63" s="7"/>
      <c r="BG63" s="7"/>
      <c r="BH63" s="7"/>
      <c r="BI63" s="7"/>
      <c r="BJ63" s="7"/>
      <c r="BK63" s="7"/>
      <c r="BL63" s="7"/>
      <c r="BN63" s="39"/>
      <c r="BO63" s="39"/>
      <c r="BP63" s="39"/>
      <c r="BQ63" s="39"/>
      <c r="BR63" s="39"/>
      <c r="BS63" s="39"/>
      <c r="BT63" s="52"/>
      <c r="BU63" s="52"/>
      <c r="BV63" s="53"/>
      <c r="BW63" s="53"/>
      <c r="BX63" s="52"/>
      <c r="BY63" s="50"/>
      <c r="CA63" s="49"/>
      <c r="CB63" s="49"/>
      <c r="CC63" s="49"/>
      <c r="CD63" s="49"/>
      <c r="CE63" s="49"/>
      <c r="CF63" s="49"/>
      <c r="CG63" s="49"/>
      <c r="CH63" s="49"/>
      <c r="CI63" s="49"/>
      <c r="CK63" s="7"/>
      <c r="CL63" s="7"/>
      <c r="CM63" s="7"/>
      <c r="CN63" s="7"/>
      <c r="CO63" s="7"/>
      <c r="CP63" s="7"/>
      <c r="CQ63" s="7"/>
      <c r="CR63" s="7"/>
      <c r="CS63" s="7"/>
    </row>
    <row r="64" spans="5:97" ht="14.4" x14ac:dyDescent="0.3">
      <c r="E64" s="138">
        <v>60</v>
      </c>
      <c r="F64" s="44">
        <f>'Life table (HE)'!B$17</f>
        <v>2.8999999999999998E-2</v>
      </c>
      <c r="H64" s="45">
        <f t="shared" si="6"/>
        <v>2.8999999999999998E-2</v>
      </c>
      <c r="I64" s="46">
        <f t="shared" si="7"/>
        <v>2.858353553339521E-2</v>
      </c>
      <c r="J64" s="37">
        <f t="shared" si="8"/>
        <v>63223.128152451754</v>
      </c>
      <c r="K64" s="41">
        <f t="shared" si="9"/>
        <v>1807.1405300780038</v>
      </c>
      <c r="L64" s="41">
        <f>SUM($K$4:K63)</f>
        <v>36776.871847548173</v>
      </c>
      <c r="M64" s="37">
        <f t="shared" si="0"/>
        <v>62319.557887412753</v>
      </c>
      <c r="N64" s="37">
        <f>SUM(M64:M$113)</f>
        <v>994514.12962931243</v>
      </c>
      <c r="O64" s="47">
        <f t="shared" si="12"/>
        <v>15.958298860624355</v>
      </c>
      <c r="P64" s="37">
        <f>(J65+0.5*K64)/(1+'General input'!$C$113)^E64</f>
        <v>3336.3101711526083</v>
      </c>
      <c r="Q64" s="37">
        <f>SUM(P64:P$113)</f>
        <v>34817.927058204128</v>
      </c>
      <c r="R64" s="37">
        <f t="shared" si="13"/>
        <v>10.436058181657446</v>
      </c>
      <c r="T64" s="44">
        <f>'Life table (HE)'!C$17</f>
        <v>0.60802</v>
      </c>
      <c r="V64" s="48">
        <f t="shared" si="10"/>
        <v>37891.537586704704</v>
      </c>
      <c r="W64" s="37">
        <f>SUM(V64:V$115)</f>
        <v>545067.10782429751</v>
      </c>
      <c r="X64" s="47">
        <f t="shared" si="14"/>
        <v>8.7463250109864727</v>
      </c>
      <c r="Y64" s="37">
        <f>V64/(1+'General input'!$C$113)^E64</f>
        <v>2028.5433102642089</v>
      </c>
      <c r="Z64" s="37">
        <f>SUM(Y64:Y$115)</f>
        <v>19428.59924195749</v>
      </c>
      <c r="AA64" s="47">
        <f t="shared" si="15"/>
        <v>5.8233791959592942</v>
      </c>
      <c r="AB64" s="47"/>
      <c r="AC64" s="37">
        <f t="shared" si="17"/>
        <v>60.5</v>
      </c>
      <c r="AD64" s="37">
        <f t="shared" si="16"/>
        <v>109332.00206971924</v>
      </c>
      <c r="AF64" s="4"/>
      <c r="AI64" s="4"/>
      <c r="AL64" s="4"/>
      <c r="AP64" s="41"/>
      <c r="AQ64" s="41"/>
      <c r="AR64" s="49"/>
      <c r="AS64" s="41"/>
      <c r="AT64" s="41"/>
      <c r="AU64" s="41"/>
      <c r="AV64" s="41"/>
      <c r="AW64" s="41"/>
      <c r="AX64" s="41"/>
      <c r="AY64" s="41"/>
      <c r="AZ64" s="41"/>
      <c r="BA64" s="41"/>
      <c r="BB64" s="41"/>
      <c r="BD64" s="6"/>
      <c r="BE64" s="7"/>
      <c r="BF64" s="7"/>
      <c r="BG64" s="7"/>
      <c r="BH64" s="7"/>
      <c r="BI64" s="7"/>
      <c r="BJ64" s="7"/>
      <c r="BK64" s="7"/>
      <c r="BL64" s="7"/>
      <c r="BN64" s="39"/>
      <c r="BO64" s="39"/>
      <c r="BP64" s="39"/>
      <c r="BQ64" s="39"/>
      <c r="BR64" s="39"/>
      <c r="BS64" s="39"/>
      <c r="BT64" s="52"/>
      <c r="BU64" s="52"/>
      <c r="BV64" s="53"/>
      <c r="BW64" s="53"/>
      <c r="BX64" s="52"/>
      <c r="BY64" s="50"/>
      <c r="CA64" s="49"/>
      <c r="CB64" s="49"/>
      <c r="CC64" s="49"/>
      <c r="CD64" s="49"/>
      <c r="CE64" s="49"/>
      <c r="CF64" s="49"/>
      <c r="CG64" s="49"/>
      <c r="CH64" s="49"/>
      <c r="CI64" s="49"/>
      <c r="CK64" s="7"/>
      <c r="CL64" s="7"/>
      <c r="CM64" s="7"/>
      <c r="CN64" s="7"/>
      <c r="CO64" s="7"/>
      <c r="CP64" s="7"/>
      <c r="CQ64" s="7"/>
      <c r="CR64" s="7"/>
      <c r="CS64" s="7"/>
    </row>
    <row r="65" spans="5:97" ht="14.4" x14ac:dyDescent="0.3">
      <c r="E65" s="138">
        <v>61</v>
      </c>
      <c r="F65" s="44">
        <f>'Life table (HE)'!B$17</f>
        <v>2.8999999999999998E-2</v>
      </c>
      <c r="H65" s="45">
        <f t="shared" si="6"/>
        <v>2.8999999999999998E-2</v>
      </c>
      <c r="I65" s="46">
        <f t="shared" si="7"/>
        <v>2.858353553339521E-2</v>
      </c>
      <c r="J65" s="37">
        <f t="shared" si="8"/>
        <v>61415.987622373752</v>
      </c>
      <c r="K65" s="41">
        <f t="shared" si="9"/>
        <v>1755.4860645226806</v>
      </c>
      <c r="L65" s="41">
        <f>SUM($K$4:K64)</f>
        <v>38584.012377626175</v>
      </c>
      <c r="M65" s="37">
        <f t="shared" si="0"/>
        <v>60538.244590112416</v>
      </c>
      <c r="N65" s="37">
        <f>SUM(M65:M$113)</f>
        <v>932194.57174189982</v>
      </c>
      <c r="O65" s="47">
        <f t="shared" si="12"/>
        <v>15.398440738636038</v>
      </c>
      <c r="P65" s="37">
        <f>(J66+0.5*K65)/(1+'General input'!$C$113)^E65</f>
        <v>3086.6158388809895</v>
      </c>
      <c r="Q65" s="37">
        <f>SUM(P65:P$113)</f>
        <v>31481.616887051521</v>
      </c>
      <c r="R65" s="37">
        <f t="shared" si="13"/>
        <v>10.199395885451281</v>
      </c>
      <c r="T65" s="44">
        <f>'Life table (HE)'!C$17</f>
        <v>0.60802</v>
      </c>
      <c r="V65" s="48">
        <f t="shared" si="10"/>
        <v>36808.463475680153</v>
      </c>
      <c r="W65" s="37">
        <f>SUM(V65:V$115)</f>
        <v>507175.5702375925</v>
      </c>
      <c r="X65" s="47">
        <f t="shared" si="14"/>
        <v>8.3777713356496708</v>
      </c>
      <c r="Y65" s="37">
        <f>V65/(1+'General input'!$C$113)^E65</f>
        <v>1876.7241623564196</v>
      </c>
      <c r="Z65" s="37">
        <f>SUM(Y65:Y$115)</f>
        <v>17400.055931693281</v>
      </c>
      <c r="AA65" s="47">
        <f t="shared" si="15"/>
        <v>5.6372599766096689</v>
      </c>
      <c r="AB65" s="47"/>
      <c r="AC65" s="37">
        <f t="shared" si="17"/>
        <v>61.5</v>
      </c>
      <c r="AD65" s="37">
        <f t="shared" si="16"/>
        <v>107962.39296814486</v>
      </c>
      <c r="AF65" s="4"/>
      <c r="AI65" s="4"/>
      <c r="AL65" s="4"/>
      <c r="AP65" s="41"/>
      <c r="AQ65" s="41"/>
      <c r="AR65" s="49"/>
      <c r="AS65" s="41"/>
      <c r="AT65" s="41"/>
      <c r="AU65" s="41"/>
      <c r="AV65" s="41"/>
      <c r="AW65" s="41"/>
      <c r="AX65" s="41"/>
      <c r="AY65" s="41"/>
      <c r="AZ65" s="41"/>
      <c r="BA65" s="41"/>
      <c r="BB65" s="41"/>
      <c r="BD65" s="6"/>
      <c r="BE65" s="7"/>
      <c r="BF65" s="7"/>
      <c r="BG65" s="7"/>
      <c r="BH65" s="7"/>
      <c r="BI65" s="7"/>
      <c r="BJ65" s="7"/>
      <c r="BK65" s="7"/>
      <c r="BL65" s="7"/>
      <c r="BN65" s="39"/>
      <c r="BO65" s="39"/>
      <c r="BP65" s="39"/>
      <c r="BQ65" s="39"/>
      <c r="BR65" s="39"/>
      <c r="BS65" s="39"/>
      <c r="BT65" s="52"/>
      <c r="BU65" s="52"/>
      <c r="BV65" s="53"/>
      <c r="BW65" s="53"/>
      <c r="BX65" s="52"/>
      <c r="BY65" s="50"/>
      <c r="CA65" s="49"/>
      <c r="CB65" s="49"/>
      <c r="CC65" s="49"/>
      <c r="CD65" s="49"/>
      <c r="CE65" s="49"/>
      <c r="CF65" s="49"/>
      <c r="CG65" s="49"/>
      <c r="CH65" s="49"/>
      <c r="CI65" s="49"/>
      <c r="CK65" s="7"/>
      <c r="CL65" s="7"/>
      <c r="CM65" s="7"/>
      <c r="CN65" s="7"/>
      <c r="CO65" s="7"/>
      <c r="CP65" s="7"/>
      <c r="CQ65" s="7"/>
      <c r="CR65" s="7"/>
      <c r="CS65" s="7"/>
    </row>
    <row r="66" spans="5:97" ht="14.4" x14ac:dyDescent="0.3">
      <c r="E66" s="138">
        <v>62</v>
      </c>
      <c r="F66" s="44">
        <f>'Life table (HE)'!B$17</f>
        <v>2.8999999999999998E-2</v>
      </c>
      <c r="H66" s="45">
        <f t="shared" si="6"/>
        <v>2.8999999999999998E-2</v>
      </c>
      <c r="I66" s="46">
        <f t="shared" si="7"/>
        <v>2.858353553339521E-2</v>
      </c>
      <c r="J66" s="37">
        <f t="shared" si="8"/>
        <v>59660.501557851072</v>
      </c>
      <c r="K66" s="41">
        <f t="shared" si="9"/>
        <v>1705.3080662190164</v>
      </c>
      <c r="L66" s="41">
        <f>SUM($K$4:K65)</f>
        <v>40339.498442148855</v>
      </c>
      <c r="M66" s="37">
        <f t="shared" si="0"/>
        <v>58807.847524741563</v>
      </c>
      <c r="N66" s="37">
        <f>SUM(M66:M$113)</f>
        <v>871656.32715178735</v>
      </c>
      <c r="O66" s="47">
        <f t="shared" si="12"/>
        <v>14.822109018444609</v>
      </c>
      <c r="P66" s="37">
        <f>(J67+0.5*K66)/(1+'General input'!$C$113)^E66</f>
        <v>2855.6089955927578</v>
      </c>
      <c r="Q66" s="37">
        <f>SUM(P66:P$113)</f>
        <v>28395.001048170529</v>
      </c>
      <c r="R66" s="37">
        <f t="shared" si="13"/>
        <v>9.9435885977367118</v>
      </c>
      <c r="T66" s="44">
        <f>'Life table (HE)'!C$17</f>
        <v>0.60802</v>
      </c>
      <c r="V66" s="48">
        <f t="shared" si="10"/>
        <v>35756.347451993366</v>
      </c>
      <c r="W66" s="37">
        <f>SUM(V66:V$115)</f>
        <v>470367.10676191241</v>
      </c>
      <c r="X66" s="47">
        <f t="shared" si="14"/>
        <v>7.9983731178737694</v>
      </c>
      <c r="Y66" s="37">
        <f>V66/(1+'General input'!$C$113)^E66</f>
        <v>1736.2673815003086</v>
      </c>
      <c r="Z66" s="37">
        <f>SUM(Y66:Y$115)</f>
        <v>15523.33176933687</v>
      </c>
      <c r="AA66" s="47">
        <f t="shared" si="15"/>
        <v>5.4360844896115017</v>
      </c>
      <c r="AB66" s="47"/>
      <c r="AC66" s="37">
        <f t="shared" si="17"/>
        <v>62.5</v>
      </c>
      <c r="AD66" s="37">
        <f t="shared" si="16"/>
        <v>106581.75413868853</v>
      </c>
      <c r="AF66" s="4"/>
      <c r="AI66" s="4"/>
      <c r="AL66" s="4"/>
      <c r="AP66" s="41"/>
      <c r="AQ66" s="41"/>
      <c r="AR66" s="49"/>
      <c r="AS66" s="41"/>
      <c r="AT66" s="41"/>
      <c r="AU66" s="41"/>
      <c r="AV66" s="41"/>
      <c r="AW66" s="41"/>
      <c r="AX66" s="41"/>
      <c r="AY66" s="41"/>
      <c r="AZ66" s="41"/>
      <c r="BA66" s="41"/>
      <c r="BB66" s="41"/>
      <c r="BD66" s="6"/>
      <c r="BE66" s="7"/>
      <c r="BF66" s="7"/>
      <c r="BG66" s="7"/>
      <c r="BH66" s="7"/>
      <c r="BI66" s="7"/>
      <c r="BJ66" s="7"/>
      <c r="BK66" s="7"/>
      <c r="BL66" s="7"/>
      <c r="BN66" s="39"/>
      <c r="BO66" s="39"/>
      <c r="BP66" s="39"/>
      <c r="BQ66" s="39"/>
      <c r="BR66" s="39"/>
      <c r="BS66" s="39"/>
      <c r="BT66" s="52"/>
      <c r="BU66" s="52"/>
      <c r="BV66" s="53"/>
      <c r="BW66" s="53"/>
      <c r="BX66" s="52"/>
      <c r="BY66" s="50"/>
      <c r="CA66" s="49"/>
      <c r="CB66" s="49"/>
      <c r="CC66" s="49"/>
      <c r="CD66" s="49"/>
      <c r="CE66" s="49"/>
      <c r="CF66" s="49"/>
      <c r="CG66" s="49"/>
      <c r="CH66" s="49"/>
      <c r="CI66" s="49"/>
      <c r="CK66" s="7"/>
      <c r="CL66" s="7"/>
      <c r="CM66" s="7"/>
      <c r="CN66" s="7"/>
      <c r="CO66" s="7"/>
      <c r="CP66" s="7"/>
      <c r="CQ66" s="7"/>
      <c r="CR66" s="7"/>
      <c r="CS66" s="7"/>
    </row>
    <row r="67" spans="5:97" ht="14.4" x14ac:dyDescent="0.3">
      <c r="E67" s="138">
        <v>63</v>
      </c>
      <c r="F67" s="44">
        <f>'Life table (HE)'!B$17</f>
        <v>2.8999999999999998E-2</v>
      </c>
      <c r="H67" s="45">
        <f t="shared" si="6"/>
        <v>2.8999999999999998E-2</v>
      </c>
      <c r="I67" s="46">
        <f t="shared" si="7"/>
        <v>2.858353553339521E-2</v>
      </c>
      <c r="J67" s="37">
        <f t="shared" si="8"/>
        <v>57955.193491632053</v>
      </c>
      <c r="K67" s="41">
        <f t="shared" si="9"/>
        <v>1656.5643325128597</v>
      </c>
      <c r="L67" s="41">
        <f>SUM($K$4:K66)</f>
        <v>42044.806508367874</v>
      </c>
      <c r="M67" s="37">
        <f t="shared" si="0"/>
        <v>57126.911325375622</v>
      </c>
      <c r="N67" s="37">
        <f>SUM(M67:M$113)</f>
        <v>812848.47962704569</v>
      </c>
      <c r="O67" s="47">
        <f t="shared" si="12"/>
        <v>14.228818971103388</v>
      </c>
      <c r="P67" s="37">
        <f>(J68+0.5*K67)/(1+'General input'!$C$113)^E67</f>
        <v>2641.8910422835693</v>
      </c>
      <c r="Q67" s="37">
        <f>SUM(P67:P$113)</f>
        <v>25539.392052577768</v>
      </c>
      <c r="R67" s="37">
        <f t="shared" si="13"/>
        <v>9.667087568646398</v>
      </c>
      <c r="T67" s="44">
        <f>'Life table (HE)'!C$17</f>
        <v>0.60802</v>
      </c>
      <c r="V67" s="48">
        <f t="shared" si="10"/>
        <v>34734.304624054887</v>
      </c>
      <c r="W67" s="37">
        <f>SUM(V67:V$115)</f>
        <v>434610.75930991903</v>
      </c>
      <c r="X67" s="47">
        <f t="shared" si="14"/>
        <v>7.6078112613952245</v>
      </c>
      <c r="Y67" s="37">
        <f>V67/(1+'General input'!$C$113)^E67</f>
        <v>1606.3225915292558</v>
      </c>
      <c r="Z67" s="37">
        <f>SUM(Y67:Y$115)</f>
        <v>13787.064387836561</v>
      </c>
      <c r="AA67" s="47">
        <f t="shared" si="15"/>
        <v>5.2186347457840077</v>
      </c>
      <c r="AB67" s="47"/>
      <c r="AC67" s="37">
        <f t="shared" si="17"/>
        <v>63.5</v>
      </c>
      <c r="AD67" s="37">
        <f t="shared" si="16"/>
        <v>105191.83511456659</v>
      </c>
      <c r="AF67" s="4"/>
      <c r="AI67" s="4"/>
      <c r="AL67" s="4"/>
      <c r="AP67" s="41"/>
      <c r="AQ67" s="41"/>
      <c r="AR67" s="49"/>
      <c r="AS67" s="41"/>
      <c r="AT67" s="41"/>
      <c r="AU67" s="41"/>
      <c r="AV67" s="41"/>
      <c r="AW67" s="41"/>
      <c r="AX67" s="41"/>
      <c r="AY67" s="41"/>
      <c r="AZ67" s="41"/>
      <c r="BA67" s="41"/>
      <c r="BB67" s="41"/>
      <c r="BD67" s="6"/>
      <c r="BE67" s="7"/>
      <c r="BF67" s="7"/>
      <c r="BG67" s="7"/>
      <c r="BH67" s="7"/>
      <c r="BI67" s="7"/>
      <c r="BJ67" s="7"/>
      <c r="BK67" s="7"/>
      <c r="BL67" s="7"/>
      <c r="BN67" s="39"/>
      <c r="BO67" s="39"/>
      <c r="BP67" s="39"/>
      <c r="BQ67" s="39"/>
      <c r="BR67" s="39"/>
      <c r="BS67" s="39"/>
      <c r="BT67" s="52"/>
      <c r="BU67" s="52"/>
      <c r="BV67" s="53"/>
      <c r="BW67" s="53"/>
      <c r="BX67" s="52"/>
      <c r="BY67" s="50"/>
      <c r="CA67" s="49"/>
      <c r="CB67" s="49"/>
      <c r="CC67" s="49"/>
      <c r="CD67" s="49"/>
      <c r="CE67" s="49"/>
      <c r="CF67" s="49"/>
      <c r="CG67" s="49"/>
      <c r="CH67" s="49"/>
      <c r="CI67" s="49"/>
      <c r="CK67" s="7"/>
      <c r="CL67" s="7"/>
      <c r="CM67" s="7"/>
      <c r="CN67" s="7"/>
      <c r="CO67" s="7"/>
      <c r="CP67" s="7"/>
      <c r="CQ67" s="7"/>
      <c r="CR67" s="7"/>
      <c r="CS67" s="7"/>
    </row>
    <row r="68" spans="5:97" ht="14.4" x14ac:dyDescent="0.3">
      <c r="E68" s="138">
        <v>64</v>
      </c>
      <c r="F68" s="44">
        <f>'Life table (HE)'!B$17</f>
        <v>2.8999999999999998E-2</v>
      </c>
      <c r="H68" s="45">
        <f t="shared" si="6"/>
        <v>2.8999999999999998E-2</v>
      </c>
      <c r="I68" s="46">
        <f t="shared" si="7"/>
        <v>2.858353553339521E-2</v>
      </c>
      <c r="J68" s="37">
        <f t="shared" si="8"/>
        <v>56298.629159119191</v>
      </c>
      <c r="K68" s="41">
        <f t="shared" ref="K68:K113" si="18">I68*J68</f>
        <v>1609.2138670511231</v>
      </c>
      <c r="L68" s="41">
        <f>SUM($K$4:K67)</f>
        <v>43701.370840880736</v>
      </c>
      <c r="M68" s="37">
        <f t="shared" ref="M68:M113" si="19">J69+0.5*K68</f>
        <v>55494.022225593624</v>
      </c>
      <c r="N68" s="37">
        <f>SUM(M68:M$113)</f>
        <v>755721.56830167014</v>
      </c>
      <c r="O68" s="47">
        <f t="shared" ref="O68:O99" si="20">N68/M68</f>
        <v>13.618071604713027</v>
      </c>
      <c r="P68" s="37">
        <f>(J69+0.5*K68)/(1+'General input'!$C$113)^E68</f>
        <v>2444.1680531439029</v>
      </c>
      <c r="Q68" s="37">
        <f>SUM(P68:P$113)</f>
        <v>22897.5010102942</v>
      </c>
      <c r="R68" s="37">
        <f t="shared" ref="R68:R99" si="21">Q68/P68</f>
        <v>9.3682187609159815</v>
      </c>
      <c r="T68" s="44">
        <f>'Life table (HE)'!C$17</f>
        <v>0.60802</v>
      </c>
      <c r="V68" s="48">
        <f t="shared" si="10"/>
        <v>33741.475393605433</v>
      </c>
      <c r="W68" s="37">
        <f>SUM(V68:V$115)</f>
        <v>399876.4546858641</v>
      </c>
      <c r="X68" s="47">
        <f t="shared" ref="X68:X99" si="22">W68/M68</f>
        <v>7.2057572806723433</v>
      </c>
      <c r="Y68" s="37">
        <f>V68/(1+'General input'!$C$113)^E68</f>
        <v>1486.1030596725559</v>
      </c>
      <c r="Z68" s="37">
        <f>SUM(Y68:Y$115)</f>
        <v>12180.741796307306</v>
      </c>
      <c r="AA68" s="47">
        <f t="shared" ref="AA68:AA99" si="23">Z68/P68</f>
        <v>4.9835942257077495</v>
      </c>
      <c r="AB68" s="47"/>
      <c r="AC68" s="37">
        <f t="shared" si="17"/>
        <v>64.5</v>
      </c>
      <c r="AD68" s="37">
        <f t="shared" ref="AD68:AD99" si="24">AC68*K68</f>
        <v>103794.29442479744</v>
      </c>
      <c r="AE68" s="54">
        <f>SUM(AD54:AD68)/SUM(K54:K68)</f>
        <v>58.142605429150485</v>
      </c>
      <c r="AF68" s="4"/>
      <c r="AI68" s="4"/>
      <c r="AL68" s="4"/>
      <c r="AP68" s="41"/>
      <c r="AQ68" s="41"/>
      <c r="AR68" s="49"/>
      <c r="AS68" s="41"/>
      <c r="AT68" s="41"/>
      <c r="AU68" s="41"/>
      <c r="AV68" s="41"/>
      <c r="AW68" s="41"/>
      <c r="AX68" s="41"/>
      <c r="AY68" s="41"/>
      <c r="AZ68" s="41"/>
      <c r="BA68" s="41"/>
      <c r="BB68" s="41"/>
      <c r="BD68" s="6"/>
      <c r="BE68" s="7"/>
      <c r="BF68" s="7"/>
      <c r="BG68" s="7"/>
      <c r="BH68" s="7"/>
      <c r="BI68" s="7"/>
      <c r="BJ68" s="7"/>
      <c r="BK68" s="7"/>
      <c r="BL68" s="7"/>
      <c r="BN68" s="39"/>
      <c r="BO68" s="39"/>
      <c r="BP68" s="39"/>
      <c r="BQ68" s="39"/>
      <c r="BR68" s="39"/>
      <c r="BS68" s="39"/>
      <c r="BT68" s="52"/>
      <c r="BU68" s="52"/>
      <c r="BV68" s="53"/>
      <c r="BW68" s="53"/>
      <c r="BX68" s="52"/>
      <c r="BY68" s="50"/>
      <c r="CA68" s="49"/>
      <c r="CB68" s="49"/>
      <c r="CC68" s="49"/>
      <c r="CD68" s="49"/>
      <c r="CE68" s="49"/>
      <c r="CF68" s="49"/>
      <c r="CG68" s="49"/>
      <c r="CH68" s="49"/>
      <c r="CI68" s="49"/>
      <c r="CK68" s="7"/>
      <c r="CL68" s="7"/>
      <c r="CM68" s="7"/>
      <c r="CN68" s="7"/>
      <c r="CO68" s="7"/>
      <c r="CP68" s="7"/>
      <c r="CQ68" s="7"/>
      <c r="CR68" s="7"/>
      <c r="CS68" s="7"/>
    </row>
    <row r="69" spans="5:97" ht="14.4" x14ac:dyDescent="0.3">
      <c r="E69" s="138">
        <v>65</v>
      </c>
      <c r="F69" s="44">
        <f>'Life table (HE)'!B$18</f>
        <v>4.2500000000000003E-2</v>
      </c>
      <c r="H69" s="45">
        <f t="shared" ref="H69:H113" si="25">F69</f>
        <v>4.2500000000000003E-2</v>
      </c>
      <c r="I69" s="46">
        <f t="shared" ref="I69:I113" si="26">1-EXP(-H69)</f>
        <v>4.1609534479053023E-2</v>
      </c>
      <c r="J69" s="37">
        <f t="shared" ref="J69:J113" si="27">J68-K68</f>
        <v>54689.415292068064</v>
      </c>
      <c r="K69" s="41">
        <f t="shared" si="18"/>
        <v>2275.6011112345559</v>
      </c>
      <c r="L69" s="41">
        <f>SUM($K$4:K68)</f>
        <v>45310.584707931863</v>
      </c>
      <c r="M69" s="37">
        <f t="shared" si="19"/>
        <v>53551.614736450785</v>
      </c>
      <c r="N69" s="37">
        <f>SUM(M69:M$113)</f>
        <v>700227.54607607657</v>
      </c>
      <c r="O69" s="47">
        <f t="shared" si="20"/>
        <v>13.075750367606659</v>
      </c>
      <c r="P69" s="37">
        <f>(J70+0.5*K69)/(1+'General input'!$C$113)^E69</f>
        <v>2246.3019341677368</v>
      </c>
      <c r="Q69" s="37">
        <f>SUM(P69:P$113)</f>
        <v>20453.332957150291</v>
      </c>
      <c r="R69" s="37">
        <f t="shared" si="21"/>
        <v>9.105335594490473</v>
      </c>
      <c r="T69" s="44">
        <f>'Life table (HE)'!C$18</f>
        <v>0.52288000000000001</v>
      </c>
      <c r="V69" s="48">
        <f t="shared" ref="V69:V113" si="28">M69*T69</f>
        <v>28001.068313395386</v>
      </c>
      <c r="W69" s="37">
        <f>SUM(V69:V$115)</f>
        <v>366134.97929225868</v>
      </c>
      <c r="X69" s="47">
        <f t="shared" si="22"/>
        <v>6.8370483522141656</v>
      </c>
      <c r="Y69" s="37">
        <f>V69/(1+'General input'!$C$113)^E69</f>
        <v>1174.5463553376262</v>
      </c>
      <c r="Z69" s="37">
        <f>SUM(Y69:Y$115)</f>
        <v>10694.638736634752</v>
      </c>
      <c r="AA69" s="47">
        <f t="shared" si="23"/>
        <v>4.760997875647182</v>
      </c>
      <c r="AB69" s="47"/>
      <c r="AC69" s="37">
        <f t="shared" ref="AC69:AC100" si="29">E69+0.5</f>
        <v>65.5</v>
      </c>
      <c r="AD69" s="37">
        <f t="shared" si="24"/>
        <v>149051.87278586341</v>
      </c>
      <c r="AF69" s="4"/>
      <c r="AI69" s="4"/>
      <c r="AL69" s="4"/>
      <c r="AP69" s="41"/>
      <c r="AQ69" s="41"/>
      <c r="AR69" s="49"/>
      <c r="AS69" s="41"/>
      <c r="AT69" s="41"/>
      <c r="AU69" s="41"/>
      <c r="AV69" s="41"/>
      <c r="AW69" s="41"/>
      <c r="AX69" s="41"/>
      <c r="AY69" s="41"/>
      <c r="AZ69" s="41"/>
      <c r="BA69" s="41"/>
      <c r="BB69" s="41"/>
      <c r="BD69" s="6"/>
      <c r="BE69" s="7"/>
      <c r="BF69" s="7"/>
      <c r="BG69" s="7"/>
      <c r="BH69" s="7"/>
      <c r="BI69" s="7"/>
      <c r="BJ69" s="7"/>
      <c r="BK69" s="7"/>
      <c r="BL69" s="7"/>
      <c r="BN69" s="39"/>
      <c r="BO69" s="39"/>
      <c r="BP69" s="39"/>
      <c r="BQ69" s="39"/>
      <c r="BR69" s="39"/>
      <c r="BS69" s="39"/>
      <c r="BT69" s="52"/>
      <c r="BU69" s="52"/>
      <c r="BV69" s="53"/>
      <c r="BW69" s="53"/>
      <c r="BX69" s="52"/>
      <c r="BY69" s="50"/>
      <c r="CA69" s="49"/>
      <c r="CB69" s="49"/>
      <c r="CC69" s="49"/>
      <c r="CD69" s="49"/>
      <c r="CE69" s="49"/>
      <c r="CF69" s="49"/>
      <c r="CG69" s="49"/>
      <c r="CH69" s="49"/>
      <c r="CI69" s="49"/>
      <c r="CK69" s="7"/>
      <c r="CL69" s="7"/>
      <c r="CM69" s="7"/>
      <c r="CN69" s="7"/>
      <c r="CO69" s="7"/>
      <c r="CP69" s="7"/>
      <c r="CQ69" s="7"/>
      <c r="CR69" s="7"/>
      <c r="CS69" s="7"/>
    </row>
    <row r="70" spans="5:97" ht="14.4" x14ac:dyDescent="0.3">
      <c r="E70" s="138">
        <v>66</v>
      </c>
      <c r="F70" s="44">
        <f>'Life table (HE)'!B$18</f>
        <v>4.2500000000000003E-2</v>
      </c>
      <c r="H70" s="45">
        <f t="shared" si="25"/>
        <v>4.2500000000000003E-2</v>
      </c>
      <c r="I70" s="46">
        <f t="shared" si="26"/>
        <v>4.1609534479053023E-2</v>
      </c>
      <c r="J70" s="37">
        <f t="shared" si="27"/>
        <v>52413.814180833506</v>
      </c>
      <c r="K70" s="41">
        <f t="shared" si="18"/>
        <v>2180.9144083360702</v>
      </c>
      <c r="L70" s="41">
        <f>SUM($K$4:K69)</f>
        <v>47586.185819166421</v>
      </c>
      <c r="M70" s="37">
        <f t="shared" si="19"/>
        <v>51323.356976665469</v>
      </c>
      <c r="N70" s="37">
        <f>SUM(M70:M$113)</f>
        <v>646675.93133962573</v>
      </c>
      <c r="O70" s="47">
        <f t="shared" si="20"/>
        <v>12.600031826321134</v>
      </c>
      <c r="P70" s="37">
        <f>(J71+0.5*K70)/(1+'General input'!$C$113)^E70</f>
        <v>2050.3184346548769</v>
      </c>
      <c r="Q70" s="37">
        <f>SUM(P70:P$113)</f>
        <v>18207.031022982559</v>
      </c>
      <c r="R70" s="37">
        <f t="shared" si="21"/>
        <v>8.8800991666678772</v>
      </c>
      <c r="T70" s="44">
        <f>'Life table (HE)'!C$18</f>
        <v>0.52288000000000001</v>
      </c>
      <c r="V70" s="48">
        <f t="shared" si="28"/>
        <v>26835.95689595884</v>
      </c>
      <c r="W70" s="37">
        <f>SUM(V70:V$115)</f>
        <v>338133.91097886337</v>
      </c>
      <c r="X70" s="47">
        <f t="shared" si="22"/>
        <v>6.5883046413467916</v>
      </c>
      <c r="Y70" s="37">
        <f>V70/(1+'General input'!$C$113)^E70</f>
        <v>1072.0705031123421</v>
      </c>
      <c r="Z70" s="37">
        <f>SUM(Y70:Y$115)</f>
        <v>9520.0923812971232</v>
      </c>
      <c r="AA70" s="47">
        <f t="shared" si="23"/>
        <v>4.6432262522673007</v>
      </c>
      <c r="AB70" s="47"/>
      <c r="AC70" s="37">
        <f t="shared" si="29"/>
        <v>66.5</v>
      </c>
      <c r="AD70" s="37">
        <f t="shared" si="24"/>
        <v>145030.80815434866</v>
      </c>
      <c r="AF70" s="4"/>
      <c r="AI70" s="4"/>
      <c r="AL70" s="4"/>
      <c r="AP70" s="41"/>
      <c r="AQ70" s="41"/>
      <c r="AR70" s="49"/>
      <c r="AS70" s="41"/>
      <c r="AT70" s="41"/>
      <c r="AU70" s="41"/>
      <c r="AV70" s="41"/>
      <c r="AW70" s="41"/>
      <c r="AX70" s="41"/>
      <c r="AY70" s="41"/>
      <c r="AZ70" s="41"/>
      <c r="BA70" s="41"/>
      <c r="BB70" s="41"/>
      <c r="BD70" s="6"/>
      <c r="BE70" s="7"/>
      <c r="BF70" s="7"/>
      <c r="BG70" s="7"/>
      <c r="BH70" s="7"/>
      <c r="BI70" s="7"/>
      <c r="BJ70" s="7"/>
      <c r="BK70" s="7"/>
      <c r="BL70" s="7"/>
      <c r="BN70" s="39"/>
      <c r="BO70" s="39"/>
      <c r="BP70" s="39"/>
      <c r="BQ70" s="39"/>
      <c r="BR70" s="39"/>
      <c r="BS70" s="39"/>
      <c r="BT70" s="52"/>
      <c r="BU70" s="52"/>
      <c r="BV70" s="53"/>
      <c r="BW70" s="53"/>
      <c r="BX70" s="52"/>
      <c r="BY70" s="50"/>
      <c r="CA70" s="49"/>
      <c r="CB70" s="49"/>
      <c r="CC70" s="49"/>
      <c r="CD70" s="49"/>
      <c r="CE70" s="49"/>
      <c r="CF70" s="49"/>
      <c r="CG70" s="49"/>
      <c r="CH70" s="49"/>
      <c r="CI70" s="49"/>
      <c r="CK70" s="7"/>
      <c r="CL70" s="7"/>
      <c r="CM70" s="7"/>
      <c r="CN70" s="7"/>
      <c r="CO70" s="7"/>
      <c r="CP70" s="7"/>
      <c r="CQ70" s="7"/>
      <c r="CR70" s="7"/>
      <c r="CS70" s="7"/>
    </row>
    <row r="71" spans="5:97" ht="14.4" x14ac:dyDescent="0.3">
      <c r="E71" s="138">
        <v>67</v>
      </c>
      <c r="F71" s="44">
        <f>'Life table (HE)'!B$18</f>
        <v>4.2500000000000003E-2</v>
      </c>
      <c r="H71" s="45">
        <f t="shared" si="25"/>
        <v>4.2500000000000003E-2</v>
      </c>
      <c r="I71" s="46">
        <f t="shared" si="26"/>
        <v>4.1609534479053023E-2</v>
      </c>
      <c r="J71" s="37">
        <f t="shared" si="27"/>
        <v>50232.899772497432</v>
      </c>
      <c r="K71" s="41">
        <f t="shared" si="18"/>
        <v>2090.1675750665468</v>
      </c>
      <c r="L71" s="41">
        <f>SUM($K$4:K70)</f>
        <v>49767.100227502495</v>
      </c>
      <c r="M71" s="37">
        <f t="shared" si="19"/>
        <v>49187.81598496416</v>
      </c>
      <c r="N71" s="37">
        <f>SUM(M71:M$113)</f>
        <v>595352.57436296029</v>
      </c>
      <c r="O71" s="47">
        <f t="shared" si="20"/>
        <v>12.103659462029153</v>
      </c>
      <c r="P71" s="37">
        <f>(J72+0.5*K71)/(1+'General input'!$C$113)^E71</f>
        <v>1871.4339419572063</v>
      </c>
      <c r="Q71" s="37">
        <f>SUM(P71:P$113)</f>
        <v>16156.712588327689</v>
      </c>
      <c r="R71" s="37">
        <f t="shared" si="21"/>
        <v>8.6333330961340131</v>
      </c>
      <c r="T71" s="44">
        <f>'Life table (HE)'!C$18</f>
        <v>0.52288000000000001</v>
      </c>
      <c r="V71" s="48">
        <f t="shared" si="28"/>
        <v>25719.32522221806</v>
      </c>
      <c r="W71" s="37">
        <f>SUM(V71:V$115)</f>
        <v>311297.9540829045</v>
      </c>
      <c r="X71" s="47">
        <f t="shared" si="22"/>
        <v>6.3287614595057997</v>
      </c>
      <c r="Y71" s="37">
        <f>V71/(1+'General input'!$C$113)^E71</f>
        <v>978.53537957058404</v>
      </c>
      <c r="Z71" s="37">
        <f>SUM(Y71:Y$115)</f>
        <v>8448.0218781847798</v>
      </c>
      <c r="AA71" s="47">
        <f t="shared" si="23"/>
        <v>4.5141972093065519</v>
      </c>
      <c r="AB71" s="47"/>
      <c r="AC71" s="37">
        <f t="shared" si="29"/>
        <v>67.5</v>
      </c>
      <c r="AD71" s="37">
        <f t="shared" si="24"/>
        <v>141086.31131699189</v>
      </c>
      <c r="AF71" s="4"/>
      <c r="AI71" s="4"/>
      <c r="AL71" s="4"/>
      <c r="AP71" s="41"/>
      <c r="AQ71" s="41"/>
      <c r="AR71" s="49"/>
      <c r="AS71" s="41"/>
      <c r="AT71" s="41"/>
      <c r="AU71" s="41"/>
      <c r="AV71" s="41"/>
      <c r="AW71" s="41"/>
      <c r="AX71" s="41"/>
      <c r="AY71" s="41"/>
      <c r="AZ71" s="41"/>
      <c r="BA71" s="41"/>
      <c r="BB71" s="41"/>
      <c r="BD71" s="6"/>
      <c r="BE71" s="7"/>
      <c r="BF71" s="7"/>
      <c r="BG71" s="7"/>
      <c r="BH71" s="7"/>
      <c r="BI71" s="7"/>
      <c r="BJ71" s="7"/>
      <c r="BK71" s="7"/>
      <c r="BL71" s="7"/>
      <c r="BN71" s="39"/>
      <c r="BO71" s="39"/>
      <c r="BP71" s="39"/>
      <c r="BQ71" s="39"/>
      <c r="BR71" s="39"/>
      <c r="BS71" s="39"/>
      <c r="BT71" s="52"/>
      <c r="BU71" s="52"/>
      <c r="BV71" s="53"/>
      <c r="BW71" s="53"/>
      <c r="BX71" s="52"/>
      <c r="BY71" s="50"/>
      <c r="CA71" s="49"/>
      <c r="CB71" s="49"/>
      <c r="CC71" s="49"/>
      <c r="CD71" s="49"/>
      <c r="CE71" s="49"/>
      <c r="CF71" s="49"/>
      <c r="CG71" s="49"/>
      <c r="CH71" s="49"/>
      <c r="CI71" s="49"/>
      <c r="CK71" s="7"/>
      <c r="CL71" s="7"/>
      <c r="CM71" s="7"/>
      <c r="CN71" s="7"/>
      <c r="CO71" s="7"/>
      <c r="CP71" s="7"/>
      <c r="CQ71" s="7"/>
      <c r="CR71" s="7"/>
      <c r="CS71" s="7"/>
    </row>
    <row r="72" spans="5:97" ht="14.4" x14ac:dyDescent="0.3">
      <c r="E72" s="138">
        <v>68</v>
      </c>
      <c r="F72" s="44">
        <f>'Life table (HE)'!B$18</f>
        <v>4.2500000000000003E-2</v>
      </c>
      <c r="H72" s="45">
        <f t="shared" si="25"/>
        <v>4.2500000000000003E-2</v>
      </c>
      <c r="I72" s="46">
        <f t="shared" si="26"/>
        <v>4.1609534479053023E-2</v>
      </c>
      <c r="J72" s="37">
        <f t="shared" si="27"/>
        <v>48142.732197430887</v>
      </c>
      <c r="K72" s="41">
        <f t="shared" si="18"/>
        <v>2003.1966752848166</v>
      </c>
      <c r="L72" s="41">
        <f>SUM($K$4:K71)</f>
        <v>51857.26780256904</v>
      </c>
      <c r="M72" s="37">
        <f t="shared" si="19"/>
        <v>47141.133859788475</v>
      </c>
      <c r="N72" s="37">
        <f>SUM(M72:M$113)</f>
        <v>546164.75837799616</v>
      </c>
      <c r="O72" s="47">
        <f t="shared" si="20"/>
        <v>11.585736567186736</v>
      </c>
      <c r="P72" s="37">
        <f>(J73+0.5*K72)/(1+'General input'!$C$113)^E72</f>
        <v>1708.1566160229218</v>
      </c>
      <c r="Q72" s="37">
        <f>SUM(P72:P$113)</f>
        <v>14285.278646370483</v>
      </c>
      <c r="R72" s="37">
        <f t="shared" si="21"/>
        <v>8.3629794319625717</v>
      </c>
      <c r="T72" s="44">
        <f>'Life table (HE)'!C$18</f>
        <v>0.52288000000000001</v>
      </c>
      <c r="V72" s="48">
        <f t="shared" si="28"/>
        <v>24649.156072606198</v>
      </c>
      <c r="W72" s="37">
        <f>SUM(V72:V$115)</f>
        <v>285578.62886068644</v>
      </c>
      <c r="X72" s="47">
        <f t="shared" si="22"/>
        <v>6.0579499362505969</v>
      </c>
      <c r="Y72" s="37">
        <f>V72/(1+'General input'!$C$113)^E72</f>
        <v>893.16093138606539</v>
      </c>
      <c r="Z72" s="37">
        <f>SUM(Y72:Y$115)</f>
        <v>7469.4864986141974</v>
      </c>
      <c r="AA72" s="47">
        <f t="shared" si="23"/>
        <v>4.3728346853845892</v>
      </c>
      <c r="AB72" s="47"/>
      <c r="AC72" s="37">
        <f t="shared" si="29"/>
        <v>68.5</v>
      </c>
      <c r="AD72" s="37">
        <f t="shared" si="24"/>
        <v>137218.97225700994</v>
      </c>
      <c r="AF72" s="4"/>
      <c r="AI72" s="4"/>
      <c r="AL72" s="4"/>
      <c r="AP72" s="41"/>
      <c r="AQ72" s="41"/>
      <c r="AR72" s="49"/>
      <c r="AS72" s="41"/>
      <c r="AT72" s="41"/>
      <c r="AU72" s="41"/>
      <c r="AV72" s="41"/>
      <c r="AW72" s="41"/>
      <c r="AX72" s="41"/>
      <c r="AY72" s="41"/>
      <c r="AZ72" s="41"/>
      <c r="BA72" s="41"/>
      <c r="BB72" s="41"/>
      <c r="BD72" s="6"/>
      <c r="BE72" s="7"/>
      <c r="BF72" s="7"/>
      <c r="BG72" s="7"/>
      <c r="BH72" s="7"/>
      <c r="BI72" s="7"/>
      <c r="BJ72" s="7"/>
      <c r="BK72" s="7"/>
      <c r="BL72" s="7"/>
      <c r="BN72" s="39"/>
      <c r="BO72" s="39"/>
      <c r="BP72" s="39"/>
      <c r="BQ72" s="39"/>
      <c r="BR72" s="39"/>
      <c r="BS72" s="39"/>
      <c r="BT72" s="52"/>
      <c r="BU72" s="52"/>
      <c r="BV72" s="53"/>
      <c r="BW72" s="53"/>
      <c r="BX72" s="52"/>
      <c r="BY72" s="50"/>
      <c r="CA72" s="49"/>
      <c r="CB72" s="49"/>
      <c r="CC72" s="49"/>
      <c r="CD72" s="49"/>
      <c r="CE72" s="49"/>
      <c r="CF72" s="49"/>
      <c r="CG72" s="49"/>
      <c r="CH72" s="49"/>
      <c r="CI72" s="49"/>
      <c r="CK72" s="7"/>
      <c r="CL72" s="7"/>
      <c r="CM72" s="7"/>
      <c r="CN72" s="7"/>
      <c r="CO72" s="7"/>
      <c r="CP72" s="7"/>
      <c r="CQ72" s="7"/>
      <c r="CR72" s="7"/>
      <c r="CS72" s="7"/>
    </row>
    <row r="73" spans="5:97" ht="14.4" x14ac:dyDescent="0.3">
      <c r="E73" s="138">
        <v>69</v>
      </c>
      <c r="F73" s="44">
        <f>'Life table (HE)'!B$18</f>
        <v>4.2500000000000003E-2</v>
      </c>
      <c r="H73" s="45">
        <f t="shared" si="25"/>
        <v>4.2500000000000003E-2</v>
      </c>
      <c r="I73" s="46">
        <f t="shared" si="26"/>
        <v>4.1609534479053023E-2</v>
      </c>
      <c r="J73" s="37">
        <f t="shared" si="27"/>
        <v>46139.53552214607</v>
      </c>
      <c r="K73" s="41">
        <f t="shared" si="18"/>
        <v>1919.8445941562286</v>
      </c>
      <c r="L73" s="41">
        <f>SUM($K$4:K72)</f>
        <v>53860.464477853857</v>
      </c>
      <c r="M73" s="37">
        <f t="shared" si="19"/>
        <v>45179.613225067951</v>
      </c>
      <c r="N73" s="37">
        <f>SUM(M73:M$113)</f>
        <v>499023.62451820768</v>
      </c>
      <c r="O73" s="47">
        <f t="shared" si="20"/>
        <v>11.045327502744621</v>
      </c>
      <c r="P73" s="37">
        <f>(J74+0.5*K73)/(1+'General input'!$C$113)^E73</f>
        <v>1559.1247756313271</v>
      </c>
      <c r="Q73" s="37">
        <f>SUM(P73:P$113)</f>
        <v>12577.122030347562</v>
      </c>
      <c r="R73" s="37">
        <f t="shared" si="21"/>
        <v>8.0667835101618355</v>
      </c>
      <c r="T73" s="44">
        <f>'Life table (HE)'!C$18</f>
        <v>0.52288000000000001</v>
      </c>
      <c r="V73" s="48">
        <f t="shared" si="28"/>
        <v>23623.516163123531</v>
      </c>
      <c r="W73" s="37">
        <f>SUM(V73:V$115)</f>
        <v>260929.47278808043</v>
      </c>
      <c r="X73" s="47">
        <f t="shared" si="22"/>
        <v>5.7753808446351078</v>
      </c>
      <c r="Y73" s="37">
        <f>V73/(1+'General input'!$C$113)^E73</f>
        <v>815.23516268210835</v>
      </c>
      <c r="Z73" s="37">
        <f>SUM(Y73:Y$115)</f>
        <v>6576.3255672281311</v>
      </c>
      <c r="AA73" s="47">
        <f t="shared" si="23"/>
        <v>4.2179597617934199</v>
      </c>
      <c r="AB73" s="47"/>
      <c r="AC73" s="37">
        <f t="shared" si="29"/>
        <v>69.5</v>
      </c>
      <c r="AD73" s="37">
        <f t="shared" si="24"/>
        <v>133429.19929385788</v>
      </c>
      <c r="AF73" s="4"/>
      <c r="AI73" s="4"/>
      <c r="AL73" s="4"/>
      <c r="AP73" s="41"/>
      <c r="AQ73" s="41"/>
      <c r="AR73" s="49"/>
      <c r="AS73" s="41"/>
      <c r="AT73" s="41"/>
      <c r="AU73" s="41"/>
      <c r="AV73" s="41"/>
      <c r="AW73" s="41"/>
      <c r="AX73" s="41"/>
      <c r="AY73" s="41"/>
      <c r="AZ73" s="41"/>
      <c r="BA73" s="41"/>
      <c r="BB73" s="41"/>
      <c r="BD73" s="6"/>
      <c r="BE73" s="7"/>
      <c r="BF73" s="7"/>
      <c r="BG73" s="7"/>
      <c r="BH73" s="7"/>
      <c r="BI73" s="7"/>
      <c r="BJ73" s="7"/>
      <c r="BK73" s="7"/>
      <c r="BL73" s="7"/>
      <c r="BN73" s="39"/>
      <c r="BO73" s="39"/>
      <c r="BP73" s="39"/>
      <c r="BQ73" s="39"/>
      <c r="BR73" s="39"/>
      <c r="BS73" s="39"/>
      <c r="BT73" s="52"/>
      <c r="BU73" s="52"/>
      <c r="BV73" s="53"/>
      <c r="BW73" s="53"/>
      <c r="BX73" s="52"/>
      <c r="BY73" s="50"/>
      <c r="CA73" s="49"/>
      <c r="CB73" s="49"/>
      <c r="CC73" s="49"/>
      <c r="CD73" s="49"/>
      <c r="CE73" s="49"/>
      <c r="CF73" s="49"/>
      <c r="CG73" s="49"/>
      <c r="CH73" s="49"/>
      <c r="CI73" s="49"/>
      <c r="CK73" s="7"/>
      <c r="CL73" s="7"/>
      <c r="CM73" s="7"/>
      <c r="CN73" s="7"/>
      <c r="CO73" s="7"/>
      <c r="CP73" s="7"/>
      <c r="CQ73" s="7"/>
      <c r="CR73" s="7"/>
      <c r="CS73" s="7"/>
    </row>
    <row r="74" spans="5:97" ht="14.4" x14ac:dyDescent="0.3">
      <c r="E74" s="138">
        <v>70</v>
      </c>
      <c r="F74" s="44">
        <f>'Life table (HE)'!B$19</f>
        <v>6.0999999999999999E-2</v>
      </c>
      <c r="H74" s="45">
        <f t="shared" si="25"/>
        <v>6.0999999999999999E-2</v>
      </c>
      <c r="I74" s="46">
        <f t="shared" si="26"/>
        <v>5.9176760223990321E-2</v>
      </c>
      <c r="J74" s="37">
        <f t="shared" si="27"/>
        <v>44219.690927989839</v>
      </c>
      <c r="K74" s="41">
        <f t="shared" si="18"/>
        <v>2616.778047224615</v>
      </c>
      <c r="L74" s="41">
        <f>SUM($K$4:K73)</f>
        <v>55780.309072010088</v>
      </c>
      <c r="M74" s="37">
        <f t="shared" si="19"/>
        <v>42911.301904377528</v>
      </c>
      <c r="N74" s="37">
        <f>SUM(M74:M$113)</f>
        <v>453844.01129313972</v>
      </c>
      <c r="O74" s="47">
        <f t="shared" si="20"/>
        <v>10.576328173507164</v>
      </c>
      <c r="P74" s="37">
        <f>(J75+0.5*K74)/(1+'General input'!$C$113)^E74</f>
        <v>1410.3300387451443</v>
      </c>
      <c r="Q74" s="37">
        <f>SUM(P74:P$113)</f>
        <v>11017.997254716234</v>
      </c>
      <c r="R74" s="37">
        <f t="shared" si="21"/>
        <v>7.8123538122463954</v>
      </c>
      <c r="T74" s="44">
        <f>'Life table (HE)'!C$19</f>
        <v>0.52288000000000001</v>
      </c>
      <c r="V74" s="48">
        <f t="shared" si="28"/>
        <v>22437.461539760923</v>
      </c>
      <c r="W74" s="37">
        <f>SUM(V74:V$115)</f>
        <v>237305.95662495689</v>
      </c>
      <c r="X74" s="47">
        <f t="shared" si="22"/>
        <v>5.5301504753634267</v>
      </c>
      <c r="Y74" s="37">
        <f>V74/(1+'General input'!$C$113)^E74</f>
        <v>737.4333706590611</v>
      </c>
      <c r="Z74" s="37">
        <f>SUM(Y74:Y$115)</f>
        <v>5761.0904045460238</v>
      </c>
      <c r="AA74" s="47">
        <f t="shared" si="23"/>
        <v>4.0849235613473942</v>
      </c>
      <c r="AB74" s="47"/>
      <c r="AC74" s="37">
        <f t="shared" si="29"/>
        <v>70.5</v>
      </c>
      <c r="AD74" s="37">
        <f t="shared" si="24"/>
        <v>184482.85232933535</v>
      </c>
      <c r="AF74" s="4"/>
      <c r="AI74" s="4"/>
      <c r="AL74" s="4"/>
      <c r="AP74" s="41"/>
      <c r="AQ74" s="41"/>
      <c r="AR74" s="49"/>
      <c r="AS74" s="41"/>
      <c r="AT74" s="41"/>
      <c r="AU74" s="41"/>
      <c r="AV74" s="41"/>
      <c r="AW74" s="41"/>
      <c r="AX74" s="41"/>
      <c r="AY74" s="41"/>
      <c r="AZ74" s="41"/>
      <c r="BA74" s="41"/>
      <c r="BB74" s="41"/>
      <c r="BD74" s="6"/>
      <c r="BE74" s="7"/>
      <c r="BF74" s="7"/>
      <c r="BG74" s="7"/>
      <c r="BH74" s="7"/>
      <c r="BI74" s="7"/>
      <c r="BJ74" s="7"/>
      <c r="BK74" s="7"/>
      <c r="BL74" s="7"/>
      <c r="BN74" s="39"/>
      <c r="BO74" s="39"/>
      <c r="BP74" s="39"/>
      <c r="BQ74" s="39"/>
      <c r="BR74" s="39"/>
      <c r="BS74" s="39"/>
      <c r="BT74" s="52"/>
      <c r="BU74" s="52"/>
      <c r="BV74" s="53"/>
      <c r="BW74" s="53"/>
      <c r="BX74" s="52"/>
      <c r="BY74" s="50"/>
      <c r="CA74" s="49"/>
      <c r="CB74" s="49"/>
      <c r="CC74" s="49"/>
      <c r="CD74" s="49"/>
      <c r="CE74" s="49"/>
      <c r="CF74" s="49"/>
      <c r="CG74" s="49"/>
      <c r="CH74" s="49"/>
      <c r="CI74" s="49"/>
      <c r="CK74" s="7"/>
      <c r="CL74" s="7"/>
      <c r="CM74" s="7"/>
      <c r="CN74" s="7"/>
      <c r="CO74" s="7"/>
      <c r="CP74" s="7"/>
      <c r="CQ74" s="7"/>
      <c r="CR74" s="7"/>
      <c r="CS74" s="7"/>
    </row>
    <row r="75" spans="5:97" ht="14.4" x14ac:dyDescent="0.3">
      <c r="E75" s="138">
        <v>71</v>
      </c>
      <c r="F75" s="44">
        <f>'Life table (HE)'!B$19</f>
        <v>6.0999999999999999E-2</v>
      </c>
      <c r="H75" s="45">
        <f t="shared" si="25"/>
        <v>6.0999999999999999E-2</v>
      </c>
      <c r="I75" s="46">
        <f t="shared" si="26"/>
        <v>5.9176760223990321E-2</v>
      </c>
      <c r="J75" s="37">
        <f t="shared" si="27"/>
        <v>41602.912880765223</v>
      </c>
      <c r="K75" s="41">
        <f t="shared" si="18"/>
        <v>2461.9256001646022</v>
      </c>
      <c r="L75" s="41">
        <f>SUM($K$4:K74)</f>
        <v>58397.087119234704</v>
      </c>
      <c r="M75" s="37">
        <f t="shared" si="19"/>
        <v>40371.950080682924</v>
      </c>
      <c r="N75" s="37">
        <f>SUM(M75:M$113)</f>
        <v>410932.70938876213</v>
      </c>
      <c r="O75" s="47">
        <f t="shared" si="20"/>
        <v>10.178668817521011</v>
      </c>
      <c r="P75" s="37">
        <f>(J76+0.5*K75)/(1+'General input'!$C$113)^E75</f>
        <v>1263.6869297196495</v>
      </c>
      <c r="Q75" s="37">
        <f>SUM(P75:P$113)</f>
        <v>9607.667215971087</v>
      </c>
      <c r="R75" s="37">
        <f t="shared" si="21"/>
        <v>7.6028856436004766</v>
      </c>
      <c r="T75" s="44">
        <f>'Life table (HE)'!C$19</f>
        <v>0.52288000000000001</v>
      </c>
      <c r="V75" s="48">
        <f t="shared" si="28"/>
        <v>21109.685258187488</v>
      </c>
      <c r="W75" s="37">
        <f>SUM(V75:V$115)</f>
        <v>214868.49508519596</v>
      </c>
      <c r="X75" s="47">
        <f t="shared" si="22"/>
        <v>5.3222223513053866</v>
      </c>
      <c r="Y75" s="37">
        <f>V75/(1+'General input'!$C$113)^E75</f>
        <v>660.75662181181031</v>
      </c>
      <c r="Z75" s="37">
        <f>SUM(Y75:Y$115)</f>
        <v>5023.6570338869624</v>
      </c>
      <c r="AA75" s="47">
        <f t="shared" si="23"/>
        <v>3.9753968453258173</v>
      </c>
      <c r="AB75" s="47"/>
      <c r="AC75" s="37">
        <f t="shared" si="29"/>
        <v>71.5</v>
      </c>
      <c r="AD75" s="37">
        <f t="shared" si="24"/>
        <v>176027.68041176905</v>
      </c>
      <c r="AF75" s="4"/>
      <c r="AI75" s="4"/>
      <c r="AL75" s="4"/>
      <c r="AP75" s="41"/>
      <c r="AQ75" s="41"/>
      <c r="AR75" s="49"/>
      <c r="AS75" s="41"/>
      <c r="AT75" s="41"/>
      <c r="AU75" s="41"/>
      <c r="AV75" s="41"/>
      <c r="AW75" s="41"/>
      <c r="AX75" s="41"/>
      <c r="AY75" s="41"/>
      <c r="AZ75" s="41"/>
      <c r="BA75" s="41"/>
      <c r="BB75" s="41"/>
      <c r="BD75" s="6"/>
      <c r="BE75" s="7"/>
      <c r="BF75" s="7"/>
      <c r="BG75" s="7"/>
      <c r="BH75" s="7"/>
      <c r="BI75" s="7"/>
      <c r="BJ75" s="7"/>
      <c r="BK75" s="7"/>
      <c r="BL75" s="7"/>
      <c r="BN75" s="39"/>
      <c r="BO75" s="39"/>
      <c r="BP75" s="39"/>
      <c r="BQ75" s="39"/>
      <c r="BR75" s="39"/>
      <c r="BS75" s="39"/>
      <c r="BT75" s="52"/>
      <c r="BU75" s="52"/>
      <c r="BV75" s="53"/>
      <c r="BW75" s="53"/>
      <c r="BX75" s="52"/>
      <c r="BY75" s="50"/>
      <c r="CA75" s="49"/>
      <c r="CB75" s="49"/>
      <c r="CC75" s="49"/>
      <c r="CD75" s="49"/>
      <c r="CE75" s="49"/>
      <c r="CF75" s="49"/>
      <c r="CG75" s="49"/>
      <c r="CH75" s="49"/>
      <c r="CI75" s="49"/>
      <c r="CK75" s="7"/>
      <c r="CL75" s="7"/>
      <c r="CM75" s="7"/>
      <c r="CN75" s="7"/>
      <c r="CO75" s="7"/>
      <c r="CP75" s="7"/>
      <c r="CQ75" s="7"/>
      <c r="CR75" s="7"/>
      <c r="CS75" s="7"/>
    </row>
    <row r="76" spans="5:97" ht="14.4" x14ac:dyDescent="0.3">
      <c r="E76" s="138">
        <v>72</v>
      </c>
      <c r="F76" s="44">
        <f>'Life table (HE)'!B$19</f>
        <v>6.0999999999999999E-2</v>
      </c>
      <c r="H76" s="45">
        <f t="shared" si="25"/>
        <v>6.0999999999999999E-2</v>
      </c>
      <c r="I76" s="46">
        <f t="shared" si="26"/>
        <v>5.9176760223990321E-2</v>
      </c>
      <c r="J76" s="37">
        <f t="shared" si="27"/>
        <v>39140.987280600624</v>
      </c>
      <c r="K76" s="41">
        <f t="shared" si="18"/>
        <v>2316.2368192343583</v>
      </c>
      <c r="L76" s="41">
        <f>SUM($K$4:K75)</f>
        <v>60859.012719399303</v>
      </c>
      <c r="M76" s="37">
        <f t="shared" si="19"/>
        <v>37982.868870983446</v>
      </c>
      <c r="N76" s="37">
        <f>SUM(M76:M$113)</f>
        <v>370560.7593080792</v>
      </c>
      <c r="O76" s="47">
        <f t="shared" si="20"/>
        <v>9.7559971198269491</v>
      </c>
      <c r="P76" s="37">
        <f>(J77+0.5*K76)/(1+'General input'!$C$113)^E76</f>
        <v>1132.2914583632755</v>
      </c>
      <c r="Q76" s="37">
        <f>SUM(P76:P$113)</f>
        <v>8343.9802862514389</v>
      </c>
      <c r="R76" s="37">
        <f t="shared" si="21"/>
        <v>7.3691099801394255</v>
      </c>
      <c r="T76" s="44">
        <f>'Life table (HE)'!C$19</f>
        <v>0.52288000000000001</v>
      </c>
      <c r="V76" s="48">
        <f t="shared" si="28"/>
        <v>19860.482475259825</v>
      </c>
      <c r="W76" s="37">
        <f>SUM(V76:V$115)</f>
        <v>193758.80982700849</v>
      </c>
      <c r="X76" s="47">
        <f t="shared" si="22"/>
        <v>5.1012157740151167</v>
      </c>
      <c r="Y76" s="37">
        <f>V76/(1+'General input'!$C$113)^E76</f>
        <v>592.05255774898956</v>
      </c>
      <c r="Z76" s="37">
        <f>SUM(Y76:Y$115)</f>
        <v>4362.9004120751533</v>
      </c>
      <c r="AA76" s="47">
        <f t="shared" si="23"/>
        <v>3.8531602264153038</v>
      </c>
      <c r="AB76" s="47"/>
      <c r="AC76" s="37">
        <f t="shared" si="29"/>
        <v>72.5</v>
      </c>
      <c r="AD76" s="37">
        <f t="shared" si="24"/>
        <v>167927.16939449098</v>
      </c>
      <c r="AF76" s="4"/>
      <c r="AI76" s="4"/>
      <c r="AL76" s="4"/>
      <c r="AP76" s="41"/>
      <c r="AQ76" s="41"/>
      <c r="AR76" s="49"/>
      <c r="AS76" s="41"/>
      <c r="AT76" s="41"/>
      <c r="AU76" s="41"/>
      <c r="AV76" s="41"/>
      <c r="AW76" s="41"/>
      <c r="AX76" s="41"/>
      <c r="AY76" s="41"/>
      <c r="AZ76" s="41"/>
      <c r="BA76" s="41"/>
      <c r="BB76" s="41"/>
      <c r="BD76" s="6"/>
      <c r="BE76" s="7"/>
      <c r="BF76" s="7"/>
      <c r="BG76" s="7"/>
      <c r="BH76" s="7"/>
      <c r="BI76" s="7"/>
      <c r="BJ76" s="7"/>
      <c r="BK76" s="7"/>
      <c r="BL76" s="7"/>
      <c r="BN76" s="39"/>
      <c r="BO76" s="39"/>
      <c r="BP76" s="39"/>
      <c r="BQ76" s="39"/>
      <c r="BR76" s="39"/>
      <c r="BS76" s="39"/>
      <c r="BT76" s="52"/>
      <c r="BU76" s="52"/>
      <c r="BV76" s="53"/>
      <c r="BW76" s="53"/>
      <c r="BX76" s="52"/>
      <c r="BY76" s="50"/>
      <c r="CA76" s="49"/>
      <c r="CB76" s="49"/>
      <c r="CC76" s="49"/>
      <c r="CD76" s="49"/>
      <c r="CE76" s="49"/>
      <c r="CF76" s="49"/>
      <c r="CG76" s="49"/>
      <c r="CH76" s="49"/>
      <c r="CI76" s="49"/>
      <c r="CK76" s="7"/>
      <c r="CL76" s="7"/>
      <c r="CM76" s="7"/>
      <c r="CN76" s="7"/>
      <c r="CO76" s="7"/>
      <c r="CP76" s="7"/>
      <c r="CQ76" s="7"/>
      <c r="CR76" s="7"/>
      <c r="CS76" s="7"/>
    </row>
    <row r="77" spans="5:97" ht="14.4" x14ac:dyDescent="0.3">
      <c r="E77" s="138">
        <v>73</v>
      </c>
      <c r="F77" s="44">
        <f>'Life table (HE)'!B$19</f>
        <v>6.0999999999999999E-2</v>
      </c>
      <c r="H77" s="45">
        <f t="shared" si="25"/>
        <v>6.0999999999999999E-2</v>
      </c>
      <c r="I77" s="46">
        <f t="shared" si="26"/>
        <v>5.9176760223990321E-2</v>
      </c>
      <c r="J77" s="37">
        <f t="shared" si="27"/>
        <v>36824.750461366268</v>
      </c>
      <c r="K77" s="41">
        <f t="shared" si="18"/>
        <v>2179.1694283605484</v>
      </c>
      <c r="L77" s="41">
        <f>SUM($K$4:K76)</f>
        <v>63175.24953863366</v>
      </c>
      <c r="M77" s="37">
        <f t="shared" si="19"/>
        <v>35735.165747185994</v>
      </c>
      <c r="N77" s="37">
        <f>SUM(M77:M$113)</f>
        <v>332577.89043709578</v>
      </c>
      <c r="O77" s="47">
        <f t="shared" si="20"/>
        <v>9.3067398312902743</v>
      </c>
      <c r="P77" s="37">
        <f>(J78+0.5*K77)/(1+'General input'!$C$113)^E77</f>
        <v>1014.5582078362283</v>
      </c>
      <c r="Q77" s="37">
        <f>SUM(P77:P$113)</f>
        <v>7211.6888278881643</v>
      </c>
      <c r="R77" s="37">
        <f t="shared" si="21"/>
        <v>7.1082060863404761</v>
      </c>
      <c r="T77" s="44">
        <f>'Life table (HE)'!C$19</f>
        <v>0.52288000000000001</v>
      </c>
      <c r="V77" s="48">
        <f t="shared" si="28"/>
        <v>18685.203465888611</v>
      </c>
      <c r="W77" s="37">
        <f>SUM(V77:V$115)</f>
        <v>173898.32735174868</v>
      </c>
      <c r="X77" s="47">
        <f t="shared" si="22"/>
        <v>4.8663081229850595</v>
      </c>
      <c r="Y77" s="37">
        <f>V77/(1+'General input'!$C$113)^E77</f>
        <v>530.49219571340711</v>
      </c>
      <c r="Z77" s="37">
        <f>SUM(Y77:Y$115)</f>
        <v>3770.8478543261617</v>
      </c>
      <c r="AA77" s="47">
        <f t="shared" si="23"/>
        <v>3.7167387984257068</v>
      </c>
      <c r="AB77" s="47"/>
      <c r="AC77" s="37">
        <f t="shared" si="29"/>
        <v>73.5</v>
      </c>
      <c r="AD77" s="37">
        <f t="shared" si="24"/>
        <v>160168.9529845003</v>
      </c>
      <c r="AF77" s="4"/>
      <c r="AI77" s="4"/>
      <c r="AL77" s="4"/>
      <c r="AP77" s="41"/>
      <c r="AQ77" s="41"/>
      <c r="AR77" s="49"/>
      <c r="AS77" s="41"/>
      <c r="AT77" s="41"/>
      <c r="AU77" s="41"/>
      <c r="AV77" s="41"/>
      <c r="AW77" s="41"/>
      <c r="AX77" s="41"/>
      <c r="AY77" s="41"/>
      <c r="AZ77" s="41"/>
      <c r="BA77" s="41"/>
      <c r="BB77" s="41"/>
      <c r="BD77" s="6"/>
      <c r="BE77" s="7"/>
      <c r="BF77" s="7"/>
      <c r="BG77" s="7"/>
      <c r="BH77" s="7"/>
      <c r="BI77" s="7"/>
      <c r="BJ77" s="7"/>
      <c r="BK77" s="7"/>
      <c r="BL77" s="7"/>
      <c r="BN77" s="39"/>
      <c r="BO77" s="39"/>
      <c r="BP77" s="39"/>
      <c r="BQ77" s="39"/>
      <c r="BR77" s="39"/>
      <c r="BS77" s="39"/>
      <c r="BT77" s="52"/>
      <c r="BU77" s="52"/>
      <c r="BV77" s="53"/>
      <c r="BW77" s="53"/>
      <c r="BX77" s="52"/>
      <c r="BY77" s="50"/>
      <c r="CA77" s="49"/>
      <c r="CB77" s="49"/>
      <c r="CC77" s="49"/>
      <c r="CD77" s="49"/>
      <c r="CE77" s="49"/>
      <c r="CF77" s="49"/>
      <c r="CG77" s="49"/>
      <c r="CH77" s="49"/>
      <c r="CI77" s="49"/>
      <c r="CK77" s="7"/>
      <c r="CL77" s="7"/>
      <c r="CM77" s="7"/>
      <c r="CN77" s="7"/>
      <c r="CO77" s="7"/>
      <c r="CP77" s="7"/>
      <c r="CQ77" s="7"/>
      <c r="CR77" s="7"/>
      <c r="CS77" s="7"/>
    </row>
    <row r="78" spans="5:97" ht="14.4" x14ac:dyDescent="0.3">
      <c r="E78" s="138">
        <v>74</v>
      </c>
      <c r="F78" s="44">
        <f>'Life table (HE)'!B$19</f>
        <v>6.0999999999999999E-2</v>
      </c>
      <c r="H78" s="45">
        <f t="shared" si="25"/>
        <v>6.0999999999999999E-2</v>
      </c>
      <c r="I78" s="46">
        <f t="shared" si="26"/>
        <v>5.9176760223990321E-2</v>
      </c>
      <c r="J78" s="37">
        <f t="shared" si="27"/>
        <v>34645.581033005721</v>
      </c>
      <c r="K78" s="41">
        <f t="shared" si="18"/>
        <v>2050.2132416110067</v>
      </c>
      <c r="L78" s="41">
        <f>SUM($K$4:K77)</f>
        <v>65354.418966994206</v>
      </c>
      <c r="M78" s="37">
        <f t="shared" si="19"/>
        <v>33620.474412200216</v>
      </c>
      <c r="N78" s="37">
        <f>SUM(M78:M$113)</f>
        <v>296842.72468990984</v>
      </c>
      <c r="O78" s="47">
        <f t="shared" si="20"/>
        <v>8.82922474711396</v>
      </c>
      <c r="P78" s="37">
        <f>(J79+0.5*K78)/(1+'General input'!$C$113)^E78</f>
        <v>909.06660955983102</v>
      </c>
      <c r="Q78" s="37">
        <f>SUM(P78:P$113)</f>
        <v>6197.1306200519348</v>
      </c>
      <c r="R78" s="37">
        <f t="shared" si="21"/>
        <v>6.8170258976430542</v>
      </c>
      <c r="T78" s="44">
        <f>'Life table (HE)'!C$19</f>
        <v>0.52288000000000001</v>
      </c>
      <c r="V78" s="48">
        <f t="shared" si="28"/>
        <v>17579.473660651249</v>
      </c>
      <c r="W78" s="37">
        <f>SUM(V78:V$115)</f>
        <v>155213.12388586006</v>
      </c>
      <c r="X78" s="47">
        <f t="shared" si="22"/>
        <v>4.616625035770948</v>
      </c>
      <c r="Y78" s="37">
        <f>V78/(1+'General input'!$C$113)^E78</f>
        <v>475.33274880664442</v>
      </c>
      <c r="Z78" s="37">
        <f>SUM(Y78:Y$115)</f>
        <v>3240.3556586127552</v>
      </c>
      <c r="AA78" s="47">
        <f t="shared" si="23"/>
        <v>3.5644865013595997</v>
      </c>
      <c r="AB78" s="47"/>
      <c r="AC78" s="37">
        <f t="shared" si="29"/>
        <v>74.5</v>
      </c>
      <c r="AD78" s="37">
        <f t="shared" si="24"/>
        <v>152740.88650001999</v>
      </c>
      <c r="AF78" s="4"/>
      <c r="AI78" s="4"/>
      <c r="AL78" s="4"/>
      <c r="AP78" s="41"/>
      <c r="AQ78" s="41"/>
      <c r="AR78" s="49"/>
      <c r="AS78" s="41"/>
      <c r="AT78" s="41"/>
      <c r="AU78" s="41"/>
      <c r="AV78" s="41"/>
      <c r="AW78" s="41"/>
      <c r="AX78" s="41"/>
      <c r="AY78" s="41"/>
      <c r="AZ78" s="41"/>
      <c r="BA78" s="41"/>
      <c r="BB78" s="41"/>
      <c r="BD78" s="6"/>
      <c r="BE78" s="7"/>
      <c r="BF78" s="7"/>
      <c r="BG78" s="7"/>
      <c r="BH78" s="7"/>
      <c r="BI78" s="7"/>
      <c r="BJ78" s="7"/>
      <c r="BK78" s="7"/>
      <c r="BL78" s="7"/>
      <c r="BN78" s="39"/>
      <c r="BO78" s="39"/>
      <c r="BP78" s="39"/>
      <c r="BQ78" s="39"/>
      <c r="BR78" s="39"/>
      <c r="BS78" s="39"/>
      <c r="BT78" s="52"/>
      <c r="BU78" s="52"/>
      <c r="BV78" s="53"/>
      <c r="BW78" s="53"/>
      <c r="BX78" s="52"/>
      <c r="BY78" s="50"/>
      <c r="CA78" s="49"/>
      <c r="CB78" s="49"/>
      <c r="CC78" s="49"/>
      <c r="CD78" s="49"/>
      <c r="CE78" s="49"/>
      <c r="CF78" s="49"/>
      <c r="CG78" s="49"/>
      <c r="CH78" s="49"/>
      <c r="CI78" s="49"/>
      <c r="CK78" s="7"/>
      <c r="CL78" s="7"/>
      <c r="CM78" s="7"/>
      <c r="CN78" s="7"/>
      <c r="CO78" s="7"/>
      <c r="CP78" s="7"/>
      <c r="CQ78" s="7"/>
      <c r="CR78" s="7"/>
      <c r="CS78" s="7"/>
    </row>
    <row r="79" spans="5:97" ht="14.4" x14ac:dyDescent="0.3">
      <c r="E79" s="138">
        <v>75</v>
      </c>
      <c r="F79" s="44">
        <f>'Life table (HE)'!B$20</f>
        <v>8.6999999999999994E-2</v>
      </c>
      <c r="H79" s="45">
        <f t="shared" si="25"/>
        <v>8.6999999999999994E-2</v>
      </c>
      <c r="I79" s="46">
        <f t="shared" si="26"/>
        <v>8.332290436684775E-2</v>
      </c>
      <c r="J79" s="37">
        <f t="shared" si="27"/>
        <v>32595.367791394714</v>
      </c>
      <c r="K79" s="41">
        <f t="shared" si="18"/>
        <v>2715.9407132846113</v>
      </c>
      <c r="L79" s="41">
        <f>SUM($K$4:K78)</f>
        <v>67404.63220860521</v>
      </c>
      <c r="M79" s="37">
        <f t="shared" si="19"/>
        <v>31237.397434752409</v>
      </c>
      <c r="N79" s="37">
        <f>SUM(M79:M$113)</f>
        <v>263222.25027770951</v>
      </c>
      <c r="O79" s="47">
        <f t="shared" si="20"/>
        <v>8.4265102695421081</v>
      </c>
      <c r="P79" s="37">
        <f>(J80+0.5*K79)/(1+'General input'!$C$113)^E79</f>
        <v>804.40991117854173</v>
      </c>
      <c r="Q79" s="37">
        <f>SUM(P79:P$113)</f>
        <v>5288.0640104921049</v>
      </c>
      <c r="R79" s="37">
        <f t="shared" si="21"/>
        <v>6.5738424365564532</v>
      </c>
      <c r="T79" s="44">
        <f>'Life table (HE)'!C$20</f>
        <v>0.52288000000000001</v>
      </c>
      <c r="V79" s="48">
        <f t="shared" si="28"/>
        <v>16333.410370683339</v>
      </c>
      <c r="W79" s="37">
        <f>SUM(V79:V$115)</f>
        <v>137633.65022520881</v>
      </c>
      <c r="X79" s="47">
        <f t="shared" si="22"/>
        <v>4.4060536897381803</v>
      </c>
      <c r="Y79" s="37">
        <f>V79/(1+'General input'!$C$113)^E79</f>
        <v>420.60985435703589</v>
      </c>
      <c r="Z79" s="37">
        <f>SUM(Y79:Y$115)</f>
        <v>2765.0229098061109</v>
      </c>
      <c r="AA79" s="47">
        <f t="shared" si="23"/>
        <v>3.437330733226637</v>
      </c>
      <c r="AB79" s="47"/>
      <c r="AC79" s="37">
        <f t="shared" si="29"/>
        <v>75.5</v>
      </c>
      <c r="AD79" s="37">
        <f t="shared" si="24"/>
        <v>205053.52385298815</v>
      </c>
      <c r="AF79" s="4"/>
      <c r="AI79" s="4"/>
      <c r="AL79" s="4"/>
      <c r="AP79" s="41"/>
      <c r="AQ79" s="41"/>
      <c r="AR79" s="49"/>
      <c r="AS79" s="41"/>
      <c r="AT79" s="41"/>
      <c r="AU79" s="41"/>
      <c r="AV79" s="41"/>
      <c r="AW79" s="41"/>
      <c r="AX79" s="41"/>
      <c r="AY79" s="41"/>
      <c r="AZ79" s="41"/>
      <c r="BA79" s="41"/>
      <c r="BB79" s="41"/>
      <c r="BD79" s="6"/>
      <c r="BE79" s="7"/>
      <c r="BF79" s="7"/>
      <c r="BG79" s="7"/>
      <c r="BH79" s="7"/>
      <c r="BI79" s="7"/>
      <c r="BJ79" s="7"/>
      <c r="BK79" s="7"/>
      <c r="BL79" s="7"/>
      <c r="BN79"/>
      <c r="BO79"/>
      <c r="BP79"/>
      <c r="BQ79"/>
      <c r="BR79"/>
      <c r="BS79"/>
      <c r="BT79" s="52"/>
      <c r="BU79" s="52"/>
      <c r="BV79" s="55"/>
      <c r="BW79" s="55"/>
      <c r="BX79" s="52"/>
      <c r="BY79" s="50"/>
      <c r="CA79" s="49"/>
      <c r="CB79" s="49"/>
      <c r="CC79" s="49"/>
      <c r="CD79" s="49"/>
      <c r="CE79" s="49"/>
      <c r="CF79" s="49"/>
      <c r="CG79" s="49"/>
      <c r="CH79" s="49"/>
      <c r="CI79" s="49"/>
      <c r="CK79" s="7"/>
      <c r="CL79" s="7"/>
      <c r="CM79" s="7"/>
      <c r="CN79" s="7"/>
      <c r="CO79" s="7"/>
      <c r="CP79" s="7"/>
      <c r="CQ79" s="7"/>
      <c r="CR79" s="7"/>
      <c r="CS79" s="7"/>
    </row>
    <row r="80" spans="5:97" ht="14.4" x14ac:dyDescent="0.3">
      <c r="E80" s="138">
        <v>76</v>
      </c>
      <c r="F80" s="44">
        <f>'Life table (HE)'!B$20</f>
        <v>8.6999999999999994E-2</v>
      </c>
      <c r="H80" s="45">
        <f t="shared" si="25"/>
        <v>8.6999999999999994E-2</v>
      </c>
      <c r="I80" s="46">
        <f t="shared" si="26"/>
        <v>8.332290436684775E-2</v>
      </c>
      <c r="J80" s="37">
        <f t="shared" si="27"/>
        <v>29879.427078110104</v>
      </c>
      <c r="K80" s="41">
        <f t="shared" si="18"/>
        <v>2489.6406449655692</v>
      </c>
      <c r="L80" s="41">
        <f>SUM($K$4:K79)</f>
        <v>70120.57292188982</v>
      </c>
      <c r="M80" s="37">
        <f t="shared" si="19"/>
        <v>28634.606755627319</v>
      </c>
      <c r="N80" s="37">
        <f>SUM(M80:M$113)</f>
        <v>231984.8528429571</v>
      </c>
      <c r="O80" s="47">
        <f t="shared" si="20"/>
        <v>8.1015553949371792</v>
      </c>
      <c r="P80" s="37">
        <f>(J81+0.5*K80)/(1+'General input'!$C$113)^E80</f>
        <v>702.27061055015974</v>
      </c>
      <c r="Q80" s="37">
        <f>SUM(P80:P$113)</f>
        <v>4483.6540993135623</v>
      </c>
      <c r="R80" s="37">
        <f t="shared" si="21"/>
        <v>6.3845105176778816</v>
      </c>
      <c r="T80" s="44">
        <f>'Life table (HE)'!C$20</f>
        <v>0.52288000000000001</v>
      </c>
      <c r="V80" s="48">
        <f t="shared" si="28"/>
        <v>14972.463180382412</v>
      </c>
      <c r="W80" s="37">
        <f>SUM(V80:V$115)</f>
        <v>121300.23985452538</v>
      </c>
      <c r="X80" s="47">
        <f t="shared" si="22"/>
        <v>4.2361412849047513</v>
      </c>
      <c r="Y80" s="37">
        <f>V80/(1+'General input'!$C$113)^E80</f>
        <v>367.20325684446755</v>
      </c>
      <c r="Z80" s="37">
        <f>SUM(Y80:Y$115)</f>
        <v>2344.4130554490739</v>
      </c>
      <c r="AA80" s="47">
        <f t="shared" si="23"/>
        <v>3.3383328594834083</v>
      </c>
      <c r="AB80" s="47"/>
      <c r="AC80" s="37">
        <f t="shared" si="29"/>
        <v>76.5</v>
      </c>
      <c r="AD80" s="37">
        <f t="shared" si="24"/>
        <v>190457.50933986605</v>
      </c>
      <c r="AF80" s="4"/>
      <c r="AI80" s="4"/>
      <c r="AL80" s="4"/>
      <c r="AP80" s="41"/>
      <c r="AQ80" s="41"/>
      <c r="AR80" s="49"/>
      <c r="AS80" s="41"/>
      <c r="AT80" s="41"/>
      <c r="AU80" s="41"/>
      <c r="AV80" s="41"/>
      <c r="AW80" s="41"/>
      <c r="AX80" s="41"/>
      <c r="AY80" s="41"/>
      <c r="AZ80" s="41"/>
      <c r="BA80" s="41"/>
      <c r="BB80" s="41"/>
      <c r="BD80" s="6"/>
      <c r="BE80" s="7"/>
      <c r="BF80" s="7"/>
      <c r="BG80" s="7"/>
      <c r="BH80" s="7"/>
      <c r="BI80" s="7"/>
      <c r="BJ80" s="7"/>
      <c r="BK80" s="7"/>
      <c r="BL80" s="7"/>
      <c r="BN80"/>
      <c r="BO80"/>
      <c r="BP80"/>
      <c r="BQ80"/>
      <c r="BR80"/>
      <c r="BS80"/>
      <c r="BT80" s="52"/>
      <c r="BU80" s="52"/>
      <c r="BV80" s="55"/>
      <c r="BW80" s="55"/>
      <c r="BX80" s="52"/>
      <c r="BY80" s="50"/>
      <c r="CA80" s="49"/>
      <c r="CB80" s="49"/>
      <c r="CC80" s="49"/>
      <c r="CD80" s="49"/>
      <c r="CE80" s="49"/>
      <c r="CF80" s="49"/>
      <c r="CG80" s="49"/>
      <c r="CH80" s="49"/>
      <c r="CI80" s="49"/>
      <c r="CK80" s="7"/>
      <c r="CL80" s="7"/>
      <c r="CM80" s="7"/>
      <c r="CN80" s="7"/>
      <c r="CO80" s="7"/>
      <c r="CP80" s="7"/>
      <c r="CQ80" s="7"/>
      <c r="CR80" s="7"/>
      <c r="CS80" s="7"/>
    </row>
    <row r="81" spans="5:97" ht="14.4" x14ac:dyDescent="0.3">
      <c r="E81" s="138">
        <v>77</v>
      </c>
      <c r="F81" s="44">
        <f>'Life table (HE)'!B$20</f>
        <v>8.6999999999999994E-2</v>
      </c>
      <c r="H81" s="45">
        <f t="shared" si="25"/>
        <v>8.6999999999999994E-2</v>
      </c>
      <c r="I81" s="46">
        <f t="shared" si="26"/>
        <v>8.332290436684775E-2</v>
      </c>
      <c r="J81" s="37">
        <f t="shared" si="27"/>
        <v>27389.786433144534</v>
      </c>
      <c r="K81" s="41">
        <f t="shared" si="18"/>
        <v>2282.1965555972861</v>
      </c>
      <c r="L81" s="41">
        <f>SUM($K$4:K80)</f>
        <v>72610.213566855382</v>
      </c>
      <c r="M81" s="37">
        <f t="shared" si="19"/>
        <v>26248.688155345892</v>
      </c>
      <c r="N81" s="37">
        <f>SUM(M81:M$113)</f>
        <v>203350.24608732975</v>
      </c>
      <c r="O81" s="47">
        <f t="shared" si="20"/>
        <v>7.7470632011723906</v>
      </c>
      <c r="P81" s="37">
        <f>(J82+0.5*K81)/(1+'General input'!$C$113)^E81</f>
        <v>613.10036535965799</v>
      </c>
      <c r="Q81" s="37">
        <f>SUM(P81:P$113)</f>
        <v>3781.3834887633993</v>
      </c>
      <c r="R81" s="37">
        <f t="shared" si="21"/>
        <v>6.1676418779250897</v>
      </c>
      <c r="T81" s="44">
        <f>'Life table (HE)'!C$20</f>
        <v>0.52288000000000001</v>
      </c>
      <c r="V81" s="48">
        <f t="shared" si="28"/>
        <v>13724.91406266726</v>
      </c>
      <c r="W81" s="37">
        <f>SUM(V81:V$115)</f>
        <v>106327.77667414297</v>
      </c>
      <c r="X81" s="47">
        <f t="shared" si="22"/>
        <v>4.0507844066290186</v>
      </c>
      <c r="Y81" s="37">
        <f>V81/(1+'General input'!$C$113)^E81</f>
        <v>320.57791903925795</v>
      </c>
      <c r="Z81" s="37">
        <f>SUM(Y81:Y$115)</f>
        <v>1977.2097986046058</v>
      </c>
      <c r="AA81" s="47">
        <f t="shared" si="23"/>
        <v>3.2249365851294698</v>
      </c>
      <c r="AB81" s="47"/>
      <c r="AC81" s="37">
        <f t="shared" si="29"/>
        <v>77.5</v>
      </c>
      <c r="AD81" s="37">
        <f t="shared" si="24"/>
        <v>176870.23305878966</v>
      </c>
      <c r="AF81" s="4"/>
      <c r="AI81" s="4"/>
      <c r="AL81" s="4"/>
      <c r="AP81" s="41"/>
      <c r="AQ81" s="41"/>
      <c r="AR81" s="49"/>
      <c r="AS81" s="41"/>
      <c r="AT81" s="41"/>
      <c r="AU81" s="41"/>
      <c r="AV81" s="41"/>
      <c r="AW81" s="41"/>
      <c r="AX81" s="41"/>
      <c r="AY81" s="41"/>
      <c r="AZ81" s="41"/>
      <c r="BA81" s="41"/>
      <c r="BB81" s="41"/>
      <c r="BD81" s="6"/>
      <c r="BE81" s="7"/>
      <c r="BF81" s="7"/>
      <c r="BG81" s="7"/>
      <c r="BH81" s="7"/>
      <c r="BI81" s="7"/>
      <c r="BJ81" s="7"/>
      <c r="BK81" s="7"/>
      <c r="BL81" s="7"/>
      <c r="BN81"/>
      <c r="BO81"/>
      <c r="BP81"/>
      <c r="BQ81"/>
      <c r="BR81"/>
      <c r="BS81"/>
      <c r="BT81" s="52"/>
      <c r="BU81" s="52"/>
      <c r="BV81" s="55"/>
      <c r="BW81" s="55"/>
      <c r="BX81" s="52"/>
      <c r="BY81" s="50"/>
      <c r="CA81" s="49"/>
      <c r="CB81" s="49"/>
      <c r="CC81" s="49"/>
      <c r="CD81" s="49"/>
      <c r="CE81" s="49"/>
      <c r="CF81" s="49"/>
      <c r="CG81" s="49"/>
      <c r="CH81" s="49"/>
      <c r="CI81" s="49"/>
      <c r="CK81" s="7"/>
      <c r="CL81" s="7"/>
      <c r="CM81" s="7"/>
      <c r="CN81" s="7"/>
      <c r="CO81" s="7"/>
      <c r="CP81" s="7"/>
      <c r="CQ81" s="7"/>
      <c r="CR81" s="7"/>
      <c r="CS81" s="7"/>
    </row>
    <row r="82" spans="5:97" ht="14.4" x14ac:dyDescent="0.3">
      <c r="E82" s="138">
        <v>78</v>
      </c>
      <c r="F82" s="44">
        <f>'Life table (HE)'!B$20</f>
        <v>8.6999999999999994E-2</v>
      </c>
      <c r="H82" s="45">
        <f t="shared" si="25"/>
        <v>8.6999999999999994E-2</v>
      </c>
      <c r="I82" s="46">
        <f t="shared" si="26"/>
        <v>8.332290436684775E-2</v>
      </c>
      <c r="J82" s="37">
        <f t="shared" si="27"/>
        <v>25107.589877547249</v>
      </c>
      <c r="K82" s="41">
        <f t="shared" si="18"/>
        <v>2092.0373102489039</v>
      </c>
      <c r="L82" s="41">
        <f>SUM($K$4:K81)</f>
        <v>74892.410122452668</v>
      </c>
      <c r="M82" s="37">
        <f t="shared" si="19"/>
        <v>24061.571222422797</v>
      </c>
      <c r="N82" s="37">
        <f>SUM(M82:M$113)</f>
        <v>177101.55793198384</v>
      </c>
      <c r="O82" s="47">
        <f t="shared" si="20"/>
        <v>7.3603488440083344</v>
      </c>
      <c r="P82" s="37">
        <f>(J83+0.5*K82)/(1+'General input'!$C$113)^E82</f>
        <v>535.25244023763423</v>
      </c>
      <c r="Q82" s="37">
        <f>SUM(P82:P$113)</f>
        <v>3168.2831234037417</v>
      </c>
      <c r="R82" s="37">
        <f t="shared" si="21"/>
        <v>5.9192315349316846</v>
      </c>
      <c r="T82" s="44">
        <f>'Life table (HE)'!C$20</f>
        <v>0.52288000000000001</v>
      </c>
      <c r="V82" s="48">
        <f t="shared" si="28"/>
        <v>12581.314360780432</v>
      </c>
      <c r="W82" s="37">
        <f>SUM(V82:V$115)</f>
        <v>92602.862611475692</v>
      </c>
      <c r="X82" s="47">
        <f t="shared" si="22"/>
        <v>3.8485792035550772</v>
      </c>
      <c r="Y82" s="37">
        <f>V82/(1+'General input'!$C$113)^E82</f>
        <v>279.87279595145418</v>
      </c>
      <c r="Z82" s="37">
        <f>SUM(Y82:Y$115)</f>
        <v>1656.6318795653481</v>
      </c>
      <c r="AA82" s="47">
        <f t="shared" si="23"/>
        <v>3.0950477849850788</v>
      </c>
      <c r="AB82" s="47"/>
      <c r="AC82" s="37">
        <f t="shared" si="29"/>
        <v>78.5</v>
      </c>
      <c r="AD82" s="37">
        <f t="shared" si="24"/>
        <v>164224.92885453894</v>
      </c>
      <c r="AF82" s="4"/>
      <c r="AI82" s="4"/>
      <c r="AL82" s="4"/>
      <c r="AP82" s="41"/>
      <c r="AQ82" s="41"/>
      <c r="AR82" s="49"/>
      <c r="AS82" s="41"/>
      <c r="AT82" s="41"/>
      <c r="AU82" s="41"/>
      <c r="AV82" s="41"/>
      <c r="AW82" s="41"/>
      <c r="AX82" s="41"/>
      <c r="AY82" s="41"/>
      <c r="AZ82" s="41"/>
      <c r="BA82" s="41"/>
      <c r="BB82" s="41"/>
      <c r="BD82" s="6"/>
      <c r="BE82" s="7"/>
      <c r="BF82" s="7"/>
      <c r="BG82" s="7"/>
      <c r="BH82" s="7"/>
      <c r="BI82" s="7"/>
      <c r="BJ82" s="7"/>
      <c r="BK82" s="7"/>
      <c r="BL82" s="7"/>
      <c r="BN82"/>
      <c r="BO82"/>
      <c r="BP82"/>
      <c r="BQ82"/>
      <c r="BR82"/>
      <c r="BS82"/>
      <c r="BT82" s="52"/>
      <c r="BU82" s="52"/>
      <c r="BV82" s="55"/>
      <c r="BW82" s="55"/>
      <c r="BX82" s="52"/>
      <c r="BY82" s="50"/>
      <c r="CA82" s="49"/>
      <c r="CB82" s="49"/>
      <c r="CC82" s="49"/>
      <c r="CD82" s="49"/>
      <c r="CE82" s="49"/>
      <c r="CF82" s="49"/>
      <c r="CG82" s="49"/>
      <c r="CH82" s="49"/>
      <c r="CI82" s="49"/>
      <c r="CK82" s="7"/>
      <c r="CL82" s="7"/>
      <c r="CM82" s="7"/>
      <c r="CN82" s="7"/>
      <c r="CO82" s="7"/>
      <c r="CP82" s="7"/>
      <c r="CQ82" s="7"/>
      <c r="CR82" s="7"/>
      <c r="CS82" s="7"/>
    </row>
    <row r="83" spans="5:97" ht="14.4" x14ac:dyDescent="0.3">
      <c r="E83" s="138">
        <v>79</v>
      </c>
      <c r="F83" s="44">
        <f>'Life table (HE)'!B$20</f>
        <v>8.6999999999999994E-2</v>
      </c>
      <c r="H83" s="45">
        <f t="shared" si="25"/>
        <v>8.6999999999999994E-2</v>
      </c>
      <c r="I83" s="46">
        <f t="shared" si="26"/>
        <v>8.332290436684775E-2</v>
      </c>
      <c r="J83" s="37">
        <f t="shared" si="27"/>
        <v>23015.552567298346</v>
      </c>
      <c r="K83" s="41">
        <f t="shared" si="18"/>
        <v>1917.7226855151573</v>
      </c>
      <c r="L83" s="41">
        <f>SUM($K$4:K82)</f>
        <v>76984.447432701578</v>
      </c>
      <c r="M83" s="37">
        <f t="shared" si="19"/>
        <v>22056.691224540769</v>
      </c>
      <c r="N83" s="37">
        <f>SUM(M83:M$113)</f>
        <v>153039.98670956102</v>
      </c>
      <c r="O83" s="47">
        <f t="shared" si="20"/>
        <v>6.9384834357786769</v>
      </c>
      <c r="P83" s="37">
        <f>(J84+0.5*K83)/(1+'General input'!$C$113)^E83</f>
        <v>467.28919271199226</v>
      </c>
      <c r="Q83" s="37">
        <f>SUM(P83:P$113)</f>
        <v>2633.0306831661073</v>
      </c>
      <c r="R83" s="37">
        <f t="shared" si="21"/>
        <v>5.6346920156335445</v>
      </c>
      <c r="T83" s="44">
        <f>'Life table (HE)'!C$20</f>
        <v>0.52288000000000001</v>
      </c>
      <c r="V83" s="48">
        <f t="shared" si="28"/>
        <v>11533.002707487878</v>
      </c>
      <c r="W83" s="37">
        <f>SUM(V83:V$115)</f>
        <v>80021.548250695269</v>
      </c>
      <c r="X83" s="47">
        <f t="shared" si="22"/>
        <v>3.6279942188999543</v>
      </c>
      <c r="Y83" s="37">
        <f>V83/(1+'General input'!$C$113)^E83</f>
        <v>244.33617308524651</v>
      </c>
      <c r="Z83" s="37">
        <f>SUM(Y83:Y$115)</f>
        <v>1376.7590836138941</v>
      </c>
      <c r="AA83" s="47">
        <f t="shared" si="23"/>
        <v>2.9462677611344672</v>
      </c>
      <c r="AB83" s="47"/>
      <c r="AC83" s="37">
        <f t="shared" si="29"/>
        <v>79.5</v>
      </c>
      <c r="AD83" s="37">
        <f t="shared" si="24"/>
        <v>152458.953498455</v>
      </c>
      <c r="AF83" s="4"/>
      <c r="AI83" s="4"/>
      <c r="AL83" s="4"/>
      <c r="AP83" s="41"/>
      <c r="AQ83" s="41"/>
      <c r="AR83" s="49"/>
      <c r="AS83" s="41"/>
      <c r="AT83" s="41"/>
      <c r="AU83" s="41"/>
      <c r="AV83" s="41"/>
      <c r="AW83" s="41"/>
      <c r="AX83" s="41"/>
      <c r="AY83" s="41"/>
      <c r="AZ83" s="41"/>
      <c r="BA83" s="41"/>
      <c r="BB83" s="41"/>
      <c r="BD83" s="6"/>
      <c r="BE83" s="7"/>
      <c r="BF83" s="7"/>
      <c r="BG83" s="7"/>
      <c r="BH83" s="7"/>
      <c r="BI83" s="7"/>
      <c r="BJ83" s="7"/>
      <c r="BK83" s="7"/>
      <c r="BL83" s="7"/>
      <c r="BN83"/>
      <c r="BO83"/>
      <c r="BP83"/>
      <c r="BQ83"/>
      <c r="BR83"/>
      <c r="BS83"/>
      <c r="BT83" s="52"/>
      <c r="BU83" s="52"/>
      <c r="BV83" s="55"/>
      <c r="BW83" s="55"/>
      <c r="BX83" s="52"/>
      <c r="BY83" s="50"/>
      <c r="CA83" s="49"/>
      <c r="CB83" s="49"/>
      <c r="CC83" s="49"/>
      <c r="CD83" s="49"/>
      <c r="CE83" s="49"/>
      <c r="CF83" s="49"/>
      <c r="CG83" s="49"/>
      <c r="CH83" s="49"/>
      <c r="CI83" s="49"/>
      <c r="CK83" s="7"/>
      <c r="CL83" s="7"/>
      <c r="CM83" s="7"/>
      <c r="CN83" s="7"/>
      <c r="CO83" s="7"/>
      <c r="CP83" s="7"/>
      <c r="CQ83" s="7"/>
      <c r="CR83" s="7"/>
      <c r="CS83" s="7"/>
    </row>
    <row r="84" spans="5:97" ht="14.4" x14ac:dyDescent="0.3">
      <c r="E84" s="138">
        <v>80</v>
      </c>
      <c r="F84" s="44">
        <f>'Life table (HE)'!B$21</f>
        <v>0.127</v>
      </c>
      <c r="H84" s="45">
        <f t="shared" si="25"/>
        <v>0.127</v>
      </c>
      <c r="I84" s="46">
        <f t="shared" si="26"/>
        <v>0.11926632740284304</v>
      </c>
      <c r="J84" s="37">
        <f t="shared" si="27"/>
        <v>21097.829881783189</v>
      </c>
      <c r="K84" s="41">
        <f t="shared" si="18"/>
        <v>2516.2606861702393</v>
      </c>
      <c r="L84" s="41">
        <f>SUM($K$4:K83)</f>
        <v>78902.170118216731</v>
      </c>
      <c r="M84" s="37">
        <f t="shared" si="19"/>
        <v>19839.699538698067</v>
      </c>
      <c r="N84" s="37">
        <f>SUM(M84:M$113)</f>
        <v>130983.29548502025</v>
      </c>
      <c r="O84" s="47">
        <f t="shared" si="20"/>
        <v>6.6020806025581429</v>
      </c>
      <c r="P84" s="37">
        <f>(J85+0.5*K84)/(1+'General input'!$C$113)^E84</f>
        <v>400.30513866496887</v>
      </c>
      <c r="Q84" s="37">
        <f>SUM(P84:P$113)</f>
        <v>2165.7414904541151</v>
      </c>
      <c r="R84" s="37">
        <f t="shared" si="21"/>
        <v>5.4102265528664857</v>
      </c>
      <c r="T84" s="44">
        <f>'Life table (HE)'!C$21</f>
        <v>0.52288000000000001</v>
      </c>
      <c r="V84" s="48">
        <f t="shared" si="28"/>
        <v>10373.782094794446</v>
      </c>
      <c r="W84" s="37">
        <f>SUM(V84:V$115)</f>
        <v>68488.545543207394</v>
      </c>
      <c r="X84" s="47">
        <f t="shared" si="22"/>
        <v>3.4520959054656024</v>
      </c>
      <c r="Y84" s="37">
        <f>V84/(1+'General input'!$C$113)^E84</f>
        <v>209.31155090513894</v>
      </c>
      <c r="Z84" s="37">
        <f>SUM(Y84:Y$115)</f>
        <v>1132.4229105286477</v>
      </c>
      <c r="AA84" s="47">
        <f t="shared" si="23"/>
        <v>2.828899259962828</v>
      </c>
      <c r="AB84" s="47"/>
      <c r="AC84" s="37">
        <f t="shared" si="29"/>
        <v>80.5</v>
      </c>
      <c r="AD84" s="37">
        <f t="shared" si="24"/>
        <v>202558.98523670426</v>
      </c>
      <c r="AF84" s="4"/>
      <c r="AI84" s="4"/>
      <c r="AL84" s="4"/>
      <c r="AP84" s="41"/>
      <c r="AQ84" s="41"/>
      <c r="AR84" s="49"/>
      <c r="AS84" s="41"/>
      <c r="AT84" s="41"/>
      <c r="AU84" s="41"/>
      <c r="AV84" s="41"/>
      <c r="AW84" s="41"/>
      <c r="AX84" s="41"/>
      <c r="AY84" s="41"/>
      <c r="AZ84" s="41"/>
      <c r="BA84" s="41"/>
      <c r="BB84" s="41"/>
      <c r="BD84" s="6"/>
      <c r="BE84" s="7"/>
      <c r="BF84" s="7"/>
      <c r="BG84" s="7"/>
      <c r="BH84" s="7"/>
      <c r="BI84" s="7"/>
      <c r="BJ84" s="7"/>
      <c r="BK84" s="7"/>
      <c r="BL84" s="7"/>
      <c r="BN84"/>
      <c r="BO84"/>
      <c r="BP84"/>
      <c r="BQ84"/>
      <c r="BR84"/>
      <c r="BS84"/>
      <c r="BT84" s="52"/>
      <c r="BU84" s="52"/>
      <c r="BV84" s="55"/>
      <c r="BW84" s="55"/>
      <c r="BX84" s="52"/>
      <c r="BY84" s="50"/>
      <c r="CA84" s="49"/>
      <c r="CB84" s="49"/>
      <c r="CC84" s="49"/>
      <c r="CD84" s="49"/>
      <c r="CE84" s="49"/>
      <c r="CF84" s="49"/>
      <c r="CG84" s="49"/>
      <c r="CH84" s="49"/>
      <c r="CI84" s="49"/>
      <c r="CK84" s="7"/>
      <c r="CL84" s="7"/>
      <c r="CM84" s="7"/>
      <c r="CN84" s="7"/>
      <c r="CO84" s="7"/>
      <c r="CP84" s="7"/>
      <c r="CQ84" s="7"/>
      <c r="CR84" s="7"/>
      <c r="CS84" s="7"/>
    </row>
    <row r="85" spans="5:97" ht="14.4" x14ac:dyDescent="0.3">
      <c r="E85" s="138">
        <v>81</v>
      </c>
      <c r="F85" s="44">
        <f>'Life table (HE)'!B$21</f>
        <v>0.127</v>
      </c>
      <c r="H85" s="45">
        <f t="shared" si="25"/>
        <v>0.127</v>
      </c>
      <c r="I85" s="46">
        <f t="shared" si="26"/>
        <v>0.11926632740284304</v>
      </c>
      <c r="J85" s="37">
        <f t="shared" si="27"/>
        <v>18581.569195612949</v>
      </c>
      <c r="K85" s="41">
        <f t="shared" si="18"/>
        <v>2216.1555153425566</v>
      </c>
      <c r="L85" s="41">
        <f>SUM($K$4:K84)</f>
        <v>81418.430804386968</v>
      </c>
      <c r="M85" s="37">
        <f t="shared" si="19"/>
        <v>17473.49143794167</v>
      </c>
      <c r="N85" s="37">
        <f>SUM(M85:M$113)</f>
        <v>111143.59594632218</v>
      </c>
      <c r="O85" s="47">
        <f t="shared" si="20"/>
        <v>6.3606976511280795</v>
      </c>
      <c r="P85" s="37">
        <f>(J86+0.5*K85)/(1+'General input'!$C$113)^E85</f>
        <v>335.77353803420209</v>
      </c>
      <c r="Q85" s="37">
        <f>SUM(P85:P$113)</f>
        <v>1765.4363517891459</v>
      </c>
      <c r="R85" s="37">
        <f t="shared" si="21"/>
        <v>5.257818594416209</v>
      </c>
      <c r="T85" s="44">
        <f>'Life table (HE)'!C$21</f>
        <v>0.52288000000000001</v>
      </c>
      <c r="V85" s="48">
        <f t="shared" si="28"/>
        <v>9136.5392030709409</v>
      </c>
      <c r="W85" s="37">
        <f>SUM(V85:V$115)</f>
        <v>58114.763448412967</v>
      </c>
      <c r="X85" s="47">
        <f t="shared" si="22"/>
        <v>3.3258815878218515</v>
      </c>
      <c r="Y85" s="37">
        <f>V85/(1+'General input'!$C$113)^E85</f>
        <v>175.56926756732361</v>
      </c>
      <c r="Z85" s="37">
        <f>SUM(Y85:Y$115)</f>
        <v>923.11135962350909</v>
      </c>
      <c r="AA85" s="47">
        <f t="shared" si="23"/>
        <v>2.7492081866483487</v>
      </c>
      <c r="AB85" s="47"/>
      <c r="AC85" s="37">
        <f t="shared" si="29"/>
        <v>81.5</v>
      </c>
      <c r="AD85" s="37">
        <f t="shared" si="24"/>
        <v>180616.67450041836</v>
      </c>
      <c r="AF85" s="4"/>
      <c r="AI85" s="4"/>
      <c r="AL85" s="4"/>
      <c r="AP85" s="41"/>
      <c r="AQ85" s="41"/>
      <c r="AR85" s="49"/>
      <c r="AS85" s="41"/>
      <c r="AT85" s="41"/>
      <c r="AU85" s="41"/>
      <c r="AV85" s="41"/>
      <c r="AW85" s="41"/>
      <c r="AX85" s="41"/>
      <c r="AY85" s="41"/>
      <c r="AZ85" s="41"/>
      <c r="BA85" s="41"/>
      <c r="BB85" s="41"/>
      <c r="BC85" s="41"/>
      <c r="BD85" s="6"/>
      <c r="BE85" s="7"/>
      <c r="BF85" s="7"/>
      <c r="BG85" s="7"/>
      <c r="BH85" s="7"/>
      <c r="BI85" s="7"/>
      <c r="BJ85" s="7"/>
      <c r="BK85" s="7"/>
      <c r="BL85" s="7"/>
      <c r="BN85"/>
      <c r="BO85"/>
      <c r="BP85"/>
      <c r="BQ85"/>
      <c r="BR85"/>
      <c r="BS85"/>
      <c r="BT85" s="52"/>
      <c r="BU85" s="52"/>
      <c r="BV85" s="55"/>
      <c r="BW85" s="55"/>
      <c r="BX85" s="52"/>
      <c r="BY85" s="50"/>
      <c r="CA85" s="49"/>
      <c r="CB85" s="49"/>
      <c r="CC85" s="49"/>
      <c r="CD85" s="49"/>
      <c r="CE85" s="49"/>
      <c r="CF85" s="49"/>
      <c r="CG85" s="49"/>
      <c r="CH85" s="49"/>
      <c r="CI85" s="49"/>
      <c r="CJ85" s="41"/>
      <c r="CK85" s="7"/>
      <c r="CL85" s="7"/>
      <c r="CM85" s="7"/>
      <c r="CN85" s="7"/>
      <c r="CO85" s="7"/>
      <c r="CP85" s="7"/>
      <c r="CQ85" s="7"/>
      <c r="CR85" s="7"/>
      <c r="CS85" s="7"/>
    </row>
    <row r="86" spans="5:97" ht="14.4" x14ac:dyDescent="0.3">
      <c r="E86" s="138">
        <v>82</v>
      </c>
      <c r="F86" s="44">
        <f>'Life table (HE)'!B$21</f>
        <v>0.127</v>
      </c>
      <c r="H86" s="45">
        <f t="shared" si="25"/>
        <v>0.127</v>
      </c>
      <c r="I86" s="46">
        <f t="shared" si="26"/>
        <v>0.11926632740284304</v>
      </c>
      <c r="J86" s="37">
        <f t="shared" si="27"/>
        <v>16365.413680270392</v>
      </c>
      <c r="K86" s="41">
        <f t="shared" si="18"/>
        <v>1951.8427860740951</v>
      </c>
      <c r="L86" s="41">
        <f>SUM($K$4:K85)</f>
        <v>83634.586319729526</v>
      </c>
      <c r="M86" s="37">
        <f t="shared" si="19"/>
        <v>15389.492287233345</v>
      </c>
      <c r="N86" s="37">
        <f>SUM(M86:M$113)</f>
        <v>93670.104508380507</v>
      </c>
      <c r="O86" s="47">
        <f t="shared" si="20"/>
        <v>6.0866273402720621</v>
      </c>
      <c r="P86" s="37">
        <f>(J87+0.5*K86)/(1+'General input'!$C$113)^E86</f>
        <v>281.64482029886096</v>
      </c>
      <c r="Q86" s="37">
        <f>SUM(P86:P$113)</f>
        <v>1429.662813754944</v>
      </c>
      <c r="R86" s="37">
        <f t="shared" si="21"/>
        <v>5.0761196752629427</v>
      </c>
      <c r="T86" s="44">
        <f>'Life table (HE)'!C$21</f>
        <v>0.52288000000000001</v>
      </c>
      <c r="V86" s="48">
        <f t="shared" si="28"/>
        <v>8046.857727148571</v>
      </c>
      <c r="W86" s="37">
        <f>SUM(V86:V$115)</f>
        <v>48978.224245342026</v>
      </c>
      <c r="X86" s="47">
        <f t="shared" si="22"/>
        <v>3.1825757036814575</v>
      </c>
      <c r="Y86" s="37">
        <f>V86/(1+'General input'!$C$113)^E86</f>
        <v>147.26644363786841</v>
      </c>
      <c r="Z86" s="37">
        <f>SUM(Y86:Y$115)</f>
        <v>747.54209205618542</v>
      </c>
      <c r="AA86" s="47">
        <f t="shared" si="23"/>
        <v>2.6542014558014886</v>
      </c>
      <c r="AB86" s="47"/>
      <c r="AC86" s="37">
        <f t="shared" si="29"/>
        <v>82.5</v>
      </c>
      <c r="AD86" s="37">
        <f t="shared" si="24"/>
        <v>161027.02985111283</v>
      </c>
      <c r="AF86" s="4"/>
      <c r="AI86" s="4"/>
      <c r="AL86" s="4"/>
      <c r="AP86" s="41"/>
      <c r="AQ86" s="41"/>
      <c r="AR86" s="49"/>
      <c r="AS86" s="41"/>
      <c r="AT86" s="41"/>
      <c r="AU86" s="41"/>
      <c r="AV86" s="41"/>
      <c r="AW86" s="41"/>
      <c r="AX86" s="41"/>
      <c r="AY86" s="41"/>
      <c r="AZ86" s="41"/>
      <c r="BA86" s="41"/>
      <c r="BB86" s="41"/>
      <c r="BC86" s="41"/>
      <c r="BD86" s="6"/>
      <c r="BE86" s="7"/>
      <c r="BF86" s="7"/>
      <c r="BG86" s="7"/>
      <c r="BH86" s="7"/>
      <c r="BI86" s="7"/>
      <c r="BJ86" s="7"/>
      <c r="BK86" s="7"/>
      <c r="BL86" s="7"/>
      <c r="BN86"/>
      <c r="BO86"/>
      <c r="BP86"/>
      <c r="BQ86"/>
      <c r="BR86"/>
      <c r="BS86"/>
      <c r="BT86" s="52"/>
      <c r="BU86" s="52"/>
      <c r="BV86" s="55"/>
      <c r="BW86" s="55"/>
      <c r="BX86" s="52"/>
      <c r="BY86" s="50"/>
      <c r="CA86" s="49"/>
      <c r="CB86" s="49"/>
      <c r="CC86" s="49"/>
      <c r="CD86" s="49"/>
      <c r="CE86" s="49"/>
      <c r="CF86" s="49"/>
      <c r="CG86" s="49"/>
      <c r="CH86" s="49"/>
      <c r="CI86" s="49"/>
      <c r="CJ86" s="41"/>
      <c r="CK86" s="7"/>
      <c r="CL86" s="7"/>
      <c r="CM86" s="7"/>
      <c r="CN86" s="7"/>
      <c r="CO86" s="7"/>
      <c r="CP86" s="7"/>
      <c r="CQ86" s="7"/>
      <c r="CR86" s="7"/>
      <c r="CS86" s="7"/>
    </row>
    <row r="87" spans="5:97" ht="14.4" x14ac:dyDescent="0.3">
      <c r="E87" s="138">
        <v>83</v>
      </c>
      <c r="F87" s="44">
        <f>'Life table (HE)'!B$21</f>
        <v>0.127</v>
      </c>
      <c r="H87" s="45">
        <f t="shared" si="25"/>
        <v>0.127</v>
      </c>
      <c r="I87" s="46">
        <f t="shared" si="26"/>
        <v>0.11926632740284304</v>
      </c>
      <c r="J87" s="37">
        <f t="shared" si="27"/>
        <v>14413.570894196297</v>
      </c>
      <c r="K87" s="41">
        <f t="shared" si="18"/>
        <v>1719.0536653113047</v>
      </c>
      <c r="L87" s="41">
        <f>SUM($K$4:K86)</f>
        <v>85586.429105803618</v>
      </c>
      <c r="M87" s="37">
        <f t="shared" si="19"/>
        <v>13554.044061540644</v>
      </c>
      <c r="N87" s="37">
        <f>SUM(M87:M$113)</f>
        <v>78280.612221147181</v>
      </c>
      <c r="O87" s="47">
        <f t="shared" si="20"/>
        <v>5.7754432452574802</v>
      </c>
      <c r="P87" s="37">
        <f>(J88+0.5*K87)/(1+'General input'!$C$113)^E87</f>
        <v>236.24197804741152</v>
      </c>
      <c r="Q87" s="37">
        <f>SUM(P87:P$113)</f>
        <v>1148.0179934560829</v>
      </c>
      <c r="R87" s="37">
        <f t="shared" si="21"/>
        <v>4.8595004280978653</v>
      </c>
      <c r="T87" s="44">
        <f>'Life table (HE)'!C$21</f>
        <v>0.52288000000000001</v>
      </c>
      <c r="V87" s="48">
        <f t="shared" si="28"/>
        <v>7087.1385588983721</v>
      </c>
      <c r="W87" s="37">
        <f>SUM(V87:V$115)</f>
        <v>40931.366518193456</v>
      </c>
      <c r="X87" s="47">
        <f t="shared" si="22"/>
        <v>3.0198637640802328</v>
      </c>
      <c r="Y87" s="37">
        <f>V87/(1+'General input'!$C$113)^E87</f>
        <v>123.52620548143054</v>
      </c>
      <c r="Z87" s="37">
        <f>SUM(Y87:Y$115)</f>
        <v>600.27564841831702</v>
      </c>
      <c r="AA87" s="47">
        <f t="shared" si="23"/>
        <v>2.5409355838438139</v>
      </c>
      <c r="AB87" s="47"/>
      <c r="AC87" s="37">
        <f t="shared" si="29"/>
        <v>83.5</v>
      </c>
      <c r="AD87" s="37">
        <f t="shared" si="24"/>
        <v>143540.98105349395</v>
      </c>
      <c r="AF87" s="4"/>
      <c r="AI87" s="4"/>
      <c r="AL87" s="4"/>
      <c r="AP87" s="41"/>
      <c r="AQ87" s="41"/>
      <c r="AR87" s="49"/>
      <c r="AS87" s="41"/>
      <c r="AT87" s="41"/>
      <c r="AU87" s="41"/>
      <c r="AV87" s="41"/>
      <c r="AW87" s="41"/>
      <c r="AX87" s="41"/>
      <c r="AY87" s="41"/>
      <c r="AZ87" s="41"/>
      <c r="BA87" s="41"/>
      <c r="BB87" s="41"/>
      <c r="BC87" s="41"/>
      <c r="BD87" s="6"/>
      <c r="BE87" s="7"/>
      <c r="BF87" s="7"/>
      <c r="BG87" s="7"/>
      <c r="BH87" s="7"/>
      <c r="BI87" s="7"/>
      <c r="BJ87" s="7"/>
      <c r="BK87" s="7"/>
      <c r="BL87" s="7"/>
      <c r="BN87"/>
      <c r="BO87"/>
      <c r="BP87"/>
      <c r="BQ87"/>
      <c r="BR87"/>
      <c r="BS87"/>
      <c r="BT87" s="52"/>
      <c r="BU87" s="52"/>
      <c r="BV87" s="55"/>
      <c r="BW87" s="55"/>
      <c r="BX87" s="52"/>
      <c r="BY87" s="50"/>
      <c r="CA87" s="49"/>
      <c r="CB87" s="49"/>
      <c r="CC87" s="49"/>
      <c r="CD87" s="49"/>
      <c r="CE87" s="49"/>
      <c r="CF87" s="49"/>
      <c r="CG87" s="49"/>
      <c r="CH87" s="49"/>
      <c r="CI87" s="49"/>
      <c r="CJ87" s="41"/>
      <c r="CK87" s="7"/>
      <c r="CL87" s="7"/>
      <c r="CM87" s="7"/>
      <c r="CN87" s="7"/>
      <c r="CO87" s="7"/>
      <c r="CP87" s="7"/>
      <c r="CQ87" s="7"/>
      <c r="CR87" s="7"/>
      <c r="CS87" s="7"/>
    </row>
    <row r="88" spans="5:97" ht="14.4" x14ac:dyDescent="0.3">
      <c r="E88" s="138">
        <v>84</v>
      </c>
      <c r="F88" s="44">
        <f>'Life table (HE)'!B$21</f>
        <v>0.127</v>
      </c>
      <c r="H88" s="45">
        <f t="shared" si="25"/>
        <v>0.127</v>
      </c>
      <c r="I88" s="46">
        <f t="shared" si="26"/>
        <v>0.11926632740284304</v>
      </c>
      <c r="J88" s="37">
        <f t="shared" si="27"/>
        <v>12694.517228884992</v>
      </c>
      <c r="K88" s="41">
        <f t="shared" si="18"/>
        <v>1514.0284480412292</v>
      </c>
      <c r="L88" s="41">
        <f>SUM($K$4:K87)</f>
        <v>87305.482771114926</v>
      </c>
      <c r="M88" s="37">
        <f t="shared" si="19"/>
        <v>11937.503004864378</v>
      </c>
      <c r="N88" s="37">
        <f>SUM(M88:M$113)</f>
        <v>64726.568159606541</v>
      </c>
      <c r="O88" s="47">
        <f t="shared" si="20"/>
        <v>5.4221195281149921</v>
      </c>
      <c r="P88" s="37">
        <f>(J89+0.5*K88)/(1+'General input'!$C$113)^E88</f>
        <v>198.1583475688702</v>
      </c>
      <c r="Q88" s="37">
        <f>SUM(P88:P$113)</f>
        <v>911.77601540867147</v>
      </c>
      <c r="R88" s="37">
        <f t="shared" si="21"/>
        <v>4.6012495895071108</v>
      </c>
      <c r="T88" s="44">
        <f>'Life table (HE)'!C$21</f>
        <v>0.52288000000000001</v>
      </c>
      <c r="V88" s="48">
        <f t="shared" si="28"/>
        <v>6241.8815711834859</v>
      </c>
      <c r="W88" s="37">
        <f>SUM(V88:V$115)</f>
        <v>33844.227959295073</v>
      </c>
      <c r="X88" s="47">
        <f t="shared" si="22"/>
        <v>2.8351178588607673</v>
      </c>
      <c r="Y88" s="37">
        <f>V88/(1+'General input'!$C$113)^E88</f>
        <v>103.61303677681084</v>
      </c>
      <c r="Z88" s="37">
        <f>SUM(Y88:Y$115)</f>
        <v>476.74944293688617</v>
      </c>
      <c r="AA88" s="47">
        <f t="shared" si="23"/>
        <v>2.4059013853614784</v>
      </c>
      <c r="AB88" s="47"/>
      <c r="AC88" s="37">
        <f t="shared" si="29"/>
        <v>84.5</v>
      </c>
      <c r="AD88" s="37">
        <f t="shared" si="24"/>
        <v>127935.40385948386</v>
      </c>
      <c r="AF88" s="4"/>
      <c r="AI88" s="4"/>
      <c r="AL88" s="4"/>
      <c r="AP88" s="41"/>
      <c r="AQ88" s="41"/>
      <c r="AR88" s="49"/>
      <c r="AS88" s="41"/>
      <c r="AT88" s="41"/>
      <c r="AU88" s="41"/>
      <c r="AV88" s="41"/>
      <c r="AW88" s="41"/>
      <c r="AX88" s="41"/>
      <c r="AY88" s="41"/>
      <c r="AZ88" s="41"/>
      <c r="BA88" s="41"/>
      <c r="BB88" s="41"/>
      <c r="BC88" s="41"/>
      <c r="BD88" s="6"/>
      <c r="BE88" s="7"/>
      <c r="BF88" s="7"/>
      <c r="BG88" s="7"/>
      <c r="BH88" s="7"/>
      <c r="BI88" s="7"/>
      <c r="BJ88" s="7"/>
      <c r="BK88" s="7"/>
      <c r="BL88" s="7"/>
      <c r="BN88"/>
      <c r="BO88"/>
      <c r="BP88"/>
      <c r="BQ88"/>
      <c r="BR88"/>
      <c r="BS88"/>
      <c r="BT88" s="52"/>
      <c r="BU88" s="52"/>
      <c r="BV88" s="55"/>
      <c r="BW88" s="55"/>
      <c r="BX88" s="52"/>
      <c r="BY88" s="50"/>
      <c r="CA88" s="49"/>
      <c r="CB88" s="49"/>
      <c r="CC88" s="49"/>
      <c r="CD88" s="49"/>
      <c r="CE88" s="49"/>
      <c r="CF88" s="49"/>
      <c r="CG88" s="49"/>
      <c r="CH88" s="49"/>
      <c r="CI88" s="49"/>
      <c r="CJ88" s="41"/>
      <c r="CK88" s="7"/>
      <c r="CL88" s="7"/>
      <c r="CM88" s="7"/>
      <c r="CN88" s="7"/>
      <c r="CO88" s="7"/>
      <c r="CP88" s="7"/>
      <c r="CQ88" s="7"/>
      <c r="CR88" s="7"/>
      <c r="CS88" s="7"/>
    </row>
    <row r="89" spans="5:97" ht="14.4" x14ac:dyDescent="0.3">
      <c r="E89" s="138">
        <v>85</v>
      </c>
      <c r="F89" s="44">
        <f>'Life table (HE)'!B$22</f>
        <v>0.1825</v>
      </c>
      <c r="H89" s="45">
        <f t="shared" si="25"/>
        <v>0.1825</v>
      </c>
      <c r="I89" s="46">
        <f t="shared" si="26"/>
        <v>0.16681535607166953</v>
      </c>
      <c r="J89" s="37">
        <f t="shared" si="27"/>
        <v>11180.488780843763</v>
      </c>
      <c r="K89" s="41">
        <f t="shared" si="18"/>
        <v>1865.0772170317587</v>
      </c>
      <c r="L89" s="41">
        <f>SUM($K$4:K88)</f>
        <v>88819.511219156149</v>
      </c>
      <c r="M89" s="37">
        <f t="shared" si="19"/>
        <v>10247.950172327885</v>
      </c>
      <c r="N89" s="37">
        <f>SUM(M89:M$113)</f>
        <v>52789.065154742158</v>
      </c>
      <c r="O89" s="47">
        <f t="shared" si="20"/>
        <v>5.151182847989082</v>
      </c>
      <c r="P89" s="37">
        <f>(J90+0.5*K89)/(1+'General input'!$C$113)^E89</f>
        <v>162.01177649081231</v>
      </c>
      <c r="Q89" s="37">
        <f>SUM(P89:P$113)</f>
        <v>713.61766783980136</v>
      </c>
      <c r="R89" s="37">
        <f t="shared" si="21"/>
        <v>4.4047271334023712</v>
      </c>
      <c r="T89" s="44">
        <f>'Life table (HE)'!C$22</f>
        <v>0.52288000000000001</v>
      </c>
      <c r="V89" s="48">
        <f t="shared" si="28"/>
        <v>5358.4481861068043</v>
      </c>
      <c r="W89" s="37">
        <f>SUM(V89:V$115)</f>
        <v>27602.346388111582</v>
      </c>
      <c r="X89" s="47">
        <f t="shared" si="22"/>
        <v>2.6934504875565315</v>
      </c>
      <c r="Y89" s="37">
        <f>V89/(1+'General input'!$C$113)^E89</f>
        <v>84.712717691515934</v>
      </c>
      <c r="Z89" s="37">
        <f>SUM(Y89:Y$115)</f>
        <v>373.13640616007535</v>
      </c>
      <c r="AA89" s="47">
        <f t="shared" si="23"/>
        <v>2.3031437235134318</v>
      </c>
      <c r="AB89" s="47"/>
      <c r="AC89" s="37">
        <f t="shared" si="29"/>
        <v>85.5</v>
      </c>
      <c r="AD89" s="37">
        <f t="shared" si="24"/>
        <v>159464.10205621537</v>
      </c>
      <c r="AF89" s="4"/>
      <c r="AI89" s="4"/>
      <c r="AL89" s="4"/>
      <c r="AP89" s="41"/>
      <c r="AQ89" s="41"/>
      <c r="AR89" s="49"/>
      <c r="AS89" s="41"/>
      <c r="AT89" s="41"/>
      <c r="AU89" s="41"/>
      <c r="AV89" s="41"/>
      <c r="AW89" s="41"/>
      <c r="AX89" s="41"/>
      <c r="AY89" s="41"/>
      <c r="AZ89" s="41"/>
      <c r="BA89" s="41"/>
      <c r="BB89" s="41"/>
      <c r="BC89" s="41"/>
      <c r="BD89" s="6"/>
      <c r="BE89" s="7"/>
      <c r="BF89" s="7"/>
      <c r="BG89" s="7"/>
      <c r="BH89" s="7"/>
      <c r="BI89" s="7"/>
      <c r="BJ89" s="7"/>
      <c r="BK89" s="7"/>
      <c r="BL89" s="7"/>
      <c r="BN89"/>
      <c r="BO89"/>
      <c r="BP89"/>
      <c r="BQ89"/>
      <c r="BR89"/>
      <c r="BS89"/>
      <c r="BT89" s="52"/>
      <c r="BU89" s="52"/>
      <c r="BV89" s="55"/>
      <c r="BW89" s="55"/>
      <c r="BX89" s="52"/>
      <c r="BY89" s="50"/>
      <c r="CA89" s="49"/>
      <c r="CB89" s="49"/>
      <c r="CC89" s="49"/>
      <c r="CD89" s="49"/>
      <c r="CE89" s="49"/>
      <c r="CF89" s="49"/>
      <c r="CG89" s="49"/>
      <c r="CH89" s="49"/>
      <c r="CI89" s="49"/>
      <c r="CJ89" s="41"/>
      <c r="CK89" s="7"/>
      <c r="CL89" s="7"/>
      <c r="CM89" s="7"/>
      <c r="CN89" s="7"/>
      <c r="CO89" s="7"/>
      <c r="CP89" s="7"/>
      <c r="CQ89" s="7"/>
      <c r="CR89" s="7"/>
      <c r="CS89" s="7"/>
    </row>
    <row r="90" spans="5:97" ht="14.4" x14ac:dyDescent="0.3">
      <c r="E90" s="138">
        <v>86</v>
      </c>
      <c r="F90" s="44">
        <f>'Life table (HE)'!B$22</f>
        <v>0.1825</v>
      </c>
      <c r="H90" s="45">
        <f t="shared" si="25"/>
        <v>0.1825</v>
      </c>
      <c r="I90" s="46">
        <f t="shared" si="26"/>
        <v>0.16681535607166953</v>
      </c>
      <c r="J90" s="37">
        <f t="shared" si="27"/>
        <v>9315.4115638120056</v>
      </c>
      <c r="K90" s="41">
        <f t="shared" si="18"/>
        <v>1553.9536969714477</v>
      </c>
      <c r="L90" s="41">
        <f>SUM($K$4:K89)</f>
        <v>90684.588436187914</v>
      </c>
      <c r="M90" s="37">
        <f t="shared" si="19"/>
        <v>8538.4347153262806</v>
      </c>
      <c r="N90" s="37">
        <f>SUM(M90:M$113)</f>
        <v>42541.114982414278</v>
      </c>
      <c r="O90" s="47">
        <f t="shared" si="20"/>
        <v>4.9823083973522708</v>
      </c>
      <c r="P90" s="37">
        <f>(J91+0.5*K90)/(1+'General input'!$C$113)^E90</f>
        <v>128.557832673994</v>
      </c>
      <c r="Q90" s="37">
        <f>SUM(P90:P$113)</f>
        <v>551.60589134898896</v>
      </c>
      <c r="R90" s="37">
        <f t="shared" si="21"/>
        <v>4.2907217699273916</v>
      </c>
      <c r="T90" s="44">
        <f>'Life table (HE)'!C$22</f>
        <v>0.52288000000000001</v>
      </c>
      <c r="V90" s="48">
        <f t="shared" si="28"/>
        <v>4464.5767439498059</v>
      </c>
      <c r="W90" s="37">
        <f>SUM(V90:V$115)</f>
        <v>22243.898202004781</v>
      </c>
      <c r="X90" s="47">
        <f t="shared" si="22"/>
        <v>2.6051494148075558</v>
      </c>
      <c r="Y90" s="37">
        <f>V90/(1+'General input'!$C$113)^E90</f>
        <v>67.22031954857799</v>
      </c>
      <c r="Z90" s="37">
        <f>SUM(Y90:Y$115)</f>
        <v>288.42368846855936</v>
      </c>
      <c r="AA90" s="47">
        <f t="shared" si="23"/>
        <v>2.2435325990596344</v>
      </c>
      <c r="AB90" s="47"/>
      <c r="AC90" s="37">
        <f t="shared" si="29"/>
        <v>86.5</v>
      </c>
      <c r="AD90" s="37">
        <f t="shared" si="24"/>
        <v>134416.99478803022</v>
      </c>
      <c r="AF90" s="4"/>
      <c r="AI90" s="4"/>
      <c r="AL90" s="4"/>
      <c r="AP90" s="41"/>
      <c r="AQ90" s="41"/>
      <c r="AR90" s="49"/>
      <c r="AS90" s="41"/>
      <c r="AT90" s="41"/>
      <c r="AU90" s="41"/>
      <c r="AV90" s="41"/>
      <c r="AW90" s="41"/>
      <c r="AX90" s="41"/>
      <c r="AY90" s="41"/>
      <c r="AZ90" s="41"/>
      <c r="BA90" s="41"/>
      <c r="BB90" s="41"/>
      <c r="BC90" s="41"/>
      <c r="BD90" s="6"/>
      <c r="BE90" s="7"/>
      <c r="BF90" s="7"/>
      <c r="BG90" s="7"/>
      <c r="BH90" s="7"/>
      <c r="BI90" s="7"/>
      <c r="BJ90" s="7"/>
      <c r="BK90" s="7"/>
      <c r="BL90" s="7"/>
      <c r="BN90"/>
      <c r="BO90"/>
      <c r="BP90"/>
      <c r="BQ90"/>
      <c r="BR90"/>
      <c r="BS90"/>
      <c r="BT90" s="52"/>
      <c r="BU90" s="52"/>
      <c r="BV90" s="55"/>
      <c r="BW90" s="55"/>
      <c r="BX90" s="52"/>
      <c r="BY90" s="50"/>
      <c r="CA90" s="49"/>
      <c r="CB90" s="49"/>
      <c r="CC90" s="49"/>
      <c r="CD90" s="49"/>
      <c r="CE90" s="49"/>
      <c r="CF90" s="49"/>
      <c r="CG90" s="49"/>
      <c r="CH90" s="49"/>
      <c r="CI90" s="49"/>
      <c r="CJ90" s="41"/>
      <c r="CK90" s="7"/>
      <c r="CL90" s="7"/>
      <c r="CM90" s="7"/>
      <c r="CN90" s="7"/>
      <c r="CO90" s="7"/>
      <c r="CP90" s="7"/>
      <c r="CQ90" s="7"/>
      <c r="CR90" s="7"/>
      <c r="CS90" s="7"/>
    </row>
    <row r="91" spans="5:97" ht="14.4" x14ac:dyDescent="0.3">
      <c r="E91" s="138">
        <v>87</v>
      </c>
      <c r="F91" s="44">
        <f>'Life table (HE)'!B$22</f>
        <v>0.1825</v>
      </c>
      <c r="H91" s="45">
        <f t="shared" si="25"/>
        <v>0.1825</v>
      </c>
      <c r="I91" s="46">
        <f t="shared" si="26"/>
        <v>0.16681535607166953</v>
      </c>
      <c r="J91" s="37">
        <f t="shared" si="27"/>
        <v>7761.4578668405575</v>
      </c>
      <c r="K91" s="41">
        <f t="shared" si="18"/>
        <v>1294.7303576922682</v>
      </c>
      <c r="L91" s="41">
        <f>SUM($K$4:K90)</f>
        <v>92238.542133159368</v>
      </c>
      <c r="M91" s="37">
        <f t="shared" si="19"/>
        <v>7114.0926879944236</v>
      </c>
      <c r="N91" s="37">
        <f>SUM(M91:M$113)</f>
        <v>34002.680267087999</v>
      </c>
      <c r="O91" s="47">
        <f t="shared" si="20"/>
        <v>4.7796228919634585</v>
      </c>
      <c r="P91" s="37">
        <f>(J92+0.5*K91)/(1+'General input'!$C$113)^E91</f>
        <v>102.0118209911234</v>
      </c>
      <c r="Q91" s="37">
        <f>SUM(P91:P$113)</f>
        <v>423.04805867499516</v>
      </c>
      <c r="R91" s="37">
        <f t="shared" si="21"/>
        <v>4.1470493768737535</v>
      </c>
      <c r="T91" s="44">
        <f>'Life table (HE)'!C$22</f>
        <v>0.52288000000000001</v>
      </c>
      <c r="V91" s="48">
        <f t="shared" si="28"/>
        <v>3719.8167846985243</v>
      </c>
      <c r="W91" s="37">
        <f>SUM(V91:V$115)</f>
        <v>17779.321458054976</v>
      </c>
      <c r="X91" s="47">
        <f t="shared" si="22"/>
        <v>2.4991692177498535</v>
      </c>
      <c r="Y91" s="37">
        <f>V91/(1+'General input'!$C$113)^E91</f>
        <v>53.3399409598386</v>
      </c>
      <c r="Z91" s="37">
        <f>SUM(Y91:Y$115)</f>
        <v>221.20336891998144</v>
      </c>
      <c r="AA91" s="47">
        <f t="shared" si="23"/>
        <v>2.1684091781797479</v>
      </c>
      <c r="AB91" s="47"/>
      <c r="AC91" s="37">
        <f t="shared" si="29"/>
        <v>87.5</v>
      </c>
      <c r="AD91" s="37">
        <f t="shared" si="24"/>
        <v>113288.90629807346</v>
      </c>
      <c r="AF91" s="4"/>
      <c r="AI91" s="4"/>
      <c r="AL91" s="4"/>
      <c r="AP91" s="41"/>
      <c r="AQ91" s="41"/>
      <c r="AR91" s="49"/>
      <c r="AS91" s="41"/>
      <c r="AT91" s="41"/>
      <c r="AU91" s="41"/>
      <c r="AV91" s="41"/>
      <c r="AW91" s="41"/>
      <c r="AX91" s="41"/>
      <c r="AY91" s="41"/>
      <c r="AZ91" s="41"/>
      <c r="BA91" s="41"/>
      <c r="BB91" s="41"/>
      <c r="BC91" s="41"/>
      <c r="BD91" s="6"/>
      <c r="BE91" s="7"/>
      <c r="BF91" s="7"/>
      <c r="BG91" s="7"/>
      <c r="BH91" s="7"/>
      <c r="BI91" s="7"/>
      <c r="BJ91" s="7"/>
      <c r="BK91" s="7"/>
      <c r="BL91" s="7"/>
      <c r="BN91"/>
      <c r="BO91"/>
      <c r="BP91"/>
      <c r="BQ91"/>
      <c r="BR91"/>
      <c r="BS91"/>
      <c r="BT91" s="52"/>
      <c r="BU91" s="52"/>
      <c r="BV91" s="55"/>
      <c r="BW91" s="55"/>
      <c r="BX91" s="52"/>
      <c r="BY91" s="50"/>
      <c r="CA91" s="49"/>
      <c r="CB91" s="49"/>
      <c r="CC91" s="49"/>
      <c r="CD91" s="49"/>
      <c r="CE91" s="49"/>
      <c r="CF91" s="49"/>
      <c r="CG91" s="49"/>
      <c r="CH91" s="49"/>
      <c r="CI91" s="49"/>
      <c r="CJ91" s="41"/>
      <c r="CK91" s="7"/>
      <c r="CL91" s="7"/>
      <c r="CM91" s="7"/>
      <c r="CN91" s="7"/>
      <c r="CO91" s="7"/>
      <c r="CP91" s="7"/>
      <c r="CQ91" s="7"/>
      <c r="CR91" s="7"/>
      <c r="CS91" s="7"/>
    </row>
    <row r="92" spans="5:97" ht="14.4" x14ac:dyDescent="0.3">
      <c r="E92" s="138">
        <v>88</v>
      </c>
      <c r="F92" s="44">
        <f>'Life table (HE)'!B$22</f>
        <v>0.1825</v>
      </c>
      <c r="H92" s="45">
        <f t="shared" si="25"/>
        <v>0.1825</v>
      </c>
      <c r="I92" s="46">
        <f t="shared" si="26"/>
        <v>0.16681535607166953</v>
      </c>
      <c r="J92" s="37">
        <f t="shared" si="27"/>
        <v>6466.7275091482898</v>
      </c>
      <c r="K92" s="41">
        <f t="shared" si="18"/>
        <v>1078.7494520570326</v>
      </c>
      <c r="L92" s="41">
        <f>SUM($K$4:K91)</f>
        <v>93533.272490851639</v>
      </c>
      <c r="M92" s="37">
        <f t="shared" si="19"/>
        <v>5927.3527831197734</v>
      </c>
      <c r="N92" s="37">
        <f>SUM(M92:M$113)</f>
        <v>26888.587579093582</v>
      </c>
      <c r="O92" s="47">
        <f t="shared" si="20"/>
        <v>4.5363568802026286</v>
      </c>
      <c r="P92" s="37">
        <f>(J93+0.5*K92)/(1+'General input'!$C$113)^E92</f>
        <v>80.947316903780717</v>
      </c>
      <c r="Q92" s="37">
        <f>SUM(P92:P$113)</f>
        <v>321.03623768387178</v>
      </c>
      <c r="R92" s="37">
        <f t="shared" si="21"/>
        <v>3.9659898556671926</v>
      </c>
      <c r="T92" s="44">
        <f>'Life table (HE)'!C$22</f>
        <v>0.52288000000000001</v>
      </c>
      <c r="V92" s="48">
        <f t="shared" si="28"/>
        <v>3099.2942232376672</v>
      </c>
      <c r="W92" s="37">
        <f>SUM(V92:V$115)</f>
        <v>14059.504673356452</v>
      </c>
      <c r="X92" s="47">
        <f t="shared" si="22"/>
        <v>2.3719702855203502</v>
      </c>
      <c r="Y92" s="37">
        <f>V92/(1+'General input'!$C$113)^E92</f>
        <v>42.325733062648865</v>
      </c>
      <c r="Z92" s="37">
        <f>SUM(Y92:Y$115)</f>
        <v>167.86342796014284</v>
      </c>
      <c r="AA92" s="47">
        <f t="shared" si="23"/>
        <v>2.0737367757312613</v>
      </c>
      <c r="AB92" s="47"/>
      <c r="AC92" s="37">
        <f t="shared" si="29"/>
        <v>88.5</v>
      </c>
      <c r="AD92" s="37">
        <f t="shared" si="24"/>
        <v>95469.326507047386</v>
      </c>
      <c r="AF92" s="4"/>
      <c r="AI92" s="4"/>
      <c r="AL92" s="4"/>
      <c r="AP92" s="41"/>
      <c r="AQ92" s="41"/>
      <c r="AR92" s="49"/>
      <c r="AS92" s="41"/>
      <c r="AT92" s="41"/>
      <c r="AU92" s="41"/>
      <c r="AV92" s="41"/>
      <c r="AW92" s="41"/>
      <c r="AX92" s="41"/>
      <c r="AY92" s="41"/>
      <c r="AZ92" s="41"/>
      <c r="BA92" s="41"/>
      <c r="BB92" s="41"/>
      <c r="BC92" s="41"/>
      <c r="BD92" s="6"/>
      <c r="BE92" s="7"/>
      <c r="BF92" s="7"/>
      <c r="BG92" s="7"/>
      <c r="BH92" s="7"/>
      <c r="BI92" s="7"/>
      <c r="BJ92" s="7"/>
      <c r="BK92" s="7"/>
      <c r="BL92" s="7"/>
      <c r="BN92"/>
      <c r="BO92"/>
      <c r="BP92"/>
      <c r="BQ92"/>
      <c r="BR92"/>
      <c r="BS92"/>
      <c r="BT92" s="52"/>
      <c r="BU92" s="52"/>
      <c r="BV92" s="55"/>
      <c r="BW92" s="55"/>
      <c r="BX92" s="52"/>
      <c r="BY92" s="50"/>
      <c r="CA92" s="49"/>
      <c r="CB92" s="49"/>
      <c r="CC92" s="49"/>
      <c r="CD92" s="49"/>
      <c r="CE92" s="49"/>
      <c r="CF92" s="49"/>
      <c r="CG92" s="49"/>
      <c r="CH92" s="49"/>
      <c r="CI92" s="49"/>
      <c r="CJ92" s="41"/>
      <c r="CK92" s="7"/>
      <c r="CL92" s="7"/>
      <c r="CM92" s="7"/>
      <c r="CN92" s="7"/>
      <c r="CO92" s="7"/>
      <c r="CP92" s="7"/>
      <c r="CQ92" s="7"/>
      <c r="CR92" s="7"/>
      <c r="CS92" s="7"/>
    </row>
    <row r="93" spans="5:97" ht="14.4" x14ac:dyDescent="0.3">
      <c r="E93" s="138">
        <v>89</v>
      </c>
      <c r="F93" s="44">
        <f>'Life table (HE)'!B$22</f>
        <v>0.1825</v>
      </c>
      <c r="H93" s="45">
        <f t="shared" si="25"/>
        <v>0.1825</v>
      </c>
      <c r="I93" s="46">
        <f t="shared" si="26"/>
        <v>0.16681535607166953</v>
      </c>
      <c r="J93" s="37">
        <f t="shared" si="27"/>
        <v>5387.9780570912571</v>
      </c>
      <c r="K93" s="41">
        <f t="shared" si="18"/>
        <v>898.79747810002027</v>
      </c>
      <c r="L93" s="41">
        <f>SUM($K$4:K92)</f>
        <v>94612.021942908672</v>
      </c>
      <c r="M93" s="37">
        <f t="shared" si="19"/>
        <v>4938.5793180412475</v>
      </c>
      <c r="N93" s="37">
        <f>SUM(M93:M$113)</f>
        <v>20961.234795973811</v>
      </c>
      <c r="O93" s="47">
        <f t="shared" si="20"/>
        <v>4.2443855704412403</v>
      </c>
      <c r="P93" s="37">
        <f>(J94+0.5*K93)/(1+'General input'!$C$113)^E93</f>
        <v>64.232439439457394</v>
      </c>
      <c r="Q93" s="37">
        <f>SUM(P93:P$113)</f>
        <v>240.08892078009106</v>
      </c>
      <c r="R93" s="37">
        <f t="shared" si="21"/>
        <v>3.7378141461743497</v>
      </c>
      <c r="T93" s="44">
        <f>'Life table (HE)'!C$22</f>
        <v>0.52288000000000001</v>
      </c>
      <c r="V93" s="48">
        <f t="shared" si="28"/>
        <v>2582.2843538174075</v>
      </c>
      <c r="W93" s="37">
        <f>SUM(V93:V$115)</f>
        <v>10960.21045011879</v>
      </c>
      <c r="X93" s="47">
        <f t="shared" si="22"/>
        <v>2.2193043270723165</v>
      </c>
      <c r="Y93" s="37">
        <f>V93/(1+'General input'!$C$113)^E93</f>
        <v>33.58585793410348</v>
      </c>
      <c r="Z93" s="37">
        <f>SUM(Y93:Y$115)</f>
        <v>125.53769489749399</v>
      </c>
      <c r="AA93" s="47">
        <f t="shared" si="23"/>
        <v>1.9544282607516437</v>
      </c>
      <c r="AB93" s="47"/>
      <c r="AC93" s="37">
        <f t="shared" si="29"/>
        <v>89.5</v>
      </c>
      <c r="AD93" s="37">
        <f t="shared" si="24"/>
        <v>80442.374289951811</v>
      </c>
      <c r="AF93" s="4"/>
      <c r="AI93" s="4"/>
      <c r="AL93" s="4"/>
      <c r="AP93" s="41"/>
      <c r="AQ93" s="41"/>
      <c r="AR93" s="49"/>
      <c r="AS93" s="41"/>
      <c r="AT93" s="41"/>
      <c r="AU93" s="41"/>
      <c r="AV93" s="41"/>
      <c r="AW93" s="41"/>
      <c r="AX93" s="41"/>
      <c r="AY93" s="41"/>
      <c r="AZ93" s="41"/>
      <c r="BA93" s="41"/>
      <c r="BB93" s="41"/>
      <c r="BC93" s="41"/>
      <c r="BD93" s="6"/>
      <c r="BE93" s="7"/>
      <c r="BF93" s="7"/>
      <c r="BG93" s="7"/>
      <c r="BH93" s="7"/>
      <c r="BI93" s="7"/>
      <c r="BJ93" s="7"/>
      <c r="BK93" s="7"/>
      <c r="BL93" s="7"/>
      <c r="BN93"/>
      <c r="BO93"/>
      <c r="BP93"/>
      <c r="BQ93"/>
      <c r="BR93"/>
      <c r="BS93"/>
      <c r="BT93" s="52"/>
      <c r="BU93" s="52"/>
      <c r="BV93" s="55"/>
      <c r="BW93" s="55"/>
      <c r="BX93" s="52"/>
      <c r="BY93" s="50"/>
      <c r="CA93" s="49"/>
      <c r="CB93" s="49"/>
      <c r="CC93" s="49"/>
      <c r="CD93" s="49"/>
      <c r="CE93" s="49"/>
      <c r="CF93" s="49"/>
      <c r="CG93" s="49"/>
      <c r="CH93" s="49"/>
      <c r="CI93" s="49"/>
      <c r="CJ93" s="41"/>
      <c r="CK93" s="7"/>
      <c r="CL93" s="7"/>
      <c r="CM93" s="7"/>
      <c r="CN93" s="7"/>
      <c r="CO93" s="7"/>
      <c r="CP93" s="7"/>
      <c r="CQ93" s="7"/>
      <c r="CR93" s="7"/>
      <c r="CS93" s="7"/>
    </row>
    <row r="94" spans="5:97" ht="14.4" x14ac:dyDescent="0.3">
      <c r="E94" s="138">
        <v>90</v>
      </c>
      <c r="F94" s="44">
        <f>'Life table (HE)'!B$23</f>
        <v>0.25850000000000001</v>
      </c>
      <c r="H94" s="45">
        <f t="shared" si="25"/>
        <v>0.25850000000000001</v>
      </c>
      <c r="I94" s="46">
        <f t="shared" si="26"/>
        <v>0.22779096895081519</v>
      </c>
      <c r="J94" s="37">
        <f t="shared" si="27"/>
        <v>4489.1805789912369</v>
      </c>
      <c r="K94" s="41">
        <f t="shared" si="18"/>
        <v>1022.5947938835953</v>
      </c>
      <c r="L94" s="41">
        <f>SUM($K$4:K93)</f>
        <v>95510.819421008695</v>
      </c>
      <c r="M94" s="37">
        <f t="shared" si="19"/>
        <v>3977.8831820494393</v>
      </c>
      <c r="N94" s="37">
        <f>SUM(M94:M$113)</f>
        <v>16022.655477932567</v>
      </c>
      <c r="O94" s="47">
        <f t="shared" si="20"/>
        <v>4.0279351465714885</v>
      </c>
      <c r="P94" s="37">
        <f>(J95+0.5*K94)/(1+'General input'!$C$113)^E94</f>
        <v>49.273692490165161</v>
      </c>
      <c r="Q94" s="37">
        <f>SUM(P94:P$113)</f>
        <v>175.85648134063368</v>
      </c>
      <c r="R94" s="37">
        <f t="shared" si="21"/>
        <v>3.5689730656117149</v>
      </c>
      <c r="T94" s="44">
        <f>'Life table (HE)'!C$23</f>
        <v>0.52288000000000001</v>
      </c>
      <c r="V94" s="48">
        <f t="shared" si="28"/>
        <v>2079.9555582300109</v>
      </c>
      <c r="W94" s="37">
        <f>SUM(V94:V$115)</f>
        <v>8377.9260963013785</v>
      </c>
      <c r="X94" s="47">
        <f t="shared" si="22"/>
        <v>2.1061267294392993</v>
      </c>
      <c r="Y94" s="37">
        <f>V94/(1+'General input'!$C$113)^E94</f>
        <v>25.764228329257559</v>
      </c>
      <c r="Z94" s="37">
        <f>SUM(Y94:Y$115)</f>
        <v>91.951836963390519</v>
      </c>
      <c r="AA94" s="47">
        <f t="shared" si="23"/>
        <v>1.8661446365470531</v>
      </c>
      <c r="AB94" s="47"/>
      <c r="AC94" s="37">
        <f t="shared" si="29"/>
        <v>90.5</v>
      </c>
      <c r="AD94" s="37">
        <f t="shared" si="24"/>
        <v>92544.828846465374</v>
      </c>
      <c r="AF94" s="4"/>
      <c r="AI94" s="4"/>
      <c r="AL94" s="4"/>
      <c r="AP94" s="41"/>
      <c r="AQ94" s="41"/>
      <c r="AR94" s="49"/>
      <c r="AS94" s="41"/>
      <c r="AT94" s="41"/>
      <c r="AU94" s="41"/>
      <c r="AV94" s="41"/>
      <c r="AW94" s="41"/>
      <c r="AX94" s="41"/>
      <c r="AY94" s="41"/>
      <c r="AZ94" s="41"/>
      <c r="BA94" s="41"/>
      <c r="BB94" s="41"/>
      <c r="BC94" s="41"/>
      <c r="BD94" s="6"/>
      <c r="BE94" s="7"/>
      <c r="BF94" s="7"/>
      <c r="BG94" s="7"/>
      <c r="BH94" s="7"/>
      <c r="BI94" s="7"/>
      <c r="BJ94" s="7"/>
      <c r="BK94" s="7"/>
      <c r="BL94" s="7"/>
      <c r="BN94"/>
      <c r="BO94"/>
      <c r="BP94"/>
      <c r="BQ94"/>
      <c r="BR94"/>
      <c r="BS94"/>
      <c r="BT94" s="52"/>
      <c r="BU94" s="52"/>
      <c r="BV94" s="55"/>
      <c r="BW94" s="55"/>
      <c r="BX94" s="52"/>
      <c r="BY94" s="50"/>
      <c r="CA94" s="49"/>
      <c r="CB94" s="49"/>
      <c r="CC94" s="49"/>
      <c r="CD94" s="49"/>
      <c r="CE94" s="49"/>
      <c r="CF94" s="49"/>
      <c r="CG94" s="49"/>
      <c r="CH94" s="49"/>
      <c r="CI94" s="49"/>
      <c r="CJ94" s="41"/>
      <c r="CK94" s="7"/>
      <c r="CL94" s="7"/>
      <c r="CM94" s="7"/>
      <c r="CN94" s="7"/>
      <c r="CO94" s="7"/>
      <c r="CP94" s="7"/>
      <c r="CQ94" s="7"/>
      <c r="CR94" s="7"/>
      <c r="CS94" s="7"/>
    </row>
    <row r="95" spans="5:97" ht="14.4" x14ac:dyDescent="0.3">
      <c r="E95" s="138">
        <v>91</v>
      </c>
      <c r="F95" s="44">
        <f>'Life table (HE)'!B$23</f>
        <v>0.25850000000000001</v>
      </c>
      <c r="H95" s="45">
        <f t="shared" si="25"/>
        <v>0.25850000000000001</v>
      </c>
      <c r="I95" s="46">
        <f t="shared" si="26"/>
        <v>0.22779096895081519</v>
      </c>
      <c r="J95" s="37">
        <f t="shared" si="27"/>
        <v>3466.5857851076416</v>
      </c>
      <c r="K95" s="41">
        <f t="shared" si="18"/>
        <v>789.6569349407921</v>
      </c>
      <c r="L95" s="41">
        <f>SUM($K$4:K94)</f>
        <v>96533.414214892284</v>
      </c>
      <c r="M95" s="37">
        <f t="shared" si="19"/>
        <v>3071.7573176372457</v>
      </c>
      <c r="N95" s="37">
        <f>SUM(M95:M$113)</f>
        <v>12044.772295883125</v>
      </c>
      <c r="O95" s="47">
        <f t="shared" si="20"/>
        <v>3.9211340774627996</v>
      </c>
      <c r="P95" s="37">
        <f>(J96+0.5*K95)/(1+'General input'!$C$113)^E95</f>
        <v>36.237705080043739</v>
      </c>
      <c r="Q95" s="37">
        <f>SUM(P95:P$113)</f>
        <v>126.58278885046846</v>
      </c>
      <c r="R95" s="37">
        <f t="shared" si="21"/>
        <v>3.4931237662778529</v>
      </c>
      <c r="T95" s="44">
        <f>'Life table (HE)'!C$23</f>
        <v>0.52288000000000001</v>
      </c>
      <c r="V95" s="48">
        <f t="shared" si="28"/>
        <v>1606.160466246163</v>
      </c>
      <c r="W95" s="37">
        <f>SUM(V95:V$115)</f>
        <v>6297.9705380713667</v>
      </c>
      <c r="X95" s="47">
        <f t="shared" si="22"/>
        <v>2.0502825864237479</v>
      </c>
      <c r="Y95" s="37">
        <f>V95/(1+'General input'!$C$113)^E95</f>
        <v>18.94797123225327</v>
      </c>
      <c r="Z95" s="37">
        <f>SUM(Y95:Y$115)</f>
        <v>66.187608634132971</v>
      </c>
      <c r="AA95" s="47">
        <f t="shared" si="23"/>
        <v>1.8264845549113642</v>
      </c>
      <c r="AB95" s="47"/>
      <c r="AC95" s="37">
        <f t="shared" si="29"/>
        <v>91.5</v>
      </c>
      <c r="AD95" s="37">
        <f t="shared" si="24"/>
        <v>72253.60954708248</v>
      </c>
      <c r="AF95" s="4"/>
      <c r="AI95" s="4"/>
      <c r="AL95" s="4"/>
      <c r="AP95" s="41"/>
      <c r="AQ95" s="41"/>
      <c r="AR95" s="49"/>
      <c r="AS95" s="41"/>
      <c r="AT95" s="41"/>
      <c r="AU95" s="41"/>
      <c r="AV95" s="41"/>
      <c r="AW95" s="41"/>
      <c r="AX95" s="41"/>
      <c r="AY95" s="41"/>
      <c r="AZ95" s="41"/>
      <c r="BA95" s="41"/>
      <c r="BB95" s="41"/>
      <c r="BC95" s="41"/>
      <c r="BD95" s="6"/>
      <c r="BE95" s="7"/>
      <c r="BF95" s="7"/>
      <c r="BG95" s="7"/>
      <c r="BH95" s="7"/>
      <c r="BI95" s="7"/>
      <c r="BJ95" s="7"/>
      <c r="BK95" s="7"/>
      <c r="BL95" s="7"/>
      <c r="BN95"/>
      <c r="BO95"/>
      <c r="BP95"/>
      <c r="BQ95"/>
      <c r="BR95"/>
      <c r="BS95"/>
      <c r="BT95" s="52"/>
      <c r="BU95" s="52"/>
      <c r="BV95" s="55"/>
      <c r="BW95" s="55"/>
      <c r="BX95" s="52"/>
      <c r="BY95" s="50"/>
      <c r="CA95" s="49"/>
      <c r="CB95" s="49"/>
      <c r="CC95" s="49"/>
      <c r="CD95" s="49"/>
      <c r="CE95" s="49"/>
      <c r="CF95" s="49"/>
      <c r="CG95" s="49"/>
      <c r="CH95" s="49"/>
      <c r="CI95" s="49"/>
      <c r="CJ95" s="41"/>
      <c r="CK95" s="7"/>
      <c r="CL95" s="7"/>
      <c r="CM95" s="7"/>
      <c r="CN95" s="7"/>
      <c r="CO95" s="7"/>
      <c r="CP95" s="7"/>
      <c r="CQ95" s="7"/>
      <c r="CR95" s="7"/>
      <c r="CS95" s="7"/>
    </row>
    <row r="96" spans="5:97" ht="14.4" x14ac:dyDescent="0.3">
      <c r="E96" s="138">
        <v>92</v>
      </c>
      <c r="F96" s="44">
        <f>'Life table (HE)'!B$23</f>
        <v>0.25850000000000001</v>
      </c>
      <c r="H96" s="45">
        <f t="shared" si="25"/>
        <v>0.25850000000000001</v>
      </c>
      <c r="I96" s="46">
        <f t="shared" si="26"/>
        <v>0.22779096895081519</v>
      </c>
      <c r="J96" s="37">
        <f t="shared" si="27"/>
        <v>2676.9288501668498</v>
      </c>
      <c r="K96" s="41">
        <f t="shared" si="18"/>
        <v>609.78021659189824</v>
      </c>
      <c r="L96" s="41">
        <f>SUM($K$4:K95)</f>
        <v>97323.071149833078</v>
      </c>
      <c r="M96" s="37">
        <f t="shared" si="19"/>
        <v>2372.0387418709006</v>
      </c>
      <c r="N96" s="37">
        <f>SUM(M96:M$113)</f>
        <v>8973.014978245883</v>
      </c>
      <c r="O96" s="47">
        <f t="shared" si="20"/>
        <v>3.7828281721775707</v>
      </c>
      <c r="P96" s="37">
        <f>(J97+0.5*K96)/(1+'General input'!$C$113)^E96</f>
        <v>26.65055535933972</v>
      </c>
      <c r="Q96" s="37">
        <f>SUM(P96:P$113)</f>
        <v>90.345083770424736</v>
      </c>
      <c r="R96" s="37">
        <f t="shared" si="21"/>
        <v>3.3899887845587875</v>
      </c>
      <c r="T96" s="44">
        <f>'Life table (HE)'!C$23</f>
        <v>0.52288000000000001</v>
      </c>
      <c r="V96" s="48">
        <f t="shared" si="28"/>
        <v>1240.2916173494566</v>
      </c>
      <c r="W96" s="37">
        <f>SUM(V96:V$115)</f>
        <v>4691.8100718252035</v>
      </c>
      <c r="X96" s="47">
        <f t="shared" si="22"/>
        <v>1.9779651946682064</v>
      </c>
      <c r="Y96" s="37">
        <f>V96/(1+'General input'!$C$113)^E96</f>
        <v>13.935042386291553</v>
      </c>
      <c r="Z96" s="37">
        <f>SUM(Y96:Y$115)</f>
        <v>47.239637401879683</v>
      </c>
      <c r="AA96" s="47">
        <f t="shared" si="23"/>
        <v>1.7725573356700988</v>
      </c>
      <c r="AB96" s="47"/>
      <c r="AC96" s="37">
        <f t="shared" si="29"/>
        <v>92.5</v>
      </c>
      <c r="AD96" s="37">
        <f t="shared" si="24"/>
        <v>56404.67003475059</v>
      </c>
      <c r="AF96" s="4"/>
      <c r="AI96" s="4"/>
      <c r="AL96" s="4"/>
      <c r="AP96" s="41"/>
      <c r="AQ96" s="41"/>
      <c r="AR96" s="49"/>
      <c r="AS96" s="41"/>
      <c r="AT96" s="41"/>
      <c r="AU96" s="41"/>
      <c r="AV96" s="41"/>
      <c r="AW96" s="41"/>
      <c r="AX96" s="41"/>
      <c r="AY96" s="41"/>
      <c r="AZ96" s="41"/>
      <c r="BA96" s="41"/>
      <c r="BB96" s="41"/>
      <c r="BC96" s="41"/>
      <c r="BD96" s="6"/>
      <c r="BE96" s="7"/>
      <c r="BF96" s="7"/>
      <c r="BG96" s="7"/>
      <c r="BH96" s="7"/>
      <c r="BI96" s="7"/>
      <c r="BJ96" s="7"/>
      <c r="BK96" s="7"/>
      <c r="BL96" s="7"/>
      <c r="BN96"/>
      <c r="BO96"/>
      <c r="BP96"/>
      <c r="BQ96"/>
      <c r="BR96"/>
      <c r="BS96"/>
      <c r="BT96" s="52"/>
      <c r="BU96" s="52"/>
      <c r="BV96" s="55"/>
      <c r="BW96" s="55"/>
      <c r="BX96" s="52"/>
      <c r="BY96" s="50"/>
      <c r="CA96" s="49"/>
      <c r="CB96" s="49"/>
      <c r="CC96" s="49"/>
      <c r="CD96" s="49"/>
      <c r="CE96" s="49"/>
      <c r="CF96" s="49"/>
      <c r="CG96" s="49"/>
      <c r="CH96" s="49"/>
      <c r="CI96" s="49"/>
      <c r="CJ96" s="41"/>
      <c r="CK96" s="7"/>
      <c r="CL96" s="7"/>
      <c r="CM96" s="7"/>
      <c r="CN96" s="7"/>
      <c r="CO96" s="7"/>
      <c r="CP96" s="7"/>
      <c r="CQ96" s="7"/>
      <c r="CR96" s="7"/>
      <c r="CS96" s="7"/>
    </row>
    <row r="97" spans="5:97" ht="14.4" x14ac:dyDescent="0.3">
      <c r="E97" s="138">
        <v>93</v>
      </c>
      <c r="F97" s="44">
        <f>'Life table (HE)'!B$23</f>
        <v>0.25850000000000001</v>
      </c>
      <c r="H97" s="45">
        <f t="shared" si="25"/>
        <v>0.25850000000000001</v>
      </c>
      <c r="I97" s="46">
        <f t="shared" si="26"/>
        <v>0.22779096895081519</v>
      </c>
      <c r="J97" s="37">
        <f t="shared" si="27"/>
        <v>2067.1486335749514</v>
      </c>
      <c r="K97" s="41">
        <f t="shared" si="18"/>
        <v>470.8777902073918</v>
      </c>
      <c r="L97" s="41">
        <f>SUM($K$4:K96)</f>
        <v>97932.851366424977</v>
      </c>
      <c r="M97" s="37">
        <f t="shared" si="19"/>
        <v>1831.7097384712554</v>
      </c>
      <c r="N97" s="37">
        <f>SUM(M97:M$113)</f>
        <v>6600.976236374976</v>
      </c>
      <c r="O97" s="47">
        <f t="shared" si="20"/>
        <v>3.6037239403903314</v>
      </c>
      <c r="P97" s="37">
        <f>(J98+0.5*K97)/(1+'General input'!$C$113)^E97</f>
        <v>19.599809077103217</v>
      </c>
      <c r="Q97" s="37">
        <f>SUM(P97:P$113)</f>
        <v>63.694528411085031</v>
      </c>
      <c r="R97" s="37">
        <f t="shared" si="21"/>
        <v>3.2497524930226951</v>
      </c>
      <c r="T97" s="44">
        <f>'Life table (HE)'!C$23</f>
        <v>0.52288000000000001</v>
      </c>
      <c r="V97" s="48">
        <f t="shared" si="28"/>
        <v>957.76438805185001</v>
      </c>
      <c r="W97" s="37">
        <f>SUM(V97:V$115)</f>
        <v>3451.5184544757481</v>
      </c>
      <c r="X97" s="47">
        <f t="shared" si="22"/>
        <v>1.8843151739512969</v>
      </c>
      <c r="Y97" s="37">
        <f>V97/(1+'General input'!$C$113)^E97</f>
        <v>10.24834817023573</v>
      </c>
      <c r="Z97" s="37">
        <f>SUM(Y97:Y$115)</f>
        <v>33.304595015588134</v>
      </c>
      <c r="AA97" s="47">
        <f t="shared" si="23"/>
        <v>1.6992305835517065</v>
      </c>
      <c r="AB97" s="47"/>
      <c r="AC97" s="37">
        <f t="shared" si="29"/>
        <v>93.5</v>
      </c>
      <c r="AD97" s="37">
        <f t="shared" si="24"/>
        <v>44027.073384391137</v>
      </c>
      <c r="AF97" s="4"/>
      <c r="AI97" s="4"/>
      <c r="AL97" s="4"/>
      <c r="AP97" s="41"/>
      <c r="AQ97" s="41"/>
      <c r="AR97" s="49"/>
      <c r="AS97" s="41"/>
      <c r="AT97" s="41"/>
      <c r="AU97" s="41"/>
      <c r="AV97" s="41"/>
      <c r="AW97" s="41"/>
      <c r="AX97" s="41"/>
      <c r="AY97" s="41"/>
      <c r="AZ97" s="41"/>
      <c r="BA97" s="41"/>
      <c r="BB97" s="41"/>
      <c r="BC97" s="41"/>
      <c r="BD97" s="6"/>
      <c r="BE97" s="7"/>
      <c r="BF97" s="7"/>
      <c r="BG97" s="7"/>
      <c r="BH97" s="7"/>
      <c r="BI97" s="7"/>
      <c r="BJ97" s="7"/>
      <c r="BK97" s="7"/>
      <c r="BL97" s="7"/>
      <c r="BN97"/>
      <c r="BO97"/>
      <c r="BP97"/>
      <c r="BQ97"/>
      <c r="BR97"/>
      <c r="BS97"/>
      <c r="BT97"/>
      <c r="BU97"/>
      <c r="BV97" s="52"/>
      <c r="BW97" s="52"/>
      <c r="BX97"/>
      <c r="BY97" s="50"/>
      <c r="CA97" s="49"/>
      <c r="CB97" s="49"/>
      <c r="CC97" s="49"/>
      <c r="CD97" s="49"/>
      <c r="CE97" s="49"/>
      <c r="CF97" s="49"/>
      <c r="CG97" s="49"/>
      <c r="CH97" s="49"/>
      <c r="CI97" s="49"/>
      <c r="CJ97" s="41"/>
      <c r="CK97" s="7"/>
      <c r="CL97" s="7"/>
      <c r="CM97" s="7"/>
      <c r="CN97" s="7"/>
      <c r="CO97" s="7"/>
      <c r="CP97" s="7"/>
      <c r="CQ97" s="7"/>
      <c r="CR97" s="7"/>
      <c r="CS97" s="7"/>
    </row>
    <row r="98" spans="5:97" ht="14.4" x14ac:dyDescent="0.3">
      <c r="E98" s="138">
        <v>94</v>
      </c>
      <c r="F98" s="44">
        <f>'Life table (HE)'!B$23</f>
        <v>0.25850000000000001</v>
      </c>
      <c r="H98" s="45">
        <f t="shared" si="25"/>
        <v>0.25850000000000001</v>
      </c>
      <c r="I98" s="46">
        <f t="shared" si="26"/>
        <v>0.22779096895081519</v>
      </c>
      <c r="J98" s="37">
        <f t="shared" si="27"/>
        <v>1596.2708433675596</v>
      </c>
      <c r="K98" s="41">
        <f t="shared" si="18"/>
        <v>363.61608211863131</v>
      </c>
      <c r="L98" s="41">
        <f>SUM($K$4:K97)</f>
        <v>98403.729156632369</v>
      </c>
      <c r="M98" s="37">
        <f t="shared" si="19"/>
        <v>1414.4628023082439</v>
      </c>
      <c r="N98" s="37">
        <f>SUM(M98:M$113)</f>
        <v>4769.2664979037208</v>
      </c>
      <c r="O98" s="47">
        <f t="shared" si="20"/>
        <v>3.3717864408458218</v>
      </c>
      <c r="P98" s="37">
        <f>(J99+0.5*K98)/(1+'General input'!$C$113)^E98</f>
        <v>14.414428167789428</v>
      </c>
      <c r="Q98" s="37">
        <f>SUM(P98:P$113)</f>
        <v>44.094719333981814</v>
      </c>
      <c r="R98" s="37">
        <f t="shared" si="21"/>
        <v>3.0590682350144247</v>
      </c>
      <c r="T98" s="44">
        <f>'Life table (HE)'!C$23</f>
        <v>0.52288000000000001</v>
      </c>
      <c r="V98" s="48">
        <f t="shared" si="28"/>
        <v>739.59431007093463</v>
      </c>
      <c r="W98" s="37">
        <f>SUM(V98:V$115)</f>
        <v>2493.7540664238982</v>
      </c>
      <c r="X98" s="47">
        <f t="shared" si="22"/>
        <v>1.7630396941894637</v>
      </c>
      <c r="Y98" s="37">
        <f>V98/(1+'General input'!$C$113)^E98</f>
        <v>7.5370162003737358</v>
      </c>
      <c r="Z98" s="37">
        <f>SUM(Y98:Y$115)</f>
        <v>23.056246845352412</v>
      </c>
      <c r="AA98" s="47">
        <f t="shared" si="23"/>
        <v>1.5995255987243424</v>
      </c>
      <c r="AB98" s="47"/>
      <c r="AC98" s="37">
        <f t="shared" si="29"/>
        <v>94.5</v>
      </c>
      <c r="AD98" s="37">
        <f t="shared" si="24"/>
        <v>34361.719760210661</v>
      </c>
      <c r="AF98" s="4"/>
      <c r="AI98" s="4"/>
      <c r="AL98" s="4"/>
      <c r="AP98" s="41"/>
      <c r="AQ98" s="41"/>
      <c r="AR98" s="49"/>
      <c r="AS98" s="41"/>
      <c r="AT98" s="41"/>
      <c r="AU98" s="41"/>
      <c r="AV98" s="41"/>
      <c r="AW98" s="41"/>
      <c r="AX98" s="41"/>
      <c r="AY98" s="41"/>
      <c r="AZ98" s="41"/>
      <c r="BA98" s="41"/>
      <c r="BB98" s="41"/>
      <c r="BC98" s="41"/>
      <c r="BD98" s="6"/>
      <c r="BE98" s="7"/>
      <c r="BF98" s="7"/>
      <c r="BG98" s="7"/>
      <c r="BH98" s="7"/>
      <c r="BI98" s="7"/>
      <c r="BJ98" s="7"/>
      <c r="BK98" s="7"/>
      <c r="BL98" s="7"/>
      <c r="BY98" s="50"/>
      <c r="CA98" s="49"/>
      <c r="CB98" s="49"/>
      <c r="CC98" s="49"/>
      <c r="CD98" s="49"/>
      <c r="CE98" s="49"/>
      <c r="CF98" s="49"/>
      <c r="CG98" s="49"/>
      <c r="CH98" s="49"/>
      <c r="CI98" s="49"/>
      <c r="CJ98" s="41"/>
      <c r="CK98" s="7"/>
      <c r="CL98" s="7"/>
      <c r="CM98" s="7"/>
      <c r="CN98" s="7"/>
      <c r="CO98" s="7"/>
      <c r="CP98" s="7"/>
      <c r="CQ98" s="7"/>
      <c r="CR98" s="7"/>
      <c r="CS98" s="7"/>
    </row>
    <row r="99" spans="5:97" ht="14.4" x14ac:dyDescent="0.3">
      <c r="E99" s="138">
        <v>95</v>
      </c>
      <c r="F99" s="44">
        <f>'Life table (HE)'!B$24</f>
        <v>0.35550000000000004</v>
      </c>
      <c r="H99" s="45">
        <f t="shared" si="25"/>
        <v>0.35550000000000004</v>
      </c>
      <c r="I99" s="46">
        <f t="shared" si="26"/>
        <v>0.29917705588095744</v>
      </c>
      <c r="J99" s="37">
        <f t="shared" si="27"/>
        <v>1232.6547612489283</v>
      </c>
      <c r="K99" s="41">
        <f t="shared" si="18"/>
        <v>368.78202238809888</v>
      </c>
      <c r="L99" s="41">
        <f>SUM($K$4:K98)</f>
        <v>98767.345238751004</v>
      </c>
      <c r="M99" s="37">
        <f t="shared" si="19"/>
        <v>1048.2637500548788</v>
      </c>
      <c r="N99" s="37">
        <f>SUM(M99:M$113)</f>
        <v>3354.8036955954772</v>
      </c>
      <c r="O99" s="47">
        <f t="shared" si="20"/>
        <v>3.200343134463866</v>
      </c>
      <c r="P99" s="37">
        <f>(J100+0.5*K99)/(1+'General input'!$C$113)^E99</f>
        <v>10.173892772918114</v>
      </c>
      <c r="Q99" s="37">
        <f>SUM(P99:P$113)</f>
        <v>29.680291166192372</v>
      </c>
      <c r="R99" s="37">
        <f t="shared" si="21"/>
        <v>2.9172993886075096</v>
      </c>
      <c r="T99" s="44">
        <f>'Life table (HE)'!C$24</f>
        <v>0.52288000000000001</v>
      </c>
      <c r="V99" s="48">
        <f t="shared" si="28"/>
        <v>548.11614962869498</v>
      </c>
      <c r="W99" s="37">
        <f>SUM(V99:V$115)</f>
        <v>1754.1597563529631</v>
      </c>
      <c r="X99" s="47">
        <f t="shared" si="22"/>
        <v>1.6733954181484663</v>
      </c>
      <c r="Y99" s="37">
        <f>V99/(1+'General input'!$C$113)^E99</f>
        <v>5.319725053103423</v>
      </c>
      <c r="Z99" s="37">
        <f>SUM(Y99:Y$115)</f>
        <v>15.519230644978668</v>
      </c>
      <c r="AA99" s="47">
        <f t="shared" si="23"/>
        <v>1.5253975043150945</v>
      </c>
      <c r="AB99" s="47"/>
      <c r="AC99" s="37">
        <f t="shared" si="29"/>
        <v>95.5</v>
      </c>
      <c r="AD99" s="37">
        <f t="shared" si="24"/>
        <v>35218.683138063447</v>
      </c>
      <c r="AF99" s="4"/>
      <c r="AI99" s="4"/>
      <c r="AL99" s="4"/>
      <c r="AP99" s="41"/>
      <c r="AQ99" s="41"/>
      <c r="AR99" s="49"/>
      <c r="AS99" s="41"/>
      <c r="AT99" s="41"/>
      <c r="AU99" s="41"/>
      <c r="AV99" s="41"/>
      <c r="AW99" s="41"/>
      <c r="AX99" s="41"/>
      <c r="AY99" s="41"/>
      <c r="AZ99" s="41"/>
      <c r="BA99" s="41"/>
      <c r="BB99" s="41"/>
      <c r="BC99" s="41"/>
      <c r="BD99" s="6"/>
      <c r="BE99" s="7"/>
      <c r="BF99" s="7"/>
      <c r="BG99" s="7"/>
      <c r="BH99" s="7"/>
      <c r="BI99" s="7"/>
      <c r="BJ99" s="7"/>
      <c r="BK99" s="7"/>
      <c r="BL99" s="7"/>
      <c r="BY99" s="50"/>
      <c r="CA99" s="49"/>
      <c r="CB99" s="49"/>
      <c r="CC99" s="49"/>
      <c r="CD99" s="49"/>
      <c r="CE99" s="49"/>
      <c r="CF99" s="49"/>
      <c r="CG99" s="49"/>
      <c r="CH99" s="49"/>
      <c r="CI99" s="49"/>
      <c r="CJ99" s="41"/>
      <c r="CK99" s="7"/>
      <c r="CL99" s="7"/>
      <c r="CM99" s="7"/>
      <c r="CN99" s="7"/>
      <c r="CO99" s="7"/>
      <c r="CP99" s="7"/>
      <c r="CQ99" s="7"/>
      <c r="CR99" s="7"/>
      <c r="CS99" s="7"/>
    </row>
    <row r="100" spans="5:97" ht="14.4" x14ac:dyDescent="0.3">
      <c r="E100" s="138">
        <v>96</v>
      </c>
      <c r="F100" s="44">
        <f>'Life table (HE)'!B$24</f>
        <v>0.35550000000000004</v>
      </c>
      <c r="H100" s="45">
        <f t="shared" si="25"/>
        <v>0.35550000000000004</v>
      </c>
      <c r="I100" s="46">
        <f t="shared" si="26"/>
        <v>0.29917705588095744</v>
      </c>
      <c r="J100" s="37">
        <f t="shared" si="27"/>
        <v>863.87273886082937</v>
      </c>
      <c r="K100" s="41">
        <f t="shared" si="18"/>
        <v>258.4509026682021</v>
      </c>
      <c r="L100" s="41">
        <f>SUM($K$4:K99)</f>
        <v>99136.127261139103</v>
      </c>
      <c r="M100" s="37">
        <f t="shared" si="19"/>
        <v>734.64728752672841</v>
      </c>
      <c r="N100" s="37">
        <f>SUM(M100:M$113)</f>
        <v>2306.5399455405986</v>
      </c>
      <c r="O100" s="47">
        <f t="shared" ref="O100:O113" si="30">N100/M100</f>
        <v>3.1396562468852518</v>
      </c>
      <c r="P100" s="37">
        <f>(J101+0.5*K100)/(1+'General input'!$C$113)^E100</f>
        <v>6.79056903454088</v>
      </c>
      <c r="Q100" s="37">
        <f>SUM(P100:P$113)</f>
        <v>19.506398393274257</v>
      </c>
      <c r="R100" s="37">
        <f t="shared" ref="R100:R113" si="31">Q100/P100</f>
        <v>2.8725719883051175</v>
      </c>
      <c r="T100" s="44">
        <f>'Life table (HE)'!C$24</f>
        <v>0.52288000000000001</v>
      </c>
      <c r="V100" s="48">
        <f t="shared" si="28"/>
        <v>384.13237370197578</v>
      </c>
      <c r="W100" s="37">
        <f>SUM(V100:V$115)</f>
        <v>1206.0436067242681</v>
      </c>
      <c r="X100" s="47">
        <f t="shared" ref="X100:X113" si="32">W100/M100</f>
        <v>1.6416634583713603</v>
      </c>
      <c r="Y100" s="37">
        <f>V100/(1+'General input'!$C$113)^E100</f>
        <v>3.5506527367807359</v>
      </c>
      <c r="Z100" s="37">
        <f>SUM(Y100:Y$115)</f>
        <v>10.199505591875246</v>
      </c>
      <c r="AA100" s="47">
        <f t="shared" ref="AA100:AA113" si="33">Z100/P100</f>
        <v>1.5020104412449802</v>
      </c>
      <c r="AB100" s="47"/>
      <c r="AC100" s="37">
        <f t="shared" si="29"/>
        <v>96.5</v>
      </c>
      <c r="AD100" s="37">
        <f t="shared" ref="AD100:AD113" si="34">AC100*K100</f>
        <v>24940.512107481503</v>
      </c>
      <c r="AF100" s="4"/>
      <c r="AI100" s="4"/>
      <c r="AL100" s="4"/>
      <c r="AP100" s="41"/>
      <c r="AQ100" s="41"/>
      <c r="AR100" s="49"/>
      <c r="AS100" s="41"/>
      <c r="AT100" s="41"/>
      <c r="AU100" s="41"/>
      <c r="AV100" s="41"/>
      <c r="AW100" s="41"/>
      <c r="AX100" s="41"/>
      <c r="AY100" s="41"/>
      <c r="AZ100" s="41"/>
      <c r="BA100" s="41"/>
      <c r="BB100" s="41"/>
      <c r="BC100" s="41"/>
      <c r="BD100" s="6"/>
      <c r="BE100" s="7"/>
      <c r="BF100" s="7"/>
      <c r="BG100" s="7"/>
      <c r="BH100" s="7"/>
      <c r="BI100" s="7"/>
      <c r="BJ100" s="7"/>
      <c r="BK100" s="7"/>
      <c r="BL100" s="7"/>
      <c r="BY100" s="50"/>
      <c r="CA100" s="49"/>
      <c r="CB100" s="49"/>
      <c r="CC100" s="49"/>
      <c r="CD100" s="49"/>
      <c r="CE100" s="49"/>
      <c r="CF100" s="49"/>
      <c r="CG100" s="49"/>
      <c r="CH100" s="49"/>
      <c r="CI100" s="49"/>
      <c r="CJ100" s="41"/>
      <c r="CK100" s="7"/>
      <c r="CL100" s="7"/>
      <c r="CM100" s="7"/>
      <c r="CN100" s="7"/>
      <c r="CO100" s="7"/>
      <c r="CP100" s="7"/>
      <c r="CQ100" s="7"/>
      <c r="CR100" s="7"/>
      <c r="CS100" s="7"/>
    </row>
    <row r="101" spans="5:97" ht="14.4" x14ac:dyDescent="0.3">
      <c r="E101" s="138">
        <v>97</v>
      </c>
      <c r="F101" s="44">
        <f>'Life table (HE)'!B$24</f>
        <v>0.35550000000000004</v>
      </c>
      <c r="H101" s="45">
        <f t="shared" si="25"/>
        <v>0.35550000000000004</v>
      </c>
      <c r="I101" s="46">
        <f t="shared" si="26"/>
        <v>0.29917705588095744</v>
      </c>
      <c r="J101" s="37">
        <f t="shared" si="27"/>
        <v>605.42183619262732</v>
      </c>
      <c r="K101" s="41">
        <f t="shared" si="18"/>
        <v>181.12832251815354</v>
      </c>
      <c r="L101" s="41">
        <f>SUM($K$4:K100)</f>
        <v>99394.578163807309</v>
      </c>
      <c r="M101" s="37">
        <f t="shared" si="19"/>
        <v>514.85767493355058</v>
      </c>
      <c r="N101" s="37">
        <f>SUM(M101:M$113)</f>
        <v>1571.8926580138705</v>
      </c>
      <c r="O101" s="47">
        <f t="shared" si="30"/>
        <v>3.0530624957989501</v>
      </c>
      <c r="P101" s="37">
        <f>(J102+0.5*K101)/(1+'General input'!$C$113)^E101</f>
        <v>4.5323681743148043</v>
      </c>
      <c r="Q101" s="37">
        <f>SUM(P101:P$113)</f>
        <v>12.715829358733384</v>
      </c>
      <c r="R101" s="37">
        <f t="shared" si="31"/>
        <v>2.8055596698420779</v>
      </c>
      <c r="T101" s="44">
        <f>'Life table (HE)'!C$24</f>
        <v>0.52288000000000001</v>
      </c>
      <c r="V101" s="48">
        <f t="shared" si="28"/>
        <v>269.20878106925494</v>
      </c>
      <c r="W101" s="37">
        <f>SUM(V101:V$115)</f>
        <v>821.91123302229266</v>
      </c>
      <c r="X101" s="47">
        <f t="shared" si="32"/>
        <v>1.5963853178033551</v>
      </c>
      <c r="Y101" s="37">
        <f>V101/(1+'General input'!$C$113)^E101</f>
        <v>2.3698846709857246</v>
      </c>
      <c r="Z101" s="37">
        <f>SUM(Y101:Y$115)</f>
        <v>6.6488528550945114</v>
      </c>
      <c r="AA101" s="47">
        <f t="shared" si="33"/>
        <v>1.4669710401670257</v>
      </c>
      <c r="AB101" s="47"/>
      <c r="AC101" s="37">
        <f t="shared" ref="AC101:AC113" si="35">E101+0.5</f>
        <v>97.5</v>
      </c>
      <c r="AD101" s="37">
        <f t="shared" si="34"/>
        <v>17660.011445519969</v>
      </c>
      <c r="AF101" s="4"/>
      <c r="AI101" s="4"/>
      <c r="AL101" s="4"/>
      <c r="AP101" s="41"/>
      <c r="AQ101" s="41"/>
      <c r="AR101" s="49"/>
      <c r="AS101" s="41"/>
      <c r="AT101" s="41"/>
      <c r="AU101" s="41"/>
      <c r="AV101" s="41"/>
      <c r="AW101" s="41"/>
      <c r="AX101" s="41"/>
      <c r="AY101" s="41"/>
      <c r="AZ101" s="41"/>
      <c r="BA101" s="41"/>
      <c r="BB101" s="41"/>
      <c r="BC101" s="41"/>
      <c r="BD101" s="6"/>
      <c r="BE101" s="7"/>
      <c r="BF101" s="7"/>
      <c r="BG101" s="7"/>
      <c r="BH101" s="7"/>
      <c r="BI101" s="7"/>
      <c r="BJ101" s="7"/>
      <c r="BK101" s="7"/>
      <c r="BL101" s="7"/>
      <c r="BY101" s="50"/>
      <c r="CA101" s="49"/>
      <c r="CB101" s="49"/>
      <c r="CC101" s="49"/>
      <c r="CD101" s="49"/>
      <c r="CE101" s="49"/>
      <c r="CF101" s="49"/>
      <c r="CG101" s="49"/>
      <c r="CH101" s="49"/>
      <c r="CI101" s="49"/>
      <c r="CJ101" s="41"/>
      <c r="CK101" s="7"/>
      <c r="CL101" s="7"/>
      <c r="CM101" s="7"/>
      <c r="CN101" s="7"/>
      <c r="CO101" s="7"/>
      <c r="CP101" s="7"/>
      <c r="CQ101" s="7"/>
      <c r="CR101" s="7"/>
      <c r="CS101" s="7"/>
    </row>
    <row r="102" spans="5:97" ht="14.4" x14ac:dyDescent="0.3">
      <c r="E102" s="138">
        <v>98</v>
      </c>
      <c r="F102" s="44">
        <f>'Life table (HE)'!B$24</f>
        <v>0.35550000000000004</v>
      </c>
      <c r="H102" s="45">
        <f t="shared" si="25"/>
        <v>0.35550000000000004</v>
      </c>
      <c r="I102" s="46">
        <f t="shared" si="26"/>
        <v>0.29917705588095744</v>
      </c>
      <c r="J102" s="37">
        <f t="shared" si="27"/>
        <v>424.29351367447379</v>
      </c>
      <c r="K102" s="41">
        <f t="shared" si="18"/>
        <v>126.93888425051583</v>
      </c>
      <c r="L102" s="41">
        <f>SUM($K$4:K101)</f>
        <v>99575.706486325464</v>
      </c>
      <c r="M102" s="37">
        <f t="shared" si="19"/>
        <v>360.82407154921583</v>
      </c>
      <c r="N102" s="37">
        <f>SUM(M102:M$113)</f>
        <v>1057.03498308032</v>
      </c>
      <c r="O102" s="47">
        <f t="shared" si="30"/>
        <v>2.9295023986118456</v>
      </c>
      <c r="P102" s="37">
        <f>(J103+0.5*K102)/(1+'General input'!$C$113)^E102</f>
        <v>3.0251310550045241</v>
      </c>
      <c r="Q102" s="37">
        <f>SUM(P102:P$113)</f>
        <v>8.1834611844185794</v>
      </c>
      <c r="R102" s="37">
        <f t="shared" si="31"/>
        <v>2.7051592263682411</v>
      </c>
      <c r="T102" s="44">
        <f>'Life table (HE)'!C$24</f>
        <v>0.52288000000000001</v>
      </c>
      <c r="V102" s="48">
        <f t="shared" si="28"/>
        <v>188.66769053165399</v>
      </c>
      <c r="W102" s="37">
        <f>SUM(V102:V$115)</f>
        <v>552.70245195303767</v>
      </c>
      <c r="X102" s="47">
        <f t="shared" si="32"/>
        <v>1.5317782141861618</v>
      </c>
      <c r="Y102" s="37">
        <f>V102/(1+'General input'!$C$113)^E102</f>
        <v>1.5817805260407656</v>
      </c>
      <c r="Z102" s="37">
        <f>SUM(Y102:Y$115)</f>
        <v>4.2789681841087877</v>
      </c>
      <c r="AA102" s="47">
        <f t="shared" si="33"/>
        <v>1.4144736562834261</v>
      </c>
      <c r="AB102" s="47"/>
      <c r="AC102" s="37">
        <f t="shared" si="35"/>
        <v>98.5</v>
      </c>
      <c r="AD102" s="37">
        <f t="shared" si="34"/>
        <v>12503.480098675809</v>
      </c>
      <c r="AF102" s="4"/>
      <c r="AI102" s="4"/>
      <c r="AL102" s="4"/>
      <c r="AP102" s="41"/>
      <c r="AQ102" s="41"/>
      <c r="AR102" s="49"/>
      <c r="AS102" s="41"/>
      <c r="AT102" s="41"/>
      <c r="AU102" s="41"/>
      <c r="AV102" s="41"/>
      <c r="AW102" s="41"/>
      <c r="AX102" s="41"/>
      <c r="AY102" s="41"/>
      <c r="AZ102" s="41"/>
      <c r="BA102" s="41"/>
      <c r="BB102" s="41"/>
      <c r="BC102" s="41"/>
      <c r="BD102" s="6"/>
      <c r="BE102" s="7"/>
      <c r="BF102" s="7"/>
      <c r="BG102" s="7"/>
      <c r="BH102" s="7"/>
      <c r="BI102" s="7"/>
      <c r="BJ102" s="7"/>
      <c r="BK102" s="7"/>
      <c r="BL102" s="7"/>
      <c r="BY102" s="50"/>
      <c r="CA102" s="49"/>
      <c r="CB102" s="49"/>
      <c r="CC102" s="49"/>
      <c r="CD102" s="49"/>
      <c r="CE102" s="49"/>
      <c r="CF102" s="49"/>
      <c r="CG102" s="49"/>
      <c r="CH102" s="49"/>
      <c r="CI102" s="49"/>
      <c r="CJ102" s="41"/>
      <c r="CK102" s="7"/>
      <c r="CL102" s="7"/>
      <c r="CM102" s="7"/>
      <c r="CN102" s="7"/>
      <c r="CO102" s="7"/>
      <c r="CP102" s="7"/>
      <c r="CQ102" s="7"/>
      <c r="CR102" s="7"/>
      <c r="CS102" s="7"/>
    </row>
    <row r="103" spans="5:97" ht="14.4" x14ac:dyDescent="0.3">
      <c r="E103" s="138">
        <v>99</v>
      </c>
      <c r="F103" s="44">
        <f>'Life table (HE)'!B$24</f>
        <v>0.35550000000000004</v>
      </c>
      <c r="H103" s="45">
        <f t="shared" si="25"/>
        <v>0.35550000000000004</v>
      </c>
      <c r="I103" s="46">
        <f t="shared" si="26"/>
        <v>0.29917705588095744</v>
      </c>
      <c r="J103" s="37">
        <f t="shared" si="27"/>
        <v>297.35462942395793</v>
      </c>
      <c r="K103" s="41">
        <f t="shared" si="18"/>
        <v>88.96168258363285</v>
      </c>
      <c r="L103" s="41">
        <f>SUM($K$4:K102)</f>
        <v>99702.645370575978</v>
      </c>
      <c r="M103" s="37">
        <f t="shared" si="19"/>
        <v>252.8737881321415</v>
      </c>
      <c r="N103" s="37">
        <f>SUM(M103:M$113)</f>
        <v>696.2109115311041</v>
      </c>
      <c r="O103" s="47">
        <f t="shared" si="30"/>
        <v>2.7531952468212828</v>
      </c>
      <c r="P103" s="37">
        <f>(J104+0.5*K103)/(1+'General input'!$C$113)^E103</f>
        <v>2.0191250022040146</v>
      </c>
      <c r="Q103" s="37">
        <f>SUM(P103:P$113)</f>
        <v>5.1583301294140558</v>
      </c>
      <c r="R103" s="37">
        <f t="shared" si="31"/>
        <v>2.5547354045853434</v>
      </c>
      <c r="T103" s="44">
        <f>'Life table (HE)'!C$24</f>
        <v>0.52288000000000001</v>
      </c>
      <c r="V103" s="48">
        <f t="shared" si="28"/>
        <v>132.22264633853416</v>
      </c>
      <c r="W103" s="37">
        <f>SUM(V103:V$115)</f>
        <v>364.03476142138373</v>
      </c>
      <c r="X103" s="47">
        <f t="shared" si="32"/>
        <v>1.4395907306579125</v>
      </c>
      <c r="Y103" s="37">
        <f>V103/(1+'General input'!$C$113)^E103</f>
        <v>1.0557600811524352</v>
      </c>
      <c r="Z103" s="37">
        <f>SUM(Y103:Y$115)</f>
        <v>2.697187658068021</v>
      </c>
      <c r="AA103" s="47">
        <f t="shared" si="33"/>
        <v>1.3358200483495841</v>
      </c>
      <c r="AB103" s="47"/>
      <c r="AC103" s="37">
        <f t="shared" si="35"/>
        <v>99.5</v>
      </c>
      <c r="AD103" s="37">
        <f t="shared" si="34"/>
        <v>8851.6874170714691</v>
      </c>
      <c r="AF103" s="4"/>
      <c r="AI103" s="4"/>
      <c r="AL103" s="4"/>
      <c r="AP103" s="41"/>
      <c r="AQ103" s="41"/>
      <c r="AR103" s="49"/>
      <c r="AS103" s="41"/>
      <c r="AT103" s="41"/>
      <c r="AU103" s="41"/>
      <c r="AV103" s="41"/>
      <c r="AW103" s="41"/>
      <c r="AX103" s="41"/>
      <c r="AY103" s="41"/>
      <c r="AZ103" s="41"/>
      <c r="BA103" s="41"/>
      <c r="BB103" s="41"/>
      <c r="BC103" s="41"/>
      <c r="BD103" s="6"/>
      <c r="BE103" s="7"/>
      <c r="BF103" s="7"/>
      <c r="BG103" s="7"/>
      <c r="BH103" s="7"/>
      <c r="BI103" s="7"/>
      <c r="BJ103" s="7"/>
      <c r="BK103" s="7"/>
      <c r="BL103" s="7"/>
      <c r="BY103" s="50"/>
      <c r="CA103" s="49"/>
      <c r="CB103" s="49"/>
      <c r="CC103" s="49"/>
      <c r="CD103" s="49"/>
      <c r="CE103" s="49"/>
      <c r="CF103" s="49"/>
      <c r="CG103" s="49"/>
      <c r="CH103" s="49"/>
      <c r="CI103" s="49"/>
      <c r="CJ103" s="41"/>
      <c r="CK103" s="7"/>
      <c r="CL103" s="7"/>
      <c r="CM103" s="7"/>
      <c r="CN103" s="7"/>
      <c r="CO103" s="7"/>
      <c r="CP103" s="7"/>
      <c r="CQ103" s="7"/>
      <c r="CR103" s="7"/>
      <c r="CS103" s="7"/>
    </row>
    <row r="104" spans="5:97" ht="14.4" x14ac:dyDescent="0.3">
      <c r="E104" s="138">
        <v>100</v>
      </c>
      <c r="F104" s="44">
        <f>'Life table (HE)'!B$25</f>
        <v>0.47299999999999998</v>
      </c>
      <c r="H104" s="45">
        <f t="shared" si="25"/>
        <v>0.47299999999999998</v>
      </c>
      <c r="I104" s="46">
        <f t="shared" si="26"/>
        <v>0.37686992882234216</v>
      </c>
      <c r="J104" s="37">
        <f t="shared" si="27"/>
        <v>208.39294684032507</v>
      </c>
      <c r="K104" s="41">
        <f t="shared" si="18"/>
        <v>78.537035042791445</v>
      </c>
      <c r="L104" s="41">
        <f>SUM($K$4:K103)</f>
        <v>99791.607053159605</v>
      </c>
      <c r="M104" s="37">
        <f t="shared" si="19"/>
        <v>169.12442931892934</v>
      </c>
      <c r="N104" s="37">
        <f>SUM(M104:M$113)</f>
        <v>443.33712339896255</v>
      </c>
      <c r="O104" s="47">
        <f t="shared" si="30"/>
        <v>2.6213665594278628</v>
      </c>
      <c r="P104" s="37">
        <f>(J105+0.5*K104)/(1+'General input'!$C$113)^E104</f>
        <v>1.286105031151862</v>
      </c>
      <c r="Q104" s="37">
        <f>SUM(P104:P$113)</f>
        <v>3.1392051272100403</v>
      </c>
      <c r="R104" s="37">
        <f t="shared" si="31"/>
        <v>2.4408621777946888</v>
      </c>
      <c r="T104" s="44">
        <f>'Life table (HE)'!C$25</f>
        <v>0.52288000000000001</v>
      </c>
      <c r="V104" s="48">
        <f t="shared" si="28"/>
        <v>88.431781602281774</v>
      </c>
      <c r="W104" s="37">
        <f>SUM(V104:V$115)</f>
        <v>231.8121150828496</v>
      </c>
      <c r="X104" s="47">
        <f t="shared" si="32"/>
        <v>1.3706601465936412</v>
      </c>
      <c r="Y104" s="37">
        <f>V104/(1+'General input'!$C$113)^E104</f>
        <v>0.67247859868868554</v>
      </c>
      <c r="Z104" s="37">
        <f>SUM(Y104:Y$115)</f>
        <v>1.6414275769155859</v>
      </c>
      <c r="AA104" s="47">
        <f t="shared" si="33"/>
        <v>1.2762780155252871</v>
      </c>
      <c r="AB104" s="47"/>
      <c r="AC104" s="37">
        <f t="shared" si="35"/>
        <v>100.5</v>
      </c>
      <c r="AD104" s="37">
        <f t="shared" si="34"/>
        <v>7892.9720218005405</v>
      </c>
      <c r="AF104" s="4"/>
      <c r="AI104" s="4"/>
      <c r="AL104" s="4"/>
      <c r="AP104" s="41"/>
      <c r="AQ104" s="41"/>
      <c r="AR104" s="49"/>
      <c r="AS104" s="41"/>
      <c r="AT104" s="41"/>
      <c r="AU104" s="41"/>
      <c r="AV104" s="41"/>
      <c r="AW104" s="41"/>
      <c r="AX104" s="41"/>
      <c r="AY104" s="41"/>
      <c r="AZ104" s="41"/>
      <c r="BA104" s="41"/>
      <c r="BB104" s="41"/>
      <c r="BC104" s="41"/>
      <c r="BD104" s="6"/>
      <c r="BE104" s="7"/>
      <c r="BF104" s="7"/>
      <c r="BG104" s="7"/>
      <c r="BH104" s="7"/>
      <c r="BI104" s="7"/>
      <c r="BJ104" s="7"/>
      <c r="BK104" s="7"/>
      <c r="BL104" s="7"/>
      <c r="BY104" s="50"/>
      <c r="CA104" s="49"/>
      <c r="CB104" s="49"/>
      <c r="CC104" s="49"/>
      <c r="CD104" s="49"/>
      <c r="CE104" s="49"/>
      <c r="CF104" s="49"/>
      <c r="CG104" s="49"/>
      <c r="CH104" s="49"/>
      <c r="CI104" s="49"/>
      <c r="CJ104" s="41"/>
      <c r="CK104" s="7"/>
      <c r="CL104" s="7"/>
      <c r="CM104" s="7"/>
      <c r="CN104" s="7"/>
      <c r="CO104" s="7"/>
      <c r="CP104" s="7"/>
      <c r="CQ104" s="7"/>
      <c r="CR104" s="7"/>
      <c r="CS104" s="7"/>
    </row>
    <row r="105" spans="5:97" ht="14.4" x14ac:dyDescent="0.3">
      <c r="E105" s="138">
        <v>101</v>
      </c>
      <c r="F105" s="44">
        <f>'Life table (HE)'!B$25</f>
        <v>0.47299999999999998</v>
      </c>
      <c r="H105" s="45">
        <f t="shared" si="25"/>
        <v>0.47299999999999998</v>
      </c>
      <c r="I105" s="46">
        <f t="shared" si="26"/>
        <v>0.37686992882234216</v>
      </c>
      <c r="J105" s="37">
        <f t="shared" si="27"/>
        <v>129.85591179753362</v>
      </c>
      <c r="K105" s="41">
        <f t="shared" si="18"/>
        <v>48.938788236296837</v>
      </c>
      <c r="L105" s="41">
        <f>SUM($K$4:K104)</f>
        <v>99870.144088202404</v>
      </c>
      <c r="M105" s="37">
        <f t="shared" si="19"/>
        <v>105.38651767938521</v>
      </c>
      <c r="N105" s="37">
        <f>SUM(M105:M$113)</f>
        <v>274.2126940800332</v>
      </c>
      <c r="O105" s="47">
        <f t="shared" si="30"/>
        <v>2.6019712968812927</v>
      </c>
      <c r="P105" s="37">
        <f>(J106+0.5*K105)/(1+'General input'!$C$113)^E105</f>
        <v>0.76324830438438429</v>
      </c>
      <c r="Q105" s="37">
        <f>SUM(P105:P$113)</f>
        <v>1.8531000960581785</v>
      </c>
      <c r="R105" s="37">
        <f t="shared" si="31"/>
        <v>2.4279124963832572</v>
      </c>
      <c r="T105" s="44">
        <f>'Life table (HE)'!C$25</f>
        <v>0.52288000000000001</v>
      </c>
      <c r="V105" s="48">
        <f t="shared" si="28"/>
        <v>55.104502364196939</v>
      </c>
      <c r="W105" s="37">
        <f>SUM(V105:V$115)</f>
        <v>143.3803334805678</v>
      </c>
      <c r="X105" s="47">
        <f t="shared" si="32"/>
        <v>1.3605187517132906</v>
      </c>
      <c r="Y105" s="37">
        <f>V105/(1+'General input'!$C$113)^E105</f>
        <v>0.39908727339650685</v>
      </c>
      <c r="Z105" s="37">
        <f>SUM(Y105:Y$115)</f>
        <v>0.96894897822690018</v>
      </c>
      <c r="AA105" s="47">
        <f t="shared" si="33"/>
        <v>1.2695068861088772</v>
      </c>
      <c r="AB105" s="47"/>
      <c r="AC105" s="37">
        <f t="shared" si="35"/>
        <v>101.5</v>
      </c>
      <c r="AD105" s="37">
        <f t="shared" si="34"/>
        <v>4967.2870059841289</v>
      </c>
      <c r="AF105" s="4"/>
      <c r="AI105" s="4"/>
      <c r="AL105" s="4"/>
      <c r="AP105" s="41"/>
      <c r="AQ105" s="41"/>
      <c r="AR105" s="49"/>
      <c r="AS105" s="41"/>
      <c r="AT105" s="41"/>
      <c r="AU105" s="41"/>
      <c r="AV105" s="41"/>
      <c r="AW105" s="41"/>
      <c r="AX105" s="41"/>
      <c r="AY105" s="41"/>
      <c r="AZ105" s="41"/>
      <c r="BA105" s="41"/>
      <c r="BB105" s="41"/>
      <c r="BC105" s="41"/>
      <c r="BD105" s="6"/>
      <c r="BE105" s="7"/>
      <c r="BF105" s="7"/>
      <c r="BG105" s="7"/>
      <c r="BH105" s="7"/>
      <c r="BI105" s="7"/>
      <c r="BJ105" s="7"/>
      <c r="BK105" s="7"/>
      <c r="BL105" s="7"/>
      <c r="BY105" s="50"/>
      <c r="CA105" s="49"/>
      <c r="CB105" s="49"/>
      <c r="CC105" s="49"/>
      <c r="CD105" s="49"/>
      <c r="CE105" s="49"/>
      <c r="CF105" s="49"/>
      <c r="CG105" s="49"/>
      <c r="CH105" s="49"/>
      <c r="CI105" s="49"/>
      <c r="CJ105" s="41"/>
      <c r="CK105" s="7"/>
      <c r="CL105" s="7"/>
      <c r="CM105" s="7"/>
      <c r="CN105" s="7"/>
      <c r="CO105" s="7"/>
      <c r="CP105" s="7"/>
      <c r="CQ105" s="7"/>
      <c r="CR105" s="7"/>
      <c r="CS105" s="7"/>
    </row>
    <row r="106" spans="5:97" ht="14.4" x14ac:dyDescent="0.3">
      <c r="E106" s="138">
        <v>102</v>
      </c>
      <c r="F106" s="44">
        <f>'Life table (HE)'!B$25</f>
        <v>0.47299999999999998</v>
      </c>
      <c r="H106" s="45">
        <f t="shared" si="25"/>
        <v>0.47299999999999998</v>
      </c>
      <c r="I106" s="46">
        <f t="shared" si="26"/>
        <v>0.37686992882234216</v>
      </c>
      <c r="J106" s="37">
        <f t="shared" si="27"/>
        <v>80.917123561236792</v>
      </c>
      <c r="K106" s="41">
        <f t="shared" si="18"/>
        <v>30.495230597031977</v>
      </c>
      <c r="L106" s="41">
        <f>SUM($K$4:K105)</f>
        <v>99919.082876438697</v>
      </c>
      <c r="M106" s="37">
        <f t="shared" si="19"/>
        <v>65.669508262720797</v>
      </c>
      <c r="N106" s="37">
        <f>SUM(M106:M$113)</f>
        <v>168.82617640064802</v>
      </c>
      <c r="O106" s="47">
        <f t="shared" si="30"/>
        <v>2.5708457527233701</v>
      </c>
      <c r="P106" s="37">
        <f>(J107+0.5*K106)/(1+'General input'!$C$113)^E106</f>
        <v>0.4529552097497791</v>
      </c>
      <c r="Q106" s="37">
        <f>SUM(P106:P$113)</f>
        <v>1.0898517916737942</v>
      </c>
      <c r="R106" s="37">
        <f t="shared" si="31"/>
        <v>2.4060917464131797</v>
      </c>
      <c r="T106" s="44">
        <f>'Life table (HE)'!C$25</f>
        <v>0.52288000000000001</v>
      </c>
      <c r="V106" s="48">
        <f t="shared" si="28"/>
        <v>34.33727248041145</v>
      </c>
      <c r="W106" s="37">
        <f>SUM(V106:V$115)</f>
        <v>88.275831116370838</v>
      </c>
      <c r="X106" s="47">
        <f t="shared" si="32"/>
        <v>1.3442438271839958</v>
      </c>
      <c r="Y106" s="37">
        <f>V106/(1+'General input'!$C$113)^E106</f>
        <v>0.23684122007396449</v>
      </c>
      <c r="Z106" s="37">
        <f>SUM(Y106:Y$115)</f>
        <v>0.56986170483039333</v>
      </c>
      <c r="AA106" s="47">
        <f t="shared" si="33"/>
        <v>1.2580972523645231</v>
      </c>
      <c r="AB106" s="47"/>
      <c r="AC106" s="37">
        <f t="shared" si="35"/>
        <v>102.5</v>
      </c>
      <c r="AD106" s="37">
        <f t="shared" si="34"/>
        <v>3125.7611361957775</v>
      </c>
      <c r="AF106" s="4"/>
      <c r="AI106" s="4"/>
      <c r="AL106" s="4"/>
      <c r="AP106" s="41"/>
      <c r="AQ106" s="41"/>
      <c r="AR106" s="49"/>
      <c r="AS106" s="41"/>
      <c r="AT106" s="41"/>
      <c r="AU106" s="41"/>
      <c r="AV106" s="41"/>
      <c r="AW106" s="41"/>
      <c r="AX106" s="41"/>
      <c r="AY106" s="41"/>
      <c r="AZ106" s="41"/>
      <c r="BA106" s="41"/>
      <c r="BB106" s="41"/>
      <c r="BC106" s="41"/>
      <c r="BD106" s="6"/>
      <c r="BE106" s="7"/>
      <c r="BF106" s="7"/>
      <c r="BG106" s="7"/>
      <c r="BH106" s="7"/>
      <c r="BI106" s="7"/>
      <c r="BJ106" s="7"/>
      <c r="BK106" s="7"/>
      <c r="BL106" s="7"/>
      <c r="BY106" s="50"/>
      <c r="CA106" s="49"/>
      <c r="CB106" s="49"/>
      <c r="CC106" s="49"/>
      <c r="CD106" s="49"/>
      <c r="CE106" s="49"/>
      <c r="CF106" s="49"/>
      <c r="CG106" s="49"/>
      <c r="CH106" s="49"/>
      <c r="CI106" s="49"/>
      <c r="CJ106" s="41"/>
      <c r="CK106" s="7"/>
      <c r="CL106" s="7"/>
      <c r="CM106" s="7"/>
      <c r="CN106" s="7"/>
      <c r="CO106" s="7"/>
      <c r="CP106" s="7"/>
      <c r="CQ106" s="7"/>
      <c r="CR106" s="7"/>
      <c r="CS106" s="7"/>
    </row>
    <row r="107" spans="5:97" ht="14.4" x14ac:dyDescent="0.3">
      <c r="E107" s="138">
        <v>103</v>
      </c>
      <c r="F107" s="44">
        <f>'Life table (HE)'!B$25</f>
        <v>0.47299999999999998</v>
      </c>
      <c r="H107" s="45">
        <f t="shared" si="25"/>
        <v>0.47299999999999998</v>
      </c>
      <c r="I107" s="46">
        <f t="shared" si="26"/>
        <v>0.37686992882234216</v>
      </c>
      <c r="J107" s="37">
        <f t="shared" si="27"/>
        <v>50.421892964204815</v>
      </c>
      <c r="K107" s="41">
        <f t="shared" si="18"/>
        <v>19.002495212507625</v>
      </c>
      <c r="L107" s="41">
        <f>SUM($K$4:K106)</f>
        <v>99949.578107035733</v>
      </c>
      <c r="M107" s="37">
        <f t="shared" si="19"/>
        <v>40.920645357951003</v>
      </c>
      <c r="N107" s="37">
        <f>SUM(M107:M$113)</f>
        <v>103.15666813792724</v>
      </c>
      <c r="O107" s="47">
        <f t="shared" si="30"/>
        <v>2.5208954364128471</v>
      </c>
      <c r="P107" s="37">
        <f>(J108+0.5*K107)/(1+'General input'!$C$113)^E107</f>
        <v>0.26880953532540075</v>
      </c>
      <c r="Q107" s="37">
        <f>SUM(P107:P$113)</f>
        <v>0.6368965819240151</v>
      </c>
      <c r="R107" s="37">
        <f t="shared" si="31"/>
        <v>2.3693228781971429</v>
      </c>
      <c r="T107" s="44">
        <f>'Life table (HE)'!C$25</f>
        <v>0.52288000000000001</v>
      </c>
      <c r="V107" s="48">
        <f t="shared" si="28"/>
        <v>21.396587044765422</v>
      </c>
      <c r="W107" s="37">
        <f>SUM(V107:V$115)</f>
        <v>53.938558635959403</v>
      </c>
      <c r="X107" s="47">
        <f t="shared" si="32"/>
        <v>1.3181258057915497</v>
      </c>
      <c r="Y107" s="37">
        <f>V107/(1+'General input'!$C$113)^E107</f>
        <v>0.14055512983094554</v>
      </c>
      <c r="Z107" s="37">
        <f>SUM(Y107:Y$115)</f>
        <v>0.33302048475642898</v>
      </c>
      <c r="AA107" s="47">
        <f t="shared" si="33"/>
        <v>1.2388715465517219</v>
      </c>
      <c r="AB107" s="47"/>
      <c r="AC107" s="37">
        <f t="shared" si="35"/>
        <v>103.5</v>
      </c>
      <c r="AD107" s="37">
        <f t="shared" si="34"/>
        <v>1966.7582544945392</v>
      </c>
      <c r="AF107" s="4"/>
      <c r="AI107" s="4"/>
      <c r="AL107" s="4"/>
      <c r="AP107" s="41"/>
      <c r="AQ107" s="41"/>
      <c r="AR107" s="49"/>
      <c r="AS107" s="41"/>
      <c r="AT107" s="41"/>
      <c r="AU107" s="41"/>
      <c r="AV107" s="41"/>
      <c r="AW107" s="41"/>
      <c r="AX107" s="41"/>
      <c r="AY107" s="41"/>
      <c r="AZ107" s="41"/>
      <c r="BA107" s="41"/>
      <c r="BB107" s="41"/>
      <c r="BC107" s="41"/>
      <c r="BD107" s="6"/>
      <c r="BE107" s="7"/>
      <c r="BF107" s="7"/>
      <c r="BG107" s="7"/>
      <c r="BH107" s="7"/>
      <c r="BI107" s="7"/>
      <c r="BJ107" s="7"/>
      <c r="BK107" s="7"/>
      <c r="BL107" s="7"/>
      <c r="BY107" s="50"/>
      <c r="CA107" s="49"/>
      <c r="CB107" s="49"/>
      <c r="CC107" s="49"/>
      <c r="CD107" s="49"/>
      <c r="CE107" s="49"/>
      <c r="CF107" s="49"/>
      <c r="CG107" s="49"/>
      <c r="CH107" s="49"/>
      <c r="CI107" s="49"/>
      <c r="CJ107" s="41"/>
      <c r="CK107" s="7"/>
      <c r="CL107" s="7"/>
      <c r="CM107" s="7"/>
      <c r="CN107" s="7"/>
      <c r="CO107" s="7"/>
      <c r="CP107" s="7"/>
      <c r="CQ107" s="7"/>
      <c r="CR107" s="7"/>
      <c r="CS107" s="7"/>
    </row>
    <row r="108" spans="5:97" ht="14.4" x14ac:dyDescent="0.3">
      <c r="E108" s="138">
        <v>104</v>
      </c>
      <c r="F108" s="44">
        <f>'Life table (HE)'!B$25</f>
        <v>0.47299999999999998</v>
      </c>
      <c r="H108" s="45">
        <f t="shared" si="25"/>
        <v>0.47299999999999998</v>
      </c>
      <c r="I108" s="46">
        <f t="shared" si="26"/>
        <v>0.37686992882234216</v>
      </c>
      <c r="J108" s="37">
        <f t="shared" si="27"/>
        <v>31.41939775169719</v>
      </c>
      <c r="K108" s="41">
        <f t="shared" si="18"/>
        <v>11.841026194322977</v>
      </c>
      <c r="L108" s="41">
        <f>SUM($K$4:K107)</f>
        <v>99968.580602248243</v>
      </c>
      <c r="M108" s="37">
        <f t="shared" si="19"/>
        <v>25.498884654535701</v>
      </c>
      <c r="N108" s="37">
        <f>SUM(M108:M$113)</f>
        <v>62.236022779976246</v>
      </c>
      <c r="O108" s="47">
        <f t="shared" si="30"/>
        <v>2.4407350997176187</v>
      </c>
      <c r="P108" s="37">
        <f>(J109+0.5*K108)/(1+'General input'!$C$113)^E108</f>
        <v>0.15952695702909533</v>
      </c>
      <c r="Q108" s="37">
        <f>SUM(P108:P$113)</f>
        <v>0.3680870465986143</v>
      </c>
      <c r="R108" s="37">
        <f t="shared" si="31"/>
        <v>2.3073658111053965</v>
      </c>
      <c r="T108" s="44">
        <f>'Life table (HE)'!C$25</f>
        <v>0.52288000000000001</v>
      </c>
      <c r="V108" s="48">
        <f t="shared" si="28"/>
        <v>13.332856808163628</v>
      </c>
      <c r="W108" s="37">
        <f>SUM(V108:V$115)</f>
        <v>32.541971591193978</v>
      </c>
      <c r="X108" s="47">
        <f t="shared" si="32"/>
        <v>1.2762115689403484</v>
      </c>
      <c r="Y108" s="37">
        <f>V108/(1+'General input'!$C$113)^E108</f>
        <v>8.3413455291373367E-2</v>
      </c>
      <c r="Z108" s="37">
        <f>SUM(Y108:Y$115)</f>
        <v>0.19246535492548342</v>
      </c>
      <c r="AA108" s="47">
        <f t="shared" si="33"/>
        <v>1.2064754353107896</v>
      </c>
      <c r="AB108" s="47"/>
      <c r="AC108" s="37">
        <f t="shared" si="35"/>
        <v>104.5</v>
      </c>
      <c r="AD108" s="37">
        <f t="shared" si="34"/>
        <v>1237.3872373067511</v>
      </c>
      <c r="AF108" s="4"/>
      <c r="AI108" s="4"/>
      <c r="AL108" s="4"/>
      <c r="AP108" s="41"/>
      <c r="AQ108" s="41"/>
      <c r="AR108" s="49"/>
      <c r="AS108" s="41"/>
      <c r="AT108" s="41"/>
      <c r="AU108" s="41"/>
      <c r="AV108" s="41"/>
      <c r="AW108" s="41"/>
      <c r="AX108" s="41"/>
      <c r="AY108" s="41"/>
      <c r="AZ108" s="41"/>
      <c r="BA108" s="41"/>
      <c r="BB108" s="41"/>
      <c r="BC108" s="41"/>
      <c r="BD108" s="6"/>
      <c r="BE108" s="7"/>
      <c r="BF108" s="7"/>
      <c r="BG108" s="7"/>
      <c r="BH108" s="7"/>
      <c r="BI108" s="7"/>
      <c r="BJ108" s="7"/>
      <c r="BK108" s="7"/>
      <c r="BL108" s="7"/>
      <c r="BY108" s="50"/>
      <c r="CA108" s="49"/>
      <c r="CB108" s="49"/>
      <c r="CC108" s="49"/>
      <c r="CD108" s="49"/>
      <c r="CE108" s="49"/>
      <c r="CF108" s="49"/>
      <c r="CG108" s="49"/>
      <c r="CH108" s="49"/>
      <c r="CI108" s="49"/>
      <c r="CJ108" s="41"/>
      <c r="CK108" s="7"/>
      <c r="CL108" s="7"/>
      <c r="CM108" s="7"/>
      <c r="CN108" s="7"/>
      <c r="CO108" s="7"/>
      <c r="CP108" s="7"/>
      <c r="CQ108" s="7"/>
      <c r="CR108" s="7"/>
      <c r="CS108" s="7"/>
    </row>
    <row r="109" spans="5:97" ht="14.4" x14ac:dyDescent="0.3">
      <c r="E109" s="138">
        <v>105</v>
      </c>
      <c r="F109" s="44">
        <f>'Life table (HE)'!B$25</f>
        <v>0.47299999999999998</v>
      </c>
      <c r="H109" s="45">
        <f t="shared" si="25"/>
        <v>0.47299999999999998</v>
      </c>
      <c r="I109" s="46">
        <f t="shared" si="26"/>
        <v>0.37686992882234216</v>
      </c>
      <c r="J109" s="37">
        <f t="shared" si="27"/>
        <v>19.578371557374211</v>
      </c>
      <c r="K109" s="41">
        <f t="shared" si="18"/>
        <v>7.3784994952849869</v>
      </c>
      <c r="L109" s="41">
        <f>SUM($K$4:K108)</f>
        <v>99980.421628442564</v>
      </c>
      <c r="M109" s="37">
        <f t="shared" si="19"/>
        <v>15.889121809731718</v>
      </c>
      <c r="N109" s="37">
        <f>SUM(M109:M$113)</f>
        <v>36.737138125440545</v>
      </c>
      <c r="O109" s="47">
        <f t="shared" si="30"/>
        <v>2.3120936805292729</v>
      </c>
      <c r="P109" s="37">
        <f>(J110+0.5*K109)/(1+'General input'!$C$113)^E109</f>
        <v>9.4672422941233639E-2</v>
      </c>
      <c r="Q109" s="37">
        <f>SUM(P109:P$113)</f>
        <v>0.20856008956951894</v>
      </c>
      <c r="R109" s="37">
        <f t="shared" si="31"/>
        <v>2.2029655848037102</v>
      </c>
      <c r="T109" s="44">
        <f>'Life table (HE)'!C$25</f>
        <v>0.52288000000000001</v>
      </c>
      <c r="V109" s="48">
        <f t="shared" si="28"/>
        <v>8.3081040118725209</v>
      </c>
      <c r="W109" s="37">
        <f>SUM(V109:V$115)</f>
        <v>19.209114783030351</v>
      </c>
      <c r="X109" s="47">
        <f t="shared" si="32"/>
        <v>1.208947543675146</v>
      </c>
      <c r="Y109" s="37">
        <f>V109/(1+'General input'!$C$113)^E109</f>
        <v>4.9502316507512245E-2</v>
      </c>
      <c r="Z109" s="37">
        <f>SUM(Y109:Y$115)</f>
        <v>0.10905189963411006</v>
      </c>
      <c r="AA109" s="47">
        <f t="shared" si="33"/>
        <v>1.1518866449821639</v>
      </c>
      <c r="AB109" s="47"/>
      <c r="AC109" s="37">
        <f t="shared" si="35"/>
        <v>105.5</v>
      </c>
      <c r="AD109" s="37">
        <f t="shared" si="34"/>
        <v>778.43169675256615</v>
      </c>
      <c r="AF109" s="4"/>
      <c r="AI109" s="4"/>
      <c r="AL109" s="4"/>
      <c r="AP109" s="41"/>
      <c r="AQ109" s="41"/>
      <c r="AR109" s="49"/>
      <c r="AS109" s="41"/>
      <c r="AT109" s="41"/>
      <c r="AU109" s="41"/>
      <c r="AV109" s="41"/>
      <c r="AW109" s="41"/>
      <c r="AX109" s="41"/>
      <c r="AY109" s="41"/>
      <c r="AZ109" s="41"/>
      <c r="BA109" s="41"/>
      <c r="BB109" s="41"/>
      <c r="BC109" s="41"/>
      <c r="BD109" s="6"/>
      <c r="BE109" s="7"/>
      <c r="BF109" s="7"/>
      <c r="BG109" s="7"/>
      <c r="BH109" s="7"/>
      <c r="BI109" s="7"/>
      <c r="BJ109" s="7"/>
      <c r="BK109" s="7"/>
      <c r="BL109" s="7"/>
      <c r="BY109" s="50"/>
      <c r="CA109" s="49"/>
      <c r="CB109" s="49"/>
      <c r="CC109" s="49"/>
      <c r="CD109" s="49"/>
      <c r="CE109" s="49"/>
      <c r="CF109" s="49"/>
      <c r="CG109" s="49"/>
      <c r="CH109" s="49"/>
      <c r="CI109" s="49"/>
      <c r="CJ109" s="41"/>
      <c r="CK109" s="7"/>
      <c r="CL109" s="7"/>
      <c r="CM109" s="7"/>
      <c r="CN109" s="7"/>
      <c r="CO109" s="7"/>
      <c r="CP109" s="7"/>
      <c r="CQ109" s="7"/>
      <c r="CR109" s="7"/>
      <c r="CS109" s="7"/>
    </row>
    <row r="110" spans="5:97" ht="14.4" x14ac:dyDescent="0.3">
      <c r="E110" s="138">
        <v>106</v>
      </c>
      <c r="F110" s="44">
        <f>'Life table (HE)'!B$25</f>
        <v>0.47299999999999998</v>
      </c>
      <c r="H110" s="45">
        <f t="shared" si="25"/>
        <v>0.47299999999999998</v>
      </c>
      <c r="I110" s="46">
        <f t="shared" si="26"/>
        <v>0.37686992882234216</v>
      </c>
      <c r="J110" s="37">
        <f t="shared" si="27"/>
        <v>12.199872062089224</v>
      </c>
      <c r="K110" s="41">
        <f t="shared" si="18"/>
        <v>4.5977649156812461</v>
      </c>
      <c r="L110" s="41">
        <f>SUM($K$4:K109)</f>
        <v>99987.800127937851</v>
      </c>
      <c r="M110" s="37">
        <f t="shared" si="19"/>
        <v>9.9009896042486005</v>
      </c>
      <c r="N110" s="37">
        <f>SUM(M110:M$113)</f>
        <v>20.848016315708822</v>
      </c>
      <c r="O110" s="47">
        <f t="shared" si="30"/>
        <v>2.105649753107786</v>
      </c>
      <c r="P110" s="37">
        <f>(J111+0.5*K110)/(1+'General input'!$C$113)^E110</f>
        <v>5.6184032043744989E-2</v>
      </c>
      <c r="Q110" s="37">
        <f>SUM(P110:P$113)</f>
        <v>0.11388766662828528</v>
      </c>
      <c r="R110" s="37">
        <f t="shared" si="31"/>
        <v>2.02704687587413</v>
      </c>
      <c r="T110" s="44">
        <f>'Life table (HE)'!C$25</f>
        <v>0.52288000000000001</v>
      </c>
      <c r="V110" s="48">
        <f t="shared" si="28"/>
        <v>5.1770294442695084</v>
      </c>
      <c r="W110" s="37">
        <f>SUM(V110:V$115)</f>
        <v>10.901010771157829</v>
      </c>
      <c r="X110" s="47">
        <f t="shared" si="32"/>
        <v>1.1010021429049992</v>
      </c>
      <c r="Y110" s="37">
        <f>V110/(1+'General input'!$C$113)^E110</f>
        <v>2.9377506675033381E-2</v>
      </c>
      <c r="Z110" s="37">
        <f>SUM(Y110:Y$115)</f>
        <v>5.9549583126597819E-2</v>
      </c>
      <c r="AA110" s="47">
        <f t="shared" si="33"/>
        <v>1.0599022704570653</v>
      </c>
      <c r="AB110" s="47"/>
      <c r="AC110" s="37">
        <f t="shared" si="35"/>
        <v>106.5</v>
      </c>
      <c r="AD110" s="37">
        <f t="shared" si="34"/>
        <v>489.66196352005272</v>
      </c>
      <c r="AF110" s="4"/>
      <c r="AI110" s="4"/>
      <c r="AL110" s="4"/>
      <c r="AP110" s="41"/>
      <c r="AQ110" s="41"/>
      <c r="AR110" s="49"/>
      <c r="AS110" s="41"/>
      <c r="AT110" s="41"/>
      <c r="AU110" s="41"/>
      <c r="AV110" s="41"/>
      <c r="AW110" s="41"/>
      <c r="AX110" s="41"/>
      <c r="AY110" s="41"/>
      <c r="AZ110" s="41"/>
      <c r="BA110" s="41"/>
      <c r="BB110" s="41"/>
      <c r="BC110" s="41"/>
      <c r="BD110" s="6"/>
      <c r="BE110" s="7"/>
      <c r="BF110" s="7"/>
      <c r="BG110" s="7"/>
      <c r="BH110" s="7"/>
      <c r="BI110" s="7"/>
      <c r="BJ110" s="7"/>
      <c r="BK110" s="7"/>
      <c r="BL110" s="7"/>
      <c r="BY110" s="50"/>
      <c r="CA110" s="49"/>
      <c r="CB110" s="49"/>
      <c r="CC110" s="49"/>
      <c r="CD110" s="49"/>
      <c r="CE110" s="49"/>
      <c r="CF110" s="49"/>
      <c r="CG110" s="49"/>
      <c r="CH110" s="49"/>
      <c r="CI110" s="49"/>
      <c r="CJ110" s="41"/>
      <c r="CK110" s="7"/>
      <c r="CL110" s="7"/>
      <c r="CM110" s="7"/>
      <c r="CN110" s="7"/>
      <c r="CO110" s="7"/>
      <c r="CP110" s="7"/>
      <c r="CQ110" s="7"/>
      <c r="CR110" s="7"/>
      <c r="CS110" s="7"/>
    </row>
    <row r="111" spans="5:97" ht="14.4" x14ac:dyDescent="0.3">
      <c r="E111" s="138">
        <v>107</v>
      </c>
      <c r="F111" s="44">
        <f>'Life table (HE)'!B$25</f>
        <v>0.47299999999999998</v>
      </c>
      <c r="H111" s="45">
        <f t="shared" si="25"/>
        <v>0.47299999999999998</v>
      </c>
      <c r="I111" s="46">
        <f t="shared" si="26"/>
        <v>0.37686992882234216</v>
      </c>
      <c r="J111" s="37">
        <f t="shared" si="27"/>
        <v>7.6021071464079775</v>
      </c>
      <c r="K111" s="41">
        <f t="shared" si="18"/>
        <v>2.8650055791665929</v>
      </c>
      <c r="L111" s="41">
        <f>SUM($K$4:K110)</f>
        <v>99992.397892853536</v>
      </c>
      <c r="M111" s="37">
        <f t="shared" si="19"/>
        <v>6.1696043568246814</v>
      </c>
      <c r="N111" s="37">
        <f>SUM(M111:M$113)</f>
        <v>10.947026711460222</v>
      </c>
      <c r="O111" s="47">
        <f t="shared" si="30"/>
        <v>1.7743482528747341</v>
      </c>
      <c r="P111" s="37">
        <f>(J112+0.5*K111)/(1+'General input'!$C$113)^E111</f>
        <v>3.3342818939492022E-2</v>
      </c>
      <c r="Q111" s="37">
        <f>SUM(P111:P$113)</f>
        <v>5.7703634584540302E-2</v>
      </c>
      <c r="R111" s="37">
        <f t="shared" si="31"/>
        <v>1.7306165591234626</v>
      </c>
      <c r="T111" s="44">
        <f>'Life table (HE)'!C$25</f>
        <v>0.52288000000000001</v>
      </c>
      <c r="V111" s="48">
        <f t="shared" si="28"/>
        <v>3.2259627260964896</v>
      </c>
      <c r="W111" s="37">
        <f>SUM(V111:V$115)</f>
        <v>5.7239813268883211</v>
      </c>
      <c r="X111" s="47">
        <f t="shared" si="32"/>
        <v>0.92777121446314104</v>
      </c>
      <c r="Y111" s="37">
        <f>V111/(1+'General input'!$C$113)^E111</f>
        <v>1.7434293167081592E-2</v>
      </c>
      <c r="Z111" s="37">
        <f>SUM(Y111:Y$115)</f>
        <v>3.0172076451564431E-2</v>
      </c>
      <c r="AA111" s="47">
        <f t="shared" si="33"/>
        <v>0.90490478643447603</v>
      </c>
      <c r="AB111" s="47"/>
      <c r="AC111" s="37">
        <f t="shared" si="35"/>
        <v>107.5</v>
      </c>
      <c r="AD111" s="37">
        <f t="shared" si="34"/>
        <v>307.98809976040872</v>
      </c>
      <c r="AF111" s="4"/>
      <c r="AI111" s="4"/>
      <c r="AL111" s="4"/>
      <c r="AP111" s="41"/>
      <c r="AQ111" s="41"/>
      <c r="AR111" s="49"/>
      <c r="AS111" s="41"/>
      <c r="AT111" s="41"/>
      <c r="AU111" s="41"/>
      <c r="AV111" s="41"/>
      <c r="AW111" s="41"/>
      <c r="AX111" s="41"/>
      <c r="AY111" s="41"/>
      <c r="AZ111" s="41"/>
      <c r="BA111" s="41"/>
      <c r="BB111" s="41"/>
      <c r="BC111" s="41"/>
      <c r="BD111" s="6"/>
      <c r="BE111" s="7"/>
      <c r="BF111" s="7"/>
      <c r="BG111" s="7"/>
      <c r="BH111" s="7"/>
      <c r="BI111" s="7"/>
      <c r="BJ111" s="7"/>
      <c r="BK111" s="7"/>
      <c r="BL111" s="7"/>
      <c r="BY111" s="50"/>
      <c r="CA111" s="49"/>
      <c r="CB111" s="49"/>
      <c r="CC111" s="49"/>
      <c r="CD111" s="49"/>
      <c r="CE111" s="49"/>
      <c r="CF111" s="49"/>
      <c r="CG111" s="49"/>
      <c r="CH111" s="49"/>
      <c r="CI111" s="49"/>
      <c r="CJ111" s="41"/>
      <c r="CK111" s="7"/>
      <c r="CL111" s="7"/>
      <c r="CM111" s="7"/>
      <c r="CN111" s="7"/>
      <c r="CO111" s="7"/>
      <c r="CP111" s="7"/>
      <c r="CQ111" s="7"/>
      <c r="CR111" s="7"/>
      <c r="CS111" s="7"/>
    </row>
    <row r="112" spans="5:97" ht="14.4" x14ac:dyDescent="0.3">
      <c r="E112" s="138">
        <v>108</v>
      </c>
      <c r="F112" s="44">
        <f>'Life table (HE)'!B$25</f>
        <v>0.47299999999999998</v>
      </c>
      <c r="H112" s="45">
        <f t="shared" si="25"/>
        <v>0.47299999999999998</v>
      </c>
      <c r="I112" s="46">
        <f t="shared" si="26"/>
        <v>0.37686992882234216</v>
      </c>
      <c r="J112" s="37">
        <f t="shared" si="27"/>
        <v>4.7371015672413845</v>
      </c>
      <c r="K112" s="41">
        <f t="shared" si="18"/>
        <v>1.785271130470466</v>
      </c>
      <c r="L112" s="41">
        <f>SUM($K$4:K111)</f>
        <v>99995.262898432702</v>
      </c>
      <c r="M112" s="37">
        <f t="shared" si="19"/>
        <v>3.8444660020061514</v>
      </c>
      <c r="N112" s="37">
        <f>SUM(M112:M$113)</f>
        <v>4.7774223546355401</v>
      </c>
      <c r="O112" s="47">
        <f t="shared" si="30"/>
        <v>1.2426751471186235</v>
      </c>
      <c r="P112" s="37">
        <f>(J113+0.5*K112)/(1+'General input'!$C$113)^E112</f>
        <v>1.9787536322885168E-2</v>
      </c>
      <c r="Q112" s="37">
        <f>SUM(P112:P$113)</f>
        <v>2.4360815645048276E-2</v>
      </c>
      <c r="R112" s="37">
        <f t="shared" si="31"/>
        <v>1.2311191877320224</v>
      </c>
      <c r="T112" s="44">
        <f>'Life table (HE)'!C$25</f>
        <v>0.52288000000000001</v>
      </c>
      <c r="V112" s="48">
        <f t="shared" si="28"/>
        <v>2.0101943831289764</v>
      </c>
      <c r="W112" s="37">
        <f>SUM(V112:V$115)</f>
        <v>2.4980186007918315</v>
      </c>
      <c r="X112" s="47">
        <f t="shared" si="32"/>
        <v>0.64976998092538585</v>
      </c>
      <c r="Y112" s="37">
        <f>V112/(1+'General input'!$C$113)^E112</f>
        <v>1.0346506992510196E-2</v>
      </c>
      <c r="Z112" s="37">
        <f>SUM(Y112:Y$115)</f>
        <v>1.2737783284482841E-2</v>
      </c>
      <c r="AA112" s="47">
        <f t="shared" si="33"/>
        <v>0.64372760088131975</v>
      </c>
      <c r="AB112" s="47"/>
      <c r="AC112" s="37">
        <f t="shared" si="35"/>
        <v>108.5</v>
      </c>
      <c r="AD112" s="37">
        <f t="shared" si="34"/>
        <v>193.70191765604557</v>
      </c>
      <c r="AF112" s="4"/>
      <c r="AI112" s="4"/>
      <c r="AL112" s="4"/>
      <c r="AP112" s="41"/>
      <c r="AQ112" s="41"/>
      <c r="AR112" s="49"/>
      <c r="AS112" s="41"/>
      <c r="AT112" s="41"/>
      <c r="AU112" s="41"/>
      <c r="AV112" s="41"/>
      <c r="AW112" s="41"/>
      <c r="AX112" s="41"/>
      <c r="AY112" s="41"/>
      <c r="AZ112" s="41"/>
      <c r="BA112" s="41"/>
      <c r="BB112" s="41"/>
      <c r="BC112" s="41"/>
      <c r="BD112" s="6"/>
      <c r="BE112" s="7"/>
      <c r="BF112" s="7"/>
      <c r="BG112" s="7"/>
      <c r="BH112" s="7"/>
      <c r="BI112" s="7"/>
      <c r="BJ112" s="7"/>
      <c r="BK112" s="7"/>
      <c r="BL112" s="7"/>
      <c r="BY112" s="50"/>
      <c r="CA112" s="49"/>
      <c r="CB112" s="49"/>
      <c r="CC112" s="49"/>
      <c r="CD112" s="49"/>
      <c r="CE112" s="49"/>
      <c r="CF112" s="49"/>
      <c r="CG112" s="49"/>
      <c r="CH112" s="49"/>
      <c r="CI112" s="49"/>
      <c r="CJ112" s="41"/>
      <c r="CK112" s="7"/>
      <c r="CL112" s="7"/>
      <c r="CM112" s="7"/>
      <c r="CN112" s="7"/>
      <c r="CO112" s="7"/>
      <c r="CP112" s="7"/>
      <c r="CQ112" s="7"/>
      <c r="CR112" s="7"/>
      <c r="CS112" s="7"/>
    </row>
    <row r="113" spans="5:195" ht="14.4" x14ac:dyDescent="0.3">
      <c r="E113" s="138">
        <v>109</v>
      </c>
      <c r="F113" s="44">
        <v>1</v>
      </c>
      <c r="H113" s="45">
        <f t="shared" si="25"/>
        <v>1</v>
      </c>
      <c r="I113" s="46">
        <f t="shared" si="26"/>
        <v>0.63212055882855767</v>
      </c>
      <c r="J113" s="37">
        <f t="shared" si="27"/>
        <v>2.9518304367709183</v>
      </c>
      <c r="K113" s="41">
        <f t="shared" si="18"/>
        <v>1.8659127052587783</v>
      </c>
      <c r="L113" s="41">
        <f>SUM($K$4:K112)</f>
        <v>99997.048169563175</v>
      </c>
      <c r="M113" s="37">
        <f t="shared" si="19"/>
        <v>0.93295635262938914</v>
      </c>
      <c r="N113" s="37">
        <f>SUM(M113:M$113)</f>
        <v>0.93295635262938914</v>
      </c>
      <c r="O113" s="47">
        <f t="shared" si="30"/>
        <v>1</v>
      </c>
      <c r="P113" s="37">
        <f>(J114+0.5*K113)/(1+'General input'!$C$113)^E113</f>
        <v>4.5732793221631082E-3</v>
      </c>
      <c r="Q113" s="37">
        <f>SUM(P113:P$113)</f>
        <v>4.5732793221631082E-3</v>
      </c>
      <c r="R113" s="37">
        <f t="shared" si="31"/>
        <v>1</v>
      </c>
      <c r="T113" s="44">
        <f>'Life table (HE)'!C$25</f>
        <v>0.52288000000000001</v>
      </c>
      <c r="V113" s="48">
        <f t="shared" si="28"/>
        <v>0.487824217662855</v>
      </c>
      <c r="W113" s="37">
        <f>SUM(V113:V$115)</f>
        <v>0.487824217662855</v>
      </c>
      <c r="X113" s="47">
        <f t="shared" si="32"/>
        <v>0.52288000000000001</v>
      </c>
      <c r="Y113" s="37">
        <f>V113/(1+'General input'!$C$113)^E113</f>
        <v>2.3912762919726456E-3</v>
      </c>
      <c r="Z113" s="37">
        <f>SUM(Y113:Y$115)</f>
        <v>2.3912762919726456E-3</v>
      </c>
      <c r="AA113" s="47">
        <f t="shared" si="33"/>
        <v>0.5228799999999999</v>
      </c>
      <c r="AB113" s="47"/>
      <c r="AC113" s="37">
        <f t="shared" si="35"/>
        <v>109.5</v>
      </c>
      <c r="AD113" s="37">
        <f t="shared" si="34"/>
        <v>204.31744122583623</v>
      </c>
      <c r="AE113" s="54">
        <f>SUM(AD69:AD113)/SUM(K69:K113)</f>
        <v>77.803092976258668</v>
      </c>
      <c r="AF113" s="4"/>
      <c r="AI113" s="4"/>
      <c r="AL113" s="4"/>
      <c r="AP113" s="41"/>
      <c r="AQ113" s="41"/>
      <c r="AR113" s="49"/>
      <c r="AS113" s="41"/>
      <c r="AT113" s="41"/>
      <c r="AU113" s="41"/>
      <c r="AV113" s="41"/>
      <c r="AW113" s="41"/>
      <c r="AX113" s="41"/>
      <c r="AY113" s="41"/>
      <c r="AZ113" s="41"/>
      <c r="BA113" s="41"/>
      <c r="BB113" s="41"/>
      <c r="BC113" s="41"/>
      <c r="BD113" s="6"/>
      <c r="BE113" s="7"/>
      <c r="BF113" s="7"/>
      <c r="BG113" s="7"/>
      <c r="BH113" s="7"/>
      <c r="BI113" s="7"/>
      <c r="BJ113" s="7"/>
      <c r="BK113" s="7"/>
      <c r="BL113" s="7"/>
      <c r="BY113" s="50"/>
      <c r="CA113" s="49"/>
      <c r="CB113" s="49"/>
      <c r="CC113" s="49"/>
      <c r="CD113" s="49"/>
      <c r="CE113" s="49"/>
      <c r="CF113" s="49"/>
      <c r="CG113" s="49"/>
      <c r="CH113" s="49"/>
      <c r="CI113" s="49"/>
      <c r="CJ113" s="41"/>
      <c r="CK113" s="7"/>
      <c r="CL113" s="7"/>
      <c r="CM113" s="7"/>
      <c r="CN113" s="7"/>
      <c r="CO113" s="7"/>
      <c r="CP113" s="7"/>
      <c r="CQ113" s="7"/>
      <c r="CR113" s="7"/>
      <c r="CS113" s="7"/>
    </row>
    <row r="114" spans="5:195" x14ac:dyDescent="0.25">
      <c r="E114" s="138"/>
      <c r="F114" s="4"/>
      <c r="H114" s="47"/>
      <c r="I114" s="56"/>
      <c r="K114" s="37">
        <v>0</v>
      </c>
      <c r="L114" s="37">
        <v>100000</v>
      </c>
      <c r="O114" s="47"/>
      <c r="X114" s="47"/>
      <c r="AA114" s="47"/>
      <c r="AB114" s="47"/>
    </row>
    <row r="115" spans="5:195" ht="14.4" x14ac:dyDescent="0.3">
      <c r="E115" s="138"/>
      <c r="F115" s="4"/>
      <c r="H115" s="47"/>
      <c r="I115" s="56"/>
      <c r="O115" s="47"/>
      <c r="Q115" s="4"/>
      <c r="X115" s="47"/>
      <c r="AA115" s="47"/>
      <c r="AB115" s="47"/>
      <c r="AT115"/>
      <c r="AU115"/>
      <c r="AV115"/>
      <c r="AW115"/>
      <c r="BQ115"/>
      <c r="BR115"/>
      <c r="BS115"/>
      <c r="BT115"/>
      <c r="BU115"/>
      <c r="BV115" s="52"/>
      <c r="BW115" s="52"/>
      <c r="BX115"/>
      <c r="BZ115"/>
      <c r="CA115"/>
      <c r="CC115"/>
      <c r="CD115"/>
    </row>
    <row r="116" spans="5:195" ht="14.4" x14ac:dyDescent="0.3">
      <c r="E116" s="57"/>
      <c r="F116" s="57" t="s">
        <v>248</v>
      </c>
      <c r="G116" s="57" t="s">
        <v>249</v>
      </c>
      <c r="H116" s="58" t="s">
        <v>250</v>
      </c>
      <c r="I116" s="58" t="s">
        <v>251</v>
      </c>
      <c r="J116" s="58" t="s">
        <v>252</v>
      </c>
      <c r="K116" s="59"/>
      <c r="M116" s="59"/>
      <c r="N116" s="59"/>
      <c r="P116" s="8"/>
      <c r="Q116" s="4"/>
      <c r="AA116" s="47"/>
      <c r="AB116" s="47"/>
      <c r="AC116" s="59"/>
      <c r="AD116" s="59"/>
      <c r="AT116"/>
      <c r="AU116"/>
      <c r="AV116"/>
      <c r="BQ116"/>
      <c r="BR116"/>
      <c r="BS116"/>
      <c r="BT116"/>
      <c r="BU116"/>
      <c r="BV116"/>
      <c r="BW116"/>
      <c r="BX116"/>
      <c r="CA116"/>
      <c r="CB116"/>
    </row>
    <row r="117" spans="5:195" ht="14.4" x14ac:dyDescent="0.3">
      <c r="E117" s="60" t="s">
        <v>8</v>
      </c>
      <c r="F117" s="61">
        <f>3/12</f>
        <v>0.25</v>
      </c>
      <c r="G117" s="54">
        <f t="shared" ref="G117:G124" si="36">INDEX($O$4:$O$113,MATCH(ROUNDDOWN($F117,0),$E$4:$E$113,0))*(1-(ROUNDUP($F117,0)-$F117))+INDEX($O$4:$O$113,MATCH(ROUNDUP($F117,0),$E$4:$E$113,0))*(ROUNDUP($F117,0)-$F117)</f>
        <v>63.311947111431628</v>
      </c>
      <c r="H117" s="54">
        <f>INDEX($R$4:$R$113,MATCH(ROUNDDOWN($F117,0),$E$4:$E$113,0))*(1-(ROUNDUP($F117,0)-$F117))+INDEX($R$4:$R$113,MATCH(ROUNDUP($F117,0),$E$4:$E$113,0))*(ROUNDUP($F117,0)-$F117)</f>
        <v>19.302842250809064</v>
      </c>
      <c r="I117" s="54">
        <f t="shared" ref="I117:I124" si="37">INDEX($X$4:$X$113,MATCH(ROUNDDOWN($F117,0),$E$4:$E$113,0))*(1-(ROUNDUP($F117,0)-$F117))+INDEX($X$4:$X$113,MATCH(ROUNDUP($F117,0),$E$4:$E$113,0))*(ROUNDUP($F117,0)-$F117)</f>
        <v>44.23471065784166</v>
      </c>
      <c r="J117" s="54">
        <f t="shared" ref="J117:J124" si="38">INDEX($AA$4:$AA$113,MATCH(ROUNDDOWN($F117,0),$E$4:$E$113,0))*(1-(ROUNDUP($F117,0)-$F117))+INDEX($AA$4:$AA$113,MATCH(ROUNDUP($F117,0),$E$4:$E$113,0))*(ROUNDUP($F117,0)-$F117)</f>
        <v>15.006803032905966</v>
      </c>
      <c r="M117" s="59"/>
      <c r="N117" s="59"/>
      <c r="P117" s="50"/>
      <c r="Q117" s="4"/>
      <c r="AA117" s="47"/>
      <c r="AB117" s="47"/>
      <c r="AT117"/>
      <c r="AU117" s="62"/>
      <c r="AV117" s="62"/>
      <c r="BU117" s="52"/>
      <c r="BV117" s="52"/>
      <c r="BW117" s="52"/>
      <c r="BX117" s="52"/>
      <c r="BZ117"/>
      <c r="CA117" s="62"/>
      <c r="CB117" s="62"/>
    </row>
    <row r="118" spans="5:195" ht="14.4" x14ac:dyDescent="0.3">
      <c r="E118" s="63" t="s">
        <v>2</v>
      </c>
      <c r="F118" s="61">
        <f>9/12</f>
        <v>0.75</v>
      </c>
      <c r="G118" s="54">
        <f t="shared" si="36"/>
        <v>63.242588803029129</v>
      </c>
      <c r="H118" s="54">
        <f t="shared" ref="H118:H124" si="39">INDEX($R$4:$R$113,MATCH(ROUNDDOWN($F118,0),$E$4:$E$113,0))*(1-(ROUNDUP($F118,0)-$F118))+INDEX($R$4:$R$113,MATCH(ROUNDUP($F118,0),$E$4:$E$113,0))*(ROUNDUP($F118,0)-$F118)</f>
        <v>19.175965306051872</v>
      </c>
      <c r="I118" s="54">
        <f t="shared" si="37"/>
        <v>44.260797126739924</v>
      </c>
      <c r="J118" s="54">
        <f t="shared" si="38"/>
        <v>14.943566765073864</v>
      </c>
      <c r="M118" s="59"/>
      <c r="N118" s="59"/>
      <c r="Q118" s="4"/>
      <c r="AA118" s="47"/>
      <c r="AB118" s="47"/>
      <c r="AT118" s="42"/>
      <c r="AU118" s="62"/>
      <c r="AV118" s="62"/>
      <c r="BP118" s="52"/>
      <c r="BQ118" s="52"/>
      <c r="BR118"/>
      <c r="BS118"/>
      <c r="BT118"/>
      <c r="BU118" s="52"/>
      <c r="BV118" s="52"/>
      <c r="BW118" s="52"/>
      <c r="BX118" s="52"/>
      <c r="BZ118" s="42"/>
      <c r="CA118" s="62"/>
      <c r="CB118" s="62"/>
    </row>
    <row r="119" spans="5:195" ht="14.4" x14ac:dyDescent="0.3">
      <c r="E119" s="63" t="s">
        <v>3</v>
      </c>
      <c r="F119" s="61">
        <v>1.5</v>
      </c>
      <c r="G119" s="54">
        <f t="shared" si="36"/>
        <v>62.924657046299728</v>
      </c>
      <c r="H119" s="54">
        <f t="shared" si="39"/>
        <v>19.349573642021696</v>
      </c>
      <c r="I119" s="54">
        <f t="shared" si="37"/>
        <v>43.852403461945975</v>
      </c>
      <c r="J119" s="54">
        <f t="shared" si="38"/>
        <v>14.988303607074638</v>
      </c>
      <c r="M119" s="59"/>
      <c r="N119" s="59"/>
      <c r="Q119" s="4"/>
      <c r="AA119" s="47"/>
      <c r="AB119" s="47"/>
      <c r="AT119"/>
      <c r="AU119" s="62"/>
      <c r="AV119" s="62"/>
      <c r="BP119" s="52"/>
      <c r="BQ119" s="52"/>
      <c r="BR119"/>
      <c r="BS119"/>
      <c r="BT119"/>
      <c r="BU119" s="52"/>
      <c r="BV119" s="52"/>
      <c r="BW119" s="52"/>
      <c r="BX119" s="52"/>
      <c r="BZ119"/>
      <c r="CA119" s="62"/>
      <c r="CB119" s="62"/>
    </row>
    <row r="120" spans="5:195" ht="14.4" x14ac:dyDescent="0.3">
      <c r="E120" s="60" t="s">
        <v>4</v>
      </c>
      <c r="F120" s="61">
        <v>3</v>
      </c>
      <c r="G120" s="54">
        <f t="shared" si="36"/>
        <v>61.656636902696874</v>
      </c>
      <c r="H120" s="54">
        <f t="shared" si="39"/>
        <v>19.297693868499458</v>
      </c>
      <c r="I120" s="54">
        <f t="shared" si="37"/>
        <v>42.742762947974903</v>
      </c>
      <c r="J120" s="54">
        <f t="shared" si="38"/>
        <v>14.832675725498362</v>
      </c>
      <c r="M120" s="59"/>
      <c r="N120" s="59"/>
      <c r="Q120" s="4"/>
      <c r="AA120" s="47"/>
      <c r="AB120" s="47"/>
      <c r="AT120"/>
      <c r="AU120" s="62"/>
      <c r="AV120" s="62"/>
      <c r="BP120" s="52"/>
      <c r="BQ120" s="52"/>
      <c r="BR120"/>
      <c r="BS120"/>
      <c r="BT120"/>
      <c r="BU120" s="52"/>
      <c r="BV120" s="52"/>
      <c r="BW120" s="52"/>
      <c r="BX120" s="52"/>
      <c r="BZ120"/>
      <c r="CA120" s="62"/>
      <c r="CB120" s="62"/>
    </row>
    <row r="121" spans="5:195" ht="14.4" x14ac:dyDescent="0.3">
      <c r="E121" s="60" t="s">
        <v>5</v>
      </c>
      <c r="F121" s="61">
        <v>9.5</v>
      </c>
      <c r="G121" s="54">
        <f t="shared" si="36"/>
        <v>55.670967444057503</v>
      </c>
      <c r="H121" s="54">
        <f t="shared" si="39"/>
        <v>18.859904145583634</v>
      </c>
      <c r="I121" s="54">
        <f t="shared" si="37"/>
        <v>37.724750020024487</v>
      </c>
      <c r="J121" s="54">
        <f t="shared" si="38"/>
        <v>14.033613467272861</v>
      </c>
      <c r="M121" s="59"/>
      <c r="N121" s="59"/>
      <c r="Q121" s="4"/>
      <c r="AA121" s="47"/>
      <c r="AB121" s="47"/>
      <c r="AT121"/>
      <c r="AU121" s="62"/>
      <c r="AV121" s="62"/>
      <c r="BP121" s="52"/>
      <c r="BQ121" s="52"/>
      <c r="BR121"/>
      <c r="BS121"/>
      <c r="BT121"/>
      <c r="BU121" s="52"/>
      <c r="BV121" s="52"/>
      <c r="BW121" s="52"/>
      <c r="BX121" s="52"/>
      <c r="BZ121"/>
      <c r="CA121" s="62"/>
      <c r="CB121" s="62"/>
    </row>
    <row r="122" spans="5:195" ht="14.4" x14ac:dyDescent="0.3">
      <c r="E122" s="60" t="s">
        <v>6</v>
      </c>
      <c r="F122" s="61">
        <f>AE53</f>
        <v>38.036343947054299</v>
      </c>
      <c r="G122" s="54">
        <f t="shared" si="36"/>
        <v>30.332301348908373</v>
      </c>
      <c r="H122" s="54">
        <f t="shared" si="39"/>
        <v>14.973909606551734</v>
      </c>
      <c r="I122" s="54">
        <f t="shared" si="37"/>
        <v>18.283688511859314</v>
      </c>
      <c r="J122" s="54">
        <f t="shared" si="38"/>
        <v>9.448589975775521</v>
      </c>
      <c r="M122" s="59"/>
      <c r="N122" s="59"/>
      <c r="Q122" s="4"/>
      <c r="AA122" s="47"/>
      <c r="AB122" s="47"/>
      <c r="AT122"/>
      <c r="AU122" s="62"/>
      <c r="AV122" s="62"/>
      <c r="BP122" s="52"/>
      <c r="BQ122" s="52"/>
      <c r="BR122"/>
      <c r="BS122"/>
      <c r="BT122"/>
      <c r="BU122" s="52"/>
      <c r="BV122" s="52"/>
      <c r="BW122" s="52"/>
      <c r="BX122" s="52"/>
      <c r="BZ122"/>
      <c r="CA122" s="62"/>
      <c r="CB122" s="62"/>
    </row>
    <row r="123" spans="5:195" ht="14.4" x14ac:dyDescent="0.3">
      <c r="E123" s="63" t="s">
        <v>7</v>
      </c>
      <c r="F123" s="61">
        <f>AE68</f>
        <v>58.142605429150485</v>
      </c>
      <c r="G123" s="54">
        <f t="shared" si="36"/>
        <v>16.663657932552432</v>
      </c>
      <c r="H123" s="54">
        <f t="shared" si="39"/>
        <v>10.737128352021761</v>
      </c>
      <c r="I123" s="54">
        <f t="shared" si="37"/>
        <v>9.2012352414126983</v>
      </c>
      <c r="J123" s="54">
        <f t="shared" si="38"/>
        <v>6.0480472719114662</v>
      </c>
      <c r="M123" s="59"/>
      <c r="N123" s="59"/>
      <c r="AT123"/>
      <c r="AU123" s="62"/>
      <c r="AV123" s="62"/>
      <c r="BP123" s="52"/>
      <c r="BQ123" s="52"/>
      <c r="BR123"/>
      <c r="BS123"/>
      <c r="BT123"/>
      <c r="BU123" s="52"/>
      <c r="BV123" s="52"/>
      <c r="BW123" s="52"/>
      <c r="BX123" s="52"/>
      <c r="BZ123"/>
      <c r="CA123" s="62"/>
      <c r="CB123" s="62"/>
    </row>
    <row r="124" spans="5:195" ht="14.4" x14ac:dyDescent="0.3">
      <c r="E124" s="63" t="s">
        <v>11</v>
      </c>
      <c r="F124" s="61">
        <f>AE113</f>
        <v>77.803092976258668</v>
      </c>
      <c r="G124" s="54">
        <f t="shared" si="36"/>
        <v>7.6709164280651745</v>
      </c>
      <c r="H124" s="54">
        <f t="shared" si="39"/>
        <v>6.1187281366196951</v>
      </c>
      <c r="I124" s="54">
        <f t="shared" si="37"/>
        <v>4.0109687819067172</v>
      </c>
      <c r="J124" s="54">
        <f t="shared" si="38"/>
        <v>3.1993605680757051</v>
      </c>
      <c r="M124" s="59"/>
      <c r="N124" s="59"/>
      <c r="AT124"/>
      <c r="AU124" s="62"/>
      <c r="AV124" s="62"/>
      <c r="BP124"/>
      <c r="BQ124"/>
      <c r="BR124"/>
      <c r="BS124"/>
      <c r="BT124"/>
      <c r="BU124" s="52"/>
      <c r="BV124" s="52"/>
      <c r="BW124" s="52"/>
      <c r="BX124" s="52"/>
      <c r="BZ124"/>
      <c r="CA124" s="62"/>
      <c r="CB124" s="62"/>
    </row>
    <row r="125" spans="5:195" ht="14.4" x14ac:dyDescent="0.3">
      <c r="E125"/>
      <c r="F125" s="41"/>
      <c r="G125" s="51"/>
      <c r="H125" s="51"/>
      <c r="I125" s="51"/>
      <c r="J125" s="51"/>
      <c r="AT125"/>
      <c r="AU125" s="62"/>
      <c r="AV125" s="62"/>
      <c r="BP125"/>
      <c r="BQ125"/>
      <c r="BR125"/>
      <c r="BS125"/>
      <c r="BT125"/>
      <c r="BU125" s="52"/>
      <c r="BV125" s="52"/>
      <c r="BW125" s="52"/>
      <c r="BX125" s="52"/>
      <c r="BZ125"/>
      <c r="CA125" s="62"/>
      <c r="CB125" s="62"/>
    </row>
    <row r="126" spans="5:195" ht="14.4" x14ac:dyDescent="0.3">
      <c r="E126"/>
      <c r="F126" s="51"/>
      <c r="G126" s="51"/>
      <c r="H126" s="51"/>
      <c r="I126" s="51"/>
      <c r="J126" s="51"/>
      <c r="AT126"/>
      <c r="AU126" s="62"/>
      <c r="AV126" s="62"/>
      <c r="BP126"/>
      <c r="BQ126"/>
      <c r="BR126"/>
      <c r="BS126"/>
      <c r="BT126"/>
      <c r="BU126" s="52"/>
      <c r="BV126" s="52"/>
      <c r="BW126" s="52"/>
      <c r="BX126" s="52"/>
      <c r="BZ126"/>
      <c r="CA126" s="62"/>
      <c r="CB126" s="62"/>
    </row>
    <row r="127" spans="5:195" ht="14.4" x14ac:dyDescent="0.3">
      <c r="E127"/>
      <c r="H127" t="s">
        <v>592</v>
      </c>
      <c r="I127" t="s">
        <v>900</v>
      </c>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row>
    <row r="128" spans="5:195" ht="14.4" x14ac:dyDescent="0.3">
      <c r="E128"/>
      <c r="H128" s="11" t="s">
        <v>537</v>
      </c>
      <c r="I128" t="s">
        <v>586</v>
      </c>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row>
    <row r="129" spans="5:195" ht="14.4" x14ac:dyDescent="0.3">
      <c r="E129"/>
      <c r="H129" t="s">
        <v>1</v>
      </c>
      <c r="I129" s="20" t="s">
        <v>98</v>
      </c>
      <c r="J129" s="20" t="s">
        <v>156</v>
      </c>
      <c r="K129" s="20" t="s">
        <v>61</v>
      </c>
      <c r="L129" s="20" t="s">
        <v>52</v>
      </c>
      <c r="M129" s="20" t="s">
        <v>175</v>
      </c>
      <c r="N129" s="20" t="s">
        <v>198</v>
      </c>
      <c r="O129" s="20" t="s">
        <v>118</v>
      </c>
      <c r="P129" s="20" t="s">
        <v>212</v>
      </c>
      <c r="Q129" s="20" t="s">
        <v>168</v>
      </c>
      <c r="R129" s="20" t="s">
        <v>119</v>
      </c>
      <c r="S129" s="20" t="s">
        <v>177</v>
      </c>
      <c r="T129" s="20" t="s">
        <v>120</v>
      </c>
      <c r="U129" s="20" t="s">
        <v>99</v>
      </c>
      <c r="V129" s="20" t="s">
        <v>178</v>
      </c>
      <c r="W129" s="20" t="s">
        <v>136</v>
      </c>
      <c r="X129" s="20" t="s">
        <v>169</v>
      </c>
      <c r="Y129" s="20" t="s">
        <v>190</v>
      </c>
      <c r="Z129" s="20" t="s">
        <v>72</v>
      </c>
      <c r="AA129" s="20" t="s">
        <v>100</v>
      </c>
      <c r="AB129" s="20" t="s">
        <v>199</v>
      </c>
      <c r="AC129" s="20" t="s">
        <v>157</v>
      </c>
      <c r="AD129" s="20" t="s">
        <v>67</v>
      </c>
      <c r="AE129" s="20" t="s">
        <v>200</v>
      </c>
      <c r="AF129" s="20" t="s">
        <v>107</v>
      </c>
      <c r="AG129" s="20" t="s">
        <v>137</v>
      </c>
      <c r="AH129" s="20" t="s">
        <v>73</v>
      </c>
      <c r="AI129" s="20" t="s">
        <v>34</v>
      </c>
      <c r="AJ129" s="20" t="s">
        <v>74</v>
      </c>
      <c r="AK129" s="20" t="s">
        <v>108</v>
      </c>
      <c r="AL129" s="20" t="s">
        <v>53</v>
      </c>
      <c r="AM129" s="20" t="s">
        <v>210</v>
      </c>
      <c r="AN129" s="20" t="s">
        <v>54</v>
      </c>
      <c r="AO129" s="20" t="s">
        <v>55</v>
      </c>
      <c r="AP129" s="20" t="s">
        <v>201</v>
      </c>
      <c r="AQ129" s="20" t="s">
        <v>88</v>
      </c>
      <c r="AR129" s="20" t="s">
        <v>202</v>
      </c>
      <c r="AS129" s="20" t="s">
        <v>35</v>
      </c>
      <c r="AT129" s="20" t="s">
        <v>56</v>
      </c>
      <c r="AU129" s="20" t="s">
        <v>191</v>
      </c>
      <c r="AV129" s="20" t="s">
        <v>75</v>
      </c>
      <c r="AW129" s="20" t="s">
        <v>158</v>
      </c>
      <c r="AX129" s="20" t="s">
        <v>179</v>
      </c>
      <c r="AY129" s="20" t="s">
        <v>180</v>
      </c>
      <c r="AZ129" s="20" t="s">
        <v>121</v>
      </c>
      <c r="BA129" s="20" t="s">
        <v>138</v>
      </c>
      <c r="BB129" s="20" t="s">
        <v>89</v>
      </c>
      <c r="BC129" s="20" t="s">
        <v>57</v>
      </c>
      <c r="BD129" s="20" t="s">
        <v>146</v>
      </c>
      <c r="BE129" s="20" t="s">
        <v>36</v>
      </c>
      <c r="BF129" s="20" t="s">
        <v>181</v>
      </c>
      <c r="BG129" s="20" t="s">
        <v>203</v>
      </c>
      <c r="BH129" s="20" t="s">
        <v>62</v>
      </c>
      <c r="BI129" s="20" t="s">
        <v>192</v>
      </c>
      <c r="BJ129" s="20" t="s">
        <v>58</v>
      </c>
      <c r="BK129" s="20" t="s">
        <v>37</v>
      </c>
      <c r="BL129" s="20" t="s">
        <v>147</v>
      </c>
      <c r="BM129" s="20" t="s">
        <v>38</v>
      </c>
      <c r="BN129" s="20" t="s">
        <v>214</v>
      </c>
      <c r="BO129" s="20" t="s">
        <v>148</v>
      </c>
      <c r="BP129" s="20" t="s">
        <v>170</v>
      </c>
      <c r="BQ129" s="20" t="s">
        <v>59</v>
      </c>
      <c r="BR129" s="20" t="s">
        <v>76</v>
      </c>
      <c r="BS129" s="20" t="s">
        <v>122</v>
      </c>
      <c r="BT129" s="20" t="s">
        <v>171</v>
      </c>
      <c r="BU129" s="20" t="s">
        <v>77</v>
      </c>
      <c r="BV129" s="20" t="s">
        <v>159</v>
      </c>
      <c r="BW129" s="20" t="s">
        <v>182</v>
      </c>
      <c r="BX129" s="20" t="s">
        <v>193</v>
      </c>
      <c r="BY129" s="20" t="s">
        <v>78</v>
      </c>
      <c r="BZ129" s="20" t="s">
        <v>79</v>
      </c>
      <c r="CA129" s="20" t="s">
        <v>204</v>
      </c>
      <c r="CB129" s="20" t="s">
        <v>183</v>
      </c>
      <c r="CC129" s="20" t="s">
        <v>194</v>
      </c>
      <c r="CD129" s="20" t="s">
        <v>139</v>
      </c>
      <c r="CE129" s="20" t="s">
        <v>149</v>
      </c>
      <c r="CF129" s="20" t="s">
        <v>101</v>
      </c>
      <c r="CG129" s="20" t="s">
        <v>109</v>
      </c>
      <c r="CH129" s="20" t="s">
        <v>102</v>
      </c>
      <c r="CI129" s="20" t="s">
        <v>123</v>
      </c>
      <c r="CJ129" s="20" t="s">
        <v>150</v>
      </c>
      <c r="CK129" s="20" t="s">
        <v>124</v>
      </c>
      <c r="CL129" s="20" t="s">
        <v>160</v>
      </c>
      <c r="CM129" s="20" t="s">
        <v>184</v>
      </c>
      <c r="CN129" s="20" t="s">
        <v>90</v>
      </c>
      <c r="CO129" s="20" t="s">
        <v>125</v>
      </c>
      <c r="CP129" s="20" t="s">
        <v>93</v>
      </c>
      <c r="CQ129" s="20" t="s">
        <v>39</v>
      </c>
      <c r="CR129" s="20" t="s">
        <v>219</v>
      </c>
      <c r="CS129" s="20" t="s">
        <v>126</v>
      </c>
      <c r="CT129" s="20" t="s">
        <v>94</v>
      </c>
      <c r="CU129" s="20" t="s">
        <v>110</v>
      </c>
      <c r="CV129" s="20" t="s">
        <v>151</v>
      </c>
      <c r="CW129" s="20" t="s">
        <v>127</v>
      </c>
      <c r="CX129" s="20" t="s">
        <v>68</v>
      </c>
      <c r="CY129" s="20" t="s">
        <v>80</v>
      </c>
      <c r="CZ129" s="20" t="s">
        <v>63</v>
      </c>
      <c r="DA129" s="20" t="s">
        <v>152</v>
      </c>
      <c r="DB129" s="20" t="s">
        <v>172</v>
      </c>
      <c r="DC129" s="20" t="s">
        <v>40</v>
      </c>
      <c r="DD129" s="20" t="s">
        <v>41</v>
      </c>
      <c r="DE129" s="20" t="s">
        <v>111</v>
      </c>
      <c r="DF129" s="20" t="s">
        <v>103</v>
      </c>
      <c r="DG129" s="20" t="s">
        <v>81</v>
      </c>
      <c r="DH129" s="20" t="s">
        <v>161</v>
      </c>
      <c r="DI129" s="20" t="s">
        <v>185</v>
      </c>
      <c r="DJ129" s="20" t="s">
        <v>82</v>
      </c>
      <c r="DK129" s="20" t="s">
        <v>42</v>
      </c>
      <c r="DL129" s="20" t="s">
        <v>195</v>
      </c>
      <c r="DM129" s="20" t="s">
        <v>220</v>
      </c>
      <c r="DN129" s="20" t="s">
        <v>91</v>
      </c>
      <c r="DO129" s="20" t="s">
        <v>162</v>
      </c>
      <c r="DP129" s="20" t="s">
        <v>64</v>
      </c>
      <c r="DQ129" s="20" t="s">
        <v>43</v>
      </c>
      <c r="DR129" s="20" t="s">
        <v>112</v>
      </c>
      <c r="DS129" s="20" t="s">
        <v>69</v>
      </c>
      <c r="DT129" s="20" t="s">
        <v>104</v>
      </c>
      <c r="DU129" s="20" t="s">
        <v>173</v>
      </c>
      <c r="DV129" s="20" t="s">
        <v>215</v>
      </c>
      <c r="DW129" s="20" t="s">
        <v>213</v>
      </c>
      <c r="DX129" s="20" t="s">
        <v>196</v>
      </c>
      <c r="DY129" s="20" t="s">
        <v>83</v>
      </c>
      <c r="DZ129" s="20" t="s">
        <v>84</v>
      </c>
      <c r="EA129" s="20" t="s">
        <v>153</v>
      </c>
      <c r="EB129" s="20" t="s">
        <v>128</v>
      </c>
      <c r="EC129" s="20" t="s">
        <v>105</v>
      </c>
      <c r="ED129" s="20" t="s">
        <v>197</v>
      </c>
      <c r="EE129" s="20" t="s">
        <v>216</v>
      </c>
      <c r="EF129" s="20" t="s">
        <v>205</v>
      </c>
      <c r="EG129" s="20" t="s">
        <v>206</v>
      </c>
      <c r="EH129" s="20" t="s">
        <v>113</v>
      </c>
      <c r="EI129" s="20" t="s">
        <v>140</v>
      </c>
      <c r="EJ129" s="20" t="s">
        <v>163</v>
      </c>
      <c r="EK129" s="20" t="s">
        <v>129</v>
      </c>
      <c r="EL129" s="20" t="s">
        <v>92</v>
      </c>
      <c r="EM129" s="20" t="s">
        <v>141</v>
      </c>
      <c r="EN129" s="20" t="s">
        <v>142</v>
      </c>
      <c r="EO129" s="20" t="s">
        <v>143</v>
      </c>
      <c r="EP129" s="20" t="s">
        <v>44</v>
      </c>
      <c r="EQ129" s="20" t="s">
        <v>186</v>
      </c>
      <c r="ER129" s="20" t="s">
        <v>187</v>
      </c>
      <c r="ES129" s="20" t="s">
        <v>221</v>
      </c>
      <c r="ET129" s="20" t="s">
        <v>60</v>
      </c>
      <c r="EU129" s="20" t="s">
        <v>130</v>
      </c>
      <c r="EV129" s="20" t="s">
        <v>85</v>
      </c>
      <c r="EW129" s="20" t="s">
        <v>164</v>
      </c>
      <c r="EX129" s="20" t="s">
        <v>45</v>
      </c>
      <c r="EY129" s="20" t="s">
        <v>86</v>
      </c>
      <c r="EZ129" s="20" t="s">
        <v>114</v>
      </c>
      <c r="FA129" s="20" t="s">
        <v>144</v>
      </c>
      <c r="FB129" s="20" t="s">
        <v>165</v>
      </c>
      <c r="FC129" s="20" t="s">
        <v>217</v>
      </c>
      <c r="FD129" s="20" t="s">
        <v>46</v>
      </c>
      <c r="FE129" s="20" t="s">
        <v>70</v>
      </c>
      <c r="FF129" s="20" t="s">
        <v>47</v>
      </c>
      <c r="FG129" s="20" t="s">
        <v>166</v>
      </c>
      <c r="FH129" s="20" t="s">
        <v>106</v>
      </c>
      <c r="FI129" s="20" t="s">
        <v>131</v>
      </c>
      <c r="FJ129" s="20" t="s">
        <v>65</v>
      </c>
      <c r="FK129" s="20" t="s">
        <v>207</v>
      </c>
      <c r="FL129" s="20" t="s">
        <v>71</v>
      </c>
      <c r="FM129" s="20" t="s">
        <v>154</v>
      </c>
      <c r="FN129" s="20" t="s">
        <v>174</v>
      </c>
      <c r="FO129" s="20" t="s">
        <v>132</v>
      </c>
      <c r="FP129" s="20" t="s">
        <v>95</v>
      </c>
      <c r="FQ129" s="20" t="s">
        <v>167</v>
      </c>
      <c r="FR129" s="20" t="s">
        <v>115</v>
      </c>
      <c r="FS129" s="20" t="s">
        <v>116</v>
      </c>
      <c r="FT129" s="20" t="s">
        <v>87</v>
      </c>
      <c r="FU129" s="20" t="s">
        <v>222</v>
      </c>
      <c r="FV129" s="20" t="s">
        <v>188</v>
      </c>
      <c r="FW129" s="20" t="s">
        <v>66</v>
      </c>
      <c r="FX129" s="20" t="s">
        <v>133</v>
      </c>
      <c r="FY129" s="20" t="s">
        <v>96</v>
      </c>
      <c r="FZ129" s="20" t="s">
        <v>48</v>
      </c>
      <c r="GA129" s="20" t="s">
        <v>145</v>
      </c>
      <c r="GB129" s="20" t="s">
        <v>134</v>
      </c>
      <c r="GC129" s="20" t="s">
        <v>155</v>
      </c>
      <c r="GD129" s="20" t="s">
        <v>49</v>
      </c>
      <c r="GE129" s="20" t="s">
        <v>211</v>
      </c>
      <c r="GF129" s="20" t="s">
        <v>208</v>
      </c>
      <c r="GG129" s="20" t="s">
        <v>97</v>
      </c>
      <c r="GH129" s="20" t="s">
        <v>218</v>
      </c>
      <c r="GI129" s="20" t="s">
        <v>209</v>
      </c>
      <c r="GJ129" s="20" t="s">
        <v>117</v>
      </c>
      <c r="GK129" s="20" t="s">
        <v>135</v>
      </c>
      <c r="GL129" s="20" t="s">
        <v>50</v>
      </c>
      <c r="GM129" s="20" t="s">
        <v>51</v>
      </c>
    </row>
    <row r="130" spans="5:195" ht="14.4" x14ac:dyDescent="0.3">
      <c r="E130"/>
      <c r="H130" s="23" t="s">
        <v>587</v>
      </c>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c r="BD130" s="20"/>
      <c r="BE130" s="20"/>
      <c r="BF130" s="20"/>
      <c r="BG130" s="20"/>
      <c r="BH130" s="20"/>
      <c r="BI130" s="20"/>
      <c r="BJ130" s="20"/>
      <c r="BK130" s="20"/>
      <c r="BL130" s="20"/>
      <c r="BM130" s="20"/>
      <c r="BN130" s="20"/>
      <c r="BO130" s="20"/>
      <c r="BP130" s="20"/>
      <c r="BQ130" s="20"/>
      <c r="BR130" s="20"/>
      <c r="BS130" s="20"/>
      <c r="BT130" s="20"/>
      <c r="BU130" s="20"/>
      <c r="BV130" s="20"/>
      <c r="BW130" s="20"/>
      <c r="BX130" s="20"/>
      <c r="BY130" s="20"/>
      <c r="BZ130" s="20"/>
      <c r="CA130" s="20"/>
      <c r="CB130" s="20"/>
      <c r="CC130" s="20"/>
      <c r="CD130" s="20"/>
      <c r="CE130" s="20"/>
      <c r="CF130" s="20"/>
      <c r="CG130" s="20"/>
      <c r="CH130" s="20"/>
      <c r="CI130" s="20"/>
      <c r="CJ130" s="20"/>
      <c r="CK130" s="20"/>
      <c r="CL130" s="20"/>
      <c r="CM130" s="20"/>
      <c r="CN130" s="20"/>
      <c r="CO130" s="20"/>
      <c r="CP130" s="20"/>
      <c r="CQ130" s="20"/>
      <c r="CR130" s="20"/>
      <c r="CS130" s="20"/>
      <c r="CT130" s="20"/>
      <c r="CU130" s="20"/>
      <c r="CV130" s="20"/>
      <c r="CW130" s="20"/>
      <c r="CX130" s="20"/>
      <c r="CY130" s="20"/>
      <c r="CZ130" s="20"/>
      <c r="DA130" s="20"/>
      <c r="DB130" s="20"/>
      <c r="DC130" s="20"/>
      <c r="DD130" s="20"/>
      <c r="DE130" s="20"/>
      <c r="DF130" s="20"/>
      <c r="DG130" s="20"/>
      <c r="DH130" s="20"/>
      <c r="DI130" s="20"/>
      <c r="DJ130" s="20"/>
      <c r="DK130" s="20"/>
      <c r="DL130" s="20"/>
      <c r="DM130" s="20"/>
      <c r="DN130" s="20"/>
      <c r="DO130" s="20"/>
      <c r="DP130" s="20"/>
      <c r="DQ130" s="20"/>
      <c r="DR130" s="20"/>
      <c r="DS130" s="20"/>
      <c r="DT130" s="20"/>
      <c r="DU130" s="20"/>
      <c r="DV130" s="20"/>
      <c r="DW130" s="20"/>
      <c r="DX130" s="20"/>
      <c r="DY130" s="20"/>
      <c r="DZ130" s="20"/>
      <c r="EA130" s="20"/>
      <c r="EB130" s="20"/>
      <c r="EC130" s="20"/>
      <c r="ED130" s="20"/>
      <c r="EE130" s="20"/>
      <c r="EF130" s="20"/>
      <c r="EG130" s="20"/>
      <c r="EH130" s="20"/>
      <c r="EI130" s="20"/>
      <c r="EJ130" s="20"/>
      <c r="EK130" s="20"/>
      <c r="EL130" s="20"/>
      <c r="EM130" s="20"/>
      <c r="EN130" s="20"/>
      <c r="EO130" s="20"/>
      <c r="EP130" s="20"/>
      <c r="EQ130" s="20"/>
      <c r="ER130" s="20"/>
      <c r="ES130" s="20"/>
      <c r="ET130" s="20"/>
      <c r="EU130" s="20"/>
      <c r="EV130" s="20"/>
      <c r="EW130" s="20"/>
      <c r="EX130" s="20"/>
      <c r="EY130" s="20"/>
      <c r="EZ130" s="20"/>
      <c r="FA130" s="20"/>
      <c r="FB130" s="20"/>
      <c r="FC130" s="20"/>
      <c r="FD130" s="20"/>
      <c r="FE130" s="20"/>
      <c r="FF130" s="20"/>
      <c r="FG130" s="20"/>
      <c r="FH130" s="20"/>
      <c r="FI130" s="20"/>
      <c r="FJ130" s="20"/>
      <c r="FK130" s="20"/>
      <c r="FL130" s="20"/>
      <c r="FM130" s="20"/>
      <c r="FN130" s="20"/>
      <c r="FO130" s="20"/>
      <c r="FP130" s="20"/>
      <c r="FQ130" s="20"/>
      <c r="FR130" s="20"/>
      <c r="FS130" s="20"/>
      <c r="FT130" s="20"/>
      <c r="FU130" s="20"/>
      <c r="FV130" s="20"/>
      <c r="FW130" s="20"/>
      <c r="FX130" s="20"/>
      <c r="FY130" s="20"/>
      <c r="FZ130" s="20"/>
      <c r="GA130" s="20"/>
      <c r="GB130" s="20"/>
      <c r="GC130" s="20"/>
      <c r="GD130" s="20"/>
      <c r="GE130" s="20"/>
      <c r="GF130" s="20"/>
      <c r="GG130" s="20"/>
      <c r="GH130" s="20"/>
      <c r="GI130" s="20"/>
      <c r="GJ130" s="20"/>
      <c r="GK130" s="20"/>
      <c r="GL130" s="20"/>
      <c r="GM130" s="20"/>
    </row>
    <row r="131" spans="5:195" ht="14.4" x14ac:dyDescent="0.3">
      <c r="E131"/>
      <c r="H131" t="s">
        <v>588</v>
      </c>
      <c r="I131">
        <v>6.5000000000000002E-2</v>
      </c>
      <c r="J131">
        <v>1.0999999999999999E-2</v>
      </c>
      <c r="K131">
        <v>2.1000000000000001E-2</v>
      </c>
      <c r="L131">
        <v>9.4E-2</v>
      </c>
      <c r="M131">
        <v>5.0000000000000001E-3</v>
      </c>
      <c r="N131">
        <v>0.01</v>
      </c>
      <c r="O131">
        <v>1.0999999999999999E-2</v>
      </c>
      <c r="P131">
        <v>3.0000000000000001E-3</v>
      </c>
      <c r="Q131">
        <v>3.0000000000000001E-3</v>
      </c>
      <c r="R131">
        <v>2.5999999999999999E-2</v>
      </c>
      <c r="S131">
        <v>8.9999999999999993E-3</v>
      </c>
      <c r="T131">
        <v>5.0000000000000001E-3</v>
      </c>
      <c r="U131">
        <v>2.9000000000000001E-2</v>
      </c>
      <c r="V131">
        <v>1.0999999999999999E-2</v>
      </c>
      <c r="W131">
        <v>3.0000000000000001E-3</v>
      </c>
      <c r="X131">
        <v>3.0000000000000001E-3</v>
      </c>
      <c r="Y131">
        <v>1.2999999999999999E-2</v>
      </c>
      <c r="Z131">
        <v>6.2E-2</v>
      </c>
      <c r="AA131">
        <v>2.5000000000000001E-2</v>
      </c>
      <c r="AB131">
        <v>2.8000000000000001E-2</v>
      </c>
      <c r="AC131">
        <v>5.0000000000000001E-3</v>
      </c>
      <c r="AD131">
        <v>3.2000000000000001E-2</v>
      </c>
      <c r="AE131">
        <v>1.2999999999999999E-2</v>
      </c>
      <c r="AF131">
        <v>8.0000000000000002E-3</v>
      </c>
      <c r="AG131">
        <v>8.0000000000000002E-3</v>
      </c>
      <c r="AH131">
        <v>5.8000000000000003E-2</v>
      </c>
      <c r="AI131">
        <v>0.05</v>
      </c>
      <c r="AJ131">
        <v>1.9E-2</v>
      </c>
      <c r="AK131">
        <v>2.1999999999999999E-2</v>
      </c>
      <c r="AL131">
        <v>5.2999999999999999E-2</v>
      </c>
      <c r="AM131">
        <v>4.0000000000000001E-3</v>
      </c>
      <c r="AN131">
        <v>0.09</v>
      </c>
      <c r="AO131">
        <v>8.3000000000000004E-2</v>
      </c>
      <c r="AP131">
        <v>6.0000000000000001E-3</v>
      </c>
      <c r="AQ131">
        <v>8.9999999999999993E-3</v>
      </c>
      <c r="AR131">
        <v>1.2E-2</v>
      </c>
      <c r="AS131"/>
      <c r="AT131">
        <v>0.03</v>
      </c>
      <c r="AU131">
        <v>8.0000000000000002E-3</v>
      </c>
      <c r="AV131">
        <v>6.0999999999999999E-2</v>
      </c>
      <c r="AW131">
        <v>3.0000000000000001E-3</v>
      </c>
      <c r="AX131">
        <v>4.0000000000000001E-3</v>
      </c>
      <c r="AY131"/>
      <c r="AZ131">
        <v>2E-3</v>
      </c>
      <c r="BA131">
        <v>3.0000000000000001E-3</v>
      </c>
      <c r="BB131">
        <v>1.7999999999999999E-2</v>
      </c>
      <c r="BC131">
        <v>7.1999999999999995E-2</v>
      </c>
      <c r="BD131">
        <v>3.0000000000000001E-3</v>
      </c>
      <c r="BE131">
        <v>5.0999999999999997E-2</v>
      </c>
      <c r="BF131">
        <v>2.4E-2</v>
      </c>
      <c r="BG131">
        <v>1.6E-2</v>
      </c>
      <c r="BH131">
        <v>1.9E-2</v>
      </c>
      <c r="BI131">
        <v>1.2999999999999999E-2</v>
      </c>
      <c r="BJ131">
        <v>6.5000000000000002E-2</v>
      </c>
      <c r="BK131">
        <v>3.1E-2</v>
      </c>
      <c r="BL131">
        <v>2E-3</v>
      </c>
      <c r="BM131">
        <v>3.6999999999999998E-2</v>
      </c>
      <c r="BN131">
        <v>1.7999999999999999E-2</v>
      </c>
      <c r="BO131">
        <v>2E-3</v>
      </c>
      <c r="BP131">
        <v>3.0000000000000001E-3</v>
      </c>
      <c r="BQ131">
        <v>3.2000000000000001E-2</v>
      </c>
      <c r="BR131">
        <v>4.4999999999999998E-2</v>
      </c>
      <c r="BS131">
        <v>8.9999999999999993E-3</v>
      </c>
      <c r="BT131">
        <v>3.0000000000000001E-3</v>
      </c>
      <c r="BU131">
        <v>3.9E-2</v>
      </c>
      <c r="BV131">
        <v>3.0000000000000001E-3</v>
      </c>
      <c r="BW131">
        <v>0.01</v>
      </c>
      <c r="BX131">
        <v>2.1999999999999999E-2</v>
      </c>
      <c r="BY131">
        <v>5.8000000000000003E-2</v>
      </c>
      <c r="BZ131">
        <v>5.6000000000000001E-2</v>
      </c>
      <c r="CA131">
        <v>2.8000000000000001E-2</v>
      </c>
      <c r="CB131">
        <v>4.9000000000000002E-2</v>
      </c>
      <c r="CC131">
        <v>1.6E-2</v>
      </c>
      <c r="CD131">
        <v>5.0000000000000001E-3</v>
      </c>
      <c r="CE131">
        <v>1E-3</v>
      </c>
      <c r="CF131">
        <v>3.9E-2</v>
      </c>
      <c r="CG131">
        <v>0.02</v>
      </c>
      <c r="CH131">
        <v>1.2999999999999999E-2</v>
      </c>
      <c r="CI131">
        <v>2.4E-2</v>
      </c>
      <c r="CJ131">
        <v>3.0000000000000001E-3</v>
      </c>
      <c r="CK131">
        <v>3.0000000000000001E-3</v>
      </c>
      <c r="CL131">
        <v>3.0000000000000001E-3</v>
      </c>
      <c r="CM131">
        <v>1.2E-2</v>
      </c>
      <c r="CN131">
        <v>2E-3</v>
      </c>
      <c r="CO131">
        <v>1.4999999999999999E-2</v>
      </c>
      <c r="CP131">
        <v>1.0999999999999999E-2</v>
      </c>
      <c r="CQ131">
        <v>3.3000000000000002E-2</v>
      </c>
      <c r="CR131">
        <v>0.04</v>
      </c>
      <c r="CS131">
        <v>7.0000000000000001E-3</v>
      </c>
      <c r="CT131">
        <v>1.7000000000000001E-2</v>
      </c>
      <c r="CU131">
        <v>4.7E-2</v>
      </c>
      <c r="CV131">
        <v>6.0000000000000001E-3</v>
      </c>
      <c r="CW131">
        <v>7.0000000000000001E-3</v>
      </c>
      <c r="CX131">
        <v>6.6000000000000003E-2</v>
      </c>
      <c r="CY131">
        <v>0.05</v>
      </c>
      <c r="CZ131">
        <v>0.01</v>
      </c>
      <c r="DA131">
        <v>3.0000000000000001E-3</v>
      </c>
      <c r="DB131">
        <v>1E-3</v>
      </c>
      <c r="DC131">
        <v>3.3000000000000002E-2</v>
      </c>
      <c r="DD131">
        <v>4.1000000000000002E-2</v>
      </c>
      <c r="DE131">
        <v>5.0000000000000001E-3</v>
      </c>
      <c r="DF131">
        <v>7.0000000000000001E-3</v>
      </c>
      <c r="DG131">
        <v>7.1999999999999995E-2</v>
      </c>
      <c r="DH131">
        <v>5.0000000000000001E-3</v>
      </c>
      <c r="DI131"/>
      <c r="DJ131">
        <v>6.2E-2</v>
      </c>
      <c r="DK131">
        <v>1.0999999999999999E-2</v>
      </c>
      <c r="DL131">
        <v>0.01</v>
      </c>
      <c r="DM131"/>
      <c r="DN131">
        <v>1.4999999999999999E-2</v>
      </c>
      <c r="DO131">
        <v>4.0000000000000001E-3</v>
      </c>
      <c r="DP131">
        <v>2.1000000000000001E-2</v>
      </c>
      <c r="DQ131">
        <v>5.5E-2</v>
      </c>
      <c r="DR131">
        <v>3.5999999999999997E-2</v>
      </c>
      <c r="DS131">
        <v>0.03</v>
      </c>
      <c r="DT131">
        <v>2.8000000000000001E-2</v>
      </c>
      <c r="DU131">
        <v>3.0000000000000001E-3</v>
      </c>
      <c r="DV131"/>
      <c r="DW131">
        <v>4.0000000000000001E-3</v>
      </c>
      <c r="DX131">
        <v>1.7000000000000001E-2</v>
      </c>
      <c r="DY131">
        <v>5.3999999999999999E-2</v>
      </c>
      <c r="DZ131">
        <v>6.6000000000000003E-2</v>
      </c>
      <c r="EA131">
        <v>2E-3</v>
      </c>
      <c r="EB131">
        <v>8.9999999999999993E-3</v>
      </c>
      <c r="EC131">
        <v>6.4000000000000001E-2</v>
      </c>
      <c r="ED131">
        <v>1.2999999999999999E-2</v>
      </c>
      <c r="EE131">
        <v>4.2000000000000003E-2</v>
      </c>
      <c r="EF131">
        <v>1.6E-2</v>
      </c>
      <c r="EG131">
        <v>1.2E-2</v>
      </c>
      <c r="EH131">
        <v>0.02</v>
      </c>
      <c r="EI131">
        <v>4.0000000000000001E-3</v>
      </c>
      <c r="EJ131">
        <v>3.0000000000000001E-3</v>
      </c>
      <c r="EK131">
        <v>6.0000000000000001E-3</v>
      </c>
      <c r="EL131">
        <v>3.0000000000000001E-3</v>
      </c>
      <c r="EM131">
        <v>1.2E-2</v>
      </c>
      <c r="EN131">
        <v>8.9999999999999993E-3</v>
      </c>
      <c r="EO131">
        <v>7.0000000000000001E-3</v>
      </c>
      <c r="EP131">
        <v>2.8000000000000001E-2</v>
      </c>
      <c r="EQ131">
        <v>1.2E-2</v>
      </c>
      <c r="ER131">
        <v>1.4999999999999999E-2</v>
      </c>
      <c r="ES131">
        <v>1.4E-2</v>
      </c>
      <c r="ET131"/>
      <c r="EU131">
        <v>1.2E-2</v>
      </c>
      <c r="EV131">
        <v>3.9E-2</v>
      </c>
      <c r="EW131">
        <v>5.0000000000000001E-3</v>
      </c>
      <c r="EX131">
        <v>1.0999999999999999E-2</v>
      </c>
      <c r="EY131">
        <v>8.5000000000000006E-2</v>
      </c>
      <c r="EZ131">
        <v>2E-3</v>
      </c>
      <c r="FA131">
        <v>5.0000000000000001E-3</v>
      </c>
      <c r="FB131">
        <v>2E-3</v>
      </c>
      <c r="FC131">
        <v>2.1999999999999999E-2</v>
      </c>
      <c r="FD131">
        <v>8.3000000000000004E-2</v>
      </c>
      <c r="FE131">
        <v>0.03</v>
      </c>
      <c r="FF131">
        <v>5.7000000000000002E-2</v>
      </c>
      <c r="FG131">
        <v>3.0000000000000001E-3</v>
      </c>
      <c r="FH131">
        <v>8.0000000000000002E-3</v>
      </c>
      <c r="FI131"/>
      <c r="FJ131">
        <v>4.3999999999999997E-2</v>
      </c>
      <c r="FK131">
        <v>1.7000000000000001E-2</v>
      </c>
      <c r="FL131">
        <v>4.1000000000000002E-2</v>
      </c>
      <c r="FM131">
        <v>2E-3</v>
      </c>
      <c r="FN131">
        <v>3.0000000000000001E-3</v>
      </c>
      <c r="FO131">
        <v>0.01</v>
      </c>
      <c r="FP131">
        <v>3.5000000000000003E-2</v>
      </c>
      <c r="FQ131">
        <v>5.0000000000000001E-3</v>
      </c>
      <c r="FR131">
        <v>8.9999999999999993E-3</v>
      </c>
      <c r="FS131">
        <v>4.2000000000000003E-2</v>
      </c>
      <c r="FT131">
        <v>4.8000000000000001E-2</v>
      </c>
      <c r="FU131">
        <v>1.7000000000000001E-2</v>
      </c>
      <c r="FV131">
        <v>1.6E-2</v>
      </c>
      <c r="FW131">
        <v>1.0999999999999999E-2</v>
      </c>
      <c r="FX131">
        <v>1.0999999999999999E-2</v>
      </c>
      <c r="FY131">
        <v>3.7999999999999999E-2</v>
      </c>
      <c r="FZ131">
        <v>3.5000000000000003E-2</v>
      </c>
      <c r="GA131">
        <v>7.0000000000000001E-3</v>
      </c>
      <c r="GB131">
        <v>5.0000000000000001E-3</v>
      </c>
      <c r="GC131">
        <v>3.0000000000000001E-3</v>
      </c>
      <c r="GD131">
        <v>3.3000000000000002E-2</v>
      </c>
      <c r="GE131">
        <v>5.0000000000000001E-3</v>
      </c>
      <c r="GF131">
        <v>8.0000000000000002E-3</v>
      </c>
      <c r="GG131">
        <v>0.03</v>
      </c>
      <c r="GH131">
        <v>2.1999999999999999E-2</v>
      </c>
      <c r="GI131">
        <v>1.0999999999999999E-2</v>
      </c>
      <c r="GJ131">
        <v>1.4999999999999999E-2</v>
      </c>
      <c r="GK131">
        <v>3.1E-2</v>
      </c>
      <c r="GL131">
        <v>4.1000000000000002E-2</v>
      </c>
      <c r="GM131">
        <v>4.2999999999999997E-2</v>
      </c>
    </row>
    <row r="132" spans="5:195" ht="14.4" x14ac:dyDescent="0.3">
      <c r="H132" t="s">
        <v>879</v>
      </c>
      <c r="I132">
        <v>7.0000000000000001E-3</v>
      </c>
      <c r="J132">
        <v>0</v>
      </c>
      <c r="K132">
        <v>1E-3</v>
      </c>
      <c r="L132">
        <v>1.7000000000000001E-2</v>
      </c>
      <c r="M132">
        <v>1E-3</v>
      </c>
      <c r="N132">
        <v>0</v>
      </c>
      <c r="O132">
        <v>0</v>
      </c>
      <c r="P132">
        <v>0</v>
      </c>
      <c r="Q132">
        <v>0</v>
      </c>
      <c r="R132">
        <v>1E-3</v>
      </c>
      <c r="S132">
        <v>1E-3</v>
      </c>
      <c r="T132">
        <v>0</v>
      </c>
      <c r="U132">
        <v>2E-3</v>
      </c>
      <c r="V132">
        <v>0</v>
      </c>
      <c r="W132">
        <v>0</v>
      </c>
      <c r="X132">
        <v>0</v>
      </c>
      <c r="Y132">
        <v>1E-3</v>
      </c>
      <c r="Z132">
        <v>0.01</v>
      </c>
      <c r="AA132">
        <v>1E-3</v>
      </c>
      <c r="AB132">
        <v>2E-3</v>
      </c>
      <c r="AC132">
        <v>0</v>
      </c>
      <c r="AD132">
        <v>2E-3</v>
      </c>
      <c r="AE132">
        <v>0</v>
      </c>
      <c r="AF132">
        <v>0</v>
      </c>
      <c r="AG132">
        <v>0</v>
      </c>
      <c r="AH132">
        <v>7.0000000000000001E-3</v>
      </c>
      <c r="AI132">
        <v>7.0000000000000001E-3</v>
      </c>
      <c r="AJ132">
        <v>1E-3</v>
      </c>
      <c r="AK132">
        <v>1E-3</v>
      </c>
      <c r="AL132">
        <v>8.0000000000000002E-3</v>
      </c>
      <c r="AM132">
        <v>0</v>
      </c>
      <c r="AN132">
        <v>1.0999999999999999E-2</v>
      </c>
      <c r="AO132">
        <v>1.4999999999999999E-2</v>
      </c>
      <c r="AP132">
        <v>0</v>
      </c>
      <c r="AQ132">
        <v>0</v>
      </c>
      <c r="AR132">
        <v>1E-3</v>
      </c>
      <c r="AS132"/>
      <c r="AT132">
        <v>3.0000000000000001E-3</v>
      </c>
      <c r="AU132">
        <v>0</v>
      </c>
      <c r="AV132">
        <v>7.0000000000000001E-3</v>
      </c>
      <c r="AW132">
        <v>0</v>
      </c>
      <c r="AX132">
        <v>0</v>
      </c>
      <c r="AY132"/>
      <c r="AZ132">
        <v>0</v>
      </c>
      <c r="BA132">
        <v>0</v>
      </c>
      <c r="BB132">
        <v>1E-3</v>
      </c>
      <c r="BC132">
        <v>6.0000000000000001E-3</v>
      </c>
      <c r="BD132">
        <v>0</v>
      </c>
      <c r="BE132">
        <v>3.0000000000000001E-3</v>
      </c>
      <c r="BF132">
        <v>1E-3</v>
      </c>
      <c r="BG132">
        <v>1E-3</v>
      </c>
      <c r="BH132">
        <v>1E-3</v>
      </c>
      <c r="BI132">
        <v>1E-3</v>
      </c>
      <c r="BJ132">
        <v>7.0000000000000001E-3</v>
      </c>
      <c r="BK132">
        <v>3.0000000000000001E-3</v>
      </c>
      <c r="BL132">
        <v>0</v>
      </c>
      <c r="BM132">
        <v>5.0000000000000001E-3</v>
      </c>
      <c r="BN132">
        <v>1E-3</v>
      </c>
      <c r="BO132">
        <v>0</v>
      </c>
      <c r="BP132">
        <v>0</v>
      </c>
      <c r="BQ132">
        <v>4.0000000000000001E-3</v>
      </c>
      <c r="BR132">
        <v>6.0000000000000001E-3</v>
      </c>
      <c r="BS132">
        <v>0</v>
      </c>
      <c r="BT132">
        <v>0</v>
      </c>
      <c r="BU132">
        <v>5.0000000000000001E-3</v>
      </c>
      <c r="BV132">
        <v>0</v>
      </c>
      <c r="BW132">
        <v>0</v>
      </c>
      <c r="BX132">
        <v>1E-3</v>
      </c>
      <c r="BY132">
        <v>0.01</v>
      </c>
      <c r="BZ132">
        <v>8.0000000000000002E-3</v>
      </c>
      <c r="CA132">
        <v>2E-3</v>
      </c>
      <c r="CB132">
        <v>4.0000000000000001E-3</v>
      </c>
      <c r="CC132">
        <v>1E-3</v>
      </c>
      <c r="CD132">
        <v>0</v>
      </c>
      <c r="CE132">
        <v>0</v>
      </c>
      <c r="CF132">
        <v>3.0000000000000001E-3</v>
      </c>
      <c r="CG132">
        <v>1E-3</v>
      </c>
      <c r="CH132">
        <v>1E-3</v>
      </c>
      <c r="CI132">
        <v>1E-3</v>
      </c>
      <c r="CJ132">
        <v>0</v>
      </c>
      <c r="CK132">
        <v>0</v>
      </c>
      <c r="CL132">
        <v>0</v>
      </c>
      <c r="CM132">
        <v>0</v>
      </c>
      <c r="CN132">
        <v>0</v>
      </c>
      <c r="CO132">
        <v>1E-3</v>
      </c>
      <c r="CP132">
        <v>0</v>
      </c>
      <c r="CQ132">
        <v>3.0000000000000001E-3</v>
      </c>
      <c r="CR132">
        <v>3.0000000000000001E-3</v>
      </c>
      <c r="CS132">
        <v>0</v>
      </c>
      <c r="CT132">
        <v>1E-3</v>
      </c>
      <c r="CU132">
        <v>4.0000000000000001E-3</v>
      </c>
      <c r="CV132">
        <v>0</v>
      </c>
      <c r="CW132">
        <v>0</v>
      </c>
      <c r="CX132">
        <v>6.0000000000000001E-3</v>
      </c>
      <c r="CY132">
        <v>5.0000000000000001E-3</v>
      </c>
      <c r="CZ132">
        <v>0</v>
      </c>
      <c r="DA132">
        <v>0</v>
      </c>
      <c r="DB132">
        <v>0</v>
      </c>
      <c r="DC132">
        <v>3.0000000000000001E-3</v>
      </c>
      <c r="DD132">
        <v>5.0000000000000001E-3</v>
      </c>
      <c r="DE132">
        <v>0</v>
      </c>
      <c r="DF132">
        <v>0</v>
      </c>
      <c r="DG132">
        <v>1.0999999999999999E-2</v>
      </c>
      <c r="DH132">
        <v>0</v>
      </c>
      <c r="DI132"/>
      <c r="DJ132">
        <v>6.0000000000000001E-3</v>
      </c>
      <c r="DK132">
        <v>0</v>
      </c>
      <c r="DL132">
        <v>0</v>
      </c>
      <c r="DM132"/>
      <c r="DN132">
        <v>1E-3</v>
      </c>
      <c r="DO132">
        <v>0</v>
      </c>
      <c r="DP132">
        <v>1E-3</v>
      </c>
      <c r="DQ132">
        <v>6.0000000000000001E-3</v>
      </c>
      <c r="DR132">
        <v>3.0000000000000001E-3</v>
      </c>
      <c r="DS132">
        <v>3.0000000000000001E-3</v>
      </c>
      <c r="DT132">
        <v>2E-3</v>
      </c>
      <c r="DU132">
        <v>0</v>
      </c>
      <c r="DV132"/>
      <c r="DW132">
        <v>0</v>
      </c>
      <c r="DX132">
        <v>1E-3</v>
      </c>
      <c r="DY132">
        <v>1.0999999999999999E-2</v>
      </c>
      <c r="DZ132">
        <v>1.0999999999999999E-2</v>
      </c>
      <c r="EA132">
        <v>0</v>
      </c>
      <c r="EB132">
        <v>0</v>
      </c>
      <c r="EC132">
        <v>4.0000000000000001E-3</v>
      </c>
      <c r="ED132">
        <v>1E-3</v>
      </c>
      <c r="EE132">
        <v>3.0000000000000001E-3</v>
      </c>
      <c r="EF132">
        <v>1E-3</v>
      </c>
      <c r="EG132">
        <v>1E-3</v>
      </c>
      <c r="EH132">
        <v>1E-3</v>
      </c>
      <c r="EI132">
        <v>0</v>
      </c>
      <c r="EJ132">
        <v>0</v>
      </c>
      <c r="EK132">
        <v>0</v>
      </c>
      <c r="EL132">
        <v>0</v>
      </c>
      <c r="EM132">
        <v>1E-3</v>
      </c>
      <c r="EN132">
        <v>0</v>
      </c>
      <c r="EO132">
        <v>0</v>
      </c>
      <c r="EP132">
        <v>3.0000000000000001E-3</v>
      </c>
      <c r="EQ132">
        <v>0</v>
      </c>
      <c r="ER132">
        <v>0</v>
      </c>
      <c r="ES132">
        <v>1E-3</v>
      </c>
      <c r="ET132"/>
      <c r="EU132">
        <v>1E-3</v>
      </c>
      <c r="EV132">
        <v>2E-3</v>
      </c>
      <c r="EW132">
        <v>0</v>
      </c>
      <c r="EX132">
        <v>0</v>
      </c>
      <c r="EY132">
        <v>1.4E-2</v>
      </c>
      <c r="EZ132">
        <v>0</v>
      </c>
      <c r="FA132">
        <v>0</v>
      </c>
      <c r="FB132">
        <v>0</v>
      </c>
      <c r="FC132">
        <v>1E-3</v>
      </c>
      <c r="FD132">
        <v>1.4999999999999999E-2</v>
      </c>
      <c r="FE132">
        <v>2E-3</v>
      </c>
      <c r="FF132">
        <v>8.9999999999999993E-3</v>
      </c>
      <c r="FG132">
        <v>0</v>
      </c>
      <c r="FH132">
        <v>0</v>
      </c>
      <c r="FI132"/>
      <c r="FJ132">
        <v>6.0000000000000001E-3</v>
      </c>
      <c r="FK132">
        <v>1E-3</v>
      </c>
      <c r="FL132">
        <v>4.0000000000000001E-3</v>
      </c>
      <c r="FM132">
        <v>0</v>
      </c>
      <c r="FN132">
        <v>0</v>
      </c>
      <c r="FO132">
        <v>1E-3</v>
      </c>
      <c r="FP132">
        <v>2E-3</v>
      </c>
      <c r="FQ132">
        <v>0</v>
      </c>
      <c r="FR132">
        <v>0</v>
      </c>
      <c r="FS132">
        <v>2E-3</v>
      </c>
      <c r="FT132">
        <v>7.0000000000000001E-3</v>
      </c>
      <c r="FU132">
        <v>1E-3</v>
      </c>
      <c r="FV132">
        <v>1E-3</v>
      </c>
      <c r="FW132">
        <v>0</v>
      </c>
      <c r="FX132">
        <v>0</v>
      </c>
      <c r="FY132">
        <v>2E-3</v>
      </c>
      <c r="FZ132">
        <v>4.0000000000000001E-3</v>
      </c>
      <c r="GA132">
        <v>0</v>
      </c>
      <c r="GB132">
        <v>0</v>
      </c>
      <c r="GC132">
        <v>0</v>
      </c>
      <c r="GD132">
        <v>3.0000000000000001E-3</v>
      </c>
      <c r="GE132">
        <v>0</v>
      </c>
      <c r="GF132">
        <v>0</v>
      </c>
      <c r="GG132">
        <v>1E-3</v>
      </c>
      <c r="GH132">
        <v>1E-3</v>
      </c>
      <c r="GI132">
        <v>1E-3</v>
      </c>
      <c r="GJ132">
        <v>1E-3</v>
      </c>
      <c r="GK132">
        <v>2E-3</v>
      </c>
      <c r="GL132">
        <v>5.0000000000000001E-3</v>
      </c>
      <c r="GM132">
        <v>6.0000000000000001E-3</v>
      </c>
    </row>
    <row r="133" spans="5:195" ht="14.4" x14ac:dyDescent="0.3">
      <c r="H133" t="s">
        <v>880</v>
      </c>
      <c r="I133">
        <v>2E-3</v>
      </c>
      <c r="J133">
        <v>0</v>
      </c>
      <c r="K133">
        <v>0</v>
      </c>
      <c r="L133">
        <v>6.0000000000000001E-3</v>
      </c>
      <c r="M133">
        <v>0</v>
      </c>
      <c r="N133">
        <v>0</v>
      </c>
      <c r="O133">
        <v>0</v>
      </c>
      <c r="P133">
        <v>0</v>
      </c>
      <c r="Q133">
        <v>0</v>
      </c>
      <c r="R133">
        <v>0</v>
      </c>
      <c r="S133">
        <v>0</v>
      </c>
      <c r="T133">
        <v>0</v>
      </c>
      <c r="U133">
        <v>1E-3</v>
      </c>
      <c r="V133">
        <v>0</v>
      </c>
      <c r="W133">
        <v>0</v>
      </c>
      <c r="X133">
        <v>0</v>
      </c>
      <c r="Y133">
        <v>1E-3</v>
      </c>
      <c r="Z133">
        <v>3.0000000000000001E-3</v>
      </c>
      <c r="AA133">
        <v>1E-3</v>
      </c>
      <c r="AB133">
        <v>2E-3</v>
      </c>
      <c r="AC133">
        <v>0</v>
      </c>
      <c r="AD133">
        <v>1E-3</v>
      </c>
      <c r="AE133">
        <v>0</v>
      </c>
      <c r="AF133">
        <v>0</v>
      </c>
      <c r="AG133">
        <v>0</v>
      </c>
      <c r="AH133">
        <v>4.0000000000000001E-3</v>
      </c>
      <c r="AI133">
        <v>4.0000000000000001E-3</v>
      </c>
      <c r="AJ133">
        <v>0</v>
      </c>
      <c r="AK133">
        <v>2E-3</v>
      </c>
      <c r="AL133">
        <v>4.0000000000000001E-3</v>
      </c>
      <c r="AM133">
        <v>0</v>
      </c>
      <c r="AN133">
        <v>5.0000000000000001E-3</v>
      </c>
      <c r="AO133">
        <v>5.0000000000000001E-3</v>
      </c>
      <c r="AP133">
        <v>0</v>
      </c>
      <c r="AQ133">
        <v>0</v>
      </c>
      <c r="AR133">
        <v>0</v>
      </c>
      <c r="AS133"/>
      <c r="AT133">
        <v>2E-3</v>
      </c>
      <c r="AU133">
        <v>0</v>
      </c>
      <c r="AV133">
        <v>7.0000000000000001E-3</v>
      </c>
      <c r="AW133">
        <v>0</v>
      </c>
      <c r="AX133">
        <v>0</v>
      </c>
      <c r="AY133"/>
      <c r="AZ133">
        <v>0</v>
      </c>
      <c r="BA133">
        <v>0</v>
      </c>
      <c r="BB133">
        <v>1E-3</v>
      </c>
      <c r="BC133">
        <v>4.0000000000000001E-3</v>
      </c>
      <c r="BD133">
        <v>0</v>
      </c>
      <c r="BE133">
        <v>2E-3</v>
      </c>
      <c r="BF133">
        <v>0</v>
      </c>
      <c r="BG133">
        <v>0</v>
      </c>
      <c r="BH133">
        <v>0</v>
      </c>
      <c r="BI133">
        <v>0</v>
      </c>
      <c r="BJ133">
        <v>4.0000000000000001E-3</v>
      </c>
      <c r="BK133">
        <v>1E-3</v>
      </c>
      <c r="BL133">
        <v>0</v>
      </c>
      <c r="BM133">
        <v>2E-3</v>
      </c>
      <c r="BN133">
        <v>0</v>
      </c>
      <c r="BO133">
        <v>0</v>
      </c>
      <c r="BP133">
        <v>0</v>
      </c>
      <c r="BQ133">
        <v>2E-3</v>
      </c>
      <c r="BR133">
        <v>3.0000000000000001E-3</v>
      </c>
      <c r="BS133">
        <v>0</v>
      </c>
      <c r="BT133">
        <v>0</v>
      </c>
      <c r="BU133">
        <v>3.0000000000000001E-3</v>
      </c>
      <c r="BV133">
        <v>0</v>
      </c>
      <c r="BW133">
        <v>0</v>
      </c>
      <c r="BX133">
        <v>1E-3</v>
      </c>
      <c r="BY133">
        <v>4.0000000000000001E-3</v>
      </c>
      <c r="BZ133">
        <v>4.0000000000000001E-3</v>
      </c>
      <c r="CA133">
        <v>1E-3</v>
      </c>
      <c r="CB133">
        <v>2E-3</v>
      </c>
      <c r="CC133">
        <v>1E-3</v>
      </c>
      <c r="CD133">
        <v>0</v>
      </c>
      <c r="CE133">
        <v>0</v>
      </c>
      <c r="CF133">
        <v>1E-3</v>
      </c>
      <c r="CG133">
        <v>1E-3</v>
      </c>
      <c r="CH133">
        <v>0</v>
      </c>
      <c r="CI133">
        <v>1E-3</v>
      </c>
      <c r="CJ133">
        <v>0</v>
      </c>
      <c r="CK133">
        <v>0</v>
      </c>
      <c r="CL133">
        <v>0</v>
      </c>
      <c r="CM133">
        <v>0</v>
      </c>
      <c r="CN133">
        <v>0</v>
      </c>
      <c r="CO133">
        <v>0</v>
      </c>
      <c r="CP133">
        <v>0</v>
      </c>
      <c r="CQ133">
        <v>2E-3</v>
      </c>
      <c r="CR133">
        <v>1E-3</v>
      </c>
      <c r="CS133">
        <v>0</v>
      </c>
      <c r="CT133">
        <v>0</v>
      </c>
      <c r="CU133">
        <v>1E-3</v>
      </c>
      <c r="CV133">
        <v>0</v>
      </c>
      <c r="CW133">
        <v>0</v>
      </c>
      <c r="CX133">
        <v>2E-3</v>
      </c>
      <c r="CY133">
        <v>3.0000000000000001E-3</v>
      </c>
      <c r="CZ133">
        <v>0</v>
      </c>
      <c r="DA133">
        <v>0</v>
      </c>
      <c r="DB133">
        <v>0</v>
      </c>
      <c r="DC133">
        <v>2E-3</v>
      </c>
      <c r="DD133">
        <v>2E-3</v>
      </c>
      <c r="DE133">
        <v>0</v>
      </c>
      <c r="DF133">
        <v>0</v>
      </c>
      <c r="DG133">
        <v>4.0000000000000001E-3</v>
      </c>
      <c r="DH133">
        <v>0</v>
      </c>
      <c r="DI133"/>
      <c r="DJ133">
        <v>2E-3</v>
      </c>
      <c r="DK133">
        <v>0</v>
      </c>
      <c r="DL133">
        <v>0</v>
      </c>
      <c r="DM133"/>
      <c r="DN133">
        <v>0</v>
      </c>
      <c r="DO133">
        <v>0</v>
      </c>
      <c r="DP133">
        <v>0</v>
      </c>
      <c r="DQ133">
        <v>4.0000000000000001E-3</v>
      </c>
      <c r="DR133">
        <v>1E-3</v>
      </c>
      <c r="DS133">
        <v>1E-3</v>
      </c>
      <c r="DT133">
        <v>1E-3</v>
      </c>
      <c r="DU133">
        <v>0</v>
      </c>
      <c r="DV133"/>
      <c r="DW133">
        <v>0</v>
      </c>
      <c r="DX133">
        <v>0</v>
      </c>
      <c r="DY133">
        <v>2E-3</v>
      </c>
      <c r="DZ133">
        <v>5.0000000000000001E-3</v>
      </c>
      <c r="EA133">
        <v>0</v>
      </c>
      <c r="EB133">
        <v>0</v>
      </c>
      <c r="EC133">
        <v>1E-3</v>
      </c>
      <c r="ED133">
        <v>0</v>
      </c>
      <c r="EE133">
        <v>1E-3</v>
      </c>
      <c r="EF133">
        <v>1E-3</v>
      </c>
      <c r="EG133">
        <v>1E-3</v>
      </c>
      <c r="EH133">
        <v>0</v>
      </c>
      <c r="EI133">
        <v>0</v>
      </c>
      <c r="EJ133">
        <v>0</v>
      </c>
      <c r="EK133">
        <v>0</v>
      </c>
      <c r="EL133">
        <v>0</v>
      </c>
      <c r="EM133">
        <v>0</v>
      </c>
      <c r="EN133">
        <v>0</v>
      </c>
      <c r="EO133">
        <v>0</v>
      </c>
      <c r="EP133">
        <v>1E-3</v>
      </c>
      <c r="EQ133">
        <v>0</v>
      </c>
      <c r="ER133">
        <v>0</v>
      </c>
      <c r="ES133">
        <v>0</v>
      </c>
      <c r="ET133"/>
      <c r="EU133">
        <v>1E-3</v>
      </c>
      <c r="EV133">
        <v>1E-3</v>
      </c>
      <c r="EW133">
        <v>0</v>
      </c>
      <c r="EX133">
        <v>0</v>
      </c>
      <c r="EY133">
        <v>6.0000000000000001E-3</v>
      </c>
      <c r="EZ133">
        <v>0</v>
      </c>
      <c r="FA133">
        <v>0</v>
      </c>
      <c r="FB133">
        <v>0</v>
      </c>
      <c r="FC133">
        <v>1E-3</v>
      </c>
      <c r="FD133">
        <v>4.0000000000000001E-3</v>
      </c>
      <c r="FE133">
        <v>1E-3</v>
      </c>
      <c r="FF133">
        <v>4.0000000000000001E-3</v>
      </c>
      <c r="FG133">
        <v>0</v>
      </c>
      <c r="FH133">
        <v>0</v>
      </c>
      <c r="FI133"/>
      <c r="FJ133">
        <v>2E-3</v>
      </c>
      <c r="FK133">
        <v>1E-3</v>
      </c>
      <c r="FL133">
        <v>2E-3</v>
      </c>
      <c r="FM133">
        <v>0</v>
      </c>
      <c r="FN133">
        <v>0</v>
      </c>
      <c r="FO133">
        <v>2E-3</v>
      </c>
      <c r="FP133">
        <v>1E-3</v>
      </c>
      <c r="FQ133">
        <v>0</v>
      </c>
      <c r="FR133">
        <v>0</v>
      </c>
      <c r="FS133">
        <v>1E-3</v>
      </c>
      <c r="FT133">
        <v>3.0000000000000001E-3</v>
      </c>
      <c r="FU133">
        <v>0</v>
      </c>
      <c r="FV133">
        <v>0</v>
      </c>
      <c r="FW133">
        <v>0</v>
      </c>
      <c r="FX133">
        <v>1E-3</v>
      </c>
      <c r="FY133">
        <v>1E-3</v>
      </c>
      <c r="FZ133">
        <v>3.0000000000000001E-3</v>
      </c>
      <c r="GA133">
        <v>0</v>
      </c>
      <c r="GB133">
        <v>0</v>
      </c>
      <c r="GC133">
        <v>0</v>
      </c>
      <c r="GD133">
        <v>3.0000000000000001E-3</v>
      </c>
      <c r="GE133">
        <v>0</v>
      </c>
      <c r="GF133">
        <v>0</v>
      </c>
      <c r="GG133">
        <v>1E-3</v>
      </c>
      <c r="GH133">
        <v>0</v>
      </c>
      <c r="GI133">
        <v>0</v>
      </c>
      <c r="GJ133">
        <v>0</v>
      </c>
      <c r="GK133">
        <v>1E-3</v>
      </c>
      <c r="GL133">
        <v>2E-3</v>
      </c>
      <c r="GM133">
        <v>2E-3</v>
      </c>
    </row>
    <row r="134" spans="5:195" ht="14.4" x14ac:dyDescent="0.3">
      <c r="H134" t="s">
        <v>881</v>
      </c>
      <c r="I134">
        <v>2E-3</v>
      </c>
      <c r="J134">
        <v>0</v>
      </c>
      <c r="K134">
        <v>0</v>
      </c>
      <c r="L134">
        <v>3.0000000000000001E-3</v>
      </c>
      <c r="M134">
        <v>0</v>
      </c>
      <c r="N134">
        <v>0</v>
      </c>
      <c r="O134">
        <v>0</v>
      </c>
      <c r="P134">
        <v>0</v>
      </c>
      <c r="Q134">
        <v>0</v>
      </c>
      <c r="R134">
        <v>0</v>
      </c>
      <c r="S134">
        <v>0</v>
      </c>
      <c r="T134">
        <v>0</v>
      </c>
      <c r="U134">
        <v>0</v>
      </c>
      <c r="V134">
        <v>0</v>
      </c>
      <c r="W134">
        <v>0</v>
      </c>
      <c r="X134">
        <v>0</v>
      </c>
      <c r="Y134">
        <v>0</v>
      </c>
      <c r="Z134">
        <v>2E-3</v>
      </c>
      <c r="AA134">
        <v>1E-3</v>
      </c>
      <c r="AB134">
        <v>1E-3</v>
      </c>
      <c r="AC134">
        <v>0</v>
      </c>
      <c r="AD134">
        <v>1E-3</v>
      </c>
      <c r="AE134">
        <v>0</v>
      </c>
      <c r="AF134">
        <v>0</v>
      </c>
      <c r="AG134">
        <v>0</v>
      </c>
      <c r="AH134">
        <v>2E-3</v>
      </c>
      <c r="AI134">
        <v>2E-3</v>
      </c>
      <c r="AJ134">
        <v>0</v>
      </c>
      <c r="AK134">
        <v>1E-3</v>
      </c>
      <c r="AL134">
        <v>2E-3</v>
      </c>
      <c r="AM134">
        <v>0</v>
      </c>
      <c r="AN134">
        <v>3.0000000000000001E-3</v>
      </c>
      <c r="AO134">
        <v>3.0000000000000001E-3</v>
      </c>
      <c r="AP134">
        <v>0</v>
      </c>
      <c r="AQ134">
        <v>0</v>
      </c>
      <c r="AR134">
        <v>0</v>
      </c>
      <c r="AS134"/>
      <c r="AT134">
        <v>1E-3</v>
      </c>
      <c r="AU134">
        <v>0</v>
      </c>
      <c r="AV134">
        <v>4.0000000000000001E-3</v>
      </c>
      <c r="AW134">
        <v>0</v>
      </c>
      <c r="AX134">
        <v>0</v>
      </c>
      <c r="AY134"/>
      <c r="AZ134">
        <v>0</v>
      </c>
      <c r="BA134">
        <v>0</v>
      </c>
      <c r="BB134">
        <v>1E-3</v>
      </c>
      <c r="BC134">
        <v>2E-3</v>
      </c>
      <c r="BD134">
        <v>0</v>
      </c>
      <c r="BE134">
        <v>2E-3</v>
      </c>
      <c r="BF134">
        <v>0</v>
      </c>
      <c r="BG134">
        <v>0</v>
      </c>
      <c r="BH134">
        <v>0</v>
      </c>
      <c r="BI134">
        <v>0</v>
      </c>
      <c r="BJ134">
        <v>2E-3</v>
      </c>
      <c r="BK134">
        <v>1E-3</v>
      </c>
      <c r="BL134">
        <v>0</v>
      </c>
      <c r="BM134">
        <v>1E-3</v>
      </c>
      <c r="BN134">
        <v>0</v>
      </c>
      <c r="BO134">
        <v>0</v>
      </c>
      <c r="BP134">
        <v>0</v>
      </c>
      <c r="BQ134">
        <v>1E-3</v>
      </c>
      <c r="BR134">
        <v>2E-3</v>
      </c>
      <c r="BS134">
        <v>0</v>
      </c>
      <c r="BT134">
        <v>0</v>
      </c>
      <c r="BU134">
        <v>2E-3</v>
      </c>
      <c r="BV134">
        <v>0</v>
      </c>
      <c r="BW134">
        <v>0</v>
      </c>
      <c r="BX134">
        <v>0</v>
      </c>
      <c r="BY134">
        <v>2E-3</v>
      </c>
      <c r="BZ134">
        <v>2E-3</v>
      </c>
      <c r="CA134">
        <v>1E-3</v>
      </c>
      <c r="CB134">
        <v>1E-3</v>
      </c>
      <c r="CC134">
        <v>1E-3</v>
      </c>
      <c r="CD134">
        <v>0</v>
      </c>
      <c r="CE134">
        <v>0</v>
      </c>
      <c r="CF134">
        <v>1E-3</v>
      </c>
      <c r="CG134">
        <v>1E-3</v>
      </c>
      <c r="CH134">
        <v>0</v>
      </c>
      <c r="CI134">
        <v>1E-3</v>
      </c>
      <c r="CJ134">
        <v>0</v>
      </c>
      <c r="CK134">
        <v>0</v>
      </c>
      <c r="CL134">
        <v>0</v>
      </c>
      <c r="CM134">
        <v>0</v>
      </c>
      <c r="CN134">
        <v>0</v>
      </c>
      <c r="CO134">
        <v>0</v>
      </c>
      <c r="CP134">
        <v>0</v>
      </c>
      <c r="CQ134">
        <v>2E-3</v>
      </c>
      <c r="CR134">
        <v>1E-3</v>
      </c>
      <c r="CS134">
        <v>0</v>
      </c>
      <c r="CT134">
        <v>0</v>
      </c>
      <c r="CU134">
        <v>1E-3</v>
      </c>
      <c r="CV134">
        <v>0</v>
      </c>
      <c r="CW134">
        <v>0</v>
      </c>
      <c r="CX134">
        <v>1E-3</v>
      </c>
      <c r="CY134">
        <v>2E-3</v>
      </c>
      <c r="CZ134">
        <v>0</v>
      </c>
      <c r="DA134">
        <v>0</v>
      </c>
      <c r="DB134">
        <v>0</v>
      </c>
      <c r="DC134">
        <v>1E-3</v>
      </c>
      <c r="DD134">
        <v>2E-3</v>
      </c>
      <c r="DE134">
        <v>0</v>
      </c>
      <c r="DF134">
        <v>0</v>
      </c>
      <c r="DG134">
        <v>2E-3</v>
      </c>
      <c r="DH134">
        <v>0</v>
      </c>
      <c r="DI134"/>
      <c r="DJ134">
        <v>1E-3</v>
      </c>
      <c r="DK134">
        <v>0</v>
      </c>
      <c r="DL134">
        <v>0</v>
      </c>
      <c r="DM134"/>
      <c r="DN134">
        <v>0</v>
      </c>
      <c r="DO134">
        <v>0</v>
      </c>
      <c r="DP134">
        <v>0</v>
      </c>
      <c r="DQ134">
        <v>3.0000000000000001E-3</v>
      </c>
      <c r="DR134">
        <v>1E-3</v>
      </c>
      <c r="DS134">
        <v>1E-3</v>
      </c>
      <c r="DT134">
        <v>1E-3</v>
      </c>
      <c r="DU134">
        <v>0</v>
      </c>
      <c r="DV134"/>
      <c r="DW134">
        <v>0</v>
      </c>
      <c r="DX134">
        <v>0</v>
      </c>
      <c r="DY134">
        <v>1E-3</v>
      </c>
      <c r="DZ134">
        <v>3.0000000000000001E-3</v>
      </c>
      <c r="EA134">
        <v>0</v>
      </c>
      <c r="EB134">
        <v>0</v>
      </c>
      <c r="EC134">
        <v>1E-3</v>
      </c>
      <c r="ED134">
        <v>0</v>
      </c>
      <c r="EE134">
        <v>1E-3</v>
      </c>
      <c r="EF134">
        <v>0</v>
      </c>
      <c r="EG134">
        <v>0</v>
      </c>
      <c r="EH134">
        <v>0</v>
      </c>
      <c r="EI134">
        <v>0</v>
      </c>
      <c r="EJ134">
        <v>0</v>
      </c>
      <c r="EK134">
        <v>0</v>
      </c>
      <c r="EL134">
        <v>0</v>
      </c>
      <c r="EM134">
        <v>0</v>
      </c>
      <c r="EN134">
        <v>0</v>
      </c>
      <c r="EO134">
        <v>0</v>
      </c>
      <c r="EP134">
        <v>1E-3</v>
      </c>
      <c r="EQ134">
        <v>0</v>
      </c>
      <c r="ER134">
        <v>0</v>
      </c>
      <c r="ES134">
        <v>0</v>
      </c>
      <c r="ET134"/>
      <c r="EU134">
        <v>0</v>
      </c>
      <c r="EV134">
        <v>1E-3</v>
      </c>
      <c r="EW134">
        <v>0</v>
      </c>
      <c r="EX134">
        <v>0</v>
      </c>
      <c r="EY134">
        <v>3.0000000000000001E-3</v>
      </c>
      <c r="EZ134">
        <v>0</v>
      </c>
      <c r="FA134">
        <v>0</v>
      </c>
      <c r="FB134">
        <v>0</v>
      </c>
      <c r="FC134">
        <v>1E-3</v>
      </c>
      <c r="FD134">
        <v>3.0000000000000001E-3</v>
      </c>
      <c r="FE134">
        <v>1E-3</v>
      </c>
      <c r="FF134">
        <v>3.0000000000000001E-3</v>
      </c>
      <c r="FG134">
        <v>0</v>
      </c>
      <c r="FH134">
        <v>0</v>
      </c>
      <c r="FI134"/>
      <c r="FJ134">
        <v>2E-3</v>
      </c>
      <c r="FK134">
        <v>0</v>
      </c>
      <c r="FL134">
        <v>1E-3</v>
      </c>
      <c r="FM134">
        <v>0</v>
      </c>
      <c r="FN134">
        <v>0</v>
      </c>
      <c r="FO134">
        <v>2E-3</v>
      </c>
      <c r="FP134">
        <v>0</v>
      </c>
      <c r="FQ134">
        <v>0</v>
      </c>
      <c r="FR134">
        <v>0</v>
      </c>
      <c r="FS134">
        <v>1E-3</v>
      </c>
      <c r="FT134">
        <v>2E-3</v>
      </c>
      <c r="FU134">
        <v>0</v>
      </c>
      <c r="FV134">
        <v>0</v>
      </c>
      <c r="FW134">
        <v>0</v>
      </c>
      <c r="FX134">
        <v>1E-3</v>
      </c>
      <c r="FY134">
        <v>0</v>
      </c>
      <c r="FZ134">
        <v>2E-3</v>
      </c>
      <c r="GA134">
        <v>0</v>
      </c>
      <c r="GB134">
        <v>0</v>
      </c>
      <c r="GC134">
        <v>0</v>
      </c>
      <c r="GD134">
        <v>2E-3</v>
      </c>
      <c r="GE134">
        <v>0</v>
      </c>
      <c r="GF134">
        <v>0</v>
      </c>
      <c r="GG134">
        <v>0</v>
      </c>
      <c r="GH134">
        <v>0</v>
      </c>
      <c r="GI134">
        <v>0</v>
      </c>
      <c r="GJ134">
        <v>0</v>
      </c>
      <c r="GK134">
        <v>1E-3</v>
      </c>
      <c r="GL134">
        <v>2E-3</v>
      </c>
      <c r="GM134">
        <v>2E-3</v>
      </c>
    </row>
    <row r="135" spans="5:195" ht="14.4" x14ac:dyDescent="0.3">
      <c r="H135" t="s">
        <v>882</v>
      </c>
      <c r="I135">
        <v>2E-3</v>
      </c>
      <c r="J135">
        <v>0</v>
      </c>
      <c r="K135">
        <v>0</v>
      </c>
      <c r="L135">
        <v>3.0000000000000001E-3</v>
      </c>
      <c r="M135">
        <v>0</v>
      </c>
      <c r="N135">
        <v>0</v>
      </c>
      <c r="O135">
        <v>0</v>
      </c>
      <c r="P135">
        <v>0</v>
      </c>
      <c r="Q135">
        <v>0</v>
      </c>
      <c r="R135">
        <v>0</v>
      </c>
      <c r="S135">
        <v>0</v>
      </c>
      <c r="T135">
        <v>0</v>
      </c>
      <c r="U135">
        <v>1E-3</v>
      </c>
      <c r="V135">
        <v>0</v>
      </c>
      <c r="W135">
        <v>0</v>
      </c>
      <c r="X135">
        <v>0</v>
      </c>
      <c r="Y135">
        <v>1E-3</v>
      </c>
      <c r="Z135">
        <v>2E-3</v>
      </c>
      <c r="AA135">
        <v>1E-3</v>
      </c>
      <c r="AB135">
        <v>1E-3</v>
      </c>
      <c r="AC135">
        <v>0</v>
      </c>
      <c r="AD135">
        <v>1E-3</v>
      </c>
      <c r="AE135">
        <v>1E-3</v>
      </c>
      <c r="AF135">
        <v>0</v>
      </c>
      <c r="AG135">
        <v>0</v>
      </c>
      <c r="AH135">
        <v>3.0000000000000001E-3</v>
      </c>
      <c r="AI135">
        <v>3.0000000000000001E-3</v>
      </c>
      <c r="AJ135">
        <v>0</v>
      </c>
      <c r="AK135">
        <v>1E-3</v>
      </c>
      <c r="AL135">
        <v>3.0000000000000001E-3</v>
      </c>
      <c r="AM135">
        <v>0</v>
      </c>
      <c r="AN135">
        <v>3.0000000000000001E-3</v>
      </c>
      <c r="AO135">
        <v>4.0000000000000001E-3</v>
      </c>
      <c r="AP135">
        <v>0</v>
      </c>
      <c r="AQ135">
        <v>0</v>
      </c>
      <c r="AR135">
        <v>1E-3</v>
      </c>
      <c r="AS135"/>
      <c r="AT135">
        <v>2E-3</v>
      </c>
      <c r="AU135">
        <v>0</v>
      </c>
      <c r="AV135">
        <v>5.0000000000000001E-3</v>
      </c>
      <c r="AW135">
        <v>0</v>
      </c>
      <c r="AX135">
        <v>0</v>
      </c>
      <c r="AY135"/>
      <c r="AZ135">
        <v>0</v>
      </c>
      <c r="BA135">
        <v>0</v>
      </c>
      <c r="BB135">
        <v>1E-3</v>
      </c>
      <c r="BC135">
        <v>3.0000000000000001E-3</v>
      </c>
      <c r="BD135">
        <v>0</v>
      </c>
      <c r="BE135">
        <v>2E-3</v>
      </c>
      <c r="BF135">
        <v>1E-3</v>
      </c>
      <c r="BG135">
        <v>1E-3</v>
      </c>
      <c r="BH135">
        <v>0</v>
      </c>
      <c r="BI135">
        <v>1E-3</v>
      </c>
      <c r="BJ135">
        <v>2E-3</v>
      </c>
      <c r="BK135">
        <v>1E-3</v>
      </c>
      <c r="BL135">
        <v>0</v>
      </c>
      <c r="BM135">
        <v>2E-3</v>
      </c>
      <c r="BN135">
        <v>1E-3</v>
      </c>
      <c r="BO135">
        <v>0</v>
      </c>
      <c r="BP135">
        <v>0</v>
      </c>
      <c r="BQ135">
        <v>1E-3</v>
      </c>
      <c r="BR135">
        <v>3.0000000000000001E-3</v>
      </c>
      <c r="BS135">
        <v>0</v>
      </c>
      <c r="BT135">
        <v>0</v>
      </c>
      <c r="BU135">
        <v>2E-3</v>
      </c>
      <c r="BV135">
        <v>0</v>
      </c>
      <c r="BW135">
        <v>0</v>
      </c>
      <c r="BX135">
        <v>1E-3</v>
      </c>
      <c r="BY135">
        <v>3.0000000000000001E-3</v>
      </c>
      <c r="BZ135">
        <v>3.0000000000000001E-3</v>
      </c>
      <c r="CA135">
        <v>1E-3</v>
      </c>
      <c r="CB135">
        <v>2E-3</v>
      </c>
      <c r="CC135">
        <v>1E-3</v>
      </c>
      <c r="CD135">
        <v>0</v>
      </c>
      <c r="CE135">
        <v>0</v>
      </c>
      <c r="CF135">
        <v>1E-3</v>
      </c>
      <c r="CG135">
        <v>1E-3</v>
      </c>
      <c r="CH135">
        <v>0</v>
      </c>
      <c r="CI135">
        <v>1E-3</v>
      </c>
      <c r="CJ135">
        <v>0</v>
      </c>
      <c r="CK135">
        <v>0</v>
      </c>
      <c r="CL135">
        <v>0</v>
      </c>
      <c r="CM135">
        <v>0</v>
      </c>
      <c r="CN135">
        <v>0</v>
      </c>
      <c r="CO135">
        <v>0</v>
      </c>
      <c r="CP135">
        <v>0</v>
      </c>
      <c r="CQ135">
        <v>2E-3</v>
      </c>
      <c r="CR135">
        <v>1E-3</v>
      </c>
      <c r="CS135">
        <v>0</v>
      </c>
      <c r="CT135">
        <v>0</v>
      </c>
      <c r="CU135">
        <v>1E-3</v>
      </c>
      <c r="CV135">
        <v>0</v>
      </c>
      <c r="CW135">
        <v>0</v>
      </c>
      <c r="CX135">
        <v>2E-3</v>
      </c>
      <c r="CY135">
        <v>2E-3</v>
      </c>
      <c r="CZ135">
        <v>0</v>
      </c>
      <c r="DA135">
        <v>0</v>
      </c>
      <c r="DB135">
        <v>0</v>
      </c>
      <c r="DC135">
        <v>2E-3</v>
      </c>
      <c r="DD135">
        <v>2E-3</v>
      </c>
      <c r="DE135">
        <v>0</v>
      </c>
      <c r="DF135">
        <v>0</v>
      </c>
      <c r="DG135">
        <v>3.0000000000000001E-3</v>
      </c>
      <c r="DH135">
        <v>0</v>
      </c>
      <c r="DI135"/>
      <c r="DJ135">
        <v>2E-3</v>
      </c>
      <c r="DK135">
        <v>0</v>
      </c>
      <c r="DL135">
        <v>0</v>
      </c>
      <c r="DM135"/>
      <c r="DN135">
        <v>0</v>
      </c>
      <c r="DO135">
        <v>0</v>
      </c>
      <c r="DP135">
        <v>0</v>
      </c>
      <c r="DQ135">
        <v>3.0000000000000001E-3</v>
      </c>
      <c r="DR135">
        <v>1E-3</v>
      </c>
      <c r="DS135">
        <v>1E-3</v>
      </c>
      <c r="DT135">
        <v>1E-3</v>
      </c>
      <c r="DU135">
        <v>0</v>
      </c>
      <c r="DV135"/>
      <c r="DW135">
        <v>0</v>
      </c>
      <c r="DX135">
        <v>1E-3</v>
      </c>
      <c r="DY135">
        <v>2E-3</v>
      </c>
      <c r="DZ135">
        <v>4.0000000000000001E-3</v>
      </c>
      <c r="EA135">
        <v>0</v>
      </c>
      <c r="EB135">
        <v>0</v>
      </c>
      <c r="EC135">
        <v>1E-3</v>
      </c>
      <c r="ED135">
        <v>1E-3</v>
      </c>
      <c r="EE135">
        <v>1E-3</v>
      </c>
      <c r="EF135">
        <v>1E-3</v>
      </c>
      <c r="EG135">
        <v>1E-3</v>
      </c>
      <c r="EH135">
        <v>1E-3</v>
      </c>
      <c r="EI135">
        <v>0</v>
      </c>
      <c r="EJ135">
        <v>0</v>
      </c>
      <c r="EK135">
        <v>0</v>
      </c>
      <c r="EL135">
        <v>0</v>
      </c>
      <c r="EM135">
        <v>0</v>
      </c>
      <c r="EN135">
        <v>0</v>
      </c>
      <c r="EO135">
        <v>0</v>
      </c>
      <c r="EP135">
        <v>1E-3</v>
      </c>
      <c r="EQ135">
        <v>1E-3</v>
      </c>
      <c r="ER135">
        <v>0</v>
      </c>
      <c r="ES135">
        <v>0</v>
      </c>
      <c r="ET135"/>
      <c r="EU135">
        <v>0</v>
      </c>
      <c r="EV135">
        <v>1E-3</v>
      </c>
      <c r="EW135">
        <v>0</v>
      </c>
      <c r="EX135">
        <v>0</v>
      </c>
      <c r="EY135">
        <v>5.0000000000000001E-3</v>
      </c>
      <c r="EZ135">
        <v>0</v>
      </c>
      <c r="FA135">
        <v>0</v>
      </c>
      <c r="FB135">
        <v>0</v>
      </c>
      <c r="FC135">
        <v>1E-3</v>
      </c>
      <c r="FD135">
        <v>3.0000000000000001E-3</v>
      </c>
      <c r="FE135">
        <v>1E-3</v>
      </c>
      <c r="FF135">
        <v>3.0000000000000001E-3</v>
      </c>
      <c r="FG135">
        <v>0</v>
      </c>
      <c r="FH135">
        <v>1E-3</v>
      </c>
      <c r="FI135"/>
      <c r="FJ135">
        <v>2E-3</v>
      </c>
      <c r="FK135">
        <v>1E-3</v>
      </c>
      <c r="FL135">
        <v>2E-3</v>
      </c>
      <c r="FM135">
        <v>0</v>
      </c>
      <c r="FN135">
        <v>0</v>
      </c>
      <c r="FO135">
        <v>3.0000000000000001E-3</v>
      </c>
      <c r="FP135">
        <v>0</v>
      </c>
      <c r="FQ135">
        <v>0</v>
      </c>
      <c r="FR135">
        <v>1E-3</v>
      </c>
      <c r="FS135">
        <v>1E-3</v>
      </c>
      <c r="FT135">
        <v>2E-3</v>
      </c>
      <c r="FU135">
        <v>0</v>
      </c>
      <c r="FV135">
        <v>0</v>
      </c>
      <c r="FW135">
        <v>0</v>
      </c>
      <c r="FX135">
        <v>1E-3</v>
      </c>
      <c r="FY135">
        <v>1E-3</v>
      </c>
      <c r="FZ135">
        <v>2E-3</v>
      </c>
      <c r="GA135">
        <v>0</v>
      </c>
      <c r="GB135">
        <v>0</v>
      </c>
      <c r="GC135">
        <v>0</v>
      </c>
      <c r="GD135">
        <v>2E-3</v>
      </c>
      <c r="GE135">
        <v>0</v>
      </c>
      <c r="GF135">
        <v>0</v>
      </c>
      <c r="GG135">
        <v>1E-3</v>
      </c>
      <c r="GH135">
        <v>0</v>
      </c>
      <c r="GI135">
        <v>1E-3</v>
      </c>
      <c r="GJ135">
        <v>0</v>
      </c>
      <c r="GK135">
        <v>2E-3</v>
      </c>
      <c r="GL135">
        <v>2E-3</v>
      </c>
      <c r="GM135">
        <v>2E-3</v>
      </c>
    </row>
    <row r="136" spans="5:195" ht="14.4" x14ac:dyDescent="0.3">
      <c r="H136" t="s">
        <v>883</v>
      </c>
      <c r="I136">
        <v>3.0000000000000001E-3</v>
      </c>
      <c r="J136">
        <v>0</v>
      </c>
      <c r="K136">
        <v>0</v>
      </c>
      <c r="L136">
        <v>4.0000000000000001E-3</v>
      </c>
      <c r="M136">
        <v>1E-3</v>
      </c>
      <c r="N136">
        <v>1E-3</v>
      </c>
      <c r="O136">
        <v>0</v>
      </c>
      <c r="P136">
        <v>0</v>
      </c>
      <c r="Q136">
        <v>0</v>
      </c>
      <c r="R136">
        <v>0</v>
      </c>
      <c r="S136">
        <v>1E-3</v>
      </c>
      <c r="T136">
        <v>0</v>
      </c>
      <c r="U136">
        <v>1E-3</v>
      </c>
      <c r="V136">
        <v>0</v>
      </c>
      <c r="W136">
        <v>0</v>
      </c>
      <c r="X136">
        <v>0</v>
      </c>
      <c r="Y136">
        <v>1E-3</v>
      </c>
      <c r="Z136">
        <v>3.0000000000000001E-3</v>
      </c>
      <c r="AA136">
        <v>2E-3</v>
      </c>
      <c r="AB136">
        <v>1E-3</v>
      </c>
      <c r="AC136">
        <v>0</v>
      </c>
      <c r="AD136">
        <v>2E-3</v>
      </c>
      <c r="AE136">
        <v>1E-3</v>
      </c>
      <c r="AF136">
        <v>0</v>
      </c>
      <c r="AG136">
        <v>0</v>
      </c>
      <c r="AH136">
        <v>3.0000000000000001E-3</v>
      </c>
      <c r="AI136">
        <v>3.0000000000000001E-3</v>
      </c>
      <c r="AJ136">
        <v>1E-3</v>
      </c>
      <c r="AK136">
        <v>1E-3</v>
      </c>
      <c r="AL136">
        <v>4.0000000000000001E-3</v>
      </c>
      <c r="AM136">
        <v>0</v>
      </c>
      <c r="AN136">
        <v>4.0000000000000001E-3</v>
      </c>
      <c r="AO136">
        <v>4.0000000000000001E-3</v>
      </c>
      <c r="AP136">
        <v>0</v>
      </c>
      <c r="AQ136">
        <v>0</v>
      </c>
      <c r="AR136">
        <v>1E-3</v>
      </c>
      <c r="AS136"/>
      <c r="AT136">
        <v>2E-3</v>
      </c>
      <c r="AU136">
        <v>0</v>
      </c>
      <c r="AV136">
        <v>5.0000000000000001E-3</v>
      </c>
      <c r="AW136">
        <v>0</v>
      </c>
      <c r="AX136">
        <v>0</v>
      </c>
      <c r="AY136"/>
      <c r="AZ136">
        <v>0</v>
      </c>
      <c r="BA136">
        <v>0</v>
      </c>
      <c r="BB136">
        <v>1E-3</v>
      </c>
      <c r="BC136">
        <v>3.0000000000000001E-3</v>
      </c>
      <c r="BD136">
        <v>0</v>
      </c>
      <c r="BE136">
        <v>3.0000000000000001E-3</v>
      </c>
      <c r="BF136">
        <v>1E-3</v>
      </c>
      <c r="BG136">
        <v>1E-3</v>
      </c>
      <c r="BH136">
        <v>0</v>
      </c>
      <c r="BI136">
        <v>1E-3</v>
      </c>
      <c r="BJ136">
        <v>3.0000000000000001E-3</v>
      </c>
      <c r="BK136">
        <v>2E-3</v>
      </c>
      <c r="BL136">
        <v>0</v>
      </c>
      <c r="BM136">
        <v>2E-3</v>
      </c>
      <c r="BN136">
        <v>1E-3</v>
      </c>
      <c r="BO136">
        <v>0</v>
      </c>
      <c r="BP136">
        <v>0</v>
      </c>
      <c r="BQ136">
        <v>2E-3</v>
      </c>
      <c r="BR136">
        <v>4.0000000000000001E-3</v>
      </c>
      <c r="BS136">
        <v>0</v>
      </c>
      <c r="BT136">
        <v>0</v>
      </c>
      <c r="BU136">
        <v>3.0000000000000001E-3</v>
      </c>
      <c r="BV136">
        <v>0</v>
      </c>
      <c r="BW136">
        <v>0</v>
      </c>
      <c r="BX136">
        <v>1E-3</v>
      </c>
      <c r="BY136">
        <v>4.0000000000000001E-3</v>
      </c>
      <c r="BZ136">
        <v>4.0000000000000001E-3</v>
      </c>
      <c r="CA136">
        <v>2E-3</v>
      </c>
      <c r="CB136">
        <v>2E-3</v>
      </c>
      <c r="CC136">
        <v>1E-3</v>
      </c>
      <c r="CD136">
        <v>0</v>
      </c>
      <c r="CE136">
        <v>0</v>
      </c>
      <c r="CF136">
        <v>2E-3</v>
      </c>
      <c r="CG136">
        <v>1E-3</v>
      </c>
      <c r="CH136">
        <v>1E-3</v>
      </c>
      <c r="CI136">
        <v>2E-3</v>
      </c>
      <c r="CJ136">
        <v>0</v>
      </c>
      <c r="CK136">
        <v>0</v>
      </c>
      <c r="CL136">
        <v>0</v>
      </c>
      <c r="CM136">
        <v>1E-3</v>
      </c>
      <c r="CN136">
        <v>0</v>
      </c>
      <c r="CO136">
        <v>1E-3</v>
      </c>
      <c r="CP136">
        <v>1E-3</v>
      </c>
      <c r="CQ136">
        <v>3.0000000000000001E-3</v>
      </c>
      <c r="CR136">
        <v>1E-3</v>
      </c>
      <c r="CS136">
        <v>0</v>
      </c>
      <c r="CT136">
        <v>1E-3</v>
      </c>
      <c r="CU136">
        <v>2E-3</v>
      </c>
      <c r="CV136">
        <v>0</v>
      </c>
      <c r="CW136">
        <v>1E-3</v>
      </c>
      <c r="CX136">
        <v>4.0000000000000001E-3</v>
      </c>
      <c r="CY136">
        <v>3.0000000000000001E-3</v>
      </c>
      <c r="CZ136">
        <v>1E-3</v>
      </c>
      <c r="DA136">
        <v>0</v>
      </c>
      <c r="DB136">
        <v>0</v>
      </c>
      <c r="DC136">
        <v>2E-3</v>
      </c>
      <c r="DD136">
        <v>3.0000000000000001E-3</v>
      </c>
      <c r="DE136">
        <v>0</v>
      </c>
      <c r="DF136">
        <v>0</v>
      </c>
      <c r="DG136">
        <v>4.0000000000000001E-3</v>
      </c>
      <c r="DH136">
        <v>0</v>
      </c>
      <c r="DI136"/>
      <c r="DJ136">
        <v>2E-3</v>
      </c>
      <c r="DK136">
        <v>0</v>
      </c>
      <c r="DL136">
        <v>1E-3</v>
      </c>
      <c r="DM136"/>
      <c r="DN136">
        <v>1E-3</v>
      </c>
      <c r="DO136">
        <v>0</v>
      </c>
      <c r="DP136">
        <v>0</v>
      </c>
      <c r="DQ136">
        <v>4.0000000000000001E-3</v>
      </c>
      <c r="DR136">
        <v>2E-3</v>
      </c>
      <c r="DS136">
        <v>2E-3</v>
      </c>
      <c r="DT136">
        <v>1E-3</v>
      </c>
      <c r="DU136">
        <v>0</v>
      </c>
      <c r="DV136"/>
      <c r="DW136">
        <v>0</v>
      </c>
      <c r="DX136">
        <v>1E-3</v>
      </c>
      <c r="DY136">
        <v>3.0000000000000001E-3</v>
      </c>
      <c r="DZ136">
        <v>4.0000000000000001E-3</v>
      </c>
      <c r="EA136">
        <v>0</v>
      </c>
      <c r="EB136">
        <v>0</v>
      </c>
      <c r="EC136">
        <v>1E-3</v>
      </c>
      <c r="ED136">
        <v>1E-3</v>
      </c>
      <c r="EE136">
        <v>2E-3</v>
      </c>
      <c r="EF136">
        <v>1E-3</v>
      </c>
      <c r="EG136">
        <v>1E-3</v>
      </c>
      <c r="EH136">
        <v>1E-3</v>
      </c>
      <c r="EI136">
        <v>0</v>
      </c>
      <c r="EJ136">
        <v>0</v>
      </c>
      <c r="EK136">
        <v>0</v>
      </c>
      <c r="EL136">
        <v>0</v>
      </c>
      <c r="EM136">
        <v>0</v>
      </c>
      <c r="EN136">
        <v>0</v>
      </c>
      <c r="EO136">
        <v>1E-3</v>
      </c>
      <c r="EP136">
        <v>2E-3</v>
      </c>
      <c r="EQ136">
        <v>1E-3</v>
      </c>
      <c r="ER136">
        <v>1E-3</v>
      </c>
      <c r="ES136">
        <v>0</v>
      </c>
      <c r="ET136"/>
      <c r="EU136">
        <v>1E-3</v>
      </c>
      <c r="EV136">
        <v>2E-3</v>
      </c>
      <c r="EW136">
        <v>0</v>
      </c>
      <c r="EX136">
        <v>0</v>
      </c>
      <c r="EY136">
        <v>8.0000000000000002E-3</v>
      </c>
      <c r="EZ136">
        <v>0</v>
      </c>
      <c r="FA136">
        <v>0</v>
      </c>
      <c r="FB136">
        <v>0</v>
      </c>
      <c r="FC136">
        <v>1E-3</v>
      </c>
      <c r="FD136">
        <v>4.0000000000000001E-3</v>
      </c>
      <c r="FE136">
        <v>2E-3</v>
      </c>
      <c r="FF136">
        <v>4.0000000000000001E-3</v>
      </c>
      <c r="FG136">
        <v>0</v>
      </c>
      <c r="FH136">
        <v>1E-3</v>
      </c>
      <c r="FI136"/>
      <c r="FJ136">
        <v>2E-3</v>
      </c>
      <c r="FK136">
        <v>1E-3</v>
      </c>
      <c r="FL136">
        <v>4.0000000000000001E-3</v>
      </c>
      <c r="FM136">
        <v>0</v>
      </c>
      <c r="FN136">
        <v>0</v>
      </c>
      <c r="FO136">
        <v>3.0000000000000001E-3</v>
      </c>
      <c r="FP136">
        <v>1E-3</v>
      </c>
      <c r="FQ136">
        <v>0</v>
      </c>
      <c r="FR136">
        <v>1E-3</v>
      </c>
      <c r="FS136">
        <v>1E-3</v>
      </c>
      <c r="FT136">
        <v>3.0000000000000001E-3</v>
      </c>
      <c r="FU136">
        <v>0</v>
      </c>
      <c r="FV136">
        <v>1E-3</v>
      </c>
      <c r="FW136">
        <v>0</v>
      </c>
      <c r="FX136">
        <v>1E-3</v>
      </c>
      <c r="FY136">
        <v>1E-3</v>
      </c>
      <c r="FZ136">
        <v>3.0000000000000001E-3</v>
      </c>
      <c r="GA136">
        <v>1E-3</v>
      </c>
      <c r="GB136">
        <v>0</v>
      </c>
      <c r="GC136">
        <v>0</v>
      </c>
      <c r="GD136">
        <v>3.0000000000000001E-3</v>
      </c>
      <c r="GE136">
        <v>0</v>
      </c>
      <c r="GF136">
        <v>0</v>
      </c>
      <c r="GG136">
        <v>1E-3</v>
      </c>
      <c r="GH136">
        <v>1E-3</v>
      </c>
      <c r="GI136">
        <v>1E-3</v>
      </c>
      <c r="GJ136">
        <v>0</v>
      </c>
      <c r="GK136">
        <v>2E-3</v>
      </c>
      <c r="GL136">
        <v>3.0000000000000001E-3</v>
      </c>
      <c r="GM136">
        <v>3.0000000000000001E-3</v>
      </c>
    </row>
    <row r="137" spans="5:195" ht="14.4" x14ac:dyDescent="0.3">
      <c r="H137" t="s">
        <v>884</v>
      </c>
      <c r="I137">
        <v>3.0000000000000001E-3</v>
      </c>
      <c r="J137">
        <v>0</v>
      </c>
      <c r="K137">
        <v>1E-3</v>
      </c>
      <c r="L137">
        <v>5.0000000000000001E-3</v>
      </c>
      <c r="M137">
        <v>1E-3</v>
      </c>
      <c r="N137">
        <v>1E-3</v>
      </c>
      <c r="O137">
        <v>0</v>
      </c>
      <c r="P137">
        <v>0</v>
      </c>
      <c r="Q137">
        <v>0</v>
      </c>
      <c r="R137">
        <v>0</v>
      </c>
      <c r="S137">
        <v>1E-3</v>
      </c>
      <c r="T137">
        <v>0</v>
      </c>
      <c r="U137">
        <v>1E-3</v>
      </c>
      <c r="V137">
        <v>1E-3</v>
      </c>
      <c r="W137">
        <v>1E-3</v>
      </c>
      <c r="X137">
        <v>0</v>
      </c>
      <c r="Y137">
        <v>1E-3</v>
      </c>
      <c r="Z137">
        <v>4.0000000000000001E-3</v>
      </c>
      <c r="AA137">
        <v>2E-3</v>
      </c>
      <c r="AB137">
        <v>2E-3</v>
      </c>
      <c r="AC137">
        <v>0</v>
      </c>
      <c r="AD137">
        <v>2E-3</v>
      </c>
      <c r="AE137">
        <v>1E-3</v>
      </c>
      <c r="AF137">
        <v>0</v>
      </c>
      <c r="AG137">
        <v>0</v>
      </c>
      <c r="AH137">
        <v>4.0000000000000001E-3</v>
      </c>
      <c r="AI137">
        <v>4.0000000000000001E-3</v>
      </c>
      <c r="AJ137">
        <v>1E-3</v>
      </c>
      <c r="AK137">
        <v>1E-3</v>
      </c>
      <c r="AL137">
        <v>5.0000000000000001E-3</v>
      </c>
      <c r="AM137">
        <v>0</v>
      </c>
      <c r="AN137">
        <v>6.0000000000000001E-3</v>
      </c>
      <c r="AO137">
        <v>6.0000000000000001E-3</v>
      </c>
      <c r="AP137">
        <v>0</v>
      </c>
      <c r="AQ137">
        <v>1E-3</v>
      </c>
      <c r="AR137">
        <v>1E-3</v>
      </c>
      <c r="AS137"/>
      <c r="AT137">
        <v>3.0000000000000001E-3</v>
      </c>
      <c r="AU137">
        <v>1E-3</v>
      </c>
      <c r="AV137">
        <v>7.0000000000000001E-3</v>
      </c>
      <c r="AW137">
        <v>0</v>
      </c>
      <c r="AX137">
        <v>0</v>
      </c>
      <c r="AY137"/>
      <c r="AZ137">
        <v>0</v>
      </c>
      <c r="BA137">
        <v>0</v>
      </c>
      <c r="BB137">
        <v>1E-3</v>
      </c>
      <c r="BC137">
        <v>4.0000000000000001E-3</v>
      </c>
      <c r="BD137">
        <v>0</v>
      </c>
      <c r="BE137">
        <v>3.0000000000000001E-3</v>
      </c>
      <c r="BF137">
        <v>1E-3</v>
      </c>
      <c r="BG137">
        <v>1E-3</v>
      </c>
      <c r="BH137">
        <v>1E-3</v>
      </c>
      <c r="BI137">
        <v>1E-3</v>
      </c>
      <c r="BJ137">
        <v>5.0000000000000001E-3</v>
      </c>
      <c r="BK137">
        <v>2E-3</v>
      </c>
      <c r="BL137">
        <v>0</v>
      </c>
      <c r="BM137">
        <v>3.0000000000000001E-3</v>
      </c>
      <c r="BN137">
        <v>1E-3</v>
      </c>
      <c r="BO137">
        <v>0</v>
      </c>
      <c r="BP137">
        <v>0</v>
      </c>
      <c r="BQ137">
        <v>3.0000000000000001E-3</v>
      </c>
      <c r="BR137">
        <v>4.0000000000000001E-3</v>
      </c>
      <c r="BS137">
        <v>0</v>
      </c>
      <c r="BT137">
        <v>0</v>
      </c>
      <c r="BU137">
        <v>3.0000000000000001E-3</v>
      </c>
      <c r="BV137">
        <v>0</v>
      </c>
      <c r="BW137">
        <v>1E-3</v>
      </c>
      <c r="BX137">
        <v>1E-3</v>
      </c>
      <c r="BY137">
        <v>4.0000000000000001E-3</v>
      </c>
      <c r="BZ137">
        <v>4.0000000000000001E-3</v>
      </c>
      <c r="CA137">
        <v>2E-3</v>
      </c>
      <c r="CB137">
        <v>3.0000000000000001E-3</v>
      </c>
      <c r="CC137">
        <v>2E-3</v>
      </c>
      <c r="CD137">
        <v>0</v>
      </c>
      <c r="CE137">
        <v>0</v>
      </c>
      <c r="CF137">
        <v>2E-3</v>
      </c>
      <c r="CG137">
        <v>1E-3</v>
      </c>
      <c r="CH137">
        <v>0</v>
      </c>
      <c r="CI137">
        <v>2E-3</v>
      </c>
      <c r="CJ137">
        <v>0</v>
      </c>
      <c r="CK137">
        <v>0</v>
      </c>
      <c r="CL137">
        <v>0</v>
      </c>
      <c r="CM137">
        <v>1E-3</v>
      </c>
      <c r="CN137">
        <v>0</v>
      </c>
      <c r="CO137">
        <v>1E-3</v>
      </c>
      <c r="CP137">
        <v>1E-3</v>
      </c>
      <c r="CQ137">
        <v>3.0000000000000001E-3</v>
      </c>
      <c r="CR137">
        <v>2E-3</v>
      </c>
      <c r="CS137">
        <v>0</v>
      </c>
      <c r="CT137">
        <v>1E-3</v>
      </c>
      <c r="CU137">
        <v>2E-3</v>
      </c>
      <c r="CV137">
        <v>0</v>
      </c>
      <c r="CW137">
        <v>1E-3</v>
      </c>
      <c r="CX137">
        <v>7.0000000000000001E-3</v>
      </c>
      <c r="CY137">
        <v>3.0000000000000001E-3</v>
      </c>
      <c r="CZ137">
        <v>1E-3</v>
      </c>
      <c r="DA137">
        <v>1E-3</v>
      </c>
      <c r="DB137">
        <v>0</v>
      </c>
      <c r="DC137">
        <v>2E-3</v>
      </c>
      <c r="DD137">
        <v>4.0000000000000001E-3</v>
      </c>
      <c r="DE137">
        <v>0</v>
      </c>
      <c r="DF137">
        <v>0</v>
      </c>
      <c r="DG137">
        <v>4.0000000000000001E-3</v>
      </c>
      <c r="DH137">
        <v>0</v>
      </c>
      <c r="DI137"/>
      <c r="DJ137">
        <v>3.0000000000000001E-3</v>
      </c>
      <c r="DK137">
        <v>1E-3</v>
      </c>
      <c r="DL137">
        <v>1E-3</v>
      </c>
      <c r="DM137"/>
      <c r="DN137">
        <v>1E-3</v>
      </c>
      <c r="DO137">
        <v>0</v>
      </c>
      <c r="DP137">
        <v>1E-3</v>
      </c>
      <c r="DQ137">
        <v>6.0000000000000001E-3</v>
      </c>
      <c r="DR137">
        <v>2E-3</v>
      </c>
      <c r="DS137">
        <v>2E-3</v>
      </c>
      <c r="DT137">
        <v>1E-3</v>
      </c>
      <c r="DU137">
        <v>0</v>
      </c>
      <c r="DV137"/>
      <c r="DW137">
        <v>0</v>
      </c>
      <c r="DX137">
        <v>1E-3</v>
      </c>
      <c r="DY137">
        <v>3.0000000000000001E-3</v>
      </c>
      <c r="DZ137">
        <v>6.0000000000000001E-3</v>
      </c>
      <c r="EA137">
        <v>0</v>
      </c>
      <c r="EB137">
        <v>0</v>
      </c>
      <c r="EC137">
        <v>1E-3</v>
      </c>
      <c r="ED137">
        <v>1E-3</v>
      </c>
      <c r="EE137">
        <v>2E-3</v>
      </c>
      <c r="EF137">
        <v>1E-3</v>
      </c>
      <c r="EG137">
        <v>1E-3</v>
      </c>
      <c r="EH137">
        <v>1E-3</v>
      </c>
      <c r="EI137">
        <v>0</v>
      </c>
      <c r="EJ137">
        <v>0</v>
      </c>
      <c r="EK137">
        <v>0</v>
      </c>
      <c r="EL137">
        <v>0</v>
      </c>
      <c r="EM137">
        <v>0</v>
      </c>
      <c r="EN137">
        <v>0</v>
      </c>
      <c r="EO137">
        <v>1E-3</v>
      </c>
      <c r="EP137">
        <v>2E-3</v>
      </c>
      <c r="EQ137">
        <v>1E-3</v>
      </c>
      <c r="ER137">
        <v>1E-3</v>
      </c>
      <c r="ES137">
        <v>1E-3</v>
      </c>
      <c r="ET137"/>
      <c r="EU137">
        <v>1E-3</v>
      </c>
      <c r="EV137">
        <v>2E-3</v>
      </c>
      <c r="EW137">
        <v>0</v>
      </c>
      <c r="EX137">
        <v>1E-3</v>
      </c>
      <c r="EY137">
        <v>8.0000000000000002E-3</v>
      </c>
      <c r="EZ137">
        <v>0</v>
      </c>
      <c r="FA137">
        <v>0</v>
      </c>
      <c r="FB137">
        <v>0</v>
      </c>
      <c r="FC137">
        <v>2E-3</v>
      </c>
      <c r="FD137">
        <v>5.0000000000000001E-3</v>
      </c>
      <c r="FE137">
        <v>3.0000000000000001E-3</v>
      </c>
      <c r="FF137">
        <v>6.0000000000000001E-3</v>
      </c>
      <c r="FG137">
        <v>0</v>
      </c>
      <c r="FH137">
        <v>1E-3</v>
      </c>
      <c r="FI137"/>
      <c r="FJ137">
        <v>3.0000000000000001E-3</v>
      </c>
      <c r="FK137">
        <v>2E-3</v>
      </c>
      <c r="FL137">
        <v>6.0000000000000001E-3</v>
      </c>
      <c r="FM137">
        <v>0</v>
      </c>
      <c r="FN137">
        <v>0</v>
      </c>
      <c r="FO137">
        <v>4.0000000000000001E-3</v>
      </c>
      <c r="FP137">
        <v>1E-3</v>
      </c>
      <c r="FQ137">
        <v>0</v>
      </c>
      <c r="FR137">
        <v>1E-3</v>
      </c>
      <c r="FS137">
        <v>1E-3</v>
      </c>
      <c r="FT137">
        <v>4.0000000000000001E-3</v>
      </c>
      <c r="FU137">
        <v>1E-3</v>
      </c>
      <c r="FV137">
        <v>1E-3</v>
      </c>
      <c r="FW137">
        <v>0</v>
      </c>
      <c r="FX137">
        <v>1E-3</v>
      </c>
      <c r="FY137">
        <v>1E-3</v>
      </c>
      <c r="FZ137">
        <v>4.0000000000000001E-3</v>
      </c>
      <c r="GA137">
        <v>1E-3</v>
      </c>
      <c r="GB137">
        <v>0</v>
      </c>
      <c r="GC137">
        <v>0</v>
      </c>
      <c r="GD137">
        <v>4.0000000000000001E-3</v>
      </c>
      <c r="GE137">
        <v>1E-3</v>
      </c>
      <c r="GF137">
        <v>1E-3</v>
      </c>
      <c r="GG137">
        <v>1E-3</v>
      </c>
      <c r="GH137">
        <v>1E-3</v>
      </c>
      <c r="GI137">
        <v>1E-3</v>
      </c>
      <c r="GJ137">
        <v>1E-3</v>
      </c>
      <c r="GK137">
        <v>3.0000000000000001E-3</v>
      </c>
      <c r="GL137">
        <v>4.0000000000000001E-3</v>
      </c>
      <c r="GM137">
        <v>4.0000000000000001E-3</v>
      </c>
    </row>
    <row r="138" spans="5:195" ht="14.4" x14ac:dyDescent="0.3">
      <c r="H138" t="s">
        <v>885</v>
      </c>
      <c r="I138">
        <v>4.0000000000000001E-3</v>
      </c>
      <c r="J138">
        <v>1E-3</v>
      </c>
      <c r="K138">
        <v>1E-3</v>
      </c>
      <c r="L138">
        <v>7.0000000000000001E-3</v>
      </c>
      <c r="M138">
        <v>1E-3</v>
      </c>
      <c r="N138">
        <v>1E-3</v>
      </c>
      <c r="O138">
        <v>1E-3</v>
      </c>
      <c r="P138">
        <v>0</v>
      </c>
      <c r="Q138">
        <v>0</v>
      </c>
      <c r="R138">
        <v>1E-3</v>
      </c>
      <c r="S138">
        <v>1E-3</v>
      </c>
      <c r="T138">
        <v>0</v>
      </c>
      <c r="U138">
        <v>1E-3</v>
      </c>
      <c r="V138">
        <v>1E-3</v>
      </c>
      <c r="W138">
        <v>1E-3</v>
      </c>
      <c r="X138">
        <v>0</v>
      </c>
      <c r="Y138">
        <v>1E-3</v>
      </c>
      <c r="Z138">
        <v>4.0000000000000001E-3</v>
      </c>
      <c r="AA138">
        <v>3.0000000000000001E-3</v>
      </c>
      <c r="AB138">
        <v>2E-3</v>
      </c>
      <c r="AC138">
        <v>0</v>
      </c>
      <c r="AD138">
        <v>3.0000000000000001E-3</v>
      </c>
      <c r="AE138">
        <v>1E-3</v>
      </c>
      <c r="AF138">
        <v>1E-3</v>
      </c>
      <c r="AG138">
        <v>1E-3</v>
      </c>
      <c r="AH138">
        <v>4.0000000000000001E-3</v>
      </c>
      <c r="AI138">
        <v>5.0000000000000001E-3</v>
      </c>
      <c r="AJ138">
        <v>1E-3</v>
      </c>
      <c r="AK138">
        <v>2E-3</v>
      </c>
      <c r="AL138">
        <v>7.0000000000000001E-3</v>
      </c>
      <c r="AM138">
        <v>0</v>
      </c>
      <c r="AN138">
        <v>8.0000000000000002E-3</v>
      </c>
      <c r="AO138">
        <v>7.0000000000000001E-3</v>
      </c>
      <c r="AP138">
        <v>0</v>
      </c>
      <c r="AQ138">
        <v>1E-3</v>
      </c>
      <c r="AR138">
        <v>1E-3</v>
      </c>
      <c r="AS138"/>
      <c r="AT138">
        <v>4.0000000000000001E-3</v>
      </c>
      <c r="AU138">
        <v>1E-3</v>
      </c>
      <c r="AV138">
        <v>8.0000000000000002E-3</v>
      </c>
      <c r="AW138">
        <v>0</v>
      </c>
      <c r="AX138">
        <v>1E-3</v>
      </c>
      <c r="AY138"/>
      <c r="AZ138">
        <v>0</v>
      </c>
      <c r="BA138">
        <v>0</v>
      </c>
      <c r="BB138">
        <v>1E-3</v>
      </c>
      <c r="BC138">
        <v>4.0000000000000001E-3</v>
      </c>
      <c r="BD138">
        <v>0</v>
      </c>
      <c r="BE138">
        <v>4.0000000000000001E-3</v>
      </c>
      <c r="BF138">
        <v>1E-3</v>
      </c>
      <c r="BG138">
        <v>1E-3</v>
      </c>
      <c r="BH138">
        <v>1E-3</v>
      </c>
      <c r="BI138">
        <v>1E-3</v>
      </c>
      <c r="BJ138">
        <v>6.0000000000000001E-3</v>
      </c>
      <c r="BK138">
        <v>3.0000000000000001E-3</v>
      </c>
      <c r="BL138">
        <v>1E-3</v>
      </c>
      <c r="BM138">
        <v>3.0000000000000001E-3</v>
      </c>
      <c r="BN138">
        <v>1E-3</v>
      </c>
      <c r="BO138">
        <v>0</v>
      </c>
      <c r="BP138">
        <v>0</v>
      </c>
      <c r="BQ138">
        <v>4.0000000000000001E-3</v>
      </c>
      <c r="BR138">
        <v>4.0000000000000001E-3</v>
      </c>
      <c r="BS138">
        <v>1E-3</v>
      </c>
      <c r="BT138">
        <v>0</v>
      </c>
      <c r="BU138">
        <v>4.0000000000000001E-3</v>
      </c>
      <c r="BV138">
        <v>0</v>
      </c>
      <c r="BW138">
        <v>1E-3</v>
      </c>
      <c r="BX138">
        <v>1E-3</v>
      </c>
      <c r="BY138">
        <v>5.0000000000000001E-3</v>
      </c>
      <c r="BZ138">
        <v>4.0000000000000001E-3</v>
      </c>
      <c r="CA138">
        <v>3.0000000000000001E-3</v>
      </c>
      <c r="CB138">
        <v>4.0000000000000001E-3</v>
      </c>
      <c r="CC138">
        <v>2E-3</v>
      </c>
      <c r="CD138">
        <v>0</v>
      </c>
      <c r="CE138">
        <v>0</v>
      </c>
      <c r="CF138">
        <v>2E-3</v>
      </c>
      <c r="CG138">
        <v>2E-3</v>
      </c>
      <c r="CH138">
        <v>0</v>
      </c>
      <c r="CI138">
        <v>2E-3</v>
      </c>
      <c r="CJ138">
        <v>0</v>
      </c>
      <c r="CK138">
        <v>0</v>
      </c>
      <c r="CL138">
        <v>0</v>
      </c>
      <c r="CM138">
        <v>2E-3</v>
      </c>
      <c r="CN138">
        <v>0</v>
      </c>
      <c r="CO138">
        <v>1E-3</v>
      </c>
      <c r="CP138">
        <v>1E-3</v>
      </c>
      <c r="CQ138">
        <v>4.0000000000000001E-3</v>
      </c>
      <c r="CR138">
        <v>2E-3</v>
      </c>
      <c r="CS138">
        <v>0</v>
      </c>
      <c r="CT138">
        <v>1E-3</v>
      </c>
      <c r="CU138">
        <v>2E-3</v>
      </c>
      <c r="CV138">
        <v>1E-3</v>
      </c>
      <c r="CW138">
        <v>1E-3</v>
      </c>
      <c r="CX138">
        <v>1.0999999999999999E-2</v>
      </c>
      <c r="CY138">
        <v>4.0000000000000001E-3</v>
      </c>
      <c r="CZ138">
        <v>1E-3</v>
      </c>
      <c r="DA138">
        <v>1E-3</v>
      </c>
      <c r="DB138">
        <v>0</v>
      </c>
      <c r="DC138">
        <v>3.0000000000000001E-3</v>
      </c>
      <c r="DD138">
        <v>6.0000000000000001E-3</v>
      </c>
      <c r="DE138">
        <v>1E-3</v>
      </c>
      <c r="DF138">
        <v>0</v>
      </c>
      <c r="DG138">
        <v>5.0000000000000001E-3</v>
      </c>
      <c r="DH138">
        <v>0</v>
      </c>
      <c r="DI138"/>
      <c r="DJ138">
        <v>3.0000000000000001E-3</v>
      </c>
      <c r="DK138">
        <v>1E-3</v>
      </c>
      <c r="DL138">
        <v>1E-3</v>
      </c>
      <c r="DM138"/>
      <c r="DN138">
        <v>1E-3</v>
      </c>
      <c r="DO138">
        <v>1E-3</v>
      </c>
      <c r="DP138">
        <v>1E-3</v>
      </c>
      <c r="DQ138">
        <v>7.0000000000000001E-3</v>
      </c>
      <c r="DR138">
        <v>2E-3</v>
      </c>
      <c r="DS138">
        <v>3.0000000000000001E-3</v>
      </c>
      <c r="DT138">
        <v>2E-3</v>
      </c>
      <c r="DU138">
        <v>0</v>
      </c>
      <c r="DV138"/>
      <c r="DW138">
        <v>1E-3</v>
      </c>
      <c r="DX138">
        <v>1E-3</v>
      </c>
      <c r="DY138">
        <v>3.0000000000000001E-3</v>
      </c>
      <c r="DZ138">
        <v>7.0000000000000001E-3</v>
      </c>
      <c r="EA138">
        <v>0</v>
      </c>
      <c r="EB138">
        <v>1E-3</v>
      </c>
      <c r="EC138">
        <v>2E-3</v>
      </c>
      <c r="ED138">
        <v>1E-3</v>
      </c>
      <c r="EE138">
        <v>3.0000000000000001E-3</v>
      </c>
      <c r="EF138">
        <v>2E-3</v>
      </c>
      <c r="EG138">
        <v>1E-3</v>
      </c>
      <c r="EH138">
        <v>2E-3</v>
      </c>
      <c r="EI138">
        <v>0</v>
      </c>
      <c r="EJ138">
        <v>0</v>
      </c>
      <c r="EK138">
        <v>0</v>
      </c>
      <c r="EL138">
        <v>1E-3</v>
      </c>
      <c r="EM138">
        <v>1E-3</v>
      </c>
      <c r="EN138">
        <v>1E-3</v>
      </c>
      <c r="EO138">
        <v>2E-3</v>
      </c>
      <c r="EP138">
        <v>2E-3</v>
      </c>
      <c r="EQ138">
        <v>1E-3</v>
      </c>
      <c r="ER138">
        <v>1E-3</v>
      </c>
      <c r="ES138">
        <v>1E-3</v>
      </c>
      <c r="ET138"/>
      <c r="EU138">
        <v>1E-3</v>
      </c>
      <c r="EV138">
        <v>2E-3</v>
      </c>
      <c r="EW138">
        <v>1E-3</v>
      </c>
      <c r="EX138">
        <v>1E-3</v>
      </c>
      <c r="EY138">
        <v>8.0000000000000002E-3</v>
      </c>
      <c r="EZ138">
        <v>0</v>
      </c>
      <c r="FA138">
        <v>0</v>
      </c>
      <c r="FB138">
        <v>0</v>
      </c>
      <c r="FC138">
        <v>2E-3</v>
      </c>
      <c r="FD138">
        <v>6.0000000000000001E-3</v>
      </c>
      <c r="FE138">
        <v>6.0000000000000001E-3</v>
      </c>
      <c r="FF138">
        <v>7.0000000000000001E-3</v>
      </c>
      <c r="FG138">
        <v>0</v>
      </c>
      <c r="FH138">
        <v>1E-3</v>
      </c>
      <c r="FI138"/>
      <c r="FJ138">
        <v>3.0000000000000001E-3</v>
      </c>
      <c r="FK138">
        <v>2E-3</v>
      </c>
      <c r="FL138">
        <v>8.0000000000000002E-3</v>
      </c>
      <c r="FM138">
        <v>0</v>
      </c>
      <c r="FN138">
        <v>0</v>
      </c>
      <c r="FO138">
        <v>4.0000000000000001E-3</v>
      </c>
      <c r="FP138">
        <v>1E-3</v>
      </c>
      <c r="FQ138">
        <v>0</v>
      </c>
      <c r="FR138">
        <v>1E-3</v>
      </c>
      <c r="FS138">
        <v>1E-3</v>
      </c>
      <c r="FT138">
        <v>5.0000000000000001E-3</v>
      </c>
      <c r="FU138">
        <v>1E-3</v>
      </c>
      <c r="FV138">
        <v>1E-3</v>
      </c>
      <c r="FW138">
        <v>1E-3</v>
      </c>
      <c r="FX138">
        <v>1E-3</v>
      </c>
      <c r="FY138">
        <v>2E-3</v>
      </c>
      <c r="FZ138">
        <v>5.0000000000000001E-3</v>
      </c>
      <c r="GA138">
        <v>1E-3</v>
      </c>
      <c r="GB138">
        <v>0</v>
      </c>
      <c r="GC138">
        <v>0</v>
      </c>
      <c r="GD138">
        <v>5.0000000000000001E-3</v>
      </c>
      <c r="GE138">
        <v>1E-3</v>
      </c>
      <c r="GF138">
        <v>1E-3</v>
      </c>
      <c r="GG138">
        <v>1E-3</v>
      </c>
      <c r="GH138">
        <v>1E-3</v>
      </c>
      <c r="GI138">
        <v>1E-3</v>
      </c>
      <c r="GJ138">
        <v>1E-3</v>
      </c>
      <c r="GK138">
        <v>3.0000000000000001E-3</v>
      </c>
      <c r="GL138">
        <v>5.0000000000000001E-3</v>
      </c>
      <c r="GM138">
        <v>5.0000000000000001E-3</v>
      </c>
    </row>
    <row r="139" spans="5:195" ht="14.4" x14ac:dyDescent="0.3">
      <c r="H139" t="s">
        <v>886</v>
      </c>
      <c r="I139">
        <v>5.0000000000000001E-3</v>
      </c>
      <c r="J139">
        <v>1E-3</v>
      </c>
      <c r="K139">
        <v>1E-3</v>
      </c>
      <c r="L139">
        <v>8.0000000000000002E-3</v>
      </c>
      <c r="M139">
        <v>2E-3</v>
      </c>
      <c r="N139">
        <v>1E-3</v>
      </c>
      <c r="O139">
        <v>1E-3</v>
      </c>
      <c r="P139">
        <v>1E-3</v>
      </c>
      <c r="Q139">
        <v>0</v>
      </c>
      <c r="R139">
        <v>1E-3</v>
      </c>
      <c r="S139">
        <v>2E-3</v>
      </c>
      <c r="T139">
        <v>1E-3</v>
      </c>
      <c r="U139">
        <v>1E-3</v>
      </c>
      <c r="V139">
        <v>1E-3</v>
      </c>
      <c r="W139">
        <v>2E-3</v>
      </c>
      <c r="X139">
        <v>1E-3</v>
      </c>
      <c r="Y139">
        <v>2E-3</v>
      </c>
      <c r="Z139">
        <v>5.0000000000000001E-3</v>
      </c>
      <c r="AA139">
        <v>4.0000000000000001E-3</v>
      </c>
      <c r="AB139">
        <v>3.0000000000000001E-3</v>
      </c>
      <c r="AC139">
        <v>1E-3</v>
      </c>
      <c r="AD139">
        <v>5.0000000000000001E-3</v>
      </c>
      <c r="AE139">
        <v>1E-3</v>
      </c>
      <c r="AF139">
        <v>1E-3</v>
      </c>
      <c r="AG139">
        <v>1E-3</v>
      </c>
      <c r="AH139">
        <v>5.0000000000000001E-3</v>
      </c>
      <c r="AI139">
        <v>6.0000000000000001E-3</v>
      </c>
      <c r="AJ139">
        <v>1E-3</v>
      </c>
      <c r="AK139">
        <v>3.0000000000000001E-3</v>
      </c>
      <c r="AL139">
        <v>0.01</v>
      </c>
      <c r="AM139">
        <v>1E-3</v>
      </c>
      <c r="AN139">
        <v>1.2E-2</v>
      </c>
      <c r="AO139">
        <v>0.01</v>
      </c>
      <c r="AP139">
        <v>1E-3</v>
      </c>
      <c r="AQ139">
        <v>1E-3</v>
      </c>
      <c r="AR139">
        <v>1E-3</v>
      </c>
      <c r="AS139"/>
      <c r="AT139">
        <v>6.0000000000000001E-3</v>
      </c>
      <c r="AU139">
        <v>1E-3</v>
      </c>
      <c r="AV139">
        <v>0.01</v>
      </c>
      <c r="AW139">
        <v>1E-3</v>
      </c>
      <c r="AX139">
        <v>1E-3</v>
      </c>
      <c r="AY139"/>
      <c r="AZ139">
        <v>0</v>
      </c>
      <c r="BA139">
        <v>1E-3</v>
      </c>
      <c r="BB139">
        <v>2E-3</v>
      </c>
      <c r="BC139">
        <v>5.0000000000000001E-3</v>
      </c>
      <c r="BD139">
        <v>0</v>
      </c>
      <c r="BE139">
        <v>5.0000000000000001E-3</v>
      </c>
      <c r="BF139">
        <v>2E-3</v>
      </c>
      <c r="BG139">
        <v>1E-3</v>
      </c>
      <c r="BH139">
        <v>1E-3</v>
      </c>
      <c r="BI139">
        <v>2E-3</v>
      </c>
      <c r="BJ139">
        <v>8.0000000000000002E-3</v>
      </c>
      <c r="BK139">
        <v>4.0000000000000001E-3</v>
      </c>
      <c r="BL139">
        <v>1E-3</v>
      </c>
      <c r="BM139">
        <v>4.0000000000000001E-3</v>
      </c>
      <c r="BN139">
        <v>2E-3</v>
      </c>
      <c r="BO139">
        <v>1E-3</v>
      </c>
      <c r="BP139">
        <v>1E-3</v>
      </c>
      <c r="BQ139">
        <v>6.0000000000000001E-3</v>
      </c>
      <c r="BR139">
        <v>5.0000000000000001E-3</v>
      </c>
      <c r="BS139">
        <v>1E-3</v>
      </c>
      <c r="BT139">
        <v>0</v>
      </c>
      <c r="BU139">
        <v>5.0000000000000001E-3</v>
      </c>
      <c r="BV139">
        <v>1E-3</v>
      </c>
      <c r="BW139">
        <v>1E-3</v>
      </c>
      <c r="BX139">
        <v>2E-3</v>
      </c>
      <c r="BY139">
        <v>6.0000000000000001E-3</v>
      </c>
      <c r="BZ139">
        <v>5.0000000000000001E-3</v>
      </c>
      <c r="CA139">
        <v>3.0000000000000001E-3</v>
      </c>
      <c r="CB139">
        <v>4.0000000000000001E-3</v>
      </c>
      <c r="CC139">
        <v>2E-3</v>
      </c>
      <c r="CD139">
        <v>1E-3</v>
      </c>
      <c r="CE139">
        <v>0</v>
      </c>
      <c r="CF139">
        <v>2E-3</v>
      </c>
      <c r="CG139">
        <v>2E-3</v>
      </c>
      <c r="CH139">
        <v>1E-3</v>
      </c>
      <c r="CI139">
        <v>2E-3</v>
      </c>
      <c r="CJ139">
        <v>1E-3</v>
      </c>
      <c r="CK139">
        <v>0</v>
      </c>
      <c r="CL139">
        <v>0</v>
      </c>
      <c r="CM139">
        <v>2E-3</v>
      </c>
      <c r="CN139">
        <v>1E-3</v>
      </c>
      <c r="CO139">
        <v>1E-3</v>
      </c>
      <c r="CP139">
        <v>2E-3</v>
      </c>
      <c r="CQ139">
        <v>5.0000000000000001E-3</v>
      </c>
      <c r="CR139">
        <v>2E-3</v>
      </c>
      <c r="CS139">
        <v>1E-3</v>
      </c>
      <c r="CT139">
        <v>2E-3</v>
      </c>
      <c r="CU139">
        <v>3.0000000000000001E-3</v>
      </c>
      <c r="CV139">
        <v>1E-3</v>
      </c>
      <c r="CW139">
        <v>1E-3</v>
      </c>
      <c r="CX139">
        <v>1.7999999999999999E-2</v>
      </c>
      <c r="CY139">
        <v>5.0000000000000001E-3</v>
      </c>
      <c r="CZ139">
        <v>1E-3</v>
      </c>
      <c r="DA139">
        <v>1E-3</v>
      </c>
      <c r="DB139">
        <v>0</v>
      </c>
      <c r="DC139">
        <v>4.0000000000000001E-3</v>
      </c>
      <c r="DD139">
        <v>0.01</v>
      </c>
      <c r="DE139">
        <v>1E-3</v>
      </c>
      <c r="DF139">
        <v>0</v>
      </c>
      <c r="DG139">
        <v>6.0000000000000001E-3</v>
      </c>
      <c r="DH139">
        <v>0</v>
      </c>
      <c r="DI139"/>
      <c r="DJ139">
        <v>3.0000000000000001E-3</v>
      </c>
      <c r="DK139">
        <v>1E-3</v>
      </c>
      <c r="DL139">
        <v>1E-3</v>
      </c>
      <c r="DM139"/>
      <c r="DN139">
        <v>2E-3</v>
      </c>
      <c r="DO139">
        <v>1E-3</v>
      </c>
      <c r="DP139">
        <v>1E-3</v>
      </c>
      <c r="DQ139">
        <v>8.9999999999999993E-3</v>
      </c>
      <c r="DR139">
        <v>3.0000000000000001E-3</v>
      </c>
      <c r="DS139">
        <v>5.0000000000000001E-3</v>
      </c>
      <c r="DT139">
        <v>2E-3</v>
      </c>
      <c r="DU139">
        <v>0</v>
      </c>
      <c r="DV139"/>
      <c r="DW139">
        <v>1E-3</v>
      </c>
      <c r="DX139">
        <v>1E-3</v>
      </c>
      <c r="DY139">
        <v>4.0000000000000001E-3</v>
      </c>
      <c r="DZ139">
        <v>8.0000000000000002E-3</v>
      </c>
      <c r="EA139">
        <v>0</v>
      </c>
      <c r="EB139">
        <v>1E-3</v>
      </c>
      <c r="EC139">
        <v>2E-3</v>
      </c>
      <c r="ED139">
        <v>1E-3</v>
      </c>
      <c r="EE139">
        <v>4.0000000000000001E-3</v>
      </c>
      <c r="EF139">
        <v>2E-3</v>
      </c>
      <c r="EG139">
        <v>1E-3</v>
      </c>
      <c r="EH139">
        <v>2E-3</v>
      </c>
      <c r="EI139">
        <v>1E-3</v>
      </c>
      <c r="EJ139">
        <v>1E-3</v>
      </c>
      <c r="EK139">
        <v>0</v>
      </c>
      <c r="EL139">
        <v>1E-3</v>
      </c>
      <c r="EM139">
        <v>1E-3</v>
      </c>
      <c r="EN139">
        <v>1E-3</v>
      </c>
      <c r="EO139">
        <v>2E-3</v>
      </c>
      <c r="EP139">
        <v>3.0000000000000001E-3</v>
      </c>
      <c r="EQ139">
        <v>2E-3</v>
      </c>
      <c r="ER139">
        <v>2E-3</v>
      </c>
      <c r="ES139">
        <v>1E-3</v>
      </c>
      <c r="ET139"/>
      <c r="EU139">
        <v>1E-3</v>
      </c>
      <c r="EV139">
        <v>3.0000000000000001E-3</v>
      </c>
      <c r="EW139">
        <v>1E-3</v>
      </c>
      <c r="EX139">
        <v>1E-3</v>
      </c>
      <c r="EY139">
        <v>8.9999999999999993E-3</v>
      </c>
      <c r="EZ139">
        <v>0</v>
      </c>
      <c r="FA139">
        <v>1E-3</v>
      </c>
      <c r="FB139">
        <v>0</v>
      </c>
      <c r="FC139">
        <v>2E-3</v>
      </c>
      <c r="FD139">
        <v>7.0000000000000001E-3</v>
      </c>
      <c r="FE139">
        <v>8.9999999999999993E-3</v>
      </c>
      <c r="FF139">
        <v>8.9999999999999993E-3</v>
      </c>
      <c r="FG139">
        <v>0</v>
      </c>
      <c r="FH139">
        <v>1E-3</v>
      </c>
      <c r="FI139"/>
      <c r="FJ139">
        <v>4.0000000000000001E-3</v>
      </c>
      <c r="FK139">
        <v>2E-3</v>
      </c>
      <c r="FL139">
        <v>0.01</v>
      </c>
      <c r="FM139">
        <v>0</v>
      </c>
      <c r="FN139">
        <v>0</v>
      </c>
      <c r="FO139">
        <v>4.0000000000000001E-3</v>
      </c>
      <c r="FP139">
        <v>2E-3</v>
      </c>
      <c r="FQ139">
        <v>1E-3</v>
      </c>
      <c r="FR139">
        <v>2E-3</v>
      </c>
      <c r="FS139">
        <v>1E-3</v>
      </c>
      <c r="FT139">
        <v>7.0000000000000001E-3</v>
      </c>
      <c r="FU139">
        <v>1E-3</v>
      </c>
      <c r="FV139">
        <v>2E-3</v>
      </c>
      <c r="FW139">
        <v>1E-3</v>
      </c>
      <c r="FX139">
        <v>1E-3</v>
      </c>
      <c r="FY139">
        <v>2E-3</v>
      </c>
      <c r="FZ139">
        <v>6.0000000000000001E-3</v>
      </c>
      <c r="GA139">
        <v>2E-3</v>
      </c>
      <c r="GB139">
        <v>0</v>
      </c>
      <c r="GC139">
        <v>1E-3</v>
      </c>
      <c r="GD139">
        <v>6.0000000000000001E-3</v>
      </c>
      <c r="GE139">
        <v>1E-3</v>
      </c>
      <c r="GF139">
        <v>1E-3</v>
      </c>
      <c r="GG139">
        <v>2E-3</v>
      </c>
      <c r="GH139">
        <v>1E-3</v>
      </c>
      <c r="GI139">
        <v>2E-3</v>
      </c>
      <c r="GJ139">
        <v>1E-3</v>
      </c>
      <c r="GK139">
        <v>4.0000000000000001E-3</v>
      </c>
      <c r="GL139">
        <v>6.0000000000000001E-3</v>
      </c>
      <c r="GM139">
        <v>8.9999999999999993E-3</v>
      </c>
    </row>
    <row r="140" spans="5:195" ht="14.4" x14ac:dyDescent="0.3">
      <c r="H140" t="s">
        <v>887</v>
      </c>
      <c r="I140">
        <v>6.0000000000000001E-3</v>
      </c>
      <c r="J140">
        <v>1E-3</v>
      </c>
      <c r="K140">
        <v>2E-3</v>
      </c>
      <c r="L140">
        <v>8.9999999999999993E-3</v>
      </c>
      <c r="M140">
        <v>3.0000000000000001E-3</v>
      </c>
      <c r="N140">
        <v>2E-3</v>
      </c>
      <c r="O140">
        <v>2E-3</v>
      </c>
      <c r="P140">
        <v>1E-3</v>
      </c>
      <c r="Q140">
        <v>1E-3</v>
      </c>
      <c r="R140">
        <v>1E-3</v>
      </c>
      <c r="S140">
        <v>2E-3</v>
      </c>
      <c r="T140">
        <v>1E-3</v>
      </c>
      <c r="U140">
        <v>2E-3</v>
      </c>
      <c r="V140">
        <v>1E-3</v>
      </c>
      <c r="W140">
        <v>2E-3</v>
      </c>
      <c r="X140">
        <v>1E-3</v>
      </c>
      <c r="Y140">
        <v>3.0000000000000001E-3</v>
      </c>
      <c r="Z140">
        <v>5.0000000000000001E-3</v>
      </c>
      <c r="AA140">
        <v>5.0000000000000001E-3</v>
      </c>
      <c r="AB140">
        <v>3.0000000000000001E-3</v>
      </c>
      <c r="AC140">
        <v>1E-3</v>
      </c>
      <c r="AD140">
        <v>7.0000000000000001E-3</v>
      </c>
      <c r="AE140">
        <v>2E-3</v>
      </c>
      <c r="AF140">
        <v>1E-3</v>
      </c>
      <c r="AG140">
        <v>2E-3</v>
      </c>
      <c r="AH140">
        <v>6.0000000000000001E-3</v>
      </c>
      <c r="AI140">
        <v>7.0000000000000001E-3</v>
      </c>
      <c r="AJ140">
        <v>2E-3</v>
      </c>
      <c r="AK140">
        <v>3.0000000000000001E-3</v>
      </c>
      <c r="AL140">
        <v>1.2E-2</v>
      </c>
      <c r="AM140">
        <v>1E-3</v>
      </c>
      <c r="AN140">
        <v>1.4999999999999999E-2</v>
      </c>
      <c r="AO140">
        <v>1.0999999999999999E-2</v>
      </c>
      <c r="AP140">
        <v>1E-3</v>
      </c>
      <c r="AQ140">
        <v>1E-3</v>
      </c>
      <c r="AR140">
        <v>2E-3</v>
      </c>
      <c r="AS140"/>
      <c r="AT140">
        <v>8.0000000000000002E-3</v>
      </c>
      <c r="AU140">
        <v>1E-3</v>
      </c>
      <c r="AV140">
        <v>1.2E-2</v>
      </c>
      <c r="AW140">
        <v>1E-3</v>
      </c>
      <c r="AX140">
        <v>1E-3</v>
      </c>
      <c r="AY140"/>
      <c r="AZ140">
        <v>1E-3</v>
      </c>
      <c r="BA140">
        <v>1E-3</v>
      </c>
      <c r="BB140">
        <v>2E-3</v>
      </c>
      <c r="BC140">
        <v>6.0000000000000001E-3</v>
      </c>
      <c r="BD140">
        <v>1E-3</v>
      </c>
      <c r="BE140">
        <v>6.0000000000000001E-3</v>
      </c>
      <c r="BF140">
        <v>2E-3</v>
      </c>
      <c r="BG140">
        <v>2E-3</v>
      </c>
      <c r="BH140">
        <v>2E-3</v>
      </c>
      <c r="BI140">
        <v>2E-3</v>
      </c>
      <c r="BJ140">
        <v>8.9999999999999993E-3</v>
      </c>
      <c r="BK140">
        <v>5.0000000000000001E-3</v>
      </c>
      <c r="BL140">
        <v>1E-3</v>
      </c>
      <c r="BM140">
        <v>5.0000000000000001E-3</v>
      </c>
      <c r="BN140">
        <v>3.0000000000000001E-3</v>
      </c>
      <c r="BO140">
        <v>1E-3</v>
      </c>
      <c r="BP140">
        <v>1E-3</v>
      </c>
      <c r="BQ140">
        <v>7.0000000000000001E-3</v>
      </c>
      <c r="BR140">
        <v>6.0000000000000001E-3</v>
      </c>
      <c r="BS140">
        <v>1E-3</v>
      </c>
      <c r="BT140">
        <v>1E-3</v>
      </c>
      <c r="BU140">
        <v>6.0000000000000001E-3</v>
      </c>
      <c r="BV140">
        <v>1E-3</v>
      </c>
      <c r="BW140">
        <v>2E-3</v>
      </c>
      <c r="BX140">
        <v>2E-3</v>
      </c>
      <c r="BY140">
        <v>8.0000000000000002E-3</v>
      </c>
      <c r="BZ140">
        <v>6.0000000000000001E-3</v>
      </c>
      <c r="CA140">
        <v>3.0000000000000001E-3</v>
      </c>
      <c r="CB140">
        <v>6.0000000000000001E-3</v>
      </c>
      <c r="CC140">
        <v>3.0000000000000001E-3</v>
      </c>
      <c r="CD140">
        <v>1E-3</v>
      </c>
      <c r="CE140">
        <v>1E-3</v>
      </c>
      <c r="CF140">
        <v>3.0000000000000001E-3</v>
      </c>
      <c r="CG140">
        <v>3.0000000000000001E-3</v>
      </c>
      <c r="CH140">
        <v>1E-3</v>
      </c>
      <c r="CI140">
        <v>3.0000000000000001E-3</v>
      </c>
      <c r="CJ140">
        <v>1E-3</v>
      </c>
      <c r="CK140">
        <v>1E-3</v>
      </c>
      <c r="CL140">
        <v>1E-3</v>
      </c>
      <c r="CM140">
        <v>2E-3</v>
      </c>
      <c r="CN140">
        <v>1E-3</v>
      </c>
      <c r="CO140">
        <v>2E-3</v>
      </c>
      <c r="CP140">
        <v>3.0000000000000001E-3</v>
      </c>
      <c r="CQ140">
        <v>6.0000000000000001E-3</v>
      </c>
      <c r="CR140">
        <v>3.0000000000000001E-3</v>
      </c>
      <c r="CS140">
        <v>1E-3</v>
      </c>
      <c r="CT140">
        <v>2E-3</v>
      </c>
      <c r="CU140">
        <v>4.0000000000000001E-3</v>
      </c>
      <c r="CV140">
        <v>2E-3</v>
      </c>
      <c r="CW140">
        <v>2E-3</v>
      </c>
      <c r="CX140">
        <v>0.02</v>
      </c>
      <c r="CY140">
        <v>6.0000000000000001E-3</v>
      </c>
      <c r="CZ140">
        <v>2E-3</v>
      </c>
      <c r="DA140">
        <v>2E-3</v>
      </c>
      <c r="DB140">
        <v>1E-3</v>
      </c>
      <c r="DC140">
        <v>5.0000000000000001E-3</v>
      </c>
      <c r="DD140">
        <v>1.2999999999999999E-2</v>
      </c>
      <c r="DE140">
        <v>1E-3</v>
      </c>
      <c r="DF140">
        <v>1E-3</v>
      </c>
      <c r="DG140">
        <v>7.0000000000000001E-3</v>
      </c>
      <c r="DH140">
        <v>1E-3</v>
      </c>
      <c r="DI140"/>
      <c r="DJ140">
        <v>4.0000000000000001E-3</v>
      </c>
      <c r="DK140">
        <v>2E-3</v>
      </c>
      <c r="DL140">
        <v>1E-3</v>
      </c>
      <c r="DM140"/>
      <c r="DN140">
        <v>3.0000000000000001E-3</v>
      </c>
      <c r="DO140">
        <v>1E-3</v>
      </c>
      <c r="DP140">
        <v>2E-3</v>
      </c>
      <c r="DQ140">
        <v>0.01</v>
      </c>
      <c r="DR140">
        <v>4.0000000000000001E-3</v>
      </c>
      <c r="DS140">
        <v>6.0000000000000001E-3</v>
      </c>
      <c r="DT140">
        <v>3.0000000000000001E-3</v>
      </c>
      <c r="DU140">
        <v>1E-3</v>
      </c>
      <c r="DV140"/>
      <c r="DW140">
        <v>1E-3</v>
      </c>
      <c r="DX140">
        <v>2E-3</v>
      </c>
      <c r="DY140">
        <v>5.0000000000000001E-3</v>
      </c>
      <c r="DZ140">
        <v>8.9999999999999993E-3</v>
      </c>
      <c r="EA140">
        <v>1E-3</v>
      </c>
      <c r="EB140">
        <v>1E-3</v>
      </c>
      <c r="EC140">
        <v>3.0000000000000001E-3</v>
      </c>
      <c r="ED140">
        <v>2E-3</v>
      </c>
      <c r="EE140">
        <v>5.0000000000000001E-3</v>
      </c>
      <c r="EF140">
        <v>3.0000000000000001E-3</v>
      </c>
      <c r="EG140">
        <v>2E-3</v>
      </c>
      <c r="EH140">
        <v>3.0000000000000001E-3</v>
      </c>
      <c r="EI140">
        <v>1E-3</v>
      </c>
      <c r="EJ140">
        <v>1E-3</v>
      </c>
      <c r="EK140">
        <v>1E-3</v>
      </c>
      <c r="EL140">
        <v>1E-3</v>
      </c>
      <c r="EM140">
        <v>2E-3</v>
      </c>
      <c r="EN140">
        <v>1E-3</v>
      </c>
      <c r="EO140">
        <v>3.0000000000000001E-3</v>
      </c>
      <c r="EP140">
        <v>4.0000000000000001E-3</v>
      </c>
      <c r="EQ140">
        <v>2E-3</v>
      </c>
      <c r="ER140">
        <v>3.0000000000000001E-3</v>
      </c>
      <c r="ES140">
        <v>2E-3</v>
      </c>
      <c r="ET140"/>
      <c r="EU140">
        <v>2E-3</v>
      </c>
      <c r="EV140">
        <v>3.0000000000000001E-3</v>
      </c>
      <c r="EW140">
        <v>1E-3</v>
      </c>
      <c r="EX140">
        <v>2E-3</v>
      </c>
      <c r="EY140">
        <v>1.0999999999999999E-2</v>
      </c>
      <c r="EZ140">
        <v>1E-3</v>
      </c>
      <c r="FA140">
        <v>1E-3</v>
      </c>
      <c r="FB140">
        <v>1E-3</v>
      </c>
      <c r="FC140">
        <v>3.0000000000000001E-3</v>
      </c>
      <c r="FD140">
        <v>8.0000000000000002E-3</v>
      </c>
      <c r="FE140">
        <v>8.9999999999999993E-3</v>
      </c>
      <c r="FF140">
        <v>0.01</v>
      </c>
      <c r="FG140">
        <v>1E-3</v>
      </c>
      <c r="FH140">
        <v>1E-3</v>
      </c>
      <c r="FI140"/>
      <c r="FJ140">
        <v>5.0000000000000001E-3</v>
      </c>
      <c r="FK140">
        <v>3.0000000000000001E-3</v>
      </c>
      <c r="FL140">
        <v>0.01</v>
      </c>
      <c r="FM140">
        <v>1E-3</v>
      </c>
      <c r="FN140">
        <v>1E-3</v>
      </c>
      <c r="FO140">
        <v>4.0000000000000001E-3</v>
      </c>
      <c r="FP140">
        <v>3.0000000000000001E-3</v>
      </c>
      <c r="FQ140">
        <v>1E-3</v>
      </c>
      <c r="FR140">
        <v>2E-3</v>
      </c>
      <c r="FS140">
        <v>2E-3</v>
      </c>
      <c r="FT140">
        <v>8.0000000000000002E-3</v>
      </c>
      <c r="FU140">
        <v>2E-3</v>
      </c>
      <c r="FV140">
        <v>2E-3</v>
      </c>
      <c r="FW140">
        <v>1E-3</v>
      </c>
      <c r="FX140">
        <v>1E-3</v>
      </c>
      <c r="FY140">
        <v>3.0000000000000001E-3</v>
      </c>
      <c r="FZ140">
        <v>7.0000000000000001E-3</v>
      </c>
      <c r="GA140">
        <v>3.0000000000000001E-3</v>
      </c>
      <c r="GB140">
        <v>1E-3</v>
      </c>
      <c r="GC140">
        <v>1E-3</v>
      </c>
      <c r="GD140">
        <v>7.0000000000000001E-3</v>
      </c>
      <c r="GE140">
        <v>2E-3</v>
      </c>
      <c r="GF140">
        <v>2E-3</v>
      </c>
      <c r="GG140">
        <v>3.0000000000000001E-3</v>
      </c>
      <c r="GH140">
        <v>2E-3</v>
      </c>
      <c r="GI140">
        <v>2E-3</v>
      </c>
      <c r="GJ140">
        <v>1E-3</v>
      </c>
      <c r="GK140">
        <v>5.0000000000000001E-3</v>
      </c>
      <c r="GL140">
        <v>7.0000000000000001E-3</v>
      </c>
      <c r="GM140">
        <v>1.2E-2</v>
      </c>
    </row>
    <row r="141" spans="5:195" ht="14.4" x14ac:dyDescent="0.3">
      <c r="H141" t="s">
        <v>888</v>
      </c>
      <c r="I141">
        <v>7.0000000000000001E-3</v>
      </c>
      <c r="J141">
        <v>2E-3</v>
      </c>
      <c r="K141">
        <v>3.0000000000000001E-3</v>
      </c>
      <c r="L141">
        <v>0.01</v>
      </c>
      <c r="M141">
        <v>4.0000000000000001E-3</v>
      </c>
      <c r="N141">
        <v>2E-3</v>
      </c>
      <c r="O141">
        <v>2E-3</v>
      </c>
      <c r="P141">
        <v>1E-3</v>
      </c>
      <c r="Q141">
        <v>1E-3</v>
      </c>
      <c r="R141">
        <v>2E-3</v>
      </c>
      <c r="S141">
        <v>4.0000000000000001E-3</v>
      </c>
      <c r="T141">
        <v>1E-3</v>
      </c>
      <c r="U141">
        <v>3.0000000000000001E-3</v>
      </c>
      <c r="V141">
        <v>2E-3</v>
      </c>
      <c r="W141">
        <v>3.0000000000000001E-3</v>
      </c>
      <c r="X141">
        <v>2E-3</v>
      </c>
      <c r="Y141">
        <v>4.0000000000000001E-3</v>
      </c>
      <c r="Z141">
        <v>6.0000000000000001E-3</v>
      </c>
      <c r="AA141">
        <v>7.0000000000000001E-3</v>
      </c>
      <c r="AB141">
        <v>5.0000000000000001E-3</v>
      </c>
      <c r="AC141">
        <v>2E-3</v>
      </c>
      <c r="AD141">
        <v>8.0000000000000002E-3</v>
      </c>
      <c r="AE141">
        <v>3.0000000000000001E-3</v>
      </c>
      <c r="AF141">
        <v>2E-3</v>
      </c>
      <c r="AG141">
        <v>3.0000000000000001E-3</v>
      </c>
      <c r="AH141">
        <v>7.0000000000000001E-3</v>
      </c>
      <c r="AI141">
        <v>8.0000000000000002E-3</v>
      </c>
      <c r="AJ141">
        <v>3.0000000000000001E-3</v>
      </c>
      <c r="AK141">
        <v>4.0000000000000001E-3</v>
      </c>
      <c r="AL141">
        <v>1.2E-2</v>
      </c>
      <c r="AM141">
        <v>2E-3</v>
      </c>
      <c r="AN141">
        <v>1.4999999999999999E-2</v>
      </c>
      <c r="AO141">
        <v>1.0999999999999999E-2</v>
      </c>
      <c r="AP141">
        <v>2E-3</v>
      </c>
      <c r="AQ141">
        <v>2E-3</v>
      </c>
      <c r="AR141">
        <v>3.0000000000000001E-3</v>
      </c>
      <c r="AS141"/>
      <c r="AT141">
        <v>8.9999999999999993E-3</v>
      </c>
      <c r="AU141">
        <v>2E-3</v>
      </c>
      <c r="AV141">
        <v>1.2999999999999999E-2</v>
      </c>
      <c r="AW141">
        <v>2E-3</v>
      </c>
      <c r="AX141">
        <v>2E-3</v>
      </c>
      <c r="AY141"/>
      <c r="AZ141">
        <v>1E-3</v>
      </c>
      <c r="BA141">
        <v>2E-3</v>
      </c>
      <c r="BB141">
        <v>3.0000000000000001E-3</v>
      </c>
      <c r="BC141">
        <v>7.0000000000000001E-3</v>
      </c>
      <c r="BD141">
        <v>2E-3</v>
      </c>
      <c r="BE141">
        <v>7.0000000000000001E-3</v>
      </c>
      <c r="BF141">
        <v>3.0000000000000001E-3</v>
      </c>
      <c r="BG141">
        <v>2E-3</v>
      </c>
      <c r="BH141">
        <v>3.0000000000000001E-3</v>
      </c>
      <c r="BI141">
        <v>3.0000000000000001E-3</v>
      </c>
      <c r="BJ141">
        <v>8.9999999999999993E-3</v>
      </c>
      <c r="BK141">
        <v>7.0000000000000001E-3</v>
      </c>
      <c r="BL141">
        <v>2E-3</v>
      </c>
      <c r="BM141">
        <v>6.0000000000000001E-3</v>
      </c>
      <c r="BN141">
        <v>4.0000000000000001E-3</v>
      </c>
      <c r="BO141">
        <v>1E-3</v>
      </c>
      <c r="BP141">
        <v>2E-3</v>
      </c>
      <c r="BQ141">
        <v>8.0000000000000002E-3</v>
      </c>
      <c r="BR141">
        <v>6.0000000000000001E-3</v>
      </c>
      <c r="BS141">
        <v>2E-3</v>
      </c>
      <c r="BT141">
        <v>1E-3</v>
      </c>
      <c r="BU141">
        <v>7.0000000000000001E-3</v>
      </c>
      <c r="BV141">
        <v>1E-3</v>
      </c>
      <c r="BW141">
        <v>3.0000000000000001E-3</v>
      </c>
      <c r="BX141">
        <v>4.0000000000000001E-3</v>
      </c>
      <c r="BY141">
        <v>8.9999999999999993E-3</v>
      </c>
      <c r="BZ141">
        <v>7.0000000000000001E-3</v>
      </c>
      <c r="CA141">
        <v>5.0000000000000001E-3</v>
      </c>
      <c r="CB141">
        <v>7.0000000000000001E-3</v>
      </c>
      <c r="CC141">
        <v>4.0000000000000001E-3</v>
      </c>
      <c r="CD141">
        <v>3.0000000000000001E-3</v>
      </c>
      <c r="CE141">
        <v>1E-3</v>
      </c>
      <c r="CF141">
        <v>4.0000000000000001E-3</v>
      </c>
      <c r="CG141">
        <v>5.0000000000000001E-3</v>
      </c>
      <c r="CH141">
        <v>2E-3</v>
      </c>
      <c r="CI141">
        <v>4.0000000000000001E-3</v>
      </c>
      <c r="CJ141">
        <v>2E-3</v>
      </c>
      <c r="CK141">
        <v>1E-3</v>
      </c>
      <c r="CL141">
        <v>1E-3</v>
      </c>
      <c r="CM141">
        <v>3.0000000000000001E-3</v>
      </c>
      <c r="CN141">
        <v>1E-3</v>
      </c>
      <c r="CO141">
        <v>3.0000000000000001E-3</v>
      </c>
      <c r="CP141">
        <v>3.0000000000000001E-3</v>
      </c>
      <c r="CQ141">
        <v>6.0000000000000001E-3</v>
      </c>
      <c r="CR141">
        <v>5.0000000000000001E-3</v>
      </c>
      <c r="CS141">
        <v>1E-3</v>
      </c>
      <c r="CT141">
        <v>3.0000000000000001E-3</v>
      </c>
      <c r="CU141">
        <v>5.0000000000000001E-3</v>
      </c>
      <c r="CV141">
        <v>3.0000000000000001E-3</v>
      </c>
      <c r="CW141">
        <v>2E-3</v>
      </c>
      <c r="CX141">
        <v>1.9E-2</v>
      </c>
      <c r="CY141">
        <v>7.0000000000000001E-3</v>
      </c>
      <c r="CZ141">
        <v>3.0000000000000001E-3</v>
      </c>
      <c r="DA141">
        <v>3.0000000000000001E-3</v>
      </c>
      <c r="DB141">
        <v>2E-3</v>
      </c>
      <c r="DC141">
        <v>6.0000000000000001E-3</v>
      </c>
      <c r="DD141">
        <v>1.4E-2</v>
      </c>
      <c r="DE141">
        <v>2E-3</v>
      </c>
      <c r="DF141">
        <v>1E-3</v>
      </c>
      <c r="DG141">
        <v>8.0000000000000002E-3</v>
      </c>
      <c r="DH141">
        <v>1E-3</v>
      </c>
      <c r="DI141"/>
      <c r="DJ141">
        <v>5.0000000000000001E-3</v>
      </c>
      <c r="DK141">
        <v>3.0000000000000001E-3</v>
      </c>
      <c r="DL141">
        <v>2E-3</v>
      </c>
      <c r="DM141"/>
      <c r="DN141">
        <v>4.0000000000000001E-3</v>
      </c>
      <c r="DO141">
        <v>3.0000000000000001E-3</v>
      </c>
      <c r="DP141">
        <v>3.0000000000000001E-3</v>
      </c>
      <c r="DQ141">
        <v>0.01</v>
      </c>
      <c r="DR141">
        <v>5.0000000000000001E-3</v>
      </c>
      <c r="DS141">
        <v>7.0000000000000001E-3</v>
      </c>
      <c r="DT141">
        <v>4.0000000000000001E-3</v>
      </c>
      <c r="DU141">
        <v>1E-3</v>
      </c>
      <c r="DV141"/>
      <c r="DW141">
        <v>2E-3</v>
      </c>
      <c r="DX141">
        <v>3.0000000000000001E-3</v>
      </c>
      <c r="DY141">
        <v>6.0000000000000001E-3</v>
      </c>
      <c r="DZ141">
        <v>0.01</v>
      </c>
      <c r="EA141">
        <v>1E-3</v>
      </c>
      <c r="EB141">
        <v>2E-3</v>
      </c>
      <c r="EC141">
        <v>4.0000000000000001E-3</v>
      </c>
      <c r="ED141">
        <v>2E-3</v>
      </c>
      <c r="EE141">
        <v>8.0000000000000002E-3</v>
      </c>
      <c r="EF141">
        <v>4.0000000000000001E-3</v>
      </c>
      <c r="EG141">
        <v>3.0000000000000001E-3</v>
      </c>
      <c r="EH141">
        <v>5.0000000000000001E-3</v>
      </c>
      <c r="EI141">
        <v>2E-3</v>
      </c>
      <c r="EJ141">
        <v>2E-3</v>
      </c>
      <c r="EK141">
        <v>1E-3</v>
      </c>
      <c r="EL141">
        <v>1E-3</v>
      </c>
      <c r="EM141">
        <v>3.0000000000000001E-3</v>
      </c>
      <c r="EN141">
        <v>2E-3</v>
      </c>
      <c r="EO141">
        <v>3.0000000000000001E-3</v>
      </c>
      <c r="EP141">
        <v>5.0000000000000001E-3</v>
      </c>
      <c r="EQ141">
        <v>4.0000000000000001E-3</v>
      </c>
      <c r="ER141">
        <v>5.0000000000000001E-3</v>
      </c>
      <c r="ES141">
        <v>3.0000000000000001E-3</v>
      </c>
      <c r="ET141"/>
      <c r="EU141">
        <v>2E-3</v>
      </c>
      <c r="EV141">
        <v>4.0000000000000001E-3</v>
      </c>
      <c r="EW141">
        <v>2E-3</v>
      </c>
      <c r="EX141">
        <v>3.0000000000000001E-3</v>
      </c>
      <c r="EY141">
        <v>1.2999999999999999E-2</v>
      </c>
      <c r="EZ141">
        <v>1E-3</v>
      </c>
      <c r="FA141">
        <v>2E-3</v>
      </c>
      <c r="FB141">
        <v>1E-3</v>
      </c>
      <c r="FC141">
        <v>5.0000000000000001E-3</v>
      </c>
      <c r="FD141">
        <v>8.9999999999999993E-3</v>
      </c>
      <c r="FE141">
        <v>8.9999999999999993E-3</v>
      </c>
      <c r="FF141">
        <v>0.01</v>
      </c>
      <c r="FG141">
        <v>1E-3</v>
      </c>
      <c r="FH141">
        <v>2E-3</v>
      </c>
      <c r="FI141"/>
      <c r="FJ141">
        <v>6.0000000000000001E-3</v>
      </c>
      <c r="FK141">
        <v>4.0000000000000001E-3</v>
      </c>
      <c r="FL141">
        <v>1.0999999999999999E-2</v>
      </c>
      <c r="FM141">
        <v>1E-3</v>
      </c>
      <c r="FN141">
        <v>1E-3</v>
      </c>
      <c r="FO141">
        <v>5.0000000000000001E-3</v>
      </c>
      <c r="FP141">
        <v>4.0000000000000001E-3</v>
      </c>
      <c r="FQ141">
        <v>2E-3</v>
      </c>
      <c r="FR141">
        <v>3.0000000000000001E-3</v>
      </c>
      <c r="FS141">
        <v>3.0000000000000001E-3</v>
      </c>
      <c r="FT141">
        <v>8.9999999999999993E-3</v>
      </c>
      <c r="FU141">
        <v>3.0000000000000001E-3</v>
      </c>
      <c r="FV141">
        <v>4.0000000000000001E-3</v>
      </c>
      <c r="FW141">
        <v>2E-3</v>
      </c>
      <c r="FX141">
        <v>2E-3</v>
      </c>
      <c r="FY141">
        <v>4.0000000000000001E-3</v>
      </c>
      <c r="FZ141">
        <v>8.0000000000000002E-3</v>
      </c>
      <c r="GA141">
        <v>3.0000000000000001E-3</v>
      </c>
      <c r="GB141">
        <v>1E-3</v>
      </c>
      <c r="GC141">
        <v>2E-3</v>
      </c>
      <c r="GD141">
        <v>8.0000000000000002E-3</v>
      </c>
      <c r="GE141">
        <v>2E-3</v>
      </c>
      <c r="GF141">
        <v>3.0000000000000001E-3</v>
      </c>
      <c r="GG141">
        <v>4.0000000000000001E-3</v>
      </c>
      <c r="GH141">
        <v>3.0000000000000001E-3</v>
      </c>
      <c r="GI141">
        <v>3.0000000000000001E-3</v>
      </c>
      <c r="GJ141">
        <v>2E-3</v>
      </c>
      <c r="GK141">
        <v>6.0000000000000001E-3</v>
      </c>
      <c r="GL141">
        <v>8.0000000000000002E-3</v>
      </c>
      <c r="GM141">
        <v>1.2999999999999999E-2</v>
      </c>
    </row>
    <row r="142" spans="5:195" ht="14.4" x14ac:dyDescent="0.3">
      <c r="H142" t="s">
        <v>889</v>
      </c>
      <c r="I142">
        <v>0.01</v>
      </c>
      <c r="J142">
        <v>2E-3</v>
      </c>
      <c r="K142">
        <v>4.0000000000000001E-3</v>
      </c>
      <c r="L142">
        <v>1.2E-2</v>
      </c>
      <c r="M142">
        <v>5.0000000000000001E-3</v>
      </c>
      <c r="N142">
        <v>4.0000000000000001E-3</v>
      </c>
      <c r="O142">
        <v>4.0000000000000001E-3</v>
      </c>
      <c r="P142">
        <v>2E-3</v>
      </c>
      <c r="Q142">
        <v>2E-3</v>
      </c>
      <c r="R142">
        <v>4.0000000000000001E-3</v>
      </c>
      <c r="S142">
        <v>5.0000000000000001E-3</v>
      </c>
      <c r="T142">
        <v>2E-3</v>
      </c>
      <c r="U142">
        <v>4.0000000000000001E-3</v>
      </c>
      <c r="V142">
        <v>3.0000000000000001E-3</v>
      </c>
      <c r="W142">
        <v>4.0000000000000001E-3</v>
      </c>
      <c r="X142">
        <v>3.0000000000000001E-3</v>
      </c>
      <c r="Y142">
        <v>6.0000000000000001E-3</v>
      </c>
      <c r="Z142">
        <v>8.9999999999999993E-3</v>
      </c>
      <c r="AA142">
        <v>0.01</v>
      </c>
      <c r="AB142">
        <v>7.0000000000000001E-3</v>
      </c>
      <c r="AC142">
        <v>3.0000000000000001E-3</v>
      </c>
      <c r="AD142">
        <v>8.9999999999999993E-3</v>
      </c>
      <c r="AE142">
        <v>4.0000000000000001E-3</v>
      </c>
      <c r="AF142">
        <v>3.0000000000000001E-3</v>
      </c>
      <c r="AG142">
        <v>4.0000000000000001E-3</v>
      </c>
      <c r="AH142">
        <v>0.01</v>
      </c>
      <c r="AI142">
        <v>0.01</v>
      </c>
      <c r="AJ142">
        <v>5.0000000000000001E-3</v>
      </c>
      <c r="AK142">
        <v>6.0000000000000001E-3</v>
      </c>
      <c r="AL142">
        <v>1.4E-2</v>
      </c>
      <c r="AM142">
        <v>2E-3</v>
      </c>
      <c r="AN142">
        <v>1.4999999999999999E-2</v>
      </c>
      <c r="AO142">
        <v>1.2999999999999999E-2</v>
      </c>
      <c r="AP142">
        <v>3.0000000000000001E-3</v>
      </c>
      <c r="AQ142">
        <v>3.0000000000000001E-3</v>
      </c>
      <c r="AR142">
        <v>4.0000000000000001E-3</v>
      </c>
      <c r="AS142"/>
      <c r="AT142">
        <v>0.01</v>
      </c>
      <c r="AU142">
        <v>3.0000000000000001E-3</v>
      </c>
      <c r="AV142">
        <v>1.4999999999999999E-2</v>
      </c>
      <c r="AW142">
        <v>3.0000000000000001E-3</v>
      </c>
      <c r="AX142">
        <v>3.0000000000000001E-3</v>
      </c>
      <c r="AY142"/>
      <c r="AZ142">
        <v>2E-3</v>
      </c>
      <c r="BA142">
        <v>3.0000000000000001E-3</v>
      </c>
      <c r="BB142">
        <v>4.0000000000000001E-3</v>
      </c>
      <c r="BC142">
        <v>8.9999999999999993E-3</v>
      </c>
      <c r="BD142">
        <v>3.0000000000000001E-3</v>
      </c>
      <c r="BE142">
        <v>8.0000000000000002E-3</v>
      </c>
      <c r="BF142">
        <v>4.0000000000000001E-3</v>
      </c>
      <c r="BG142">
        <v>4.0000000000000001E-3</v>
      </c>
      <c r="BH142">
        <v>6.0000000000000001E-3</v>
      </c>
      <c r="BI142">
        <v>5.0000000000000001E-3</v>
      </c>
      <c r="BJ142">
        <v>1.0999999999999999E-2</v>
      </c>
      <c r="BK142">
        <v>0.01</v>
      </c>
      <c r="BL142">
        <v>3.0000000000000001E-3</v>
      </c>
      <c r="BM142">
        <v>8.0000000000000002E-3</v>
      </c>
      <c r="BN142">
        <v>7.0000000000000001E-3</v>
      </c>
      <c r="BO142">
        <v>2E-3</v>
      </c>
      <c r="BP142">
        <v>3.0000000000000001E-3</v>
      </c>
      <c r="BQ142">
        <v>8.9999999999999993E-3</v>
      </c>
      <c r="BR142">
        <v>8.9999999999999993E-3</v>
      </c>
      <c r="BS142">
        <v>3.0000000000000001E-3</v>
      </c>
      <c r="BT142">
        <v>2E-3</v>
      </c>
      <c r="BU142">
        <v>8.9999999999999993E-3</v>
      </c>
      <c r="BV142">
        <v>2E-3</v>
      </c>
      <c r="BW142">
        <v>4.0000000000000001E-3</v>
      </c>
      <c r="BX142">
        <v>6.0000000000000001E-3</v>
      </c>
      <c r="BY142">
        <v>1.0999999999999999E-2</v>
      </c>
      <c r="BZ142">
        <v>8.9999999999999993E-3</v>
      </c>
      <c r="CA142">
        <v>7.0000000000000001E-3</v>
      </c>
      <c r="CB142">
        <v>8.9999999999999993E-3</v>
      </c>
      <c r="CC142">
        <v>5.0000000000000001E-3</v>
      </c>
      <c r="CD142">
        <v>5.0000000000000001E-3</v>
      </c>
      <c r="CE142">
        <v>1E-3</v>
      </c>
      <c r="CF142">
        <v>6.0000000000000001E-3</v>
      </c>
      <c r="CG142">
        <v>7.0000000000000001E-3</v>
      </c>
      <c r="CH142">
        <v>3.0000000000000001E-3</v>
      </c>
      <c r="CI142">
        <v>6.0000000000000001E-3</v>
      </c>
      <c r="CJ142">
        <v>2E-3</v>
      </c>
      <c r="CK142">
        <v>2E-3</v>
      </c>
      <c r="CL142">
        <v>2E-3</v>
      </c>
      <c r="CM142">
        <v>4.0000000000000001E-3</v>
      </c>
      <c r="CN142">
        <v>2E-3</v>
      </c>
      <c r="CO142">
        <v>4.0000000000000001E-3</v>
      </c>
      <c r="CP142">
        <v>5.0000000000000001E-3</v>
      </c>
      <c r="CQ142">
        <v>8.0000000000000002E-3</v>
      </c>
      <c r="CR142">
        <v>7.0000000000000001E-3</v>
      </c>
      <c r="CS142">
        <v>3.0000000000000001E-3</v>
      </c>
      <c r="CT142">
        <v>5.0000000000000001E-3</v>
      </c>
      <c r="CU142">
        <v>8.0000000000000002E-3</v>
      </c>
      <c r="CV142">
        <v>4.0000000000000001E-3</v>
      </c>
      <c r="CW142">
        <v>4.0000000000000001E-3</v>
      </c>
      <c r="CX142">
        <v>1.9E-2</v>
      </c>
      <c r="CY142">
        <v>8.9999999999999993E-3</v>
      </c>
      <c r="CZ142">
        <v>5.0000000000000001E-3</v>
      </c>
      <c r="DA142">
        <v>4.0000000000000001E-3</v>
      </c>
      <c r="DB142">
        <v>3.0000000000000001E-3</v>
      </c>
      <c r="DC142">
        <v>8.0000000000000002E-3</v>
      </c>
      <c r="DD142">
        <v>1.4999999999999999E-2</v>
      </c>
      <c r="DE142">
        <v>4.0000000000000001E-3</v>
      </c>
      <c r="DF142">
        <v>2E-3</v>
      </c>
      <c r="DG142">
        <v>1.0999999999999999E-2</v>
      </c>
      <c r="DH142">
        <v>2E-3</v>
      </c>
      <c r="DI142"/>
      <c r="DJ142">
        <v>7.0000000000000001E-3</v>
      </c>
      <c r="DK142">
        <v>5.0000000000000001E-3</v>
      </c>
      <c r="DL142">
        <v>4.0000000000000001E-3</v>
      </c>
      <c r="DM142"/>
      <c r="DN142">
        <v>7.0000000000000001E-3</v>
      </c>
      <c r="DO142">
        <v>4.0000000000000001E-3</v>
      </c>
      <c r="DP142">
        <v>4.0000000000000001E-3</v>
      </c>
      <c r="DQ142">
        <v>1.2E-2</v>
      </c>
      <c r="DR142">
        <v>8.0000000000000002E-3</v>
      </c>
      <c r="DS142">
        <v>8.0000000000000002E-3</v>
      </c>
      <c r="DT142">
        <v>7.0000000000000001E-3</v>
      </c>
      <c r="DU142">
        <v>2E-3</v>
      </c>
      <c r="DV142"/>
      <c r="DW142">
        <v>2E-3</v>
      </c>
      <c r="DX142">
        <v>5.0000000000000001E-3</v>
      </c>
      <c r="DY142">
        <v>8.0000000000000002E-3</v>
      </c>
      <c r="DZ142">
        <v>1.2E-2</v>
      </c>
      <c r="EA142">
        <v>2E-3</v>
      </c>
      <c r="EB142">
        <v>3.0000000000000001E-3</v>
      </c>
      <c r="EC142">
        <v>6.0000000000000001E-3</v>
      </c>
      <c r="ED142">
        <v>4.0000000000000001E-3</v>
      </c>
      <c r="EE142">
        <v>1.0999999999999999E-2</v>
      </c>
      <c r="EF142">
        <v>6.0000000000000001E-3</v>
      </c>
      <c r="EG142">
        <v>4.0000000000000001E-3</v>
      </c>
      <c r="EH142">
        <v>7.0000000000000001E-3</v>
      </c>
      <c r="EI142">
        <v>3.0000000000000001E-3</v>
      </c>
      <c r="EJ142">
        <v>2E-3</v>
      </c>
      <c r="EK142">
        <v>2E-3</v>
      </c>
      <c r="EL142">
        <v>2E-3</v>
      </c>
      <c r="EM142">
        <v>4.0000000000000001E-3</v>
      </c>
      <c r="EN142">
        <v>4.0000000000000001E-3</v>
      </c>
      <c r="EO142">
        <v>5.0000000000000001E-3</v>
      </c>
      <c r="EP142">
        <v>6.0000000000000001E-3</v>
      </c>
      <c r="EQ142">
        <v>5.0000000000000001E-3</v>
      </c>
      <c r="ER142">
        <v>6.0000000000000001E-3</v>
      </c>
      <c r="ES142">
        <v>4.0000000000000001E-3</v>
      </c>
      <c r="ET142"/>
      <c r="EU142">
        <v>4.0000000000000001E-3</v>
      </c>
      <c r="EV142">
        <v>6.0000000000000001E-3</v>
      </c>
      <c r="EW142">
        <v>5.0000000000000001E-3</v>
      </c>
      <c r="EX142">
        <v>4.0000000000000001E-3</v>
      </c>
      <c r="EY142">
        <v>1.7999999999999999E-2</v>
      </c>
      <c r="EZ142">
        <v>2E-3</v>
      </c>
      <c r="FA142">
        <v>3.0000000000000001E-3</v>
      </c>
      <c r="FB142">
        <v>2E-3</v>
      </c>
      <c r="FC142">
        <v>7.0000000000000001E-3</v>
      </c>
      <c r="FD142">
        <v>1.0999999999999999E-2</v>
      </c>
      <c r="FE142">
        <v>1.0999999999999999E-2</v>
      </c>
      <c r="FF142">
        <v>1.2E-2</v>
      </c>
      <c r="FG142">
        <v>2E-3</v>
      </c>
      <c r="FH142">
        <v>3.0000000000000001E-3</v>
      </c>
      <c r="FI142"/>
      <c r="FJ142">
        <v>8.0000000000000002E-3</v>
      </c>
      <c r="FK142">
        <v>5.0000000000000001E-3</v>
      </c>
      <c r="FL142">
        <v>1.2E-2</v>
      </c>
      <c r="FM142">
        <v>2E-3</v>
      </c>
      <c r="FN142">
        <v>2E-3</v>
      </c>
      <c r="FO142">
        <v>7.0000000000000001E-3</v>
      </c>
      <c r="FP142">
        <v>5.0000000000000001E-3</v>
      </c>
      <c r="FQ142">
        <v>4.0000000000000001E-3</v>
      </c>
      <c r="FR142">
        <v>5.0000000000000001E-3</v>
      </c>
      <c r="FS142">
        <v>5.0000000000000001E-3</v>
      </c>
      <c r="FT142">
        <v>0.01</v>
      </c>
      <c r="FU142">
        <v>5.0000000000000001E-3</v>
      </c>
      <c r="FV142">
        <v>6.0000000000000001E-3</v>
      </c>
      <c r="FW142">
        <v>3.0000000000000001E-3</v>
      </c>
      <c r="FX142">
        <v>3.0000000000000001E-3</v>
      </c>
      <c r="FY142">
        <v>6.0000000000000001E-3</v>
      </c>
      <c r="FZ142">
        <v>0.01</v>
      </c>
      <c r="GA142">
        <v>5.0000000000000001E-3</v>
      </c>
      <c r="GB142">
        <v>3.0000000000000001E-3</v>
      </c>
      <c r="GC142">
        <v>3.0000000000000001E-3</v>
      </c>
      <c r="GD142">
        <v>0.01</v>
      </c>
      <c r="GE142">
        <v>4.0000000000000001E-3</v>
      </c>
      <c r="GF142">
        <v>4.0000000000000001E-3</v>
      </c>
      <c r="GG142">
        <v>6.0000000000000001E-3</v>
      </c>
      <c r="GH142">
        <v>5.0000000000000001E-3</v>
      </c>
      <c r="GI142">
        <v>4.0000000000000001E-3</v>
      </c>
      <c r="GJ142">
        <v>3.0000000000000001E-3</v>
      </c>
      <c r="GK142">
        <v>8.9999999999999993E-3</v>
      </c>
      <c r="GL142">
        <v>0.01</v>
      </c>
      <c r="GM142">
        <v>1.4E-2</v>
      </c>
    </row>
    <row r="143" spans="5:195" ht="14.4" x14ac:dyDescent="0.3">
      <c r="H143" t="s">
        <v>890</v>
      </c>
      <c r="I143">
        <v>1.4E-2</v>
      </c>
      <c r="J143">
        <v>3.0000000000000001E-3</v>
      </c>
      <c r="K143">
        <v>5.0000000000000001E-3</v>
      </c>
      <c r="L143">
        <v>1.4999999999999999E-2</v>
      </c>
      <c r="M143">
        <v>7.0000000000000001E-3</v>
      </c>
      <c r="N143">
        <v>6.0000000000000001E-3</v>
      </c>
      <c r="O143">
        <v>6.0000000000000001E-3</v>
      </c>
      <c r="P143">
        <v>3.0000000000000001E-3</v>
      </c>
      <c r="Q143">
        <v>4.0000000000000001E-3</v>
      </c>
      <c r="R143">
        <v>6.0000000000000001E-3</v>
      </c>
      <c r="S143">
        <v>6.0000000000000001E-3</v>
      </c>
      <c r="T143">
        <v>6.0000000000000001E-3</v>
      </c>
      <c r="U143">
        <v>8.9999999999999993E-3</v>
      </c>
      <c r="V143">
        <v>5.0000000000000001E-3</v>
      </c>
      <c r="W143">
        <v>7.0000000000000001E-3</v>
      </c>
      <c r="X143">
        <v>4.0000000000000001E-3</v>
      </c>
      <c r="Y143">
        <v>8.9999999999999993E-3</v>
      </c>
      <c r="Z143">
        <v>1.2E-2</v>
      </c>
      <c r="AA143">
        <v>1.4E-2</v>
      </c>
      <c r="AB143">
        <v>8.9999999999999993E-3</v>
      </c>
      <c r="AC143">
        <v>5.0000000000000001E-3</v>
      </c>
      <c r="AD143">
        <v>1.0999999999999999E-2</v>
      </c>
      <c r="AE143">
        <v>6.0000000000000001E-3</v>
      </c>
      <c r="AF143">
        <v>5.0000000000000001E-3</v>
      </c>
      <c r="AG143">
        <v>6.0000000000000001E-3</v>
      </c>
      <c r="AH143">
        <v>1.4E-2</v>
      </c>
      <c r="AI143">
        <v>1.2999999999999999E-2</v>
      </c>
      <c r="AJ143">
        <v>7.0000000000000001E-3</v>
      </c>
      <c r="AK143">
        <v>8.9999999999999993E-3</v>
      </c>
      <c r="AL143">
        <v>1.6E-2</v>
      </c>
      <c r="AM143">
        <v>4.0000000000000001E-3</v>
      </c>
      <c r="AN143">
        <v>1.6E-2</v>
      </c>
      <c r="AO143">
        <v>1.6E-2</v>
      </c>
      <c r="AP143">
        <v>4.0000000000000001E-3</v>
      </c>
      <c r="AQ143">
        <v>5.0000000000000001E-3</v>
      </c>
      <c r="AR143">
        <v>6.0000000000000001E-3</v>
      </c>
      <c r="AS143"/>
      <c r="AT143">
        <v>1.2E-2</v>
      </c>
      <c r="AU143">
        <v>5.0000000000000001E-3</v>
      </c>
      <c r="AV143">
        <v>0.02</v>
      </c>
      <c r="AW143">
        <v>5.0000000000000001E-3</v>
      </c>
      <c r="AX143">
        <v>5.0000000000000001E-3</v>
      </c>
      <c r="AY143"/>
      <c r="AZ143">
        <v>3.0000000000000001E-3</v>
      </c>
      <c r="BA143">
        <v>5.0000000000000001E-3</v>
      </c>
      <c r="BB143">
        <v>8.0000000000000002E-3</v>
      </c>
      <c r="BC143">
        <v>1.2999999999999999E-2</v>
      </c>
      <c r="BD143">
        <v>5.0000000000000001E-3</v>
      </c>
      <c r="BE143">
        <v>1.0999999999999999E-2</v>
      </c>
      <c r="BF143">
        <v>8.0000000000000002E-3</v>
      </c>
      <c r="BG143">
        <v>5.0000000000000001E-3</v>
      </c>
      <c r="BH143">
        <v>1.0999999999999999E-2</v>
      </c>
      <c r="BI143">
        <v>7.0000000000000001E-3</v>
      </c>
      <c r="BJ143">
        <v>1.4E-2</v>
      </c>
      <c r="BK143">
        <v>1.4999999999999999E-2</v>
      </c>
      <c r="BL143">
        <v>4.0000000000000001E-3</v>
      </c>
      <c r="BM143">
        <v>1.0999999999999999E-2</v>
      </c>
      <c r="BN143">
        <v>0.01</v>
      </c>
      <c r="BO143">
        <v>4.0000000000000001E-3</v>
      </c>
      <c r="BP143">
        <v>4.0000000000000001E-3</v>
      </c>
      <c r="BQ143">
        <v>0.01</v>
      </c>
      <c r="BR143">
        <v>1.2999999999999999E-2</v>
      </c>
      <c r="BS143">
        <v>6.0000000000000001E-3</v>
      </c>
      <c r="BT143">
        <v>4.0000000000000001E-3</v>
      </c>
      <c r="BU143">
        <v>1.2E-2</v>
      </c>
      <c r="BV143">
        <v>3.0000000000000001E-3</v>
      </c>
      <c r="BW143">
        <v>7.0000000000000001E-3</v>
      </c>
      <c r="BX143">
        <v>8.9999999999999993E-3</v>
      </c>
      <c r="BY143">
        <v>1.4E-2</v>
      </c>
      <c r="BZ143">
        <v>1.4E-2</v>
      </c>
      <c r="CA143">
        <v>1.2E-2</v>
      </c>
      <c r="CB143">
        <v>1.0999999999999999E-2</v>
      </c>
      <c r="CC143">
        <v>7.0000000000000001E-3</v>
      </c>
      <c r="CD143">
        <v>8.0000000000000002E-3</v>
      </c>
      <c r="CE143">
        <v>3.0000000000000001E-3</v>
      </c>
      <c r="CF143">
        <v>0.01</v>
      </c>
      <c r="CG143">
        <v>0.01</v>
      </c>
      <c r="CH143">
        <v>5.0000000000000001E-3</v>
      </c>
      <c r="CI143">
        <v>8.0000000000000002E-3</v>
      </c>
      <c r="CJ143">
        <v>4.0000000000000001E-3</v>
      </c>
      <c r="CK143">
        <v>3.0000000000000001E-3</v>
      </c>
      <c r="CL143">
        <v>3.0000000000000001E-3</v>
      </c>
      <c r="CM143">
        <v>5.0000000000000001E-3</v>
      </c>
      <c r="CN143">
        <v>3.0000000000000001E-3</v>
      </c>
      <c r="CO143">
        <v>7.0000000000000001E-3</v>
      </c>
      <c r="CP143">
        <v>8.0000000000000002E-3</v>
      </c>
      <c r="CQ143">
        <v>1.0999999999999999E-2</v>
      </c>
      <c r="CR143">
        <v>1.0999999999999999E-2</v>
      </c>
      <c r="CS143">
        <v>5.0000000000000001E-3</v>
      </c>
      <c r="CT143">
        <v>7.0000000000000001E-3</v>
      </c>
      <c r="CU143">
        <v>1.0999999999999999E-2</v>
      </c>
      <c r="CV143">
        <v>6.0000000000000001E-3</v>
      </c>
      <c r="CW143">
        <v>6.0000000000000001E-3</v>
      </c>
      <c r="CX143">
        <v>0.02</v>
      </c>
      <c r="CY143">
        <v>1.2E-2</v>
      </c>
      <c r="CZ143">
        <v>7.0000000000000001E-3</v>
      </c>
      <c r="DA143">
        <v>6.0000000000000001E-3</v>
      </c>
      <c r="DB143">
        <v>3.0000000000000001E-3</v>
      </c>
      <c r="DC143">
        <v>1.0999999999999999E-2</v>
      </c>
      <c r="DD143">
        <v>1.4999999999999999E-2</v>
      </c>
      <c r="DE143">
        <v>6.0000000000000001E-3</v>
      </c>
      <c r="DF143">
        <v>3.0000000000000001E-3</v>
      </c>
      <c r="DG143">
        <v>1.4E-2</v>
      </c>
      <c r="DH143">
        <v>3.0000000000000001E-3</v>
      </c>
      <c r="DI143"/>
      <c r="DJ143">
        <v>0.01</v>
      </c>
      <c r="DK143">
        <v>7.0000000000000001E-3</v>
      </c>
      <c r="DL143">
        <v>6.0000000000000001E-3</v>
      </c>
      <c r="DM143"/>
      <c r="DN143">
        <v>0.01</v>
      </c>
      <c r="DO143">
        <v>6.0000000000000001E-3</v>
      </c>
      <c r="DP143">
        <v>7.0000000000000001E-3</v>
      </c>
      <c r="DQ143">
        <v>1.4E-2</v>
      </c>
      <c r="DR143">
        <v>1.0999999999999999E-2</v>
      </c>
      <c r="DS143">
        <v>1.0999999999999999E-2</v>
      </c>
      <c r="DT143">
        <v>0.01</v>
      </c>
      <c r="DU143">
        <v>4.0000000000000001E-3</v>
      </c>
      <c r="DV143"/>
      <c r="DW143">
        <v>4.0000000000000001E-3</v>
      </c>
      <c r="DX143">
        <v>7.0000000000000001E-3</v>
      </c>
      <c r="DY143">
        <v>1.0999999999999999E-2</v>
      </c>
      <c r="DZ143">
        <v>1.7000000000000001E-2</v>
      </c>
      <c r="EA143">
        <v>4.0000000000000001E-3</v>
      </c>
      <c r="EB143">
        <v>6.0000000000000001E-3</v>
      </c>
      <c r="EC143">
        <v>0.01</v>
      </c>
      <c r="ED143">
        <v>5.0000000000000001E-3</v>
      </c>
      <c r="EE143">
        <v>1.7000000000000001E-2</v>
      </c>
      <c r="EF143">
        <v>8.0000000000000002E-3</v>
      </c>
      <c r="EG143">
        <v>6.0000000000000001E-3</v>
      </c>
      <c r="EH143">
        <v>0.01</v>
      </c>
      <c r="EI143">
        <v>6.0000000000000001E-3</v>
      </c>
      <c r="EJ143">
        <v>3.0000000000000001E-3</v>
      </c>
      <c r="EK143">
        <v>5.0000000000000001E-3</v>
      </c>
      <c r="EL143">
        <v>2E-3</v>
      </c>
      <c r="EM143">
        <v>7.0000000000000001E-3</v>
      </c>
      <c r="EN143">
        <v>6.0000000000000001E-3</v>
      </c>
      <c r="EO143">
        <v>8.0000000000000002E-3</v>
      </c>
      <c r="EP143">
        <v>8.9999999999999993E-3</v>
      </c>
      <c r="EQ143">
        <v>7.0000000000000001E-3</v>
      </c>
      <c r="ER143">
        <v>8.0000000000000002E-3</v>
      </c>
      <c r="ES143">
        <v>7.0000000000000001E-3</v>
      </c>
      <c r="ET143"/>
      <c r="EU143">
        <v>6.0000000000000001E-3</v>
      </c>
      <c r="EV143">
        <v>8.9999999999999993E-3</v>
      </c>
      <c r="EW143">
        <v>7.0000000000000001E-3</v>
      </c>
      <c r="EX143">
        <v>6.0000000000000001E-3</v>
      </c>
      <c r="EY143">
        <v>2.4E-2</v>
      </c>
      <c r="EZ143">
        <v>3.0000000000000001E-3</v>
      </c>
      <c r="FA143">
        <v>5.0000000000000001E-3</v>
      </c>
      <c r="FB143">
        <v>4.0000000000000001E-3</v>
      </c>
      <c r="FC143">
        <v>1.0999999999999999E-2</v>
      </c>
      <c r="FD143">
        <v>1.4999999999999999E-2</v>
      </c>
      <c r="FE143">
        <v>1.4E-2</v>
      </c>
      <c r="FF143">
        <v>1.4999999999999999E-2</v>
      </c>
      <c r="FG143">
        <v>3.0000000000000001E-3</v>
      </c>
      <c r="FH143">
        <v>5.0000000000000001E-3</v>
      </c>
      <c r="FI143"/>
      <c r="FJ143">
        <v>1.0999999999999999E-2</v>
      </c>
      <c r="FK143">
        <v>8.0000000000000002E-3</v>
      </c>
      <c r="FL143">
        <v>1.4999999999999999E-2</v>
      </c>
      <c r="FM143">
        <v>3.0000000000000001E-3</v>
      </c>
      <c r="FN143">
        <v>3.0000000000000001E-3</v>
      </c>
      <c r="FO143">
        <v>8.9999999999999993E-3</v>
      </c>
      <c r="FP143">
        <v>8.0000000000000002E-3</v>
      </c>
      <c r="FQ143">
        <v>6.0000000000000001E-3</v>
      </c>
      <c r="FR143">
        <v>7.0000000000000001E-3</v>
      </c>
      <c r="FS143">
        <v>0.01</v>
      </c>
      <c r="FT143">
        <v>1.4E-2</v>
      </c>
      <c r="FU143">
        <v>8.0000000000000002E-3</v>
      </c>
      <c r="FV143">
        <v>8.9999999999999993E-3</v>
      </c>
      <c r="FW143">
        <v>5.0000000000000001E-3</v>
      </c>
      <c r="FX143">
        <v>4.0000000000000001E-3</v>
      </c>
      <c r="FY143">
        <v>0.01</v>
      </c>
      <c r="FZ143">
        <v>1.2999999999999999E-2</v>
      </c>
      <c r="GA143">
        <v>6.0000000000000001E-3</v>
      </c>
      <c r="GB143">
        <v>5.0000000000000001E-3</v>
      </c>
      <c r="GC143">
        <v>4.0000000000000001E-3</v>
      </c>
      <c r="GD143">
        <v>1.2E-2</v>
      </c>
      <c r="GE143">
        <v>5.0000000000000001E-3</v>
      </c>
      <c r="GF143">
        <v>6.0000000000000001E-3</v>
      </c>
      <c r="GG143">
        <v>0.01</v>
      </c>
      <c r="GH143">
        <v>8.0000000000000002E-3</v>
      </c>
      <c r="GI143">
        <v>8.0000000000000002E-3</v>
      </c>
      <c r="GJ143">
        <v>5.0000000000000001E-3</v>
      </c>
      <c r="GK143">
        <v>1.2999999999999999E-2</v>
      </c>
      <c r="GL143">
        <v>1.2E-2</v>
      </c>
      <c r="GM143">
        <v>1.4E-2</v>
      </c>
    </row>
    <row r="144" spans="5:195" ht="14.4" x14ac:dyDescent="0.3">
      <c r="H144" t="s">
        <v>891</v>
      </c>
      <c r="I144">
        <v>2.1999999999999999E-2</v>
      </c>
      <c r="J144">
        <v>5.0000000000000001E-3</v>
      </c>
      <c r="K144">
        <v>8.0000000000000002E-3</v>
      </c>
      <c r="L144">
        <v>2.1999999999999999E-2</v>
      </c>
      <c r="M144">
        <v>8.9999999999999993E-3</v>
      </c>
      <c r="N144">
        <v>8.9999999999999993E-3</v>
      </c>
      <c r="O144">
        <v>1.0999999999999999E-2</v>
      </c>
      <c r="P144">
        <v>4.0000000000000001E-3</v>
      </c>
      <c r="Q144">
        <v>6.0000000000000001E-3</v>
      </c>
      <c r="R144">
        <v>1.2E-2</v>
      </c>
      <c r="S144">
        <v>8.0000000000000002E-3</v>
      </c>
      <c r="T144">
        <v>0.01</v>
      </c>
      <c r="U144">
        <v>1.9E-2</v>
      </c>
      <c r="V144">
        <v>8.9999999999999993E-3</v>
      </c>
      <c r="W144">
        <v>1.0999999999999999E-2</v>
      </c>
      <c r="X144">
        <v>6.0000000000000001E-3</v>
      </c>
      <c r="Y144">
        <v>1.4999999999999999E-2</v>
      </c>
      <c r="Z144">
        <v>0.02</v>
      </c>
      <c r="AA144">
        <v>1.9E-2</v>
      </c>
      <c r="AB144">
        <v>1.4E-2</v>
      </c>
      <c r="AC144">
        <v>7.0000000000000001E-3</v>
      </c>
      <c r="AD144">
        <v>1.4999999999999999E-2</v>
      </c>
      <c r="AE144">
        <v>0.01</v>
      </c>
      <c r="AF144">
        <v>7.0000000000000001E-3</v>
      </c>
      <c r="AG144">
        <v>8.9999999999999993E-3</v>
      </c>
      <c r="AH144">
        <v>2.1999999999999999E-2</v>
      </c>
      <c r="AI144">
        <v>0.02</v>
      </c>
      <c r="AJ144">
        <v>1.0999999999999999E-2</v>
      </c>
      <c r="AK144">
        <v>1.7000000000000001E-2</v>
      </c>
      <c r="AL144">
        <v>2.1999999999999999E-2</v>
      </c>
      <c r="AM144">
        <v>5.0000000000000001E-3</v>
      </c>
      <c r="AN144">
        <v>2.1000000000000001E-2</v>
      </c>
      <c r="AO144">
        <v>2.3E-2</v>
      </c>
      <c r="AP144">
        <v>6.0000000000000001E-3</v>
      </c>
      <c r="AQ144">
        <v>0.01</v>
      </c>
      <c r="AR144">
        <v>8.9999999999999993E-3</v>
      </c>
      <c r="AS144"/>
      <c r="AT144">
        <v>1.7000000000000001E-2</v>
      </c>
      <c r="AU144">
        <v>6.0000000000000001E-3</v>
      </c>
      <c r="AV144">
        <v>2.9000000000000001E-2</v>
      </c>
      <c r="AW144">
        <v>6.0000000000000001E-3</v>
      </c>
      <c r="AX144">
        <v>8.9999999999999993E-3</v>
      </c>
      <c r="AY144"/>
      <c r="AZ144">
        <v>5.0000000000000001E-3</v>
      </c>
      <c r="BA144">
        <v>7.0000000000000001E-3</v>
      </c>
      <c r="BB144">
        <v>1.4999999999999999E-2</v>
      </c>
      <c r="BC144">
        <v>0.02</v>
      </c>
      <c r="BD144">
        <v>7.0000000000000001E-3</v>
      </c>
      <c r="BE144">
        <v>1.7000000000000001E-2</v>
      </c>
      <c r="BF144">
        <v>1.2E-2</v>
      </c>
      <c r="BG144">
        <v>8.0000000000000002E-3</v>
      </c>
      <c r="BH144">
        <v>1.7000000000000001E-2</v>
      </c>
      <c r="BI144">
        <v>0.01</v>
      </c>
      <c r="BJ144">
        <v>0.02</v>
      </c>
      <c r="BK144">
        <v>2.3E-2</v>
      </c>
      <c r="BL144">
        <v>7.0000000000000001E-3</v>
      </c>
      <c r="BM144">
        <v>1.6E-2</v>
      </c>
      <c r="BN144">
        <v>1.6E-2</v>
      </c>
      <c r="BO144">
        <v>5.0000000000000001E-3</v>
      </c>
      <c r="BP144">
        <v>5.0000000000000001E-3</v>
      </c>
      <c r="BQ144">
        <v>1.4E-2</v>
      </c>
      <c r="BR144">
        <v>2.1000000000000001E-2</v>
      </c>
      <c r="BS144">
        <v>0.01</v>
      </c>
      <c r="BT144">
        <v>6.0000000000000001E-3</v>
      </c>
      <c r="BU144">
        <v>0.02</v>
      </c>
      <c r="BV144">
        <v>5.0000000000000001E-3</v>
      </c>
      <c r="BW144">
        <v>1.2E-2</v>
      </c>
      <c r="BX144">
        <v>1.2999999999999999E-2</v>
      </c>
      <c r="BY144">
        <v>2.1000000000000001E-2</v>
      </c>
      <c r="BZ144">
        <v>2.3E-2</v>
      </c>
      <c r="CA144">
        <v>2.1000000000000001E-2</v>
      </c>
      <c r="CB144">
        <v>1.7000000000000001E-2</v>
      </c>
      <c r="CC144">
        <v>8.9999999999999993E-3</v>
      </c>
      <c r="CD144">
        <v>1.0999999999999999E-2</v>
      </c>
      <c r="CE144">
        <v>6.0000000000000001E-3</v>
      </c>
      <c r="CF144">
        <v>1.7000000000000001E-2</v>
      </c>
      <c r="CG144">
        <v>1.7000000000000001E-2</v>
      </c>
      <c r="CH144">
        <v>8.9999999999999993E-3</v>
      </c>
      <c r="CI144">
        <v>1.2999999999999999E-2</v>
      </c>
      <c r="CJ144">
        <v>5.0000000000000001E-3</v>
      </c>
      <c r="CK144">
        <v>5.0000000000000001E-3</v>
      </c>
      <c r="CL144">
        <v>5.0000000000000001E-3</v>
      </c>
      <c r="CM144">
        <v>8.0000000000000002E-3</v>
      </c>
      <c r="CN144">
        <v>4.0000000000000001E-3</v>
      </c>
      <c r="CO144">
        <v>1.0999999999999999E-2</v>
      </c>
      <c r="CP144">
        <v>1.2999999999999999E-2</v>
      </c>
      <c r="CQ144">
        <v>1.6E-2</v>
      </c>
      <c r="CR144">
        <v>1.7000000000000001E-2</v>
      </c>
      <c r="CS144">
        <v>1.0999999999999999E-2</v>
      </c>
      <c r="CT144">
        <v>1.2E-2</v>
      </c>
      <c r="CU144">
        <v>1.7999999999999999E-2</v>
      </c>
      <c r="CV144">
        <v>0.01</v>
      </c>
      <c r="CW144">
        <v>0.01</v>
      </c>
      <c r="CX144">
        <v>2.4E-2</v>
      </c>
      <c r="CY144">
        <v>0.02</v>
      </c>
      <c r="CZ144">
        <v>1.0999999999999999E-2</v>
      </c>
      <c r="DA144">
        <v>0.01</v>
      </c>
      <c r="DB144">
        <v>5.0000000000000001E-3</v>
      </c>
      <c r="DC144">
        <v>1.7999999999999999E-2</v>
      </c>
      <c r="DD144">
        <v>1.9E-2</v>
      </c>
      <c r="DE144">
        <v>0.01</v>
      </c>
      <c r="DF144">
        <v>6.0000000000000001E-3</v>
      </c>
      <c r="DG144">
        <v>2.1999999999999999E-2</v>
      </c>
      <c r="DH144">
        <v>5.0000000000000001E-3</v>
      </c>
      <c r="DI144"/>
      <c r="DJ144">
        <v>1.7000000000000001E-2</v>
      </c>
      <c r="DK144">
        <v>1.0999999999999999E-2</v>
      </c>
      <c r="DL144">
        <v>0.01</v>
      </c>
      <c r="DM144"/>
      <c r="DN144">
        <v>1.6E-2</v>
      </c>
      <c r="DO144">
        <v>0.01</v>
      </c>
      <c r="DP144">
        <v>1.0999999999999999E-2</v>
      </c>
      <c r="DQ144">
        <v>2.1000000000000001E-2</v>
      </c>
      <c r="DR144">
        <v>1.7999999999999999E-2</v>
      </c>
      <c r="DS144">
        <v>1.6E-2</v>
      </c>
      <c r="DT144">
        <v>1.6E-2</v>
      </c>
      <c r="DU144">
        <v>6.0000000000000001E-3</v>
      </c>
      <c r="DV144"/>
      <c r="DW144">
        <v>5.0000000000000001E-3</v>
      </c>
      <c r="DX144">
        <v>1.2E-2</v>
      </c>
      <c r="DY144">
        <v>1.7999999999999999E-2</v>
      </c>
      <c r="DZ144">
        <v>2.7E-2</v>
      </c>
      <c r="EA144">
        <v>5.0000000000000001E-3</v>
      </c>
      <c r="EB144">
        <v>0.01</v>
      </c>
      <c r="EC144">
        <v>1.7000000000000001E-2</v>
      </c>
      <c r="ED144">
        <v>7.0000000000000001E-3</v>
      </c>
      <c r="EE144">
        <v>2.5000000000000001E-2</v>
      </c>
      <c r="EF144">
        <v>1.2E-2</v>
      </c>
      <c r="EG144">
        <v>0.01</v>
      </c>
      <c r="EH144">
        <v>1.6E-2</v>
      </c>
      <c r="EI144">
        <v>8.9999999999999993E-3</v>
      </c>
      <c r="EJ144">
        <v>5.0000000000000001E-3</v>
      </c>
      <c r="EK144">
        <v>0.01</v>
      </c>
      <c r="EL144">
        <v>3.0000000000000001E-3</v>
      </c>
      <c r="EM144">
        <v>1.2999999999999999E-2</v>
      </c>
      <c r="EN144">
        <v>8.9999999999999993E-3</v>
      </c>
      <c r="EO144">
        <v>1.0999999999999999E-2</v>
      </c>
      <c r="EP144">
        <v>1.2999999999999999E-2</v>
      </c>
      <c r="EQ144">
        <v>1.0999999999999999E-2</v>
      </c>
      <c r="ER144">
        <v>1.2999999999999999E-2</v>
      </c>
      <c r="ES144">
        <v>1.0999999999999999E-2</v>
      </c>
      <c r="ET144"/>
      <c r="EU144">
        <v>1.2999999999999999E-2</v>
      </c>
      <c r="EV144">
        <v>1.6E-2</v>
      </c>
      <c r="EW144">
        <v>8.9999999999999993E-3</v>
      </c>
      <c r="EX144">
        <v>8.9999999999999993E-3</v>
      </c>
      <c r="EY144">
        <v>3.6999999999999998E-2</v>
      </c>
      <c r="EZ144">
        <v>5.0000000000000001E-3</v>
      </c>
      <c r="FA144">
        <v>8.0000000000000002E-3</v>
      </c>
      <c r="FB144">
        <v>5.0000000000000001E-3</v>
      </c>
      <c r="FC144">
        <v>1.7000000000000001E-2</v>
      </c>
      <c r="FD144">
        <v>2.1999999999999999E-2</v>
      </c>
      <c r="FE144">
        <v>1.9E-2</v>
      </c>
      <c r="FF144">
        <v>2.1000000000000001E-2</v>
      </c>
      <c r="FG144">
        <v>4.0000000000000001E-3</v>
      </c>
      <c r="FH144">
        <v>8.9999999999999993E-3</v>
      </c>
      <c r="FI144"/>
      <c r="FJ144">
        <v>1.6E-2</v>
      </c>
      <c r="FK144">
        <v>1.0999999999999999E-2</v>
      </c>
      <c r="FL144">
        <v>2.1000000000000001E-2</v>
      </c>
      <c r="FM144">
        <v>5.0000000000000001E-3</v>
      </c>
      <c r="FN144">
        <v>5.0000000000000001E-3</v>
      </c>
      <c r="FO144">
        <v>1.4E-2</v>
      </c>
      <c r="FP144">
        <v>1.2999999999999999E-2</v>
      </c>
      <c r="FQ144">
        <v>0.01</v>
      </c>
      <c r="FR144">
        <v>8.9999999999999993E-3</v>
      </c>
      <c r="FS144">
        <v>1.6E-2</v>
      </c>
      <c r="FT144">
        <v>2.1000000000000001E-2</v>
      </c>
      <c r="FU144">
        <v>1.2E-2</v>
      </c>
      <c r="FV144">
        <v>1.4E-2</v>
      </c>
      <c r="FW144">
        <v>8.9999999999999993E-3</v>
      </c>
      <c r="FX144">
        <v>7.0000000000000001E-3</v>
      </c>
      <c r="FY144">
        <v>1.7999999999999999E-2</v>
      </c>
      <c r="FZ144">
        <v>1.7999999999999999E-2</v>
      </c>
      <c r="GA144">
        <v>1.2999999999999999E-2</v>
      </c>
      <c r="GB144">
        <v>1.4E-2</v>
      </c>
      <c r="GC144">
        <v>6.0000000000000001E-3</v>
      </c>
      <c r="GD144">
        <v>1.7999999999999999E-2</v>
      </c>
      <c r="GE144">
        <v>8.0000000000000002E-3</v>
      </c>
      <c r="GF144">
        <v>8.9999999999999993E-3</v>
      </c>
      <c r="GG144">
        <v>1.4999999999999999E-2</v>
      </c>
      <c r="GH144">
        <v>1.2E-2</v>
      </c>
      <c r="GI144">
        <v>1.0999999999999999E-2</v>
      </c>
      <c r="GJ144">
        <v>8.0000000000000002E-3</v>
      </c>
      <c r="GK144">
        <v>0.02</v>
      </c>
      <c r="GL144">
        <v>1.7000000000000001E-2</v>
      </c>
      <c r="GM144">
        <v>1.7999999999999999E-2</v>
      </c>
    </row>
    <row r="145" spans="8:195" ht="14.4" x14ac:dyDescent="0.3">
      <c r="H145" t="s">
        <v>892</v>
      </c>
      <c r="I145">
        <v>3.4000000000000002E-2</v>
      </c>
      <c r="J145">
        <v>1.0999999999999999E-2</v>
      </c>
      <c r="K145">
        <v>1.4E-2</v>
      </c>
      <c r="L145">
        <v>3.4000000000000002E-2</v>
      </c>
      <c r="M145">
        <v>1.2999999999999999E-2</v>
      </c>
      <c r="N145">
        <v>1.4E-2</v>
      </c>
      <c r="O145">
        <v>1.7999999999999999E-2</v>
      </c>
      <c r="P145">
        <v>7.0000000000000001E-3</v>
      </c>
      <c r="Q145">
        <v>8.0000000000000002E-3</v>
      </c>
      <c r="R145">
        <v>1.9E-2</v>
      </c>
      <c r="S145">
        <v>1.4E-2</v>
      </c>
      <c r="T145">
        <v>0.02</v>
      </c>
      <c r="U145">
        <v>2.5000000000000001E-2</v>
      </c>
      <c r="V145">
        <v>1.6E-2</v>
      </c>
      <c r="W145">
        <v>1.6E-2</v>
      </c>
      <c r="X145">
        <v>8.9999999999999993E-3</v>
      </c>
      <c r="Y145">
        <v>2.5000000000000001E-2</v>
      </c>
      <c r="Z145">
        <v>3.4000000000000002E-2</v>
      </c>
      <c r="AA145">
        <v>2.5999999999999999E-2</v>
      </c>
      <c r="AB145">
        <v>0.02</v>
      </c>
      <c r="AC145">
        <v>1.6E-2</v>
      </c>
      <c r="AD145">
        <v>2.4E-2</v>
      </c>
      <c r="AE145">
        <v>1.4999999999999999E-2</v>
      </c>
      <c r="AF145">
        <v>1.2E-2</v>
      </c>
      <c r="AG145">
        <v>1.4E-2</v>
      </c>
      <c r="AH145">
        <v>3.5999999999999997E-2</v>
      </c>
      <c r="AI145">
        <v>3.1E-2</v>
      </c>
      <c r="AJ145">
        <v>0.02</v>
      </c>
      <c r="AK145">
        <v>2.8000000000000001E-2</v>
      </c>
      <c r="AL145">
        <v>3.3000000000000002E-2</v>
      </c>
      <c r="AM145">
        <v>8.9999999999999993E-3</v>
      </c>
      <c r="AN145">
        <v>3.2000000000000001E-2</v>
      </c>
      <c r="AO145">
        <v>3.5999999999999997E-2</v>
      </c>
      <c r="AP145">
        <v>0.01</v>
      </c>
      <c r="AQ145">
        <v>1.9E-2</v>
      </c>
      <c r="AR145">
        <v>1.6E-2</v>
      </c>
      <c r="AS145"/>
      <c r="AT145">
        <v>2.5999999999999999E-2</v>
      </c>
      <c r="AU145">
        <v>8.9999999999999993E-3</v>
      </c>
      <c r="AV145">
        <v>4.4999999999999998E-2</v>
      </c>
      <c r="AW145">
        <v>1.0999999999999999E-2</v>
      </c>
      <c r="AX145">
        <v>1.6E-2</v>
      </c>
      <c r="AY145"/>
      <c r="AZ145">
        <v>0.01</v>
      </c>
      <c r="BA145">
        <v>1.2E-2</v>
      </c>
      <c r="BB145">
        <v>0.02</v>
      </c>
      <c r="BC145">
        <v>3.1E-2</v>
      </c>
      <c r="BD145">
        <v>0.01</v>
      </c>
      <c r="BE145">
        <v>2.7E-2</v>
      </c>
      <c r="BF145">
        <v>1.7999999999999999E-2</v>
      </c>
      <c r="BG145">
        <v>1.2999999999999999E-2</v>
      </c>
      <c r="BH145">
        <v>2.4E-2</v>
      </c>
      <c r="BI145">
        <v>1.4E-2</v>
      </c>
      <c r="BJ145">
        <v>3.1E-2</v>
      </c>
      <c r="BK145">
        <v>3.5000000000000003E-2</v>
      </c>
      <c r="BL145">
        <v>1.0999999999999999E-2</v>
      </c>
      <c r="BM145">
        <v>2.5999999999999999E-2</v>
      </c>
      <c r="BN145">
        <v>2.5000000000000001E-2</v>
      </c>
      <c r="BO145">
        <v>8.0000000000000002E-3</v>
      </c>
      <c r="BP145">
        <v>7.0000000000000001E-3</v>
      </c>
      <c r="BQ145">
        <v>2.3E-2</v>
      </c>
      <c r="BR145">
        <v>3.5000000000000003E-2</v>
      </c>
      <c r="BS145">
        <v>1.4E-2</v>
      </c>
      <c r="BT145">
        <v>8.0000000000000002E-3</v>
      </c>
      <c r="BU145">
        <v>3.3000000000000002E-2</v>
      </c>
      <c r="BV145">
        <v>7.0000000000000001E-3</v>
      </c>
      <c r="BW145">
        <v>2.1000000000000001E-2</v>
      </c>
      <c r="BX145">
        <v>1.7999999999999999E-2</v>
      </c>
      <c r="BY145">
        <v>3.2000000000000001E-2</v>
      </c>
      <c r="BZ145">
        <v>3.6999999999999998E-2</v>
      </c>
      <c r="CA145">
        <v>3.3000000000000002E-2</v>
      </c>
      <c r="CB145">
        <v>2.7E-2</v>
      </c>
      <c r="CC145">
        <v>1.4E-2</v>
      </c>
      <c r="CD145">
        <v>1.4999999999999999E-2</v>
      </c>
      <c r="CE145">
        <v>8.9999999999999993E-3</v>
      </c>
      <c r="CF145">
        <v>2.9000000000000001E-2</v>
      </c>
      <c r="CG145">
        <v>2.7E-2</v>
      </c>
      <c r="CH145">
        <v>1.7999999999999999E-2</v>
      </c>
      <c r="CI145">
        <v>2.1999999999999999E-2</v>
      </c>
      <c r="CJ145">
        <v>8.9999999999999993E-3</v>
      </c>
      <c r="CK145">
        <v>8.0000000000000002E-3</v>
      </c>
      <c r="CL145">
        <v>7.0000000000000001E-3</v>
      </c>
      <c r="CM145">
        <v>1.4E-2</v>
      </c>
      <c r="CN145">
        <v>5.0000000000000001E-3</v>
      </c>
      <c r="CO145">
        <v>1.9E-2</v>
      </c>
      <c r="CP145">
        <v>0.02</v>
      </c>
      <c r="CQ145">
        <v>2.5999999999999999E-2</v>
      </c>
      <c r="CR145">
        <v>2.8000000000000001E-2</v>
      </c>
      <c r="CS145">
        <v>2.3E-2</v>
      </c>
      <c r="CT145">
        <v>1.7999999999999999E-2</v>
      </c>
      <c r="CU145">
        <v>2.9000000000000001E-2</v>
      </c>
      <c r="CV145">
        <v>1.4E-2</v>
      </c>
      <c r="CW145">
        <v>1.7000000000000001E-2</v>
      </c>
      <c r="CX145">
        <v>3.4000000000000002E-2</v>
      </c>
      <c r="CY145">
        <v>3.3000000000000002E-2</v>
      </c>
      <c r="CZ145">
        <v>0.02</v>
      </c>
      <c r="DA145">
        <v>1.2999999999999999E-2</v>
      </c>
      <c r="DB145">
        <v>8.9999999999999993E-3</v>
      </c>
      <c r="DC145">
        <v>3.1E-2</v>
      </c>
      <c r="DD145">
        <v>2.9000000000000001E-2</v>
      </c>
      <c r="DE145">
        <v>1.7000000000000001E-2</v>
      </c>
      <c r="DF145">
        <v>1.6E-2</v>
      </c>
      <c r="DG145">
        <v>3.5000000000000003E-2</v>
      </c>
      <c r="DH145">
        <v>7.0000000000000001E-3</v>
      </c>
      <c r="DI145"/>
      <c r="DJ145">
        <v>2.9000000000000001E-2</v>
      </c>
      <c r="DK145">
        <v>1.7000000000000001E-2</v>
      </c>
      <c r="DL145">
        <v>1.6E-2</v>
      </c>
      <c r="DM145"/>
      <c r="DN145">
        <v>2.3E-2</v>
      </c>
      <c r="DO145">
        <v>1.7000000000000001E-2</v>
      </c>
      <c r="DP145">
        <v>0.02</v>
      </c>
      <c r="DQ145">
        <v>3.2000000000000001E-2</v>
      </c>
      <c r="DR145">
        <v>2.9000000000000001E-2</v>
      </c>
      <c r="DS145">
        <v>2.5000000000000001E-2</v>
      </c>
      <c r="DT145">
        <v>2.5999999999999999E-2</v>
      </c>
      <c r="DU145">
        <v>8.9999999999999993E-3</v>
      </c>
      <c r="DV145"/>
      <c r="DW145">
        <v>8.9999999999999993E-3</v>
      </c>
      <c r="DX145">
        <v>1.9E-2</v>
      </c>
      <c r="DY145">
        <v>3.1E-2</v>
      </c>
      <c r="DZ145">
        <v>4.3999999999999997E-2</v>
      </c>
      <c r="EA145">
        <v>8.9999999999999993E-3</v>
      </c>
      <c r="EB145">
        <v>2.1999999999999999E-2</v>
      </c>
      <c r="EC145">
        <v>2.7E-2</v>
      </c>
      <c r="ED145">
        <v>1.2E-2</v>
      </c>
      <c r="EE145">
        <v>3.6999999999999998E-2</v>
      </c>
      <c r="EF145">
        <v>1.7000000000000001E-2</v>
      </c>
      <c r="EG145">
        <v>1.4999999999999999E-2</v>
      </c>
      <c r="EH145">
        <v>2.5000000000000001E-2</v>
      </c>
      <c r="EI145">
        <v>1.2E-2</v>
      </c>
      <c r="EJ145">
        <v>7.0000000000000001E-3</v>
      </c>
      <c r="EK145">
        <v>1.7000000000000001E-2</v>
      </c>
      <c r="EL145">
        <v>5.0000000000000001E-3</v>
      </c>
      <c r="EM145">
        <v>1.9E-2</v>
      </c>
      <c r="EN145">
        <v>1.4E-2</v>
      </c>
      <c r="EO145">
        <v>1.7000000000000001E-2</v>
      </c>
      <c r="EP145">
        <v>2.1999999999999999E-2</v>
      </c>
      <c r="EQ145">
        <v>1.7999999999999999E-2</v>
      </c>
      <c r="ER145">
        <v>0.02</v>
      </c>
      <c r="ES145">
        <v>1.7999999999999999E-2</v>
      </c>
      <c r="ET145"/>
      <c r="EU145">
        <v>1.9E-2</v>
      </c>
      <c r="EV145">
        <v>2.5999999999999999E-2</v>
      </c>
      <c r="EW145">
        <v>1.4999999999999999E-2</v>
      </c>
      <c r="EX145">
        <v>1.4999999999999999E-2</v>
      </c>
      <c r="EY145">
        <v>5.5E-2</v>
      </c>
      <c r="EZ145">
        <v>8.0000000000000002E-3</v>
      </c>
      <c r="FA145">
        <v>1.2E-2</v>
      </c>
      <c r="FB145">
        <v>8.0000000000000002E-3</v>
      </c>
      <c r="FC145">
        <v>2.7E-2</v>
      </c>
      <c r="FD145">
        <v>3.4000000000000002E-2</v>
      </c>
      <c r="FE145">
        <v>2.9000000000000001E-2</v>
      </c>
      <c r="FF145">
        <v>3.3000000000000002E-2</v>
      </c>
      <c r="FG145">
        <v>6.0000000000000001E-3</v>
      </c>
      <c r="FH145">
        <v>1.6E-2</v>
      </c>
      <c r="FI145"/>
      <c r="FJ145">
        <v>2.7E-2</v>
      </c>
      <c r="FK145">
        <v>1.9E-2</v>
      </c>
      <c r="FL145">
        <v>3.2000000000000001E-2</v>
      </c>
      <c r="FM145">
        <v>8.9999999999999993E-3</v>
      </c>
      <c r="FN145">
        <v>7.0000000000000001E-3</v>
      </c>
      <c r="FO145">
        <v>2.1999999999999999E-2</v>
      </c>
      <c r="FP145">
        <v>2.1000000000000001E-2</v>
      </c>
      <c r="FQ145">
        <v>1.7000000000000001E-2</v>
      </c>
      <c r="FR145">
        <v>1.4999999999999999E-2</v>
      </c>
      <c r="FS145">
        <v>2.7E-2</v>
      </c>
      <c r="FT145">
        <v>3.5000000000000003E-2</v>
      </c>
      <c r="FU145">
        <v>0.02</v>
      </c>
      <c r="FV145">
        <v>2.1999999999999999E-2</v>
      </c>
      <c r="FW145">
        <v>1.4999999999999999E-2</v>
      </c>
      <c r="FX145">
        <v>1.0999999999999999E-2</v>
      </c>
      <c r="FY145">
        <v>2.7E-2</v>
      </c>
      <c r="FZ145">
        <v>2.9000000000000001E-2</v>
      </c>
      <c r="GA145">
        <v>1.7999999999999999E-2</v>
      </c>
      <c r="GB145">
        <v>1.9E-2</v>
      </c>
      <c r="GC145">
        <v>0.01</v>
      </c>
      <c r="GD145">
        <v>2.9000000000000001E-2</v>
      </c>
      <c r="GE145">
        <v>1.0999999999999999E-2</v>
      </c>
      <c r="GF145">
        <v>1.4E-2</v>
      </c>
      <c r="GG145">
        <v>2.4E-2</v>
      </c>
      <c r="GH145">
        <v>2.1000000000000001E-2</v>
      </c>
      <c r="GI145">
        <v>1.4999999999999999E-2</v>
      </c>
      <c r="GJ145">
        <v>1.2999999999999999E-2</v>
      </c>
      <c r="GK145">
        <v>3.1E-2</v>
      </c>
      <c r="GL145">
        <v>2.7E-2</v>
      </c>
      <c r="GM145">
        <v>2.7E-2</v>
      </c>
    </row>
    <row r="146" spans="8:195" ht="14.4" x14ac:dyDescent="0.3">
      <c r="H146" t="s">
        <v>893</v>
      </c>
      <c r="I146">
        <v>5.5E-2</v>
      </c>
      <c r="J146">
        <v>0.02</v>
      </c>
      <c r="K146">
        <v>2.3E-2</v>
      </c>
      <c r="L146">
        <v>5.6000000000000001E-2</v>
      </c>
      <c r="M146">
        <v>2.1999999999999999E-2</v>
      </c>
      <c r="N146">
        <v>2.1999999999999999E-2</v>
      </c>
      <c r="O146">
        <v>3.2000000000000001E-2</v>
      </c>
      <c r="P146">
        <v>1.2E-2</v>
      </c>
      <c r="Q146">
        <v>1.4E-2</v>
      </c>
      <c r="R146">
        <v>3.5000000000000003E-2</v>
      </c>
      <c r="S146">
        <v>2.1999999999999999E-2</v>
      </c>
      <c r="T146">
        <v>3.5000000000000003E-2</v>
      </c>
      <c r="U146">
        <v>5.5E-2</v>
      </c>
      <c r="V146">
        <v>2.9000000000000001E-2</v>
      </c>
      <c r="W146">
        <v>2.7E-2</v>
      </c>
      <c r="X146">
        <v>1.4E-2</v>
      </c>
      <c r="Y146">
        <v>4.2999999999999997E-2</v>
      </c>
      <c r="Z146">
        <v>5.8999999999999997E-2</v>
      </c>
      <c r="AA146">
        <v>3.6999999999999998E-2</v>
      </c>
      <c r="AB146">
        <v>2.8000000000000001E-2</v>
      </c>
      <c r="AC146">
        <v>2.8000000000000001E-2</v>
      </c>
      <c r="AD146">
        <v>4.1000000000000002E-2</v>
      </c>
      <c r="AE146">
        <v>2.3E-2</v>
      </c>
      <c r="AF146">
        <v>2.3E-2</v>
      </c>
      <c r="AG146">
        <v>2.5000000000000001E-2</v>
      </c>
      <c r="AH146">
        <v>6.2E-2</v>
      </c>
      <c r="AI146">
        <v>5.0999999999999997E-2</v>
      </c>
      <c r="AJ146">
        <v>3.5000000000000003E-2</v>
      </c>
      <c r="AK146">
        <v>4.8000000000000001E-2</v>
      </c>
      <c r="AL146">
        <v>5.1999999999999998E-2</v>
      </c>
      <c r="AM146">
        <v>1.4E-2</v>
      </c>
      <c r="AN146">
        <v>5.0999999999999997E-2</v>
      </c>
      <c r="AO146">
        <v>5.7000000000000002E-2</v>
      </c>
      <c r="AP146">
        <v>1.7000000000000001E-2</v>
      </c>
      <c r="AQ146">
        <v>3.3000000000000002E-2</v>
      </c>
      <c r="AR146">
        <v>2.5999999999999999E-2</v>
      </c>
      <c r="AS146"/>
      <c r="AT146">
        <v>4.2999999999999997E-2</v>
      </c>
      <c r="AU146">
        <v>1.7000000000000001E-2</v>
      </c>
      <c r="AV146">
        <v>7.0999999999999994E-2</v>
      </c>
      <c r="AW146">
        <v>2.1999999999999999E-2</v>
      </c>
      <c r="AX146">
        <v>2.1999999999999999E-2</v>
      </c>
      <c r="AY146"/>
      <c r="AZ146">
        <v>0.02</v>
      </c>
      <c r="BA146">
        <v>1.9E-2</v>
      </c>
      <c r="BB146">
        <v>3.2000000000000001E-2</v>
      </c>
      <c r="BC146">
        <v>5.0999999999999997E-2</v>
      </c>
      <c r="BD146">
        <v>1.7000000000000001E-2</v>
      </c>
      <c r="BE146">
        <v>4.4999999999999998E-2</v>
      </c>
      <c r="BF146">
        <v>2.5000000000000001E-2</v>
      </c>
      <c r="BG146">
        <v>0.02</v>
      </c>
      <c r="BH146">
        <v>4.5999999999999999E-2</v>
      </c>
      <c r="BI146">
        <v>2.1999999999999999E-2</v>
      </c>
      <c r="BJ146">
        <v>4.9000000000000002E-2</v>
      </c>
      <c r="BK146">
        <v>5.1999999999999998E-2</v>
      </c>
      <c r="BL146">
        <v>1.7000000000000001E-2</v>
      </c>
      <c r="BM146">
        <v>4.3999999999999997E-2</v>
      </c>
      <c r="BN146">
        <v>4.1000000000000002E-2</v>
      </c>
      <c r="BO146">
        <v>1.4E-2</v>
      </c>
      <c r="BP146">
        <v>0.01</v>
      </c>
      <c r="BQ146">
        <v>3.7999999999999999E-2</v>
      </c>
      <c r="BR146">
        <v>6.0999999999999999E-2</v>
      </c>
      <c r="BS146">
        <v>2.9000000000000001E-2</v>
      </c>
      <c r="BT146">
        <v>1.4E-2</v>
      </c>
      <c r="BU146">
        <v>5.7000000000000002E-2</v>
      </c>
      <c r="BV146">
        <v>1.2999999999999999E-2</v>
      </c>
      <c r="BW146">
        <v>3.5999999999999997E-2</v>
      </c>
      <c r="BX146">
        <v>2.7E-2</v>
      </c>
      <c r="BY146">
        <v>5.1999999999999998E-2</v>
      </c>
      <c r="BZ146">
        <v>6.4000000000000001E-2</v>
      </c>
      <c r="CA146">
        <v>5.3999999999999999E-2</v>
      </c>
      <c r="CB146">
        <v>4.3999999999999997E-2</v>
      </c>
      <c r="CC146">
        <v>2.3E-2</v>
      </c>
      <c r="CD146">
        <v>2.4E-2</v>
      </c>
      <c r="CE146">
        <v>1.4E-2</v>
      </c>
      <c r="CF146">
        <v>4.5999999999999999E-2</v>
      </c>
      <c r="CG146">
        <v>4.5999999999999999E-2</v>
      </c>
      <c r="CH146">
        <v>3.3000000000000002E-2</v>
      </c>
      <c r="CI146">
        <v>3.6999999999999998E-2</v>
      </c>
      <c r="CJ146">
        <v>1.4E-2</v>
      </c>
      <c r="CK146">
        <v>1.4E-2</v>
      </c>
      <c r="CL146">
        <v>1.2999999999999999E-2</v>
      </c>
      <c r="CM146">
        <v>2.3E-2</v>
      </c>
      <c r="CN146">
        <v>8.9999999999999993E-3</v>
      </c>
      <c r="CO146">
        <v>3.3000000000000002E-2</v>
      </c>
      <c r="CP146">
        <v>3.5999999999999997E-2</v>
      </c>
      <c r="CQ146">
        <v>4.3999999999999997E-2</v>
      </c>
      <c r="CR146">
        <v>4.7E-2</v>
      </c>
      <c r="CS146">
        <v>4.3999999999999997E-2</v>
      </c>
      <c r="CT146">
        <v>3.3000000000000002E-2</v>
      </c>
      <c r="CU146">
        <v>4.9000000000000002E-2</v>
      </c>
      <c r="CV146">
        <v>2.1999999999999999E-2</v>
      </c>
      <c r="CW146">
        <v>0.03</v>
      </c>
      <c r="CX146">
        <v>5.2999999999999999E-2</v>
      </c>
      <c r="CY146">
        <v>5.8000000000000003E-2</v>
      </c>
      <c r="CZ146">
        <v>3.5000000000000003E-2</v>
      </c>
      <c r="DA146">
        <v>2.3E-2</v>
      </c>
      <c r="DB146">
        <v>1.2999999999999999E-2</v>
      </c>
      <c r="DC146">
        <v>5.0999999999999997E-2</v>
      </c>
      <c r="DD146">
        <v>5.0999999999999997E-2</v>
      </c>
      <c r="DE146">
        <v>3.2000000000000001E-2</v>
      </c>
      <c r="DF146">
        <v>2.7E-2</v>
      </c>
      <c r="DG146">
        <v>0.06</v>
      </c>
      <c r="DH146">
        <v>1.0999999999999999E-2</v>
      </c>
      <c r="DI146"/>
      <c r="DJ146">
        <v>5.1999999999999998E-2</v>
      </c>
      <c r="DK146">
        <v>2.7E-2</v>
      </c>
      <c r="DL146">
        <v>2.5000000000000001E-2</v>
      </c>
      <c r="DM146"/>
      <c r="DN146">
        <v>4.1000000000000002E-2</v>
      </c>
      <c r="DO146">
        <v>2.9000000000000001E-2</v>
      </c>
      <c r="DP146">
        <v>3.5000000000000003E-2</v>
      </c>
      <c r="DQ146">
        <v>5.0999999999999997E-2</v>
      </c>
      <c r="DR146">
        <v>4.8000000000000001E-2</v>
      </c>
      <c r="DS146">
        <v>4.2000000000000003E-2</v>
      </c>
      <c r="DT146">
        <v>4.3999999999999997E-2</v>
      </c>
      <c r="DU146">
        <v>1.4E-2</v>
      </c>
      <c r="DV146"/>
      <c r="DW146">
        <v>1.4E-2</v>
      </c>
      <c r="DX146">
        <v>2.3E-2</v>
      </c>
      <c r="DY146">
        <v>5.5E-2</v>
      </c>
      <c r="DZ146">
        <v>7.4999999999999997E-2</v>
      </c>
      <c r="EA146">
        <v>1.4999999999999999E-2</v>
      </c>
      <c r="EB146">
        <v>2.8000000000000001E-2</v>
      </c>
      <c r="EC146">
        <v>4.4999999999999998E-2</v>
      </c>
      <c r="ED146">
        <v>1.7999999999999999E-2</v>
      </c>
      <c r="EE146">
        <v>5.5E-2</v>
      </c>
      <c r="EF146">
        <v>2.4E-2</v>
      </c>
      <c r="EG146">
        <v>2.4E-2</v>
      </c>
      <c r="EH146">
        <v>3.9E-2</v>
      </c>
      <c r="EI146">
        <v>0.02</v>
      </c>
      <c r="EJ146">
        <v>1.2E-2</v>
      </c>
      <c r="EK146">
        <v>2.8000000000000001E-2</v>
      </c>
      <c r="EL146">
        <v>1.0999999999999999E-2</v>
      </c>
      <c r="EM146">
        <v>3.5000000000000003E-2</v>
      </c>
      <c r="EN146">
        <v>2.4E-2</v>
      </c>
      <c r="EO146">
        <v>2.7E-2</v>
      </c>
      <c r="EP146">
        <v>3.6999999999999998E-2</v>
      </c>
      <c r="EQ146">
        <v>2.7E-2</v>
      </c>
      <c r="ER146">
        <v>3.3000000000000002E-2</v>
      </c>
      <c r="ES146">
        <v>2.9000000000000001E-2</v>
      </c>
      <c r="ET146"/>
      <c r="EU146">
        <v>0.04</v>
      </c>
      <c r="EV146">
        <v>4.8000000000000001E-2</v>
      </c>
      <c r="EW146">
        <v>2.9000000000000001E-2</v>
      </c>
      <c r="EX146">
        <v>2.7E-2</v>
      </c>
      <c r="EY146">
        <v>8.7999999999999995E-2</v>
      </c>
      <c r="EZ146">
        <v>1.2999999999999999E-2</v>
      </c>
      <c r="FA146">
        <v>2.1999999999999999E-2</v>
      </c>
      <c r="FB146">
        <v>1.2999999999999999E-2</v>
      </c>
      <c r="FC146">
        <v>4.5999999999999999E-2</v>
      </c>
      <c r="FD146">
        <v>5.3999999999999999E-2</v>
      </c>
      <c r="FE146">
        <v>4.2999999999999997E-2</v>
      </c>
      <c r="FF146">
        <v>5.1999999999999998E-2</v>
      </c>
      <c r="FG146">
        <v>8.9999999999999993E-3</v>
      </c>
      <c r="FH146">
        <v>3.1E-2</v>
      </c>
      <c r="FI146"/>
      <c r="FJ146">
        <v>4.4999999999999998E-2</v>
      </c>
      <c r="FK146">
        <v>3.3000000000000002E-2</v>
      </c>
      <c r="FL146">
        <v>5.1999999999999998E-2</v>
      </c>
      <c r="FM146">
        <v>1.4E-2</v>
      </c>
      <c r="FN146">
        <v>1.0999999999999999E-2</v>
      </c>
      <c r="FO146">
        <v>3.6999999999999998E-2</v>
      </c>
      <c r="FP146">
        <v>3.3000000000000002E-2</v>
      </c>
      <c r="FQ146">
        <v>3.3000000000000002E-2</v>
      </c>
      <c r="FR146">
        <v>2.5000000000000001E-2</v>
      </c>
      <c r="FS146">
        <v>4.7E-2</v>
      </c>
      <c r="FT146">
        <v>6.0999999999999999E-2</v>
      </c>
      <c r="FU146">
        <v>3.2000000000000001E-2</v>
      </c>
      <c r="FV146">
        <v>3.5000000000000003E-2</v>
      </c>
      <c r="FW146">
        <v>2.9000000000000001E-2</v>
      </c>
      <c r="FX146">
        <v>2.1000000000000001E-2</v>
      </c>
      <c r="FY146">
        <v>4.9000000000000002E-2</v>
      </c>
      <c r="FZ146">
        <v>4.7E-2</v>
      </c>
      <c r="GA146">
        <v>3.2000000000000001E-2</v>
      </c>
      <c r="GB146">
        <v>3.1E-2</v>
      </c>
      <c r="GC146">
        <v>1.6E-2</v>
      </c>
      <c r="GD146">
        <v>4.7E-2</v>
      </c>
      <c r="GE146">
        <v>1.7999999999999999E-2</v>
      </c>
      <c r="GF146">
        <v>2.3E-2</v>
      </c>
      <c r="GG146">
        <v>3.7999999999999999E-2</v>
      </c>
      <c r="GH146">
        <v>3.6999999999999998E-2</v>
      </c>
      <c r="GI146">
        <v>2.5999999999999999E-2</v>
      </c>
      <c r="GJ146">
        <v>2.1000000000000001E-2</v>
      </c>
      <c r="GK146">
        <v>5.0999999999999997E-2</v>
      </c>
      <c r="GL146">
        <v>4.2999999999999997E-2</v>
      </c>
      <c r="GM146">
        <v>4.2000000000000003E-2</v>
      </c>
    </row>
    <row r="147" spans="8:195" ht="14.4" x14ac:dyDescent="0.3">
      <c r="H147" t="s">
        <v>894</v>
      </c>
      <c r="I147">
        <v>8.7999999999999995E-2</v>
      </c>
      <c r="J147">
        <v>3.7999999999999999E-2</v>
      </c>
      <c r="K147">
        <v>4.2000000000000003E-2</v>
      </c>
      <c r="L147">
        <v>0.09</v>
      </c>
      <c r="M147">
        <v>0.04</v>
      </c>
      <c r="N147">
        <v>3.5999999999999997E-2</v>
      </c>
      <c r="O147">
        <v>4.4999999999999998E-2</v>
      </c>
      <c r="P147">
        <v>2.1999999999999999E-2</v>
      </c>
      <c r="Q147">
        <v>2.1000000000000001E-2</v>
      </c>
      <c r="R147">
        <v>6.3E-2</v>
      </c>
      <c r="S147">
        <v>3.3000000000000002E-2</v>
      </c>
      <c r="T147">
        <v>6.0999999999999999E-2</v>
      </c>
      <c r="U147">
        <v>5.1999999999999998E-2</v>
      </c>
      <c r="V147">
        <v>5.0999999999999997E-2</v>
      </c>
      <c r="W147">
        <v>4.7E-2</v>
      </c>
      <c r="X147">
        <v>2.3E-2</v>
      </c>
      <c r="Y147">
        <v>7.2999999999999995E-2</v>
      </c>
      <c r="Z147">
        <v>0.10100000000000001</v>
      </c>
      <c r="AA147">
        <v>5.2999999999999999E-2</v>
      </c>
      <c r="AB147">
        <v>4.1000000000000002E-2</v>
      </c>
      <c r="AC147">
        <v>4.8000000000000001E-2</v>
      </c>
      <c r="AD147">
        <v>7.0000000000000007E-2</v>
      </c>
      <c r="AE147">
        <v>3.6999999999999998E-2</v>
      </c>
      <c r="AF147">
        <v>5.3999999999999999E-2</v>
      </c>
      <c r="AG147">
        <v>4.9000000000000002E-2</v>
      </c>
      <c r="AH147">
        <v>0.106</v>
      </c>
      <c r="AI147">
        <v>0.08</v>
      </c>
      <c r="AJ147">
        <v>6.0999999999999999E-2</v>
      </c>
      <c r="AK147">
        <v>8.1000000000000003E-2</v>
      </c>
      <c r="AL147">
        <v>8.1000000000000003E-2</v>
      </c>
      <c r="AM147">
        <v>2.4E-2</v>
      </c>
      <c r="AN147">
        <v>8.3000000000000004E-2</v>
      </c>
      <c r="AO147">
        <v>0.09</v>
      </c>
      <c r="AP147">
        <v>2.7E-2</v>
      </c>
      <c r="AQ147">
        <v>5.5E-2</v>
      </c>
      <c r="AR147">
        <v>4.1000000000000002E-2</v>
      </c>
      <c r="AS147"/>
      <c r="AT147">
        <v>7.0000000000000007E-2</v>
      </c>
      <c r="AU147">
        <v>2.9000000000000001E-2</v>
      </c>
      <c r="AV147">
        <v>0.11</v>
      </c>
      <c r="AW147">
        <v>0.04</v>
      </c>
      <c r="AX147">
        <v>3.4000000000000002E-2</v>
      </c>
      <c r="AY147"/>
      <c r="AZ147">
        <v>3.5999999999999997E-2</v>
      </c>
      <c r="BA147">
        <v>3.3000000000000002E-2</v>
      </c>
      <c r="BB147">
        <v>6.4000000000000001E-2</v>
      </c>
      <c r="BC147">
        <v>8.1000000000000003E-2</v>
      </c>
      <c r="BD147">
        <v>3.3000000000000002E-2</v>
      </c>
      <c r="BE147">
        <v>7.2999999999999995E-2</v>
      </c>
      <c r="BF147">
        <v>4.1000000000000002E-2</v>
      </c>
      <c r="BG147">
        <v>3.4000000000000002E-2</v>
      </c>
      <c r="BH147">
        <v>7.0999999999999994E-2</v>
      </c>
      <c r="BI147">
        <v>3.6999999999999998E-2</v>
      </c>
      <c r="BJ147">
        <v>7.9000000000000001E-2</v>
      </c>
      <c r="BK147">
        <v>7.9000000000000001E-2</v>
      </c>
      <c r="BL147">
        <v>0.03</v>
      </c>
      <c r="BM147">
        <v>7.0999999999999994E-2</v>
      </c>
      <c r="BN147">
        <v>6.5000000000000002E-2</v>
      </c>
      <c r="BO147">
        <v>2.3E-2</v>
      </c>
      <c r="BP147">
        <v>1.7999999999999999E-2</v>
      </c>
      <c r="BQ147">
        <v>6.5000000000000002E-2</v>
      </c>
      <c r="BR147">
        <v>0.104</v>
      </c>
      <c r="BS147">
        <v>5.0999999999999997E-2</v>
      </c>
      <c r="BT147">
        <v>2.5999999999999999E-2</v>
      </c>
      <c r="BU147">
        <v>9.9000000000000005E-2</v>
      </c>
      <c r="BV147">
        <v>2.7E-2</v>
      </c>
      <c r="BW147">
        <v>5.8999999999999997E-2</v>
      </c>
      <c r="BX147">
        <v>0.04</v>
      </c>
      <c r="BY147">
        <v>8.3000000000000004E-2</v>
      </c>
      <c r="BZ147">
        <v>0.108</v>
      </c>
      <c r="CA147">
        <v>8.7999999999999995E-2</v>
      </c>
      <c r="CB147">
        <v>7.1999999999999995E-2</v>
      </c>
      <c r="CC147">
        <v>3.6999999999999998E-2</v>
      </c>
      <c r="CD147">
        <v>4.1000000000000002E-2</v>
      </c>
      <c r="CE147">
        <v>2.8000000000000001E-2</v>
      </c>
      <c r="CF147">
        <v>6.8000000000000005E-2</v>
      </c>
      <c r="CG147">
        <v>7.8E-2</v>
      </c>
      <c r="CH147">
        <v>7.4999999999999997E-2</v>
      </c>
      <c r="CI147">
        <v>6.4000000000000001E-2</v>
      </c>
      <c r="CJ147">
        <v>2.8000000000000001E-2</v>
      </c>
      <c r="CK147">
        <v>2.5999999999999999E-2</v>
      </c>
      <c r="CL147">
        <v>2.4E-2</v>
      </c>
      <c r="CM147">
        <v>3.9E-2</v>
      </c>
      <c r="CN147">
        <v>1.7000000000000001E-2</v>
      </c>
      <c r="CO147">
        <v>5.8000000000000003E-2</v>
      </c>
      <c r="CP147">
        <v>6.2E-2</v>
      </c>
      <c r="CQ147">
        <v>7.1999999999999995E-2</v>
      </c>
      <c r="CR147">
        <v>7.8E-2</v>
      </c>
      <c r="CS147">
        <v>8.2000000000000003E-2</v>
      </c>
      <c r="CT147">
        <v>5.5E-2</v>
      </c>
      <c r="CU147">
        <v>8.1000000000000003E-2</v>
      </c>
      <c r="CV147">
        <v>3.9E-2</v>
      </c>
      <c r="CW147">
        <v>5.3999999999999999E-2</v>
      </c>
      <c r="CX147">
        <v>8.4000000000000005E-2</v>
      </c>
      <c r="CY147">
        <v>0.10199999999999999</v>
      </c>
      <c r="CZ147">
        <v>6.2E-2</v>
      </c>
      <c r="DA147">
        <v>4.2000000000000003E-2</v>
      </c>
      <c r="DB147">
        <v>2.5000000000000001E-2</v>
      </c>
      <c r="DC147">
        <v>0.08</v>
      </c>
      <c r="DD147">
        <v>8.8999999999999996E-2</v>
      </c>
      <c r="DE147">
        <v>0.06</v>
      </c>
      <c r="DF147">
        <v>5.0999999999999997E-2</v>
      </c>
      <c r="DG147">
        <v>0.10100000000000001</v>
      </c>
      <c r="DH147">
        <v>0.03</v>
      </c>
      <c r="DI147"/>
      <c r="DJ147">
        <v>9.0999999999999998E-2</v>
      </c>
      <c r="DK147">
        <v>4.4999999999999998E-2</v>
      </c>
      <c r="DL147">
        <v>3.9E-2</v>
      </c>
      <c r="DM147"/>
      <c r="DN147">
        <v>7.1999999999999995E-2</v>
      </c>
      <c r="DO147">
        <v>5.1999999999999998E-2</v>
      </c>
      <c r="DP147">
        <v>6.2E-2</v>
      </c>
      <c r="DQ147">
        <v>8.2000000000000003E-2</v>
      </c>
      <c r="DR147">
        <v>0.08</v>
      </c>
      <c r="DS147">
        <v>7.1999999999999995E-2</v>
      </c>
      <c r="DT147">
        <v>7.4999999999999997E-2</v>
      </c>
      <c r="DU147">
        <v>2.5000000000000001E-2</v>
      </c>
      <c r="DV147"/>
      <c r="DW147">
        <v>2.5999999999999999E-2</v>
      </c>
      <c r="DX147">
        <v>3.9E-2</v>
      </c>
      <c r="DY147">
        <v>9.5000000000000001E-2</v>
      </c>
      <c r="DZ147">
        <v>0.126</v>
      </c>
      <c r="EA147">
        <v>2.5999999999999999E-2</v>
      </c>
      <c r="EB147">
        <v>4.5999999999999999E-2</v>
      </c>
      <c r="EC147">
        <v>7.5999999999999998E-2</v>
      </c>
      <c r="ED147">
        <v>0.03</v>
      </c>
      <c r="EE147">
        <v>8.1000000000000003E-2</v>
      </c>
      <c r="EF147">
        <v>3.7999999999999999E-2</v>
      </c>
      <c r="EG147">
        <v>4.2000000000000003E-2</v>
      </c>
      <c r="EH147">
        <v>6.7000000000000004E-2</v>
      </c>
      <c r="EI147">
        <v>3.2000000000000001E-2</v>
      </c>
      <c r="EJ147">
        <v>2.5999999999999999E-2</v>
      </c>
      <c r="EK147">
        <v>4.5999999999999999E-2</v>
      </c>
      <c r="EL147">
        <v>2.1999999999999999E-2</v>
      </c>
      <c r="EM147">
        <v>0.06</v>
      </c>
      <c r="EN147">
        <v>4.3999999999999997E-2</v>
      </c>
      <c r="EO147">
        <v>5.0999999999999997E-2</v>
      </c>
      <c r="EP147">
        <v>6.2E-2</v>
      </c>
      <c r="EQ147">
        <v>4.1000000000000002E-2</v>
      </c>
      <c r="ER147">
        <v>5.1999999999999998E-2</v>
      </c>
      <c r="ES147">
        <v>4.4999999999999998E-2</v>
      </c>
      <c r="ET147"/>
      <c r="EU147">
        <v>5.8999999999999997E-2</v>
      </c>
      <c r="EV147">
        <v>8.5999999999999993E-2</v>
      </c>
      <c r="EW147">
        <v>5.0999999999999997E-2</v>
      </c>
      <c r="EX147">
        <v>4.5999999999999999E-2</v>
      </c>
      <c r="EY147">
        <v>0.14199999999999999</v>
      </c>
      <c r="EZ147">
        <v>2.5000000000000001E-2</v>
      </c>
      <c r="FA147">
        <v>0.04</v>
      </c>
      <c r="FB147">
        <v>2.7E-2</v>
      </c>
      <c r="FC147">
        <v>7.8E-2</v>
      </c>
      <c r="FD147">
        <v>8.5999999999999993E-2</v>
      </c>
      <c r="FE147">
        <v>6.4000000000000001E-2</v>
      </c>
      <c r="FF147">
        <v>8.3000000000000004E-2</v>
      </c>
      <c r="FG147">
        <v>0.02</v>
      </c>
      <c r="FH147">
        <v>4.8000000000000001E-2</v>
      </c>
      <c r="FI147"/>
      <c r="FJ147">
        <v>7.1999999999999995E-2</v>
      </c>
      <c r="FK147">
        <v>5.6000000000000001E-2</v>
      </c>
      <c r="FL147">
        <v>8.5000000000000006E-2</v>
      </c>
      <c r="FM147">
        <v>2.5000000000000001E-2</v>
      </c>
      <c r="FN147">
        <v>0.02</v>
      </c>
      <c r="FO147">
        <v>6.3E-2</v>
      </c>
      <c r="FP147">
        <v>5.1999999999999998E-2</v>
      </c>
      <c r="FQ147">
        <v>6.2E-2</v>
      </c>
      <c r="FR147">
        <v>0.04</v>
      </c>
      <c r="FS147">
        <v>0.08</v>
      </c>
      <c r="FT147">
        <v>0.105</v>
      </c>
      <c r="FU147">
        <v>4.9000000000000002E-2</v>
      </c>
      <c r="FV147">
        <v>5.6000000000000001E-2</v>
      </c>
      <c r="FW147">
        <v>5.2999999999999999E-2</v>
      </c>
      <c r="FX147">
        <v>4.1000000000000002E-2</v>
      </c>
      <c r="FY147">
        <v>0.06</v>
      </c>
      <c r="FZ147">
        <v>7.4999999999999997E-2</v>
      </c>
      <c r="GA147">
        <v>5.3999999999999999E-2</v>
      </c>
      <c r="GB147">
        <v>5.1999999999999998E-2</v>
      </c>
      <c r="GC147">
        <v>2.9000000000000001E-2</v>
      </c>
      <c r="GD147">
        <v>7.5999999999999998E-2</v>
      </c>
      <c r="GE147">
        <v>0.03</v>
      </c>
      <c r="GF147">
        <v>3.4000000000000002E-2</v>
      </c>
      <c r="GG147">
        <v>5.8000000000000003E-2</v>
      </c>
      <c r="GH147">
        <v>6.5000000000000002E-2</v>
      </c>
      <c r="GI147">
        <v>4.3999999999999997E-2</v>
      </c>
      <c r="GJ147">
        <v>3.4000000000000002E-2</v>
      </c>
      <c r="GK147">
        <v>8.4000000000000005E-2</v>
      </c>
      <c r="GL147">
        <v>7.0999999999999994E-2</v>
      </c>
      <c r="GM147">
        <v>6.9000000000000006E-2</v>
      </c>
    </row>
    <row r="148" spans="8:195" ht="14.4" x14ac:dyDescent="0.3">
      <c r="H148" t="s">
        <v>895</v>
      </c>
      <c r="I148">
        <v>0.14199999999999999</v>
      </c>
      <c r="J148">
        <v>7.0000000000000007E-2</v>
      </c>
      <c r="K148">
        <v>7.9000000000000001E-2</v>
      </c>
      <c r="L148">
        <v>0.184</v>
      </c>
      <c r="M148">
        <v>7.0999999999999994E-2</v>
      </c>
      <c r="N148">
        <v>6.0999999999999999E-2</v>
      </c>
      <c r="O148">
        <v>8.8999999999999996E-2</v>
      </c>
      <c r="P148">
        <v>4.2999999999999997E-2</v>
      </c>
      <c r="Q148">
        <v>4.7E-2</v>
      </c>
      <c r="R148">
        <v>9.4E-2</v>
      </c>
      <c r="S148">
        <v>5.7000000000000002E-2</v>
      </c>
      <c r="T148">
        <v>0.1</v>
      </c>
      <c r="U148">
        <v>8.6999999999999994E-2</v>
      </c>
      <c r="V148">
        <v>9.1999999999999998E-2</v>
      </c>
      <c r="W148">
        <v>8.4000000000000005E-2</v>
      </c>
      <c r="X148">
        <v>4.8000000000000001E-2</v>
      </c>
      <c r="Y148">
        <v>0.125</v>
      </c>
      <c r="Z148">
        <v>0.17100000000000001</v>
      </c>
      <c r="AA148">
        <v>7.3999999999999996E-2</v>
      </c>
      <c r="AB148">
        <v>6.3E-2</v>
      </c>
      <c r="AC148">
        <v>0.08</v>
      </c>
      <c r="AD148">
        <v>0.16200000000000001</v>
      </c>
      <c r="AE148">
        <v>6.3E-2</v>
      </c>
      <c r="AF148">
        <v>8.8999999999999996E-2</v>
      </c>
      <c r="AG148">
        <v>9.4E-2</v>
      </c>
      <c r="AH148">
        <v>0.18099999999999999</v>
      </c>
      <c r="AI148">
        <v>0.153</v>
      </c>
      <c r="AJ148">
        <v>0.107</v>
      </c>
      <c r="AK148">
        <v>0.126</v>
      </c>
      <c r="AL148">
        <v>0.13</v>
      </c>
      <c r="AM148">
        <v>4.2999999999999997E-2</v>
      </c>
      <c r="AN148">
        <v>0.17399999999999999</v>
      </c>
      <c r="AO148">
        <v>0.14099999999999999</v>
      </c>
      <c r="AP148">
        <v>4.8000000000000001E-2</v>
      </c>
      <c r="AQ148">
        <v>9.1999999999999998E-2</v>
      </c>
      <c r="AR148">
        <v>6.5000000000000002E-2</v>
      </c>
      <c r="AS148"/>
      <c r="AT148">
        <v>0.115</v>
      </c>
      <c r="AU148">
        <v>5.2999999999999999E-2</v>
      </c>
      <c r="AV148">
        <v>0.17100000000000001</v>
      </c>
      <c r="AW148">
        <v>7.1999999999999995E-2</v>
      </c>
      <c r="AX148">
        <v>5.2999999999999999E-2</v>
      </c>
      <c r="AY148"/>
      <c r="AZ148">
        <v>6.6000000000000003E-2</v>
      </c>
      <c r="BA148">
        <v>6.7000000000000004E-2</v>
      </c>
      <c r="BB148">
        <v>0.114</v>
      </c>
      <c r="BC148">
        <v>0.13</v>
      </c>
      <c r="BD148">
        <v>0.06</v>
      </c>
      <c r="BE148">
        <v>0.12</v>
      </c>
      <c r="BF148">
        <v>5.8999999999999997E-2</v>
      </c>
      <c r="BG148">
        <v>5.8999999999999997E-2</v>
      </c>
      <c r="BH148">
        <v>0.12</v>
      </c>
      <c r="BI148">
        <v>6.8000000000000005E-2</v>
      </c>
      <c r="BJ148">
        <v>0.127</v>
      </c>
      <c r="BK148">
        <v>0.11799999999999999</v>
      </c>
      <c r="BL148">
        <v>5.8000000000000003E-2</v>
      </c>
      <c r="BM148">
        <v>0.11799999999999999</v>
      </c>
      <c r="BN148">
        <v>0.106</v>
      </c>
      <c r="BO148">
        <v>4.9000000000000002E-2</v>
      </c>
      <c r="BP148">
        <v>3.6999999999999998E-2</v>
      </c>
      <c r="BQ148">
        <v>0.152</v>
      </c>
      <c r="BR148">
        <v>0.17499999999999999</v>
      </c>
      <c r="BS148">
        <v>9.4E-2</v>
      </c>
      <c r="BT148">
        <v>5.3999999999999999E-2</v>
      </c>
      <c r="BU148">
        <v>0.17299999999999999</v>
      </c>
      <c r="BV148">
        <v>6.0999999999999999E-2</v>
      </c>
      <c r="BW148">
        <v>9.6000000000000002E-2</v>
      </c>
      <c r="BX148">
        <v>7.3999999999999996E-2</v>
      </c>
      <c r="BY148">
        <v>0.13200000000000001</v>
      </c>
      <c r="BZ148">
        <v>0.18</v>
      </c>
      <c r="CA148">
        <v>0.14399999999999999</v>
      </c>
      <c r="CB148">
        <v>0.11899999999999999</v>
      </c>
      <c r="CC148">
        <v>0.06</v>
      </c>
      <c r="CD148">
        <v>7.8E-2</v>
      </c>
      <c r="CE148">
        <v>0.05</v>
      </c>
      <c r="CF148">
        <v>9.9000000000000005E-2</v>
      </c>
      <c r="CG148">
        <v>0.13</v>
      </c>
      <c r="CH148">
        <v>0.111</v>
      </c>
      <c r="CI148">
        <v>0.111</v>
      </c>
      <c r="CJ148">
        <v>5.6000000000000001E-2</v>
      </c>
      <c r="CK148">
        <v>4.8000000000000001E-2</v>
      </c>
      <c r="CL148">
        <v>4.5999999999999999E-2</v>
      </c>
      <c r="CM148">
        <v>6.3E-2</v>
      </c>
      <c r="CN148">
        <v>3.4000000000000002E-2</v>
      </c>
      <c r="CO148">
        <v>0.10199999999999999</v>
      </c>
      <c r="CP148">
        <v>0.11799999999999999</v>
      </c>
      <c r="CQ148">
        <v>0.11799999999999999</v>
      </c>
      <c r="CR148">
        <v>0.13100000000000001</v>
      </c>
      <c r="CS148">
        <v>0.14799999999999999</v>
      </c>
      <c r="CT148">
        <v>0.11700000000000001</v>
      </c>
      <c r="CU148">
        <v>0.13400000000000001</v>
      </c>
      <c r="CV148">
        <v>7.4999999999999997E-2</v>
      </c>
      <c r="CW148">
        <v>9.6000000000000002E-2</v>
      </c>
      <c r="CX148">
        <v>0.13700000000000001</v>
      </c>
      <c r="CY148">
        <v>0.17599999999999999</v>
      </c>
      <c r="CZ148">
        <v>0.109</v>
      </c>
      <c r="DA148">
        <v>7.8E-2</v>
      </c>
      <c r="DB148">
        <v>4.9000000000000002E-2</v>
      </c>
      <c r="DC148">
        <v>0.123</v>
      </c>
      <c r="DD148">
        <v>0.154</v>
      </c>
      <c r="DE148">
        <v>0.113</v>
      </c>
      <c r="DF148">
        <v>8.6999999999999994E-2</v>
      </c>
      <c r="DG148">
        <v>0.17100000000000001</v>
      </c>
      <c r="DH148">
        <v>6.3E-2</v>
      </c>
      <c r="DI148"/>
      <c r="DJ148">
        <v>0.158</v>
      </c>
      <c r="DK148">
        <v>7.0999999999999994E-2</v>
      </c>
      <c r="DL148">
        <v>5.8999999999999997E-2</v>
      </c>
      <c r="DM148"/>
      <c r="DN148">
        <v>0.111</v>
      </c>
      <c r="DO148">
        <v>9.5000000000000001E-2</v>
      </c>
      <c r="DP148">
        <v>0.106</v>
      </c>
      <c r="DQ148">
        <v>0.13100000000000001</v>
      </c>
      <c r="DR148">
        <v>0.13300000000000001</v>
      </c>
      <c r="DS148">
        <v>0.122</v>
      </c>
      <c r="DT148">
        <v>0.127</v>
      </c>
      <c r="DU148">
        <v>0.05</v>
      </c>
      <c r="DV148"/>
      <c r="DW148">
        <v>4.8000000000000001E-2</v>
      </c>
      <c r="DX148">
        <v>6.0999999999999999E-2</v>
      </c>
      <c r="DY148">
        <v>0.16300000000000001</v>
      </c>
      <c r="DZ148">
        <v>0.21099999999999999</v>
      </c>
      <c r="EA148">
        <v>0.05</v>
      </c>
      <c r="EB148">
        <v>6.7000000000000004E-2</v>
      </c>
      <c r="EC148">
        <v>0.127</v>
      </c>
      <c r="ED148">
        <v>4.7E-2</v>
      </c>
      <c r="EE148">
        <v>0.124</v>
      </c>
      <c r="EF148">
        <v>7.6999999999999999E-2</v>
      </c>
      <c r="EG148">
        <v>7.1999999999999995E-2</v>
      </c>
      <c r="EH148">
        <v>0.127</v>
      </c>
      <c r="EI148">
        <v>6.0999999999999999E-2</v>
      </c>
      <c r="EJ148">
        <v>5.1999999999999998E-2</v>
      </c>
      <c r="EK148">
        <v>7.3999999999999996E-2</v>
      </c>
      <c r="EL148">
        <v>4.4999999999999998E-2</v>
      </c>
      <c r="EM148">
        <v>0.10199999999999999</v>
      </c>
      <c r="EN148">
        <v>8.5999999999999993E-2</v>
      </c>
      <c r="EO148">
        <v>9.0999999999999998E-2</v>
      </c>
      <c r="EP148">
        <v>0.106</v>
      </c>
      <c r="EQ148">
        <v>6.2E-2</v>
      </c>
      <c r="ER148">
        <v>8.2000000000000003E-2</v>
      </c>
      <c r="ES148">
        <v>7.6999999999999999E-2</v>
      </c>
      <c r="ET148"/>
      <c r="EU148">
        <v>0.10299999999999999</v>
      </c>
      <c r="EV148">
        <v>0.152</v>
      </c>
      <c r="EW148">
        <v>0.09</v>
      </c>
      <c r="EX148">
        <v>7.8E-2</v>
      </c>
      <c r="EY148">
        <v>0.224</v>
      </c>
      <c r="EZ148">
        <v>4.3999999999999997E-2</v>
      </c>
      <c r="FA148">
        <v>7.9000000000000001E-2</v>
      </c>
      <c r="FB148">
        <v>5.3999999999999999E-2</v>
      </c>
      <c r="FC148">
        <v>0.13</v>
      </c>
      <c r="FD148">
        <v>0.13400000000000001</v>
      </c>
      <c r="FE148">
        <v>0.10199999999999999</v>
      </c>
      <c r="FF148">
        <v>0.13200000000000001</v>
      </c>
      <c r="FG148">
        <v>4.2000000000000003E-2</v>
      </c>
      <c r="FH148">
        <v>8.4000000000000005E-2</v>
      </c>
      <c r="FI148"/>
      <c r="FJ148">
        <v>0.11600000000000001</v>
      </c>
      <c r="FK148">
        <v>8.7999999999999995E-2</v>
      </c>
      <c r="FL148">
        <v>0.13600000000000001</v>
      </c>
      <c r="FM148">
        <v>4.9000000000000002E-2</v>
      </c>
      <c r="FN148">
        <v>4.1000000000000002E-2</v>
      </c>
      <c r="FO148">
        <v>0.11</v>
      </c>
      <c r="FP148">
        <v>8.1000000000000003E-2</v>
      </c>
      <c r="FQ148">
        <v>9.8000000000000004E-2</v>
      </c>
      <c r="FR148">
        <v>7.0999999999999994E-2</v>
      </c>
      <c r="FS148">
        <v>0.13</v>
      </c>
      <c r="FT148">
        <v>0.18</v>
      </c>
      <c r="FU148">
        <v>8.2000000000000003E-2</v>
      </c>
      <c r="FV148">
        <v>8.6999999999999994E-2</v>
      </c>
      <c r="FW148">
        <v>9.4E-2</v>
      </c>
      <c r="FX148">
        <v>7.6999999999999999E-2</v>
      </c>
      <c r="FY148">
        <v>0.104</v>
      </c>
      <c r="FZ148">
        <v>0.122</v>
      </c>
      <c r="GA148">
        <v>9.6000000000000002E-2</v>
      </c>
      <c r="GB148">
        <v>8.5000000000000006E-2</v>
      </c>
      <c r="GC148">
        <v>5.3999999999999999E-2</v>
      </c>
      <c r="GD148">
        <v>0.123</v>
      </c>
      <c r="GE148">
        <v>5.0999999999999997E-2</v>
      </c>
      <c r="GF148">
        <v>5.3999999999999999E-2</v>
      </c>
      <c r="GG148">
        <v>8.8999999999999996E-2</v>
      </c>
      <c r="GH148">
        <v>0.113</v>
      </c>
      <c r="GI148">
        <v>6.4000000000000001E-2</v>
      </c>
      <c r="GJ148">
        <v>5.2999999999999999E-2</v>
      </c>
      <c r="GK148">
        <v>0.13700000000000001</v>
      </c>
      <c r="GL148">
        <v>0.11700000000000001</v>
      </c>
      <c r="GM148">
        <v>0.114</v>
      </c>
    </row>
    <row r="149" spans="8:195" ht="14.4" x14ac:dyDescent="0.3">
      <c r="H149" t="s">
        <v>896</v>
      </c>
      <c r="I149">
        <v>0.218</v>
      </c>
      <c r="J149">
        <v>0.123</v>
      </c>
      <c r="K149">
        <v>0.13800000000000001</v>
      </c>
      <c r="L149">
        <v>0.20899999999999999</v>
      </c>
      <c r="M149">
        <v>0.122</v>
      </c>
      <c r="N149">
        <v>0.1</v>
      </c>
      <c r="O149">
        <v>0.14599999999999999</v>
      </c>
      <c r="P149">
        <v>8.6999999999999994E-2</v>
      </c>
      <c r="Q149">
        <v>9.7000000000000003E-2</v>
      </c>
      <c r="R149">
        <v>0.11799999999999999</v>
      </c>
      <c r="S149">
        <v>9.7000000000000003E-2</v>
      </c>
      <c r="T149">
        <v>0.156</v>
      </c>
      <c r="U149">
        <v>0.11</v>
      </c>
      <c r="V149">
        <v>0.154</v>
      </c>
      <c r="W149">
        <v>0.14399999999999999</v>
      </c>
      <c r="X149">
        <v>9.5000000000000001E-2</v>
      </c>
      <c r="Y149">
        <v>0.19900000000000001</v>
      </c>
      <c r="Z149">
        <v>0.26800000000000002</v>
      </c>
      <c r="AA149">
        <v>0.10100000000000001</v>
      </c>
      <c r="AB149">
        <v>9.2999999999999999E-2</v>
      </c>
      <c r="AC149">
        <v>0.13800000000000001</v>
      </c>
      <c r="AD149">
        <v>0.19800000000000001</v>
      </c>
      <c r="AE149">
        <v>0.105</v>
      </c>
      <c r="AF149">
        <v>0.13600000000000001</v>
      </c>
      <c r="AG149">
        <v>0.16800000000000001</v>
      </c>
      <c r="AH149">
        <v>0.27900000000000003</v>
      </c>
      <c r="AI149">
        <v>0.19800000000000001</v>
      </c>
      <c r="AJ149">
        <v>0.17699999999999999</v>
      </c>
      <c r="AK149">
        <v>0.19</v>
      </c>
      <c r="AL149">
        <v>0.19700000000000001</v>
      </c>
      <c r="AM149">
        <v>8.3000000000000004E-2</v>
      </c>
      <c r="AN149">
        <v>0.20100000000000001</v>
      </c>
      <c r="AO149">
        <v>0.21199999999999999</v>
      </c>
      <c r="AP149">
        <v>7.9000000000000001E-2</v>
      </c>
      <c r="AQ149">
        <v>0.14699999999999999</v>
      </c>
      <c r="AR149">
        <v>0.10199999999999999</v>
      </c>
      <c r="AS149"/>
      <c r="AT149">
        <v>0.18099999999999999</v>
      </c>
      <c r="AU149">
        <v>8.7999999999999995E-2</v>
      </c>
      <c r="AV149">
        <v>0.251</v>
      </c>
      <c r="AW149">
        <v>0.11899999999999999</v>
      </c>
      <c r="AX149">
        <v>8.2000000000000003E-2</v>
      </c>
      <c r="AY149"/>
      <c r="AZ149">
        <v>0.11600000000000001</v>
      </c>
      <c r="BA149">
        <v>0.11799999999999999</v>
      </c>
      <c r="BB149">
        <v>0.19500000000000001</v>
      </c>
      <c r="BC149">
        <v>0.19900000000000001</v>
      </c>
      <c r="BD149">
        <v>0.1</v>
      </c>
      <c r="BE149">
        <v>0.188</v>
      </c>
      <c r="BF149">
        <v>8.3000000000000004E-2</v>
      </c>
      <c r="BG149">
        <v>0.108</v>
      </c>
      <c r="BH149">
        <v>0.17799999999999999</v>
      </c>
      <c r="BI149">
        <v>0.114</v>
      </c>
      <c r="BJ149">
        <v>0.19400000000000001</v>
      </c>
      <c r="BK149">
        <v>0.16900000000000001</v>
      </c>
      <c r="BL149">
        <v>0.111</v>
      </c>
      <c r="BM149">
        <v>0.184</v>
      </c>
      <c r="BN149">
        <v>0.16900000000000001</v>
      </c>
      <c r="BO149">
        <v>0.1</v>
      </c>
      <c r="BP149">
        <v>7.2999999999999995E-2</v>
      </c>
      <c r="BQ149">
        <v>0.17199999999999999</v>
      </c>
      <c r="BR149">
        <v>0.27200000000000002</v>
      </c>
      <c r="BS149">
        <v>0.14099999999999999</v>
      </c>
      <c r="BT149">
        <v>0.105</v>
      </c>
      <c r="BU149">
        <v>0.26900000000000002</v>
      </c>
      <c r="BV149">
        <v>9.8000000000000004E-2</v>
      </c>
      <c r="BW149">
        <v>0.153</v>
      </c>
      <c r="BX149">
        <v>0.11700000000000001</v>
      </c>
      <c r="BY149">
        <v>0.2</v>
      </c>
      <c r="BZ149">
        <v>0.27700000000000002</v>
      </c>
      <c r="CA149">
        <v>0.222</v>
      </c>
      <c r="CB149">
        <v>0.185</v>
      </c>
      <c r="CC149">
        <v>9.9000000000000005E-2</v>
      </c>
      <c r="CD149">
        <v>0.13</v>
      </c>
      <c r="CE149">
        <v>9.5000000000000001E-2</v>
      </c>
      <c r="CF149">
        <v>0.14599999999999999</v>
      </c>
      <c r="CG149">
        <v>0.20899999999999999</v>
      </c>
      <c r="CH149">
        <v>0.18099999999999999</v>
      </c>
      <c r="CI149">
        <v>0.18</v>
      </c>
      <c r="CJ149">
        <v>9.8000000000000004E-2</v>
      </c>
      <c r="CK149">
        <v>9.4E-2</v>
      </c>
      <c r="CL149">
        <v>8.6999999999999994E-2</v>
      </c>
      <c r="CM149">
        <v>0.10199999999999999</v>
      </c>
      <c r="CN149">
        <v>6.8000000000000005E-2</v>
      </c>
      <c r="CO149">
        <v>0.16800000000000001</v>
      </c>
      <c r="CP149">
        <v>0.191</v>
      </c>
      <c r="CQ149">
        <v>0.184</v>
      </c>
      <c r="CR149">
        <v>0.20699999999999999</v>
      </c>
      <c r="CS149">
        <v>0.249</v>
      </c>
      <c r="CT149">
        <v>0.20100000000000001</v>
      </c>
      <c r="CU149">
        <v>0.21</v>
      </c>
      <c r="CV149">
        <v>0.13500000000000001</v>
      </c>
      <c r="CW149">
        <v>0.159</v>
      </c>
      <c r="CX149">
        <v>0.21</v>
      </c>
      <c r="CY149">
        <v>0.27300000000000002</v>
      </c>
      <c r="CZ149">
        <v>0.17899999999999999</v>
      </c>
      <c r="DA149">
        <v>0.13100000000000001</v>
      </c>
      <c r="DB149">
        <v>9.1999999999999998E-2</v>
      </c>
      <c r="DC149">
        <v>0.185</v>
      </c>
      <c r="DD149">
        <v>0.248</v>
      </c>
      <c r="DE149">
        <v>0.17599999999999999</v>
      </c>
      <c r="DF149">
        <v>0.108</v>
      </c>
      <c r="DG149">
        <v>0.26100000000000001</v>
      </c>
      <c r="DH149">
        <v>0.10199999999999999</v>
      </c>
      <c r="DI149"/>
      <c r="DJ149">
        <v>0.253</v>
      </c>
      <c r="DK149">
        <v>0.115</v>
      </c>
      <c r="DL149">
        <v>8.8999999999999996E-2</v>
      </c>
      <c r="DM149"/>
      <c r="DN149">
        <v>0.18099999999999999</v>
      </c>
      <c r="DO149">
        <v>0.16900000000000001</v>
      </c>
      <c r="DP149">
        <v>0.17100000000000001</v>
      </c>
      <c r="DQ149">
        <v>0.19800000000000001</v>
      </c>
      <c r="DR149">
        <v>0.20899999999999999</v>
      </c>
      <c r="DS149">
        <v>0.19600000000000001</v>
      </c>
      <c r="DT149">
        <v>0.20300000000000001</v>
      </c>
      <c r="DU149">
        <v>9.8000000000000004E-2</v>
      </c>
      <c r="DV149"/>
      <c r="DW149">
        <v>9.4E-2</v>
      </c>
      <c r="DX149">
        <v>9.0999999999999998E-2</v>
      </c>
      <c r="DY149">
        <v>0.25900000000000001</v>
      </c>
      <c r="DZ149">
        <v>0.316</v>
      </c>
      <c r="EA149">
        <v>9.8000000000000004E-2</v>
      </c>
      <c r="EB149">
        <v>9.6000000000000002E-2</v>
      </c>
      <c r="EC149">
        <v>0.20399999999999999</v>
      </c>
      <c r="ED149">
        <v>7.4999999999999997E-2</v>
      </c>
      <c r="EE149">
        <v>0.17899999999999999</v>
      </c>
      <c r="EF149">
        <v>0.126</v>
      </c>
      <c r="EG149">
        <v>0.11</v>
      </c>
      <c r="EH149">
        <v>0.217</v>
      </c>
      <c r="EI149">
        <v>0.105</v>
      </c>
      <c r="EJ149">
        <v>0.106</v>
      </c>
      <c r="EK149">
        <v>0.11700000000000001</v>
      </c>
      <c r="EL149">
        <v>8.8999999999999996E-2</v>
      </c>
      <c r="EM149">
        <v>0.158</v>
      </c>
      <c r="EN149">
        <v>0.155</v>
      </c>
      <c r="EO149">
        <v>0.154</v>
      </c>
      <c r="EP149">
        <v>0.16900000000000001</v>
      </c>
      <c r="EQ149">
        <v>9.0999999999999998E-2</v>
      </c>
      <c r="ER149">
        <v>0.125</v>
      </c>
      <c r="ES149">
        <v>0.12</v>
      </c>
      <c r="ET149"/>
      <c r="EU149">
        <v>0.16300000000000001</v>
      </c>
      <c r="EV149">
        <v>0.246</v>
      </c>
      <c r="EW149">
        <v>0.154</v>
      </c>
      <c r="EX149">
        <v>0.13</v>
      </c>
      <c r="EY149">
        <v>0.33900000000000002</v>
      </c>
      <c r="EZ149">
        <v>6.6000000000000003E-2</v>
      </c>
      <c r="FA149">
        <v>0.13</v>
      </c>
      <c r="FB149">
        <v>0.106</v>
      </c>
      <c r="FC149">
        <v>0.20699999999999999</v>
      </c>
      <c r="FD149">
        <v>0.20200000000000001</v>
      </c>
      <c r="FE149">
        <v>0.153</v>
      </c>
      <c r="FF149">
        <v>0.20200000000000001</v>
      </c>
      <c r="FG149">
        <v>9.0999999999999998E-2</v>
      </c>
      <c r="FH149">
        <v>0.13200000000000001</v>
      </c>
      <c r="FI149"/>
      <c r="FJ149">
        <v>0.17699999999999999</v>
      </c>
      <c r="FK149">
        <v>0.13500000000000001</v>
      </c>
      <c r="FL149">
        <v>0.20899999999999999</v>
      </c>
      <c r="FM149">
        <v>9.6000000000000002E-2</v>
      </c>
      <c r="FN149">
        <v>8.5999999999999993E-2</v>
      </c>
      <c r="FO149">
        <v>0.17899999999999999</v>
      </c>
      <c r="FP149">
        <v>0.121</v>
      </c>
      <c r="FQ149">
        <v>0.16600000000000001</v>
      </c>
      <c r="FR149">
        <v>0.112</v>
      </c>
      <c r="FS149">
        <v>0.20300000000000001</v>
      </c>
      <c r="FT149">
        <v>0.27800000000000002</v>
      </c>
      <c r="FU149">
        <v>0.127</v>
      </c>
      <c r="FV149">
        <v>0.13200000000000001</v>
      </c>
      <c r="FW149">
        <v>0.155</v>
      </c>
      <c r="FX149">
        <v>0.14000000000000001</v>
      </c>
      <c r="FY149">
        <v>0.155</v>
      </c>
      <c r="FZ149">
        <v>0.189</v>
      </c>
      <c r="GA149">
        <v>0.159</v>
      </c>
      <c r="GB149">
        <v>0.13500000000000001</v>
      </c>
      <c r="GC149">
        <v>9.6000000000000002E-2</v>
      </c>
      <c r="GD149">
        <v>0.189</v>
      </c>
      <c r="GE149">
        <v>9.1999999999999998E-2</v>
      </c>
      <c r="GF149">
        <v>0.08</v>
      </c>
      <c r="GG149">
        <v>0.13</v>
      </c>
      <c r="GH149">
        <v>0.185</v>
      </c>
      <c r="GI149">
        <v>8.7999999999999995E-2</v>
      </c>
      <c r="GJ149">
        <v>8.4000000000000005E-2</v>
      </c>
      <c r="GK149">
        <v>0.21099999999999999</v>
      </c>
      <c r="GL149">
        <v>0.183</v>
      </c>
      <c r="GM149">
        <v>0.17899999999999999</v>
      </c>
    </row>
    <row r="150" spans="8:195" ht="14.4" x14ac:dyDescent="0.3">
      <c r="H150" t="s">
        <v>897</v>
      </c>
      <c r="I150">
        <v>0.313</v>
      </c>
      <c r="J150">
        <v>0.21299999999999999</v>
      </c>
      <c r="K150">
        <v>0.223</v>
      </c>
      <c r="L150">
        <v>0.29899999999999999</v>
      </c>
      <c r="M150">
        <v>0.2</v>
      </c>
      <c r="N150">
        <v>0.161</v>
      </c>
      <c r="O150">
        <v>0.22</v>
      </c>
      <c r="P150">
        <v>0.16600000000000001</v>
      </c>
      <c r="Q150">
        <v>0.19</v>
      </c>
      <c r="R150">
        <v>0.19400000000000001</v>
      </c>
      <c r="S150">
        <v>0.16200000000000001</v>
      </c>
      <c r="T150">
        <v>0.22900000000000001</v>
      </c>
      <c r="U150">
        <v>0.14599999999999999</v>
      </c>
      <c r="V150">
        <v>0.24399999999999999</v>
      </c>
      <c r="W150">
        <v>0.23699999999999999</v>
      </c>
      <c r="X150">
        <v>0.18</v>
      </c>
      <c r="Y150">
        <v>0.3</v>
      </c>
      <c r="Z150">
        <v>0.39300000000000002</v>
      </c>
      <c r="AA150">
        <v>0.13700000000000001</v>
      </c>
      <c r="AB150">
        <v>0.126</v>
      </c>
      <c r="AC150">
        <v>0.22</v>
      </c>
      <c r="AD150">
        <v>0.29899999999999999</v>
      </c>
      <c r="AE150">
        <v>0.17199999999999999</v>
      </c>
      <c r="AF150">
        <v>0.224</v>
      </c>
      <c r="AG150">
        <v>0.28599999999999998</v>
      </c>
      <c r="AH150">
        <v>0.40500000000000003</v>
      </c>
      <c r="AI150">
        <v>0.28799999999999998</v>
      </c>
      <c r="AJ150">
        <v>0.27100000000000002</v>
      </c>
      <c r="AK150">
        <v>0.27</v>
      </c>
      <c r="AL150">
        <v>0.28699999999999998</v>
      </c>
      <c r="AM150">
        <v>0.156</v>
      </c>
      <c r="AN150">
        <v>0.29199999999999998</v>
      </c>
      <c r="AO150">
        <v>0.30299999999999999</v>
      </c>
      <c r="AP150">
        <v>0.128</v>
      </c>
      <c r="AQ150">
        <v>0.21199999999999999</v>
      </c>
      <c r="AR150">
        <v>0.161</v>
      </c>
      <c r="AS150"/>
      <c r="AT150">
        <v>0.27</v>
      </c>
      <c r="AU150">
        <v>0.14599999999999999</v>
      </c>
      <c r="AV150">
        <v>0.35499999999999998</v>
      </c>
      <c r="AW150">
        <v>0.192</v>
      </c>
      <c r="AX150">
        <v>0.129</v>
      </c>
      <c r="AY150"/>
      <c r="AZ150">
        <v>0.19500000000000001</v>
      </c>
      <c r="BA150">
        <v>0.20699999999999999</v>
      </c>
      <c r="BB150">
        <v>0.30099999999999999</v>
      </c>
      <c r="BC150">
        <v>0.28799999999999998</v>
      </c>
      <c r="BD150">
        <v>0.182</v>
      </c>
      <c r="BE150">
        <v>0.27600000000000002</v>
      </c>
      <c r="BF150">
        <v>0.11600000000000001</v>
      </c>
      <c r="BG150">
        <v>0.191</v>
      </c>
      <c r="BH150">
        <v>0.252</v>
      </c>
      <c r="BI150">
        <v>0.186</v>
      </c>
      <c r="BJ150">
        <v>0.28299999999999997</v>
      </c>
      <c r="BK150">
        <v>0.23300000000000001</v>
      </c>
      <c r="BL150">
        <v>0.193</v>
      </c>
      <c r="BM150">
        <v>0.27400000000000002</v>
      </c>
      <c r="BN150">
        <v>0.245</v>
      </c>
      <c r="BO150">
        <v>0.19</v>
      </c>
      <c r="BP150">
        <v>0.14699999999999999</v>
      </c>
      <c r="BQ150">
        <v>0.26200000000000001</v>
      </c>
      <c r="BR150">
        <v>0.39600000000000002</v>
      </c>
      <c r="BS150">
        <v>0.223</v>
      </c>
      <c r="BT150">
        <v>0.19500000000000001</v>
      </c>
      <c r="BU150">
        <v>0.39400000000000002</v>
      </c>
      <c r="BV150">
        <v>0.18099999999999999</v>
      </c>
      <c r="BW150">
        <v>0.23200000000000001</v>
      </c>
      <c r="BX150">
        <v>0.17599999999999999</v>
      </c>
      <c r="BY150">
        <v>0.29499999999999998</v>
      </c>
      <c r="BZ150">
        <v>0.39400000000000002</v>
      </c>
      <c r="CA150">
        <v>0.33200000000000002</v>
      </c>
      <c r="CB150">
        <v>0.27500000000000002</v>
      </c>
      <c r="CC150">
        <v>0.16</v>
      </c>
      <c r="CD150">
        <v>0.214</v>
      </c>
      <c r="CE150">
        <v>0.183</v>
      </c>
      <c r="CF150">
        <v>0.20799999999999999</v>
      </c>
      <c r="CG150">
        <v>0.314</v>
      </c>
      <c r="CH150">
        <v>0.28000000000000003</v>
      </c>
      <c r="CI150">
        <v>0.27600000000000002</v>
      </c>
      <c r="CJ150">
        <v>0.16500000000000001</v>
      </c>
      <c r="CK150">
        <v>0.16900000000000001</v>
      </c>
      <c r="CL150">
        <v>0.158</v>
      </c>
      <c r="CM150">
        <v>0.161</v>
      </c>
      <c r="CN150">
        <v>0.13500000000000001</v>
      </c>
      <c r="CO150">
        <v>0.26300000000000001</v>
      </c>
      <c r="CP150">
        <v>0.27600000000000002</v>
      </c>
      <c r="CQ150">
        <v>0.27500000000000002</v>
      </c>
      <c r="CR150">
        <v>0.30599999999999999</v>
      </c>
      <c r="CS150">
        <v>0.38800000000000001</v>
      </c>
      <c r="CT150">
        <v>0.307</v>
      </c>
      <c r="CU150">
        <v>0.308</v>
      </c>
      <c r="CV150">
        <v>0.23</v>
      </c>
      <c r="CW150">
        <v>0.25</v>
      </c>
      <c r="CX150">
        <v>0.309</v>
      </c>
      <c r="CY150">
        <v>0.40400000000000003</v>
      </c>
      <c r="CZ150">
        <v>0.27800000000000002</v>
      </c>
      <c r="DA150">
        <v>0.221</v>
      </c>
      <c r="DB150">
        <v>0.186</v>
      </c>
      <c r="DC150">
        <v>0.26600000000000001</v>
      </c>
      <c r="DD150">
        <v>0.374</v>
      </c>
      <c r="DE150">
        <v>0.26700000000000002</v>
      </c>
      <c r="DF150">
        <v>0.16700000000000001</v>
      </c>
      <c r="DG150">
        <v>0.378</v>
      </c>
      <c r="DH150">
        <v>0.17799999999999999</v>
      </c>
      <c r="DI150"/>
      <c r="DJ150">
        <v>0.378</v>
      </c>
      <c r="DK150">
        <v>0.17499999999999999</v>
      </c>
      <c r="DL150">
        <v>0.13900000000000001</v>
      </c>
      <c r="DM150"/>
      <c r="DN150">
        <v>0.25900000000000001</v>
      </c>
      <c r="DO150">
        <v>0.28599999999999998</v>
      </c>
      <c r="DP150">
        <v>0.25600000000000001</v>
      </c>
      <c r="DQ150">
        <v>0.28899999999999998</v>
      </c>
      <c r="DR150">
        <v>0.307</v>
      </c>
      <c r="DS150">
        <v>0.29599999999999999</v>
      </c>
      <c r="DT150">
        <v>0.30099999999999999</v>
      </c>
      <c r="DU150">
        <v>0.182</v>
      </c>
      <c r="DV150"/>
      <c r="DW150">
        <v>0.18</v>
      </c>
      <c r="DX150">
        <v>0.13400000000000001</v>
      </c>
      <c r="DY150">
        <v>0.38400000000000001</v>
      </c>
      <c r="DZ150">
        <v>0.44700000000000001</v>
      </c>
      <c r="EA150">
        <v>0.186</v>
      </c>
      <c r="EB150">
        <v>0.13400000000000001</v>
      </c>
      <c r="EC150">
        <v>0.311</v>
      </c>
      <c r="ED150">
        <v>0.12</v>
      </c>
      <c r="EE150">
        <v>0.253</v>
      </c>
      <c r="EF150">
        <v>0.191</v>
      </c>
      <c r="EG150">
        <v>0.16500000000000001</v>
      </c>
      <c r="EH150">
        <v>0.33900000000000002</v>
      </c>
      <c r="EI150">
        <v>0.17899999999999999</v>
      </c>
      <c r="EJ150">
        <v>0.183</v>
      </c>
      <c r="EK150">
        <v>0.18</v>
      </c>
      <c r="EL150">
        <v>0.158</v>
      </c>
      <c r="EM150">
        <v>0.23699999999999999</v>
      </c>
      <c r="EN150">
        <v>0.254</v>
      </c>
      <c r="EO150">
        <v>0.26</v>
      </c>
      <c r="EP150">
        <v>0.25800000000000001</v>
      </c>
      <c r="EQ150">
        <v>0.13300000000000001</v>
      </c>
      <c r="ER150">
        <v>0.185</v>
      </c>
      <c r="ES150">
        <v>0.182</v>
      </c>
      <c r="ET150"/>
      <c r="EU150">
        <v>0.24099999999999999</v>
      </c>
      <c r="EV150">
        <v>0.371</v>
      </c>
      <c r="EW150">
        <v>0.249</v>
      </c>
      <c r="EX150">
        <v>0.20699999999999999</v>
      </c>
      <c r="EY150">
        <v>0.51200000000000001</v>
      </c>
      <c r="EZ150">
        <v>9.7000000000000003E-2</v>
      </c>
      <c r="FA150">
        <v>0.218</v>
      </c>
      <c r="FB150">
        <v>0.19900000000000001</v>
      </c>
      <c r="FC150">
        <v>0.30499999999999999</v>
      </c>
      <c r="FD150">
        <v>0.29099999999999998</v>
      </c>
      <c r="FE150">
        <v>0.224</v>
      </c>
      <c r="FF150">
        <v>0.29099999999999998</v>
      </c>
      <c r="FG150">
        <v>0.17100000000000001</v>
      </c>
      <c r="FH150">
        <v>0.20300000000000001</v>
      </c>
      <c r="FI150"/>
      <c r="FJ150">
        <v>0.255</v>
      </c>
      <c r="FK150">
        <v>0.2</v>
      </c>
      <c r="FL150">
        <v>0.309</v>
      </c>
      <c r="FM150">
        <v>0.184</v>
      </c>
      <c r="FN150">
        <v>0.17299999999999999</v>
      </c>
      <c r="FO150">
        <v>0.27300000000000002</v>
      </c>
      <c r="FP150">
        <v>0.17699999999999999</v>
      </c>
      <c r="FQ150">
        <v>0.27200000000000002</v>
      </c>
      <c r="FR150">
        <v>0.17599999999999999</v>
      </c>
      <c r="FS150">
        <v>0.29699999999999999</v>
      </c>
      <c r="FT150">
        <v>0.40300000000000002</v>
      </c>
      <c r="FU150">
        <v>0.191</v>
      </c>
      <c r="FV150">
        <v>0.19600000000000001</v>
      </c>
      <c r="FW150">
        <v>0.23699999999999999</v>
      </c>
      <c r="FX150">
        <v>0.24</v>
      </c>
      <c r="FY150">
        <v>0.23</v>
      </c>
      <c r="FZ150">
        <v>0.27800000000000002</v>
      </c>
      <c r="GA150">
        <v>0.25700000000000001</v>
      </c>
      <c r="GB150">
        <v>0.20699999999999999</v>
      </c>
      <c r="GC150">
        <v>0.16800000000000001</v>
      </c>
      <c r="GD150">
        <v>0.28000000000000003</v>
      </c>
      <c r="GE150">
        <v>0.16500000000000001</v>
      </c>
      <c r="GF150">
        <v>0.126</v>
      </c>
      <c r="GG150">
        <v>0.188</v>
      </c>
      <c r="GH150">
        <v>0.28100000000000003</v>
      </c>
      <c r="GI150">
        <v>0.11799999999999999</v>
      </c>
      <c r="GJ150">
        <v>0.129</v>
      </c>
      <c r="GK150">
        <v>0.309</v>
      </c>
      <c r="GL150">
        <v>0.27200000000000002</v>
      </c>
      <c r="GM150">
        <v>0.26800000000000002</v>
      </c>
    </row>
    <row r="151" spans="8:195" ht="14.4" x14ac:dyDescent="0.3">
      <c r="H151" t="s">
        <v>898</v>
      </c>
      <c r="I151">
        <v>0.42699999999999999</v>
      </c>
      <c r="J151">
        <v>0.34399999999999997</v>
      </c>
      <c r="K151">
        <v>0.33</v>
      </c>
      <c r="L151">
        <v>0.40799999999999997</v>
      </c>
      <c r="M151">
        <v>0.31</v>
      </c>
      <c r="N151">
        <v>0.25700000000000001</v>
      </c>
      <c r="O151">
        <v>0.312</v>
      </c>
      <c r="P151">
        <v>0.28399999999999997</v>
      </c>
      <c r="Q151">
        <v>0.29299999999999998</v>
      </c>
      <c r="R151">
        <v>0.318</v>
      </c>
      <c r="S151">
        <v>0.26600000000000001</v>
      </c>
      <c r="T151">
        <v>0.32700000000000001</v>
      </c>
      <c r="U151">
        <v>0.191</v>
      </c>
      <c r="V151">
        <v>0.35799999999999998</v>
      </c>
      <c r="W151">
        <v>0.36299999999999999</v>
      </c>
      <c r="X151">
        <v>0.311</v>
      </c>
      <c r="Y151">
        <v>0.42199999999999999</v>
      </c>
      <c r="Z151">
        <v>0.505</v>
      </c>
      <c r="AA151">
        <v>0.184</v>
      </c>
      <c r="AB151">
        <v>0.20100000000000001</v>
      </c>
      <c r="AC151">
        <v>0.31900000000000001</v>
      </c>
      <c r="AD151">
        <v>0.42</v>
      </c>
      <c r="AE151">
        <v>0.26700000000000002</v>
      </c>
      <c r="AF151">
        <v>0.33800000000000002</v>
      </c>
      <c r="AG151">
        <v>0.442</v>
      </c>
      <c r="AH151">
        <v>0.51500000000000001</v>
      </c>
      <c r="AI151">
        <v>0.39800000000000002</v>
      </c>
      <c r="AJ151">
        <v>0.38900000000000001</v>
      </c>
      <c r="AK151">
        <v>0.39100000000000001</v>
      </c>
      <c r="AL151">
        <v>0.39800000000000002</v>
      </c>
      <c r="AM151">
        <v>0.25900000000000001</v>
      </c>
      <c r="AN151">
        <v>0.40200000000000002</v>
      </c>
      <c r="AO151">
        <v>0.41299999999999998</v>
      </c>
      <c r="AP151">
        <v>0.20100000000000001</v>
      </c>
      <c r="AQ151">
        <v>0.29199999999999998</v>
      </c>
      <c r="AR151">
        <v>0.248</v>
      </c>
      <c r="AS151"/>
      <c r="AT151">
        <v>0.38300000000000001</v>
      </c>
      <c r="AU151">
        <v>0.24</v>
      </c>
      <c r="AV151">
        <v>0.45</v>
      </c>
      <c r="AW151">
        <v>0.28499999999999998</v>
      </c>
      <c r="AX151">
        <v>0.20300000000000001</v>
      </c>
      <c r="AY151"/>
      <c r="AZ151">
        <v>0.308</v>
      </c>
      <c r="BA151">
        <v>0.32200000000000001</v>
      </c>
      <c r="BB151">
        <v>0.42199999999999999</v>
      </c>
      <c r="BC151">
        <v>0.39900000000000002</v>
      </c>
      <c r="BD151">
        <v>0.33200000000000002</v>
      </c>
      <c r="BE151">
        <v>0.38800000000000001</v>
      </c>
      <c r="BF151">
        <v>0.156</v>
      </c>
      <c r="BG151">
        <v>0.32500000000000001</v>
      </c>
      <c r="BH151">
        <v>0.36799999999999999</v>
      </c>
      <c r="BI151">
        <v>0.28299999999999997</v>
      </c>
      <c r="BJ151">
        <v>0.39400000000000002</v>
      </c>
      <c r="BK151">
        <v>0.30399999999999999</v>
      </c>
      <c r="BL151">
        <v>0.32700000000000001</v>
      </c>
      <c r="BM151">
        <v>0.38700000000000001</v>
      </c>
      <c r="BN151">
        <v>0.32500000000000001</v>
      </c>
      <c r="BO151">
        <v>0.32800000000000001</v>
      </c>
      <c r="BP151">
        <v>0.26500000000000001</v>
      </c>
      <c r="BQ151">
        <v>0.377</v>
      </c>
      <c r="BR151">
        <v>0.51</v>
      </c>
      <c r="BS151">
        <v>0.32</v>
      </c>
      <c r="BT151">
        <v>0.315</v>
      </c>
      <c r="BU151">
        <v>0.50800000000000001</v>
      </c>
      <c r="BV151">
        <v>0.29099999999999998</v>
      </c>
      <c r="BW151">
        <v>0.33600000000000002</v>
      </c>
      <c r="BX151">
        <v>0.246</v>
      </c>
      <c r="BY151">
        <v>0.40799999999999997</v>
      </c>
      <c r="BZ151">
        <v>0.54600000000000004</v>
      </c>
      <c r="CA151">
        <v>0.46400000000000002</v>
      </c>
      <c r="CB151">
        <v>0.38800000000000001</v>
      </c>
      <c r="CC151">
        <v>0.255</v>
      </c>
      <c r="CD151">
        <v>0.315</v>
      </c>
      <c r="CE151">
        <v>0.29399999999999998</v>
      </c>
      <c r="CF151">
        <v>0.28799999999999998</v>
      </c>
      <c r="CG151">
        <v>0.45200000000000001</v>
      </c>
      <c r="CH151">
        <v>0.40600000000000003</v>
      </c>
      <c r="CI151">
        <v>0.39600000000000002</v>
      </c>
      <c r="CJ151">
        <v>0.28000000000000003</v>
      </c>
      <c r="CK151">
        <v>0.24299999999999999</v>
      </c>
      <c r="CL151">
        <v>0.255</v>
      </c>
      <c r="CM151">
        <v>0.25</v>
      </c>
      <c r="CN151">
        <v>0.23499999999999999</v>
      </c>
      <c r="CO151">
        <v>0.38100000000000001</v>
      </c>
      <c r="CP151">
        <v>0.39800000000000002</v>
      </c>
      <c r="CQ151">
        <v>0.38700000000000001</v>
      </c>
      <c r="CR151">
        <v>0.42599999999999999</v>
      </c>
      <c r="CS151">
        <v>0.54800000000000004</v>
      </c>
      <c r="CT151">
        <v>0.44</v>
      </c>
      <c r="CU151">
        <v>0.42599999999999999</v>
      </c>
      <c r="CV151">
        <v>0.38300000000000001</v>
      </c>
      <c r="CW151">
        <v>0.36899999999999999</v>
      </c>
      <c r="CX151">
        <v>0.43</v>
      </c>
      <c r="CY151">
        <v>0.51800000000000002</v>
      </c>
      <c r="CZ151">
        <v>0.40400000000000003</v>
      </c>
      <c r="DA151">
        <v>0.34300000000000003</v>
      </c>
      <c r="DB151">
        <v>0.32700000000000001</v>
      </c>
      <c r="DC151">
        <v>0.36699999999999999</v>
      </c>
      <c r="DD151">
        <v>0.51900000000000002</v>
      </c>
      <c r="DE151">
        <v>0.39100000000000001</v>
      </c>
      <c r="DF151">
        <v>0.247</v>
      </c>
      <c r="DG151">
        <v>0.48899999999999999</v>
      </c>
      <c r="DH151">
        <v>0.27300000000000002</v>
      </c>
      <c r="DI151"/>
      <c r="DJ151">
        <v>0.495</v>
      </c>
      <c r="DK151">
        <v>0.253</v>
      </c>
      <c r="DL151">
        <v>0.216</v>
      </c>
      <c r="DM151"/>
      <c r="DN151">
        <v>0.41599999999999998</v>
      </c>
      <c r="DO151">
        <v>0.41</v>
      </c>
      <c r="DP151">
        <v>0.35799999999999998</v>
      </c>
      <c r="DQ151">
        <v>0.39900000000000002</v>
      </c>
      <c r="DR151">
        <v>0.42599999999999999</v>
      </c>
      <c r="DS151">
        <v>0.41699999999999998</v>
      </c>
      <c r="DT151">
        <v>0.42199999999999999</v>
      </c>
      <c r="DU151">
        <v>0.30499999999999999</v>
      </c>
      <c r="DV151"/>
      <c r="DW151">
        <v>0.314</v>
      </c>
      <c r="DX151">
        <v>0.187</v>
      </c>
      <c r="DY151">
        <v>0.5</v>
      </c>
      <c r="DZ151">
        <v>0.56000000000000005</v>
      </c>
      <c r="EA151">
        <v>0.34799999999999998</v>
      </c>
      <c r="EB151">
        <v>0.186</v>
      </c>
      <c r="EC151">
        <v>0.443</v>
      </c>
      <c r="ED151">
        <v>0.191</v>
      </c>
      <c r="EE151">
        <v>0.35</v>
      </c>
      <c r="EF151">
        <v>0.26600000000000001</v>
      </c>
      <c r="EG151">
        <v>0.23300000000000001</v>
      </c>
      <c r="EH151">
        <v>0.48199999999999998</v>
      </c>
      <c r="EI151">
        <v>0.28699999999999998</v>
      </c>
      <c r="EJ151">
        <v>0.29299999999999998</v>
      </c>
      <c r="EK151">
        <v>0.26600000000000001</v>
      </c>
      <c r="EL151">
        <v>0.25</v>
      </c>
      <c r="EM151">
        <v>0.35199999999999998</v>
      </c>
      <c r="EN151">
        <v>0.36899999999999999</v>
      </c>
      <c r="EO151">
        <v>0.40400000000000003</v>
      </c>
      <c r="EP151">
        <v>0.374</v>
      </c>
      <c r="EQ151">
        <v>0.189</v>
      </c>
      <c r="ER151">
        <v>0.26600000000000001</v>
      </c>
      <c r="ES151">
        <v>0.27</v>
      </c>
      <c r="ET151"/>
      <c r="EU151">
        <v>0.33300000000000002</v>
      </c>
      <c r="EV151">
        <v>0.48899999999999999</v>
      </c>
      <c r="EW151">
        <v>0.38</v>
      </c>
      <c r="EX151">
        <v>0.29599999999999999</v>
      </c>
      <c r="EY151">
        <v>0.63</v>
      </c>
      <c r="EZ151">
        <v>0.13900000000000001</v>
      </c>
      <c r="FA151">
        <v>0.33300000000000002</v>
      </c>
      <c r="FB151">
        <v>0.30199999999999999</v>
      </c>
      <c r="FC151">
        <v>0.42499999999999999</v>
      </c>
      <c r="FD151">
        <v>0.4</v>
      </c>
      <c r="FE151">
        <v>0.315</v>
      </c>
      <c r="FF151">
        <v>0.39700000000000002</v>
      </c>
      <c r="FG151">
        <v>0.28999999999999998</v>
      </c>
      <c r="FH151">
        <v>0.29499999999999998</v>
      </c>
      <c r="FI151"/>
      <c r="FJ151">
        <v>0.34799999999999998</v>
      </c>
      <c r="FK151">
        <v>0.28499999999999998</v>
      </c>
      <c r="FL151">
        <v>0.42899999999999999</v>
      </c>
      <c r="FM151">
        <v>0.32500000000000001</v>
      </c>
      <c r="FN151">
        <v>0.30299999999999999</v>
      </c>
      <c r="FO151">
        <v>0.39200000000000002</v>
      </c>
      <c r="FP151">
        <v>0.245</v>
      </c>
      <c r="FQ151">
        <v>0.41</v>
      </c>
      <c r="FR151">
        <v>0.26600000000000001</v>
      </c>
      <c r="FS151">
        <v>0.41899999999999998</v>
      </c>
      <c r="FT151">
        <v>0.51600000000000001</v>
      </c>
      <c r="FU151">
        <v>0.28199999999999997</v>
      </c>
      <c r="FV151">
        <v>0.27900000000000003</v>
      </c>
      <c r="FW151">
        <v>0.33200000000000002</v>
      </c>
      <c r="FX151">
        <v>0.376</v>
      </c>
      <c r="FY151">
        <v>0.32700000000000001</v>
      </c>
      <c r="FZ151">
        <v>0.39</v>
      </c>
      <c r="GA151">
        <v>0.38900000000000001</v>
      </c>
      <c r="GB151">
        <v>0.30399999999999999</v>
      </c>
      <c r="GC151">
        <v>0.27800000000000002</v>
      </c>
      <c r="GD151">
        <v>0.39100000000000001</v>
      </c>
      <c r="GE151">
        <v>0.26</v>
      </c>
      <c r="GF151">
        <v>0.19700000000000001</v>
      </c>
      <c r="GG151">
        <v>0.255</v>
      </c>
      <c r="GH151">
        <v>0.40100000000000002</v>
      </c>
      <c r="GI151">
        <v>0.16600000000000001</v>
      </c>
      <c r="GJ151">
        <v>0.193</v>
      </c>
      <c r="GK151">
        <v>0.40799999999999997</v>
      </c>
      <c r="GL151">
        <v>0.38400000000000001</v>
      </c>
      <c r="GM151">
        <v>0.38100000000000001</v>
      </c>
    </row>
    <row r="152" spans="8:195" ht="14.4" x14ac:dyDescent="0.3">
      <c r="H152" t="s">
        <v>899</v>
      </c>
      <c r="I152">
        <v>0.56399999999999995</v>
      </c>
      <c r="J152">
        <v>0.504</v>
      </c>
      <c r="K152">
        <v>0.47399999999999998</v>
      </c>
      <c r="L152">
        <v>0.53400000000000003</v>
      </c>
      <c r="M152">
        <v>0.435</v>
      </c>
      <c r="N152">
        <v>0.41199999999999998</v>
      </c>
      <c r="O152">
        <v>0.44600000000000001</v>
      </c>
      <c r="P152">
        <v>0.45200000000000001</v>
      </c>
      <c r="Q152">
        <v>0.45700000000000002</v>
      </c>
      <c r="R152">
        <v>0.42</v>
      </c>
      <c r="S152">
        <v>0.40100000000000002</v>
      </c>
      <c r="T152">
        <v>0.44800000000000001</v>
      </c>
      <c r="U152">
        <v>0.26400000000000001</v>
      </c>
      <c r="V152">
        <v>0.498</v>
      </c>
      <c r="W152">
        <v>0.51</v>
      </c>
      <c r="X152">
        <v>0.48</v>
      </c>
      <c r="Y152">
        <v>0.52400000000000002</v>
      </c>
      <c r="Z152">
        <v>0.63200000000000001</v>
      </c>
      <c r="AA152">
        <v>0.26</v>
      </c>
      <c r="AB152">
        <v>0.47099999999999997</v>
      </c>
      <c r="AC152">
        <v>0.45200000000000001</v>
      </c>
      <c r="AD152">
        <v>0.56399999999999995</v>
      </c>
      <c r="AE152">
        <v>0.39300000000000002</v>
      </c>
      <c r="AF152">
        <v>0.49299999999999999</v>
      </c>
      <c r="AG152">
        <v>0.60699999999999998</v>
      </c>
      <c r="AH152">
        <v>0.63900000000000001</v>
      </c>
      <c r="AI152">
        <v>0.52800000000000002</v>
      </c>
      <c r="AJ152">
        <v>0.53700000000000003</v>
      </c>
      <c r="AK152">
        <v>0.55100000000000005</v>
      </c>
      <c r="AL152">
        <v>0.52700000000000002</v>
      </c>
      <c r="AM152">
        <v>0.41499999999999998</v>
      </c>
      <c r="AN152">
        <v>0.53</v>
      </c>
      <c r="AO152">
        <v>0.53900000000000003</v>
      </c>
      <c r="AP152">
        <v>0.32500000000000001</v>
      </c>
      <c r="AQ152">
        <v>0.36</v>
      </c>
      <c r="AR152">
        <v>0.39200000000000002</v>
      </c>
      <c r="AS152"/>
      <c r="AT152">
        <v>0.51900000000000002</v>
      </c>
      <c r="AU152">
        <v>0.39</v>
      </c>
      <c r="AV152">
        <v>0.56299999999999994</v>
      </c>
      <c r="AW152">
        <v>0.40899999999999997</v>
      </c>
      <c r="AX152">
        <v>0.40300000000000002</v>
      </c>
      <c r="AY152"/>
      <c r="AZ152">
        <v>0.45</v>
      </c>
      <c r="BA152">
        <v>0.48199999999999998</v>
      </c>
      <c r="BB152">
        <v>0.57799999999999996</v>
      </c>
      <c r="BC152">
        <v>0.52900000000000003</v>
      </c>
      <c r="BD152">
        <v>0.499</v>
      </c>
      <c r="BE152">
        <v>0.52200000000000002</v>
      </c>
      <c r="BF152">
        <v>0.217</v>
      </c>
      <c r="BG152">
        <v>0.41099999999999998</v>
      </c>
      <c r="BH152">
        <v>0.52500000000000002</v>
      </c>
      <c r="BI152">
        <v>0.40600000000000003</v>
      </c>
      <c r="BJ152">
        <v>0.52500000000000002</v>
      </c>
      <c r="BK152">
        <v>0.39900000000000002</v>
      </c>
      <c r="BL152">
        <v>0.49099999999999999</v>
      </c>
      <c r="BM152">
        <v>0.52</v>
      </c>
      <c r="BN152">
        <v>0.44600000000000001</v>
      </c>
      <c r="BO152">
        <v>0.50800000000000001</v>
      </c>
      <c r="BP152">
        <v>0.432</v>
      </c>
      <c r="BQ152">
        <v>0.51500000000000001</v>
      </c>
      <c r="BR152">
        <v>0</v>
      </c>
      <c r="BS152">
        <v>0.45400000000000001</v>
      </c>
      <c r="BT152">
        <v>0.48599999999999999</v>
      </c>
      <c r="BU152">
        <v>0.63500000000000001</v>
      </c>
      <c r="BV152">
        <v>0.40100000000000002</v>
      </c>
      <c r="BW152">
        <v>0.46</v>
      </c>
      <c r="BX152">
        <v>0.33300000000000002</v>
      </c>
      <c r="BY152">
        <v>0.53900000000000003</v>
      </c>
      <c r="BZ152">
        <v>0</v>
      </c>
      <c r="CA152">
        <v>0.57199999999999995</v>
      </c>
      <c r="CB152">
        <v>0.52100000000000002</v>
      </c>
      <c r="CC152">
        <v>0.38900000000000001</v>
      </c>
      <c r="CD152">
        <v>0.45900000000000002</v>
      </c>
      <c r="CE152">
        <v>0.48499999999999999</v>
      </c>
      <c r="CF152">
        <v>0.39100000000000001</v>
      </c>
      <c r="CG152">
        <v>0.59799999999999998</v>
      </c>
      <c r="CH152">
        <v>0.54200000000000004</v>
      </c>
      <c r="CI152">
        <v>0.48899999999999999</v>
      </c>
      <c r="CJ152">
        <v>0.42199999999999999</v>
      </c>
      <c r="CK152">
        <v>0.36199999999999999</v>
      </c>
      <c r="CL152">
        <v>0.40400000000000003</v>
      </c>
      <c r="CM152">
        <v>0.36899999999999999</v>
      </c>
      <c r="CN152">
        <v>0.40699999999999997</v>
      </c>
      <c r="CO152">
        <v>0.49299999999999999</v>
      </c>
      <c r="CP152">
        <v>0.53900000000000003</v>
      </c>
      <c r="CQ152">
        <v>0.52</v>
      </c>
      <c r="CR152">
        <v>0.56599999999999995</v>
      </c>
      <c r="CS152">
        <v>0.68600000000000005</v>
      </c>
      <c r="CT152">
        <v>0.58799999999999997</v>
      </c>
      <c r="CU152">
        <v>0.56499999999999995</v>
      </c>
      <c r="CV152">
        <v>0.55500000000000005</v>
      </c>
      <c r="CW152">
        <v>0.51</v>
      </c>
      <c r="CX152">
        <v>0.56599999999999995</v>
      </c>
      <c r="CY152">
        <v>0.64600000000000002</v>
      </c>
      <c r="CZ152">
        <v>0.51400000000000001</v>
      </c>
      <c r="DA152">
        <v>0.48799999999999999</v>
      </c>
      <c r="DB152">
        <v>0.48699999999999999</v>
      </c>
      <c r="DC152">
        <v>0.46700000000000003</v>
      </c>
      <c r="DD152">
        <v>0.66600000000000004</v>
      </c>
      <c r="DE152">
        <v>0.52900000000000003</v>
      </c>
      <c r="DF152">
        <v>0.33800000000000002</v>
      </c>
      <c r="DG152">
        <v>0.61399999999999999</v>
      </c>
      <c r="DH152">
        <v>0.41199999999999998</v>
      </c>
      <c r="DI152"/>
      <c r="DJ152">
        <v>0.627</v>
      </c>
      <c r="DK152">
        <v>0.36</v>
      </c>
      <c r="DL152">
        <v>0.39800000000000002</v>
      </c>
      <c r="DM152"/>
      <c r="DN152">
        <v>0.56799999999999995</v>
      </c>
      <c r="DO152">
        <v>0.69599999999999995</v>
      </c>
      <c r="DP152">
        <v>0.49</v>
      </c>
      <c r="DQ152">
        <v>0.52800000000000002</v>
      </c>
      <c r="DR152">
        <v>0.56499999999999995</v>
      </c>
      <c r="DS152">
        <v>0.56200000000000006</v>
      </c>
      <c r="DT152">
        <v>0.56499999999999995</v>
      </c>
      <c r="DU152">
        <v>0.48499999999999999</v>
      </c>
      <c r="DV152"/>
      <c r="DW152">
        <v>0.49399999999999999</v>
      </c>
      <c r="DX152">
        <v>0.26900000000000002</v>
      </c>
      <c r="DY152">
        <v>0.63</v>
      </c>
      <c r="DZ152">
        <v>0.67400000000000004</v>
      </c>
      <c r="EA152">
        <v>0.55700000000000005</v>
      </c>
      <c r="EB152">
        <v>0.27200000000000002</v>
      </c>
      <c r="EC152">
        <v>0.57699999999999996</v>
      </c>
      <c r="ED152">
        <v>0.39700000000000002</v>
      </c>
      <c r="EE152">
        <v>0.46400000000000002</v>
      </c>
      <c r="EF152">
        <v>0.36099999999999999</v>
      </c>
      <c r="EG152">
        <v>0.317</v>
      </c>
      <c r="EH152">
        <v>0.64100000000000001</v>
      </c>
      <c r="EI152">
        <v>0.436</v>
      </c>
      <c r="EJ152">
        <v>0.44800000000000001</v>
      </c>
      <c r="EK152">
        <v>0.38300000000000001</v>
      </c>
      <c r="EL152">
        <v>0.40600000000000003</v>
      </c>
      <c r="EM152">
        <v>0.48799999999999999</v>
      </c>
      <c r="EN152">
        <v>0.53300000000000003</v>
      </c>
      <c r="EO152">
        <v>0.56100000000000005</v>
      </c>
      <c r="EP152">
        <v>0.51200000000000001</v>
      </c>
      <c r="EQ152">
        <v>0.28100000000000003</v>
      </c>
      <c r="ER152">
        <v>0.375</v>
      </c>
      <c r="ES152">
        <v>0.39100000000000001</v>
      </c>
      <c r="ET152"/>
      <c r="EU152">
        <v>0.45300000000000001</v>
      </c>
      <c r="EV152">
        <v>0.623</v>
      </c>
      <c r="EW152">
        <v>0.48399999999999999</v>
      </c>
      <c r="EX152">
        <v>0.42099999999999999</v>
      </c>
      <c r="EY152">
        <v>0</v>
      </c>
      <c r="EZ152">
        <v>0.22500000000000001</v>
      </c>
      <c r="FA152">
        <v>0.503</v>
      </c>
      <c r="FB152">
        <v>0.44600000000000001</v>
      </c>
      <c r="FC152">
        <v>0.56599999999999995</v>
      </c>
      <c r="FD152">
        <v>0.501</v>
      </c>
      <c r="FE152">
        <v>0.43099999999999999</v>
      </c>
      <c r="FF152">
        <v>0.53</v>
      </c>
      <c r="FG152">
        <v>0.46600000000000003</v>
      </c>
      <c r="FH152">
        <v>0.41499999999999998</v>
      </c>
      <c r="FI152"/>
      <c r="FJ152">
        <v>0.45800000000000002</v>
      </c>
      <c r="FK152">
        <v>0.38900000000000001</v>
      </c>
      <c r="FL152">
        <v>0.56399999999999995</v>
      </c>
      <c r="FM152">
        <v>0.55500000000000005</v>
      </c>
      <c r="FN152">
        <v>0.48699999999999999</v>
      </c>
      <c r="FO152">
        <v>0.502</v>
      </c>
      <c r="FP152">
        <v>0.34899999999999998</v>
      </c>
      <c r="FQ152">
        <v>0.53300000000000003</v>
      </c>
      <c r="FR152">
        <v>0.38800000000000001</v>
      </c>
      <c r="FS152">
        <v>0.55500000000000005</v>
      </c>
      <c r="FT152">
        <v>0.63900000000000001</v>
      </c>
      <c r="FU152">
        <v>0.40200000000000002</v>
      </c>
      <c r="FV152">
        <v>0.38900000000000001</v>
      </c>
      <c r="FW152">
        <v>0.46300000000000002</v>
      </c>
      <c r="FX152">
        <v>0.50800000000000001</v>
      </c>
      <c r="FY152">
        <v>0.44600000000000001</v>
      </c>
      <c r="FZ152">
        <v>0.52200000000000002</v>
      </c>
      <c r="GA152">
        <v>0.53700000000000003</v>
      </c>
      <c r="GB152">
        <v>0.42499999999999999</v>
      </c>
      <c r="GC152">
        <v>0.42799999999999999</v>
      </c>
      <c r="GD152">
        <v>0.52300000000000002</v>
      </c>
      <c r="GE152">
        <v>0.40400000000000003</v>
      </c>
      <c r="GF152">
        <v>0.40100000000000002</v>
      </c>
      <c r="GG152">
        <v>0.35699999999999998</v>
      </c>
      <c r="GH152">
        <v>0.54700000000000004</v>
      </c>
      <c r="GI152">
        <v>0.311</v>
      </c>
      <c r="GJ152">
        <v>0.29499999999999998</v>
      </c>
      <c r="GK152">
        <v>0.52800000000000002</v>
      </c>
      <c r="GL152">
        <v>0.52</v>
      </c>
      <c r="GM152">
        <v>0.51900000000000002</v>
      </c>
    </row>
    <row r="153" spans="8:195" ht="14.4" x14ac:dyDescent="0.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row>
    <row r="154" spans="8:195" ht="14.4" x14ac:dyDescent="0.3">
      <c r="H154" s="23" t="s">
        <v>589</v>
      </c>
      <c r="I154"/>
      <c r="J154"/>
      <c r="K154"/>
      <c r="L154"/>
      <c r="M154"/>
      <c r="N154"/>
      <c r="O154"/>
      <c r="P154"/>
      <c r="Q154" s="20"/>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row>
    <row r="155" spans="8:195" ht="14.4" x14ac:dyDescent="0.3">
      <c r="H155" t="s">
        <v>588</v>
      </c>
      <c r="I155">
        <v>7.3999999999999996E-2</v>
      </c>
      <c r="J155">
        <v>1.4E-2</v>
      </c>
      <c r="K155">
        <v>2.4E-2</v>
      </c>
      <c r="L155">
        <v>0.112</v>
      </c>
      <c r="M155">
        <v>6.0000000000000001E-3</v>
      </c>
      <c r="N155">
        <v>1.2E-2</v>
      </c>
      <c r="O155">
        <v>1.4E-2</v>
      </c>
      <c r="P155">
        <v>3.0000000000000001E-3</v>
      </c>
      <c r="Q155">
        <v>3.0000000000000001E-3</v>
      </c>
      <c r="R155">
        <v>3.1E-2</v>
      </c>
      <c r="S155">
        <v>1.0999999999999999E-2</v>
      </c>
      <c r="T155">
        <v>5.0000000000000001E-3</v>
      </c>
      <c r="U155">
        <v>3.4000000000000002E-2</v>
      </c>
      <c r="V155">
        <v>1.2999999999999999E-2</v>
      </c>
      <c r="W155">
        <v>4.0000000000000001E-3</v>
      </c>
      <c r="X155">
        <v>4.0000000000000001E-3</v>
      </c>
      <c r="Y155">
        <v>1.6E-2</v>
      </c>
      <c r="Z155">
        <v>7.2999999999999995E-2</v>
      </c>
      <c r="AA155">
        <v>3.1E-2</v>
      </c>
      <c r="AB155">
        <v>3.5000000000000003E-2</v>
      </c>
      <c r="AC155">
        <v>6.0000000000000001E-3</v>
      </c>
      <c r="AD155">
        <v>3.9E-2</v>
      </c>
      <c r="AE155">
        <v>1.6E-2</v>
      </c>
      <c r="AF155">
        <v>8.9999999999999993E-3</v>
      </c>
      <c r="AG155">
        <v>0.01</v>
      </c>
      <c r="AH155">
        <v>6.9000000000000006E-2</v>
      </c>
      <c r="AI155">
        <v>6.3E-2</v>
      </c>
      <c r="AJ155">
        <v>2.3E-2</v>
      </c>
      <c r="AK155">
        <v>2.8000000000000001E-2</v>
      </c>
      <c r="AL155">
        <v>6.5000000000000002E-2</v>
      </c>
      <c r="AM155">
        <v>5.0000000000000001E-3</v>
      </c>
      <c r="AN155">
        <v>0.106</v>
      </c>
      <c r="AO155">
        <v>9.8000000000000004E-2</v>
      </c>
      <c r="AP155">
        <v>8.0000000000000002E-3</v>
      </c>
      <c r="AQ155">
        <v>0.01</v>
      </c>
      <c r="AR155">
        <v>1.4999999999999999E-2</v>
      </c>
      <c r="AS155"/>
      <c r="AT155">
        <v>3.7999999999999999E-2</v>
      </c>
      <c r="AU155">
        <v>8.9999999999999993E-3</v>
      </c>
      <c r="AV155">
        <v>7.8E-2</v>
      </c>
      <c r="AW155">
        <v>4.0000000000000001E-3</v>
      </c>
      <c r="AX155">
        <v>4.0000000000000001E-3</v>
      </c>
      <c r="AY155"/>
      <c r="AZ155">
        <v>3.0000000000000001E-3</v>
      </c>
      <c r="BA155">
        <v>3.0000000000000001E-3</v>
      </c>
      <c r="BB155">
        <v>2.1999999999999999E-2</v>
      </c>
      <c r="BC155">
        <v>8.5999999999999993E-2</v>
      </c>
      <c r="BD155">
        <v>3.0000000000000001E-3</v>
      </c>
      <c r="BE155">
        <v>6.2E-2</v>
      </c>
      <c r="BF155">
        <v>2.9000000000000001E-2</v>
      </c>
      <c r="BG155">
        <v>2.1000000000000001E-2</v>
      </c>
      <c r="BH155">
        <v>2.1999999999999999E-2</v>
      </c>
      <c r="BI155">
        <v>1.6E-2</v>
      </c>
      <c r="BJ155">
        <v>7.9000000000000001E-2</v>
      </c>
      <c r="BK155">
        <v>3.9E-2</v>
      </c>
      <c r="BL155">
        <v>3.0000000000000001E-3</v>
      </c>
      <c r="BM155">
        <v>4.8000000000000001E-2</v>
      </c>
      <c r="BN155">
        <v>2.1000000000000001E-2</v>
      </c>
      <c r="BO155">
        <v>2E-3</v>
      </c>
      <c r="BP155">
        <v>4.0000000000000001E-3</v>
      </c>
      <c r="BQ155">
        <v>4.2000000000000003E-2</v>
      </c>
      <c r="BR155">
        <v>5.5E-2</v>
      </c>
      <c r="BS155">
        <v>1.2E-2</v>
      </c>
      <c r="BT155">
        <v>3.0000000000000001E-3</v>
      </c>
      <c r="BU155">
        <v>4.9000000000000002E-2</v>
      </c>
      <c r="BV155">
        <v>4.0000000000000001E-3</v>
      </c>
      <c r="BW155">
        <v>1.2E-2</v>
      </c>
      <c r="BX155">
        <v>2.8000000000000001E-2</v>
      </c>
      <c r="BY155">
        <v>7.0000000000000007E-2</v>
      </c>
      <c r="BZ155">
        <v>6.9000000000000006E-2</v>
      </c>
      <c r="CA155">
        <v>3.6999999999999998E-2</v>
      </c>
      <c r="CB155">
        <v>0.06</v>
      </c>
      <c r="CC155">
        <v>0.02</v>
      </c>
      <c r="CD155">
        <v>6.0000000000000001E-3</v>
      </c>
      <c r="CE155">
        <v>2E-3</v>
      </c>
      <c r="CF155">
        <v>3.9E-2</v>
      </c>
      <c r="CG155">
        <v>2.5999999999999999E-2</v>
      </c>
      <c r="CH155">
        <v>1.4E-2</v>
      </c>
      <c r="CI155">
        <v>0.03</v>
      </c>
      <c r="CJ155">
        <v>3.0000000000000001E-3</v>
      </c>
      <c r="CK155">
        <v>3.0000000000000001E-3</v>
      </c>
      <c r="CL155">
        <v>3.0000000000000001E-3</v>
      </c>
      <c r="CM155">
        <v>1.4999999999999999E-2</v>
      </c>
      <c r="CN155">
        <v>2E-3</v>
      </c>
      <c r="CO155">
        <v>1.6E-2</v>
      </c>
      <c r="CP155">
        <v>1.4999999999999999E-2</v>
      </c>
      <c r="CQ155">
        <v>0.04</v>
      </c>
      <c r="CR155">
        <v>0.05</v>
      </c>
      <c r="CS155">
        <v>8.0000000000000002E-3</v>
      </c>
      <c r="CT155">
        <v>2.1999999999999999E-2</v>
      </c>
      <c r="CU155">
        <v>5.8999999999999997E-2</v>
      </c>
      <c r="CV155">
        <v>8.0000000000000002E-3</v>
      </c>
      <c r="CW155">
        <v>7.0000000000000001E-3</v>
      </c>
      <c r="CX155">
        <v>0.08</v>
      </c>
      <c r="CY155">
        <v>0.06</v>
      </c>
      <c r="CZ155">
        <v>1.2999999999999999E-2</v>
      </c>
      <c r="DA155">
        <v>4.0000000000000001E-3</v>
      </c>
      <c r="DB155">
        <v>2E-3</v>
      </c>
      <c r="DC155">
        <v>4.1000000000000002E-2</v>
      </c>
      <c r="DD155">
        <v>4.9000000000000002E-2</v>
      </c>
      <c r="DE155">
        <v>7.0000000000000001E-3</v>
      </c>
      <c r="DF155">
        <v>8.0000000000000002E-3</v>
      </c>
      <c r="DG155">
        <v>8.5999999999999993E-2</v>
      </c>
      <c r="DH155">
        <v>6.0000000000000001E-3</v>
      </c>
      <c r="DI155"/>
      <c r="DJ155">
        <v>7.8E-2</v>
      </c>
      <c r="DK155">
        <v>1.2999999999999999E-2</v>
      </c>
      <c r="DL155">
        <v>1.2999999999999999E-2</v>
      </c>
      <c r="DM155"/>
      <c r="DN155">
        <v>2.3E-2</v>
      </c>
      <c r="DO155">
        <v>5.0000000000000001E-3</v>
      </c>
      <c r="DP155">
        <v>2.7E-2</v>
      </c>
      <c r="DQ155">
        <v>6.3E-2</v>
      </c>
      <c r="DR155">
        <v>4.4999999999999998E-2</v>
      </c>
      <c r="DS155">
        <v>3.6999999999999998E-2</v>
      </c>
      <c r="DT155">
        <v>3.3000000000000002E-2</v>
      </c>
      <c r="DU155">
        <v>4.0000000000000001E-3</v>
      </c>
      <c r="DV155"/>
      <c r="DW155">
        <v>5.0000000000000001E-3</v>
      </c>
      <c r="DX155">
        <v>2.1000000000000001E-2</v>
      </c>
      <c r="DY155">
        <v>6.5000000000000002E-2</v>
      </c>
      <c r="DZ155">
        <v>0.08</v>
      </c>
      <c r="EA155">
        <v>2E-3</v>
      </c>
      <c r="EB155">
        <v>1.0999999999999999E-2</v>
      </c>
      <c r="EC155">
        <v>7.3999999999999996E-2</v>
      </c>
      <c r="ED155">
        <v>1.6E-2</v>
      </c>
      <c r="EE155">
        <v>0.05</v>
      </c>
      <c r="EF155">
        <v>0.02</v>
      </c>
      <c r="EG155">
        <v>1.4999999999999999E-2</v>
      </c>
      <c r="EH155">
        <v>2.5000000000000001E-2</v>
      </c>
      <c r="EI155">
        <v>5.0000000000000001E-3</v>
      </c>
      <c r="EJ155">
        <v>3.0000000000000001E-3</v>
      </c>
      <c r="EK155">
        <v>7.0000000000000001E-3</v>
      </c>
      <c r="EL155">
        <v>3.0000000000000001E-3</v>
      </c>
      <c r="EM155">
        <v>1.4999999999999999E-2</v>
      </c>
      <c r="EN155">
        <v>1.0999999999999999E-2</v>
      </c>
      <c r="EO155">
        <v>8.9999999999999993E-3</v>
      </c>
      <c r="EP155">
        <v>3.5000000000000003E-2</v>
      </c>
      <c r="EQ155">
        <v>1.4E-2</v>
      </c>
      <c r="ER155">
        <v>1.7999999999999999E-2</v>
      </c>
      <c r="ES155">
        <v>1.7000000000000001E-2</v>
      </c>
      <c r="ET155"/>
      <c r="EU155">
        <v>1.4E-2</v>
      </c>
      <c r="EV155">
        <v>4.8000000000000001E-2</v>
      </c>
      <c r="EW155">
        <v>7.0000000000000001E-3</v>
      </c>
      <c r="EX155">
        <v>1.2999999999999999E-2</v>
      </c>
      <c r="EY155">
        <v>0.1</v>
      </c>
      <c r="EZ155">
        <v>2E-3</v>
      </c>
      <c r="FA155">
        <v>6.0000000000000001E-3</v>
      </c>
      <c r="FB155">
        <v>2E-3</v>
      </c>
      <c r="FC155">
        <v>2.5999999999999999E-2</v>
      </c>
      <c r="FD155">
        <v>9.8000000000000004E-2</v>
      </c>
      <c r="FE155">
        <v>3.6999999999999998E-2</v>
      </c>
      <c r="FF155">
        <v>6.9000000000000006E-2</v>
      </c>
      <c r="FG155">
        <v>4.0000000000000001E-3</v>
      </c>
      <c r="FH155">
        <v>8.9999999999999993E-3</v>
      </c>
      <c r="FI155"/>
      <c r="FJ155">
        <v>5.3999999999999999E-2</v>
      </c>
      <c r="FK155">
        <v>2.1999999999999999E-2</v>
      </c>
      <c r="FL155">
        <v>5.0999999999999997E-2</v>
      </c>
      <c r="FM155">
        <v>3.0000000000000001E-3</v>
      </c>
      <c r="FN155">
        <v>4.0000000000000001E-3</v>
      </c>
      <c r="FO155">
        <v>1.2999999999999999E-2</v>
      </c>
      <c r="FP155">
        <v>4.3999999999999997E-2</v>
      </c>
      <c r="FQ155">
        <v>5.0000000000000001E-3</v>
      </c>
      <c r="FR155">
        <v>1.2E-2</v>
      </c>
      <c r="FS155">
        <v>0.05</v>
      </c>
      <c r="FT155">
        <v>0.06</v>
      </c>
      <c r="FU155">
        <v>1.2999999999999999E-2</v>
      </c>
      <c r="FV155">
        <v>0.02</v>
      </c>
      <c r="FW155">
        <v>1.2999999999999999E-2</v>
      </c>
      <c r="FX155">
        <v>1.2999999999999999E-2</v>
      </c>
      <c r="FY155">
        <v>5.1999999999999998E-2</v>
      </c>
      <c r="FZ155">
        <v>4.2999999999999997E-2</v>
      </c>
      <c r="GA155">
        <v>8.9999999999999993E-3</v>
      </c>
      <c r="GB155">
        <v>6.0000000000000001E-3</v>
      </c>
      <c r="GC155">
        <v>4.0000000000000001E-3</v>
      </c>
      <c r="GD155">
        <v>3.9E-2</v>
      </c>
      <c r="GE155">
        <v>6.0000000000000001E-3</v>
      </c>
      <c r="GF155">
        <v>0.01</v>
      </c>
      <c r="GG155">
        <v>0.04</v>
      </c>
      <c r="GH155">
        <v>2.5999999999999999E-2</v>
      </c>
      <c r="GI155">
        <v>1.4999999999999999E-2</v>
      </c>
      <c r="GJ155">
        <v>0.02</v>
      </c>
      <c r="GK155">
        <v>3.7999999999999999E-2</v>
      </c>
      <c r="GL155">
        <v>4.9000000000000002E-2</v>
      </c>
      <c r="GM155">
        <v>5.3999999999999999E-2</v>
      </c>
    </row>
    <row r="156" spans="8:195" ht="14.4" x14ac:dyDescent="0.3">
      <c r="H156" t="s">
        <v>879</v>
      </c>
      <c r="I156">
        <v>7.0000000000000001E-3</v>
      </c>
      <c r="J156">
        <v>0</v>
      </c>
      <c r="K156">
        <v>1E-3</v>
      </c>
      <c r="L156">
        <v>1.7999999999999999E-2</v>
      </c>
      <c r="M156">
        <v>1E-3</v>
      </c>
      <c r="N156">
        <v>0</v>
      </c>
      <c r="O156">
        <v>0</v>
      </c>
      <c r="P156">
        <v>0</v>
      </c>
      <c r="Q156">
        <v>0</v>
      </c>
      <c r="R156">
        <v>1E-3</v>
      </c>
      <c r="S156">
        <v>1E-3</v>
      </c>
      <c r="T156">
        <v>0</v>
      </c>
      <c r="U156">
        <v>2E-3</v>
      </c>
      <c r="V156">
        <v>0</v>
      </c>
      <c r="W156">
        <v>0</v>
      </c>
      <c r="X156">
        <v>0</v>
      </c>
      <c r="Y156">
        <v>1E-3</v>
      </c>
      <c r="Z156">
        <v>0.01</v>
      </c>
      <c r="AA156">
        <v>2E-3</v>
      </c>
      <c r="AB156">
        <v>2E-3</v>
      </c>
      <c r="AC156">
        <v>0</v>
      </c>
      <c r="AD156">
        <v>2E-3</v>
      </c>
      <c r="AE156">
        <v>0</v>
      </c>
      <c r="AF156">
        <v>0</v>
      </c>
      <c r="AG156">
        <v>0</v>
      </c>
      <c r="AH156">
        <v>8.0000000000000002E-3</v>
      </c>
      <c r="AI156">
        <v>7.0000000000000001E-3</v>
      </c>
      <c r="AJ156">
        <v>1E-3</v>
      </c>
      <c r="AK156">
        <v>1E-3</v>
      </c>
      <c r="AL156">
        <v>8.0000000000000002E-3</v>
      </c>
      <c r="AM156">
        <v>0</v>
      </c>
      <c r="AN156">
        <v>1.0999999999999999E-2</v>
      </c>
      <c r="AO156">
        <v>1.4999999999999999E-2</v>
      </c>
      <c r="AP156">
        <v>0</v>
      </c>
      <c r="AQ156">
        <v>0</v>
      </c>
      <c r="AR156">
        <v>1E-3</v>
      </c>
      <c r="AS156"/>
      <c r="AT156">
        <v>3.0000000000000001E-3</v>
      </c>
      <c r="AU156">
        <v>0</v>
      </c>
      <c r="AV156">
        <v>7.0000000000000001E-3</v>
      </c>
      <c r="AW156">
        <v>0</v>
      </c>
      <c r="AX156">
        <v>0</v>
      </c>
      <c r="AY156"/>
      <c r="AZ156">
        <v>0</v>
      </c>
      <c r="BA156">
        <v>0</v>
      </c>
      <c r="BB156">
        <v>1E-3</v>
      </c>
      <c r="BC156">
        <v>7.0000000000000001E-3</v>
      </c>
      <c r="BD156">
        <v>0</v>
      </c>
      <c r="BE156">
        <v>3.0000000000000001E-3</v>
      </c>
      <c r="BF156">
        <v>1E-3</v>
      </c>
      <c r="BG156">
        <v>1E-3</v>
      </c>
      <c r="BH156">
        <v>1E-3</v>
      </c>
      <c r="BI156">
        <v>1E-3</v>
      </c>
      <c r="BJ156">
        <v>7.0000000000000001E-3</v>
      </c>
      <c r="BK156">
        <v>3.0000000000000001E-3</v>
      </c>
      <c r="BL156">
        <v>0</v>
      </c>
      <c r="BM156">
        <v>5.0000000000000001E-3</v>
      </c>
      <c r="BN156">
        <v>1E-3</v>
      </c>
      <c r="BO156">
        <v>0</v>
      </c>
      <c r="BP156">
        <v>0</v>
      </c>
      <c r="BQ156">
        <v>4.0000000000000001E-3</v>
      </c>
      <c r="BR156">
        <v>6.0000000000000001E-3</v>
      </c>
      <c r="BS156">
        <v>0</v>
      </c>
      <c r="BT156">
        <v>0</v>
      </c>
      <c r="BU156">
        <v>5.0000000000000001E-3</v>
      </c>
      <c r="BV156">
        <v>0</v>
      </c>
      <c r="BW156">
        <v>0</v>
      </c>
      <c r="BX156">
        <v>1E-3</v>
      </c>
      <c r="BY156">
        <v>0.01</v>
      </c>
      <c r="BZ156">
        <v>8.9999999999999993E-3</v>
      </c>
      <c r="CA156">
        <v>2E-3</v>
      </c>
      <c r="CB156">
        <v>5.0000000000000001E-3</v>
      </c>
      <c r="CC156">
        <v>1E-3</v>
      </c>
      <c r="CD156">
        <v>0</v>
      </c>
      <c r="CE156">
        <v>0</v>
      </c>
      <c r="CF156">
        <v>2E-3</v>
      </c>
      <c r="CG156">
        <v>1E-3</v>
      </c>
      <c r="CH156">
        <v>1E-3</v>
      </c>
      <c r="CI156">
        <v>2E-3</v>
      </c>
      <c r="CJ156">
        <v>0</v>
      </c>
      <c r="CK156">
        <v>0</v>
      </c>
      <c r="CL156">
        <v>0</v>
      </c>
      <c r="CM156">
        <v>1E-3</v>
      </c>
      <c r="CN156">
        <v>0</v>
      </c>
      <c r="CO156">
        <v>1E-3</v>
      </c>
      <c r="CP156">
        <v>0</v>
      </c>
      <c r="CQ156">
        <v>4.0000000000000001E-3</v>
      </c>
      <c r="CR156">
        <v>3.0000000000000001E-3</v>
      </c>
      <c r="CS156">
        <v>0</v>
      </c>
      <c r="CT156">
        <v>1E-3</v>
      </c>
      <c r="CU156">
        <v>4.0000000000000001E-3</v>
      </c>
      <c r="CV156">
        <v>0</v>
      </c>
      <c r="CW156">
        <v>0</v>
      </c>
      <c r="CX156">
        <v>6.0000000000000001E-3</v>
      </c>
      <c r="CY156">
        <v>5.0000000000000001E-3</v>
      </c>
      <c r="CZ156">
        <v>1E-3</v>
      </c>
      <c r="DA156">
        <v>1E-3</v>
      </c>
      <c r="DB156">
        <v>0</v>
      </c>
      <c r="DC156">
        <v>4.0000000000000001E-3</v>
      </c>
      <c r="DD156">
        <v>6.0000000000000001E-3</v>
      </c>
      <c r="DE156">
        <v>0</v>
      </c>
      <c r="DF156">
        <v>0</v>
      </c>
      <c r="DG156">
        <v>1.0999999999999999E-2</v>
      </c>
      <c r="DH156">
        <v>0</v>
      </c>
      <c r="DI156"/>
      <c r="DJ156">
        <v>6.0000000000000001E-3</v>
      </c>
      <c r="DK156">
        <v>0</v>
      </c>
      <c r="DL156">
        <v>1E-3</v>
      </c>
      <c r="DM156"/>
      <c r="DN156">
        <v>1E-3</v>
      </c>
      <c r="DO156">
        <v>0</v>
      </c>
      <c r="DP156">
        <v>1E-3</v>
      </c>
      <c r="DQ156">
        <v>6.0000000000000001E-3</v>
      </c>
      <c r="DR156">
        <v>3.0000000000000001E-3</v>
      </c>
      <c r="DS156">
        <v>3.0000000000000001E-3</v>
      </c>
      <c r="DT156">
        <v>2E-3</v>
      </c>
      <c r="DU156">
        <v>0</v>
      </c>
      <c r="DV156"/>
      <c r="DW156">
        <v>0</v>
      </c>
      <c r="DX156">
        <v>1E-3</v>
      </c>
      <c r="DY156">
        <v>0.01</v>
      </c>
      <c r="DZ156">
        <v>1.0999999999999999E-2</v>
      </c>
      <c r="EA156">
        <v>0</v>
      </c>
      <c r="EB156">
        <v>0</v>
      </c>
      <c r="EC156">
        <v>4.0000000000000001E-3</v>
      </c>
      <c r="ED156">
        <v>1E-3</v>
      </c>
      <c r="EE156">
        <v>4.0000000000000001E-3</v>
      </c>
      <c r="EF156">
        <v>1E-3</v>
      </c>
      <c r="EG156">
        <v>1E-3</v>
      </c>
      <c r="EH156">
        <v>2E-3</v>
      </c>
      <c r="EI156">
        <v>0</v>
      </c>
      <c r="EJ156">
        <v>0</v>
      </c>
      <c r="EK156">
        <v>0</v>
      </c>
      <c r="EL156">
        <v>0</v>
      </c>
      <c r="EM156">
        <v>1E-3</v>
      </c>
      <c r="EN156">
        <v>0</v>
      </c>
      <c r="EO156">
        <v>0</v>
      </c>
      <c r="EP156">
        <v>3.0000000000000001E-3</v>
      </c>
      <c r="EQ156">
        <v>0</v>
      </c>
      <c r="ER156">
        <v>0</v>
      </c>
      <c r="ES156">
        <v>1E-3</v>
      </c>
      <c r="ET156"/>
      <c r="EU156">
        <v>1E-3</v>
      </c>
      <c r="EV156">
        <v>2E-3</v>
      </c>
      <c r="EW156">
        <v>0</v>
      </c>
      <c r="EX156">
        <v>1E-3</v>
      </c>
      <c r="EY156">
        <v>1.4E-2</v>
      </c>
      <c r="EZ156">
        <v>0</v>
      </c>
      <c r="FA156">
        <v>0</v>
      </c>
      <c r="FB156">
        <v>0</v>
      </c>
      <c r="FC156">
        <v>1E-3</v>
      </c>
      <c r="FD156">
        <v>1.4999999999999999E-2</v>
      </c>
      <c r="FE156">
        <v>3.0000000000000001E-3</v>
      </c>
      <c r="FF156">
        <v>8.9999999999999993E-3</v>
      </c>
      <c r="FG156">
        <v>0</v>
      </c>
      <c r="FH156">
        <v>0</v>
      </c>
      <c r="FI156"/>
      <c r="FJ156">
        <v>6.0000000000000001E-3</v>
      </c>
      <c r="FK156">
        <v>1E-3</v>
      </c>
      <c r="FL156">
        <v>4.0000000000000001E-3</v>
      </c>
      <c r="FM156">
        <v>0</v>
      </c>
      <c r="FN156">
        <v>0</v>
      </c>
      <c r="FO156">
        <v>1E-3</v>
      </c>
      <c r="FP156">
        <v>2E-3</v>
      </c>
      <c r="FQ156">
        <v>0</v>
      </c>
      <c r="FR156">
        <v>0</v>
      </c>
      <c r="FS156">
        <v>2E-3</v>
      </c>
      <c r="FT156">
        <v>7.0000000000000001E-3</v>
      </c>
      <c r="FU156">
        <v>1E-3</v>
      </c>
      <c r="FV156">
        <v>1E-3</v>
      </c>
      <c r="FW156">
        <v>1E-3</v>
      </c>
      <c r="FX156">
        <v>1E-3</v>
      </c>
      <c r="FY156">
        <v>2E-3</v>
      </c>
      <c r="FZ156">
        <v>5.0000000000000001E-3</v>
      </c>
      <c r="GA156">
        <v>0</v>
      </c>
      <c r="GB156">
        <v>0</v>
      </c>
      <c r="GC156">
        <v>0</v>
      </c>
      <c r="GD156">
        <v>4.0000000000000001E-3</v>
      </c>
      <c r="GE156">
        <v>0</v>
      </c>
      <c r="GF156">
        <v>0</v>
      </c>
      <c r="GG156">
        <v>1E-3</v>
      </c>
      <c r="GH156">
        <v>1E-3</v>
      </c>
      <c r="GI156">
        <v>1E-3</v>
      </c>
      <c r="GJ156">
        <v>1E-3</v>
      </c>
      <c r="GK156">
        <v>2E-3</v>
      </c>
      <c r="GL156">
        <v>6.0000000000000001E-3</v>
      </c>
      <c r="GM156">
        <v>7.0000000000000001E-3</v>
      </c>
    </row>
    <row r="157" spans="8:195" ht="14.4" x14ac:dyDescent="0.3">
      <c r="H157" t="s">
        <v>880</v>
      </c>
      <c r="I157">
        <v>2E-3</v>
      </c>
      <c r="J157">
        <v>0</v>
      </c>
      <c r="K157">
        <v>1E-3</v>
      </c>
      <c r="L157">
        <v>6.0000000000000001E-3</v>
      </c>
      <c r="M157">
        <v>0</v>
      </c>
      <c r="N157">
        <v>0</v>
      </c>
      <c r="O157">
        <v>0</v>
      </c>
      <c r="P157">
        <v>0</v>
      </c>
      <c r="Q157">
        <v>0</v>
      </c>
      <c r="R157">
        <v>0</v>
      </c>
      <c r="S157">
        <v>0</v>
      </c>
      <c r="T157">
        <v>0</v>
      </c>
      <c r="U157">
        <v>1E-3</v>
      </c>
      <c r="V157">
        <v>0</v>
      </c>
      <c r="W157">
        <v>0</v>
      </c>
      <c r="X157">
        <v>0</v>
      </c>
      <c r="Y157">
        <v>1E-3</v>
      </c>
      <c r="Z157">
        <v>3.0000000000000001E-3</v>
      </c>
      <c r="AA157">
        <v>2E-3</v>
      </c>
      <c r="AB157">
        <v>2E-3</v>
      </c>
      <c r="AC157">
        <v>0</v>
      </c>
      <c r="AD157">
        <v>1E-3</v>
      </c>
      <c r="AE157">
        <v>0</v>
      </c>
      <c r="AF157">
        <v>0</v>
      </c>
      <c r="AG157">
        <v>0</v>
      </c>
      <c r="AH157">
        <v>3.0000000000000001E-3</v>
      </c>
      <c r="AI157">
        <v>5.0000000000000001E-3</v>
      </c>
      <c r="AJ157">
        <v>0</v>
      </c>
      <c r="AK157">
        <v>2E-3</v>
      </c>
      <c r="AL157">
        <v>4.0000000000000001E-3</v>
      </c>
      <c r="AM157">
        <v>0</v>
      </c>
      <c r="AN157">
        <v>6.0000000000000001E-3</v>
      </c>
      <c r="AO157">
        <v>6.0000000000000001E-3</v>
      </c>
      <c r="AP157">
        <v>0</v>
      </c>
      <c r="AQ157">
        <v>0</v>
      </c>
      <c r="AR157">
        <v>0</v>
      </c>
      <c r="AS157"/>
      <c r="AT157">
        <v>2E-3</v>
      </c>
      <c r="AU157">
        <v>0</v>
      </c>
      <c r="AV157">
        <v>7.0000000000000001E-3</v>
      </c>
      <c r="AW157">
        <v>0</v>
      </c>
      <c r="AX157">
        <v>0</v>
      </c>
      <c r="AY157"/>
      <c r="AZ157">
        <v>0</v>
      </c>
      <c r="BA157">
        <v>0</v>
      </c>
      <c r="BB157">
        <v>1E-3</v>
      </c>
      <c r="BC157">
        <v>4.0000000000000001E-3</v>
      </c>
      <c r="BD157">
        <v>0</v>
      </c>
      <c r="BE157">
        <v>3.0000000000000001E-3</v>
      </c>
      <c r="BF157">
        <v>0</v>
      </c>
      <c r="BG157">
        <v>0</v>
      </c>
      <c r="BH157">
        <v>1E-3</v>
      </c>
      <c r="BI157">
        <v>0</v>
      </c>
      <c r="BJ157">
        <v>4.0000000000000001E-3</v>
      </c>
      <c r="BK157">
        <v>1E-3</v>
      </c>
      <c r="BL157">
        <v>0</v>
      </c>
      <c r="BM157">
        <v>3.0000000000000001E-3</v>
      </c>
      <c r="BN157">
        <v>1E-3</v>
      </c>
      <c r="BO157">
        <v>0</v>
      </c>
      <c r="BP157">
        <v>0</v>
      </c>
      <c r="BQ157">
        <v>2E-3</v>
      </c>
      <c r="BR157">
        <v>3.0000000000000001E-3</v>
      </c>
      <c r="BS157">
        <v>0</v>
      </c>
      <c r="BT157">
        <v>0</v>
      </c>
      <c r="BU157">
        <v>3.0000000000000001E-3</v>
      </c>
      <c r="BV157">
        <v>0</v>
      </c>
      <c r="BW157">
        <v>0</v>
      </c>
      <c r="BX157">
        <v>1E-3</v>
      </c>
      <c r="BY157">
        <v>4.0000000000000001E-3</v>
      </c>
      <c r="BZ157">
        <v>3.0000000000000001E-3</v>
      </c>
      <c r="CA157">
        <v>1E-3</v>
      </c>
      <c r="CB157">
        <v>3.0000000000000001E-3</v>
      </c>
      <c r="CC157">
        <v>1E-3</v>
      </c>
      <c r="CD157">
        <v>0</v>
      </c>
      <c r="CE157">
        <v>0</v>
      </c>
      <c r="CF157">
        <v>1E-3</v>
      </c>
      <c r="CG157">
        <v>1E-3</v>
      </c>
      <c r="CH157">
        <v>0</v>
      </c>
      <c r="CI157">
        <v>1E-3</v>
      </c>
      <c r="CJ157">
        <v>0</v>
      </c>
      <c r="CK157">
        <v>0</v>
      </c>
      <c r="CL157">
        <v>0</v>
      </c>
      <c r="CM157">
        <v>0</v>
      </c>
      <c r="CN157">
        <v>0</v>
      </c>
      <c r="CO157">
        <v>0</v>
      </c>
      <c r="CP157">
        <v>0</v>
      </c>
      <c r="CQ157">
        <v>3.0000000000000001E-3</v>
      </c>
      <c r="CR157">
        <v>1E-3</v>
      </c>
      <c r="CS157">
        <v>0</v>
      </c>
      <c r="CT157">
        <v>1E-3</v>
      </c>
      <c r="CU157">
        <v>1E-3</v>
      </c>
      <c r="CV157">
        <v>0</v>
      </c>
      <c r="CW157">
        <v>0</v>
      </c>
      <c r="CX157">
        <v>2E-3</v>
      </c>
      <c r="CY157">
        <v>3.0000000000000001E-3</v>
      </c>
      <c r="CZ157">
        <v>1E-3</v>
      </c>
      <c r="DA157">
        <v>0</v>
      </c>
      <c r="DB157">
        <v>0</v>
      </c>
      <c r="DC157">
        <v>2E-3</v>
      </c>
      <c r="DD157">
        <v>2E-3</v>
      </c>
      <c r="DE157">
        <v>0</v>
      </c>
      <c r="DF157">
        <v>0</v>
      </c>
      <c r="DG157">
        <v>3.0000000000000001E-3</v>
      </c>
      <c r="DH157">
        <v>0</v>
      </c>
      <c r="DI157"/>
      <c r="DJ157">
        <v>2E-3</v>
      </c>
      <c r="DK157">
        <v>0</v>
      </c>
      <c r="DL157">
        <v>0</v>
      </c>
      <c r="DM157"/>
      <c r="DN157">
        <v>1E-3</v>
      </c>
      <c r="DO157">
        <v>0</v>
      </c>
      <c r="DP157">
        <v>0</v>
      </c>
      <c r="DQ157">
        <v>4.0000000000000001E-3</v>
      </c>
      <c r="DR157">
        <v>1E-3</v>
      </c>
      <c r="DS157">
        <v>1E-3</v>
      </c>
      <c r="DT157">
        <v>1E-3</v>
      </c>
      <c r="DU157">
        <v>0</v>
      </c>
      <c r="DV157"/>
      <c r="DW157">
        <v>0</v>
      </c>
      <c r="DX157">
        <v>0</v>
      </c>
      <c r="DY157">
        <v>2E-3</v>
      </c>
      <c r="DZ157">
        <v>5.0000000000000001E-3</v>
      </c>
      <c r="EA157">
        <v>0</v>
      </c>
      <c r="EB157">
        <v>0</v>
      </c>
      <c r="EC157">
        <v>1E-3</v>
      </c>
      <c r="ED157">
        <v>0</v>
      </c>
      <c r="EE157">
        <v>1E-3</v>
      </c>
      <c r="EF157">
        <v>1E-3</v>
      </c>
      <c r="EG157">
        <v>1E-3</v>
      </c>
      <c r="EH157">
        <v>1E-3</v>
      </c>
      <c r="EI157">
        <v>0</v>
      </c>
      <c r="EJ157">
        <v>0</v>
      </c>
      <c r="EK157">
        <v>0</v>
      </c>
      <c r="EL157">
        <v>0</v>
      </c>
      <c r="EM157">
        <v>0</v>
      </c>
      <c r="EN157">
        <v>0</v>
      </c>
      <c r="EO157">
        <v>0</v>
      </c>
      <c r="EP157">
        <v>4.0000000000000001E-3</v>
      </c>
      <c r="EQ157">
        <v>0</v>
      </c>
      <c r="ER157">
        <v>1E-3</v>
      </c>
      <c r="ES157">
        <v>0</v>
      </c>
      <c r="ET157"/>
      <c r="EU157">
        <v>1E-3</v>
      </c>
      <c r="EV157">
        <v>1E-3</v>
      </c>
      <c r="EW157">
        <v>0</v>
      </c>
      <c r="EX157">
        <v>0</v>
      </c>
      <c r="EY157">
        <v>6.0000000000000001E-3</v>
      </c>
      <c r="EZ157">
        <v>0</v>
      </c>
      <c r="FA157">
        <v>0</v>
      </c>
      <c r="FB157">
        <v>0</v>
      </c>
      <c r="FC157">
        <v>1E-3</v>
      </c>
      <c r="FD157">
        <v>4.0000000000000001E-3</v>
      </c>
      <c r="FE157">
        <v>1E-3</v>
      </c>
      <c r="FF157">
        <v>4.0000000000000001E-3</v>
      </c>
      <c r="FG157">
        <v>0</v>
      </c>
      <c r="FH157">
        <v>0</v>
      </c>
      <c r="FI157"/>
      <c r="FJ157">
        <v>2E-3</v>
      </c>
      <c r="FK157">
        <v>1E-3</v>
      </c>
      <c r="FL157">
        <v>2E-3</v>
      </c>
      <c r="FM157">
        <v>0</v>
      </c>
      <c r="FN157">
        <v>0</v>
      </c>
      <c r="FO157">
        <v>2E-3</v>
      </c>
      <c r="FP157">
        <v>1E-3</v>
      </c>
      <c r="FQ157">
        <v>0</v>
      </c>
      <c r="FR157">
        <v>0</v>
      </c>
      <c r="FS157">
        <v>1E-3</v>
      </c>
      <c r="FT157">
        <v>3.0000000000000001E-3</v>
      </c>
      <c r="FU157">
        <v>0</v>
      </c>
      <c r="FV157">
        <v>1E-3</v>
      </c>
      <c r="FW157">
        <v>0</v>
      </c>
      <c r="FX157">
        <v>1E-3</v>
      </c>
      <c r="FY157">
        <v>1E-3</v>
      </c>
      <c r="FZ157">
        <v>3.0000000000000001E-3</v>
      </c>
      <c r="GA157">
        <v>0</v>
      </c>
      <c r="GB157">
        <v>0</v>
      </c>
      <c r="GC157">
        <v>0</v>
      </c>
      <c r="GD157">
        <v>3.0000000000000001E-3</v>
      </c>
      <c r="GE157">
        <v>0</v>
      </c>
      <c r="GF157">
        <v>0</v>
      </c>
      <c r="GG157">
        <v>1E-3</v>
      </c>
      <c r="GH157">
        <v>1E-3</v>
      </c>
      <c r="GI157">
        <v>0</v>
      </c>
      <c r="GJ157">
        <v>1E-3</v>
      </c>
      <c r="GK157">
        <v>1E-3</v>
      </c>
      <c r="GL157">
        <v>3.0000000000000001E-3</v>
      </c>
      <c r="GM157">
        <v>3.0000000000000001E-3</v>
      </c>
    </row>
    <row r="158" spans="8:195" ht="14.4" x14ac:dyDescent="0.3">
      <c r="H158" t="s">
        <v>881</v>
      </c>
      <c r="I158">
        <v>2E-3</v>
      </c>
      <c r="J158">
        <v>0</v>
      </c>
      <c r="K158">
        <v>1E-3</v>
      </c>
      <c r="L158">
        <v>3.0000000000000001E-3</v>
      </c>
      <c r="M158">
        <v>0</v>
      </c>
      <c r="N158">
        <v>0</v>
      </c>
      <c r="O158">
        <v>0</v>
      </c>
      <c r="P158">
        <v>0</v>
      </c>
      <c r="Q158">
        <v>0</v>
      </c>
      <c r="R158">
        <v>0</v>
      </c>
      <c r="S158">
        <v>0</v>
      </c>
      <c r="T158">
        <v>0</v>
      </c>
      <c r="U158">
        <v>1E-3</v>
      </c>
      <c r="V158">
        <v>0</v>
      </c>
      <c r="W158">
        <v>0</v>
      </c>
      <c r="X158">
        <v>0</v>
      </c>
      <c r="Y158">
        <v>1E-3</v>
      </c>
      <c r="Z158">
        <v>2E-3</v>
      </c>
      <c r="AA158">
        <v>1E-3</v>
      </c>
      <c r="AB158">
        <v>1E-3</v>
      </c>
      <c r="AC158">
        <v>0</v>
      </c>
      <c r="AD158">
        <v>1E-3</v>
      </c>
      <c r="AE158">
        <v>0</v>
      </c>
      <c r="AF158">
        <v>0</v>
      </c>
      <c r="AG158">
        <v>0</v>
      </c>
      <c r="AH158">
        <v>2E-3</v>
      </c>
      <c r="AI158">
        <v>3.0000000000000001E-3</v>
      </c>
      <c r="AJ158">
        <v>0</v>
      </c>
      <c r="AK158">
        <v>2E-3</v>
      </c>
      <c r="AL158">
        <v>2E-3</v>
      </c>
      <c r="AM158">
        <v>0</v>
      </c>
      <c r="AN158">
        <v>3.0000000000000001E-3</v>
      </c>
      <c r="AO158">
        <v>3.0000000000000001E-3</v>
      </c>
      <c r="AP158">
        <v>0</v>
      </c>
      <c r="AQ158">
        <v>0</v>
      </c>
      <c r="AR158">
        <v>1E-3</v>
      </c>
      <c r="AS158"/>
      <c r="AT158">
        <v>2E-3</v>
      </c>
      <c r="AU158">
        <v>0</v>
      </c>
      <c r="AV158">
        <v>4.0000000000000001E-3</v>
      </c>
      <c r="AW158">
        <v>0</v>
      </c>
      <c r="AX158">
        <v>0</v>
      </c>
      <c r="AY158"/>
      <c r="AZ158">
        <v>0</v>
      </c>
      <c r="BA158">
        <v>0</v>
      </c>
      <c r="BB158">
        <v>1E-3</v>
      </c>
      <c r="BC158">
        <v>2E-3</v>
      </c>
      <c r="BD158">
        <v>0</v>
      </c>
      <c r="BE158">
        <v>2E-3</v>
      </c>
      <c r="BF158">
        <v>0</v>
      </c>
      <c r="BG158">
        <v>1E-3</v>
      </c>
      <c r="BH158">
        <v>1E-3</v>
      </c>
      <c r="BI158">
        <v>1E-3</v>
      </c>
      <c r="BJ158">
        <v>2E-3</v>
      </c>
      <c r="BK158">
        <v>1E-3</v>
      </c>
      <c r="BL158">
        <v>0</v>
      </c>
      <c r="BM158">
        <v>2E-3</v>
      </c>
      <c r="BN158">
        <v>0</v>
      </c>
      <c r="BO158">
        <v>0</v>
      </c>
      <c r="BP158">
        <v>0</v>
      </c>
      <c r="BQ158">
        <v>1E-3</v>
      </c>
      <c r="BR158">
        <v>2E-3</v>
      </c>
      <c r="BS158">
        <v>0</v>
      </c>
      <c r="BT158">
        <v>0</v>
      </c>
      <c r="BU158">
        <v>2E-3</v>
      </c>
      <c r="BV158">
        <v>0</v>
      </c>
      <c r="BW158">
        <v>0</v>
      </c>
      <c r="BX158">
        <v>1E-3</v>
      </c>
      <c r="BY158">
        <v>2E-3</v>
      </c>
      <c r="BZ158">
        <v>2E-3</v>
      </c>
      <c r="CA158">
        <v>1E-3</v>
      </c>
      <c r="CB158">
        <v>2E-3</v>
      </c>
      <c r="CC158">
        <v>1E-3</v>
      </c>
      <c r="CD158">
        <v>0</v>
      </c>
      <c r="CE158">
        <v>0</v>
      </c>
      <c r="CF158">
        <v>1E-3</v>
      </c>
      <c r="CG158">
        <v>1E-3</v>
      </c>
      <c r="CH158">
        <v>0</v>
      </c>
      <c r="CI158">
        <v>1E-3</v>
      </c>
      <c r="CJ158">
        <v>0</v>
      </c>
      <c r="CK158">
        <v>0</v>
      </c>
      <c r="CL158">
        <v>0</v>
      </c>
      <c r="CM158">
        <v>0</v>
      </c>
      <c r="CN158">
        <v>0</v>
      </c>
      <c r="CO158">
        <v>0</v>
      </c>
      <c r="CP158">
        <v>0</v>
      </c>
      <c r="CQ158">
        <v>2E-3</v>
      </c>
      <c r="CR158">
        <v>1E-3</v>
      </c>
      <c r="CS158">
        <v>0</v>
      </c>
      <c r="CT158">
        <v>0</v>
      </c>
      <c r="CU158">
        <v>1E-3</v>
      </c>
      <c r="CV158">
        <v>0</v>
      </c>
      <c r="CW158">
        <v>0</v>
      </c>
      <c r="CX158">
        <v>2E-3</v>
      </c>
      <c r="CY158">
        <v>2E-3</v>
      </c>
      <c r="CZ158">
        <v>1E-3</v>
      </c>
      <c r="DA158">
        <v>0</v>
      </c>
      <c r="DB158">
        <v>0</v>
      </c>
      <c r="DC158">
        <v>2E-3</v>
      </c>
      <c r="DD158">
        <v>2E-3</v>
      </c>
      <c r="DE158">
        <v>0</v>
      </c>
      <c r="DF158">
        <v>0</v>
      </c>
      <c r="DG158">
        <v>2E-3</v>
      </c>
      <c r="DH158">
        <v>0</v>
      </c>
      <c r="DI158"/>
      <c r="DJ158">
        <v>1E-3</v>
      </c>
      <c r="DK158">
        <v>0</v>
      </c>
      <c r="DL158">
        <v>0</v>
      </c>
      <c r="DM158"/>
      <c r="DN158">
        <v>1E-3</v>
      </c>
      <c r="DO158">
        <v>0</v>
      </c>
      <c r="DP158">
        <v>0</v>
      </c>
      <c r="DQ158">
        <v>2E-3</v>
      </c>
      <c r="DR158">
        <v>1E-3</v>
      </c>
      <c r="DS158">
        <v>1E-3</v>
      </c>
      <c r="DT158">
        <v>1E-3</v>
      </c>
      <c r="DU158">
        <v>0</v>
      </c>
      <c r="DV158"/>
      <c r="DW158">
        <v>0</v>
      </c>
      <c r="DX158">
        <v>0</v>
      </c>
      <c r="DY158">
        <v>1E-3</v>
      </c>
      <c r="DZ158">
        <v>3.0000000000000001E-3</v>
      </c>
      <c r="EA158">
        <v>0</v>
      </c>
      <c r="EB158">
        <v>0</v>
      </c>
      <c r="EC158">
        <v>1E-3</v>
      </c>
      <c r="ED158">
        <v>1E-3</v>
      </c>
      <c r="EE158">
        <v>1E-3</v>
      </c>
      <c r="EF158">
        <v>0</v>
      </c>
      <c r="EG158">
        <v>1E-3</v>
      </c>
      <c r="EH158">
        <v>1E-3</v>
      </c>
      <c r="EI158">
        <v>0</v>
      </c>
      <c r="EJ158">
        <v>0</v>
      </c>
      <c r="EK158">
        <v>0</v>
      </c>
      <c r="EL158">
        <v>0</v>
      </c>
      <c r="EM158">
        <v>0</v>
      </c>
      <c r="EN158">
        <v>0</v>
      </c>
      <c r="EO158">
        <v>0</v>
      </c>
      <c r="EP158">
        <v>2E-3</v>
      </c>
      <c r="EQ158">
        <v>1E-3</v>
      </c>
      <c r="ER158">
        <v>0</v>
      </c>
      <c r="ES158">
        <v>0</v>
      </c>
      <c r="ET158"/>
      <c r="EU158">
        <v>1E-3</v>
      </c>
      <c r="EV158">
        <v>1E-3</v>
      </c>
      <c r="EW158">
        <v>0</v>
      </c>
      <c r="EX158">
        <v>0</v>
      </c>
      <c r="EY158">
        <v>3.0000000000000001E-3</v>
      </c>
      <c r="EZ158">
        <v>0</v>
      </c>
      <c r="FA158">
        <v>0</v>
      </c>
      <c r="FB158">
        <v>0</v>
      </c>
      <c r="FC158">
        <v>1E-3</v>
      </c>
      <c r="FD158">
        <v>3.0000000000000001E-3</v>
      </c>
      <c r="FE158">
        <v>1E-3</v>
      </c>
      <c r="FF158">
        <v>3.0000000000000001E-3</v>
      </c>
      <c r="FG158">
        <v>0</v>
      </c>
      <c r="FH158">
        <v>0</v>
      </c>
      <c r="FI158"/>
      <c r="FJ158">
        <v>2E-3</v>
      </c>
      <c r="FK158">
        <v>0</v>
      </c>
      <c r="FL158">
        <v>2E-3</v>
      </c>
      <c r="FM158">
        <v>0</v>
      </c>
      <c r="FN158">
        <v>0</v>
      </c>
      <c r="FO158">
        <v>3.0000000000000001E-3</v>
      </c>
      <c r="FP158">
        <v>1E-3</v>
      </c>
      <c r="FQ158">
        <v>0</v>
      </c>
      <c r="FR158">
        <v>0</v>
      </c>
      <c r="FS158">
        <v>1E-3</v>
      </c>
      <c r="FT158">
        <v>2E-3</v>
      </c>
      <c r="FU158">
        <v>0</v>
      </c>
      <c r="FV158">
        <v>1E-3</v>
      </c>
      <c r="FW158">
        <v>0</v>
      </c>
      <c r="FX158">
        <v>1E-3</v>
      </c>
      <c r="FY158">
        <v>1E-3</v>
      </c>
      <c r="FZ158">
        <v>2E-3</v>
      </c>
      <c r="GA158">
        <v>0</v>
      </c>
      <c r="GB158">
        <v>0</v>
      </c>
      <c r="GC158">
        <v>0</v>
      </c>
      <c r="GD158">
        <v>2E-3</v>
      </c>
      <c r="GE158">
        <v>0</v>
      </c>
      <c r="GF158">
        <v>0</v>
      </c>
      <c r="GG158">
        <v>1E-3</v>
      </c>
      <c r="GH158">
        <v>0</v>
      </c>
      <c r="GI158">
        <v>0</v>
      </c>
      <c r="GJ158">
        <v>1E-3</v>
      </c>
      <c r="GK158">
        <v>1E-3</v>
      </c>
      <c r="GL158">
        <v>2E-3</v>
      </c>
      <c r="GM158">
        <v>2E-3</v>
      </c>
    </row>
    <row r="159" spans="8:195" ht="14.4" x14ac:dyDescent="0.3">
      <c r="H159" t="s">
        <v>882</v>
      </c>
      <c r="I159">
        <v>3.0000000000000001E-3</v>
      </c>
      <c r="J159">
        <v>0</v>
      </c>
      <c r="K159">
        <v>1E-3</v>
      </c>
      <c r="L159">
        <v>4.0000000000000001E-3</v>
      </c>
      <c r="M159">
        <v>1E-3</v>
      </c>
      <c r="N159">
        <v>1E-3</v>
      </c>
      <c r="O159">
        <v>1E-3</v>
      </c>
      <c r="P159">
        <v>0</v>
      </c>
      <c r="Q159">
        <v>0</v>
      </c>
      <c r="R159">
        <v>1E-3</v>
      </c>
      <c r="S159">
        <v>1E-3</v>
      </c>
      <c r="T159">
        <v>1E-3</v>
      </c>
      <c r="U159">
        <v>1E-3</v>
      </c>
      <c r="V159">
        <v>1E-3</v>
      </c>
      <c r="W159">
        <v>1E-3</v>
      </c>
      <c r="X159">
        <v>0</v>
      </c>
      <c r="Y159">
        <v>2E-3</v>
      </c>
      <c r="Z159">
        <v>2E-3</v>
      </c>
      <c r="AA159">
        <v>1E-3</v>
      </c>
      <c r="AB159">
        <v>2E-3</v>
      </c>
      <c r="AC159">
        <v>0</v>
      </c>
      <c r="AD159">
        <v>2E-3</v>
      </c>
      <c r="AE159">
        <v>2E-3</v>
      </c>
      <c r="AF159">
        <v>0</v>
      </c>
      <c r="AG159">
        <v>1E-3</v>
      </c>
      <c r="AH159">
        <v>2E-3</v>
      </c>
      <c r="AI159">
        <v>3.0000000000000001E-3</v>
      </c>
      <c r="AJ159">
        <v>1E-3</v>
      </c>
      <c r="AK159">
        <v>1E-3</v>
      </c>
      <c r="AL159">
        <v>3.0000000000000001E-3</v>
      </c>
      <c r="AM159">
        <v>0</v>
      </c>
      <c r="AN159">
        <v>4.0000000000000001E-3</v>
      </c>
      <c r="AO159">
        <v>4.0000000000000001E-3</v>
      </c>
      <c r="AP159">
        <v>1E-3</v>
      </c>
      <c r="AQ159">
        <v>0</v>
      </c>
      <c r="AR159">
        <v>3.0000000000000001E-3</v>
      </c>
      <c r="AS159"/>
      <c r="AT159">
        <v>3.0000000000000001E-3</v>
      </c>
      <c r="AU159">
        <v>1E-3</v>
      </c>
      <c r="AV159">
        <v>5.0000000000000001E-3</v>
      </c>
      <c r="AW159">
        <v>0</v>
      </c>
      <c r="AX159">
        <v>0</v>
      </c>
      <c r="AY159"/>
      <c r="AZ159">
        <v>0</v>
      </c>
      <c r="BA159">
        <v>0</v>
      </c>
      <c r="BB159">
        <v>1E-3</v>
      </c>
      <c r="BC159">
        <v>3.0000000000000001E-3</v>
      </c>
      <c r="BD159">
        <v>0</v>
      </c>
      <c r="BE159">
        <v>3.0000000000000001E-3</v>
      </c>
      <c r="BF159">
        <v>1E-3</v>
      </c>
      <c r="BG159">
        <v>2E-3</v>
      </c>
      <c r="BH159">
        <v>1E-3</v>
      </c>
      <c r="BI159">
        <v>3.0000000000000001E-3</v>
      </c>
      <c r="BJ159">
        <v>3.0000000000000001E-3</v>
      </c>
      <c r="BK159">
        <v>1E-3</v>
      </c>
      <c r="BL159">
        <v>0</v>
      </c>
      <c r="BM159">
        <v>3.0000000000000001E-3</v>
      </c>
      <c r="BN159">
        <v>1E-3</v>
      </c>
      <c r="BO159">
        <v>0</v>
      </c>
      <c r="BP159">
        <v>0</v>
      </c>
      <c r="BQ159">
        <v>2E-3</v>
      </c>
      <c r="BR159">
        <v>3.0000000000000001E-3</v>
      </c>
      <c r="BS159">
        <v>1E-3</v>
      </c>
      <c r="BT159">
        <v>0</v>
      </c>
      <c r="BU159">
        <v>3.0000000000000001E-3</v>
      </c>
      <c r="BV159">
        <v>0</v>
      </c>
      <c r="BW159">
        <v>0</v>
      </c>
      <c r="BX159">
        <v>2E-3</v>
      </c>
      <c r="BY159">
        <v>3.0000000000000001E-3</v>
      </c>
      <c r="BZ159">
        <v>3.0000000000000001E-3</v>
      </c>
      <c r="CA159">
        <v>1E-3</v>
      </c>
      <c r="CB159">
        <v>3.0000000000000001E-3</v>
      </c>
      <c r="CC159">
        <v>1E-3</v>
      </c>
      <c r="CD159">
        <v>0</v>
      </c>
      <c r="CE159">
        <v>0</v>
      </c>
      <c r="CF159">
        <v>1E-3</v>
      </c>
      <c r="CG159">
        <v>1E-3</v>
      </c>
      <c r="CH159">
        <v>1E-3</v>
      </c>
      <c r="CI159">
        <v>2E-3</v>
      </c>
      <c r="CJ159">
        <v>0</v>
      </c>
      <c r="CK159">
        <v>0</v>
      </c>
      <c r="CL159">
        <v>0</v>
      </c>
      <c r="CM159">
        <v>1E-3</v>
      </c>
      <c r="CN159">
        <v>0</v>
      </c>
      <c r="CO159">
        <v>1E-3</v>
      </c>
      <c r="CP159">
        <v>1E-3</v>
      </c>
      <c r="CQ159">
        <v>3.0000000000000001E-3</v>
      </c>
      <c r="CR159">
        <v>2E-3</v>
      </c>
      <c r="CS159">
        <v>1E-3</v>
      </c>
      <c r="CT159">
        <v>1E-3</v>
      </c>
      <c r="CU159">
        <v>1E-3</v>
      </c>
      <c r="CV159">
        <v>1E-3</v>
      </c>
      <c r="CW159">
        <v>1E-3</v>
      </c>
      <c r="CX159">
        <v>3.0000000000000001E-3</v>
      </c>
      <c r="CY159">
        <v>3.0000000000000001E-3</v>
      </c>
      <c r="CZ159">
        <v>1E-3</v>
      </c>
      <c r="DA159">
        <v>1E-3</v>
      </c>
      <c r="DB159">
        <v>0</v>
      </c>
      <c r="DC159">
        <v>2E-3</v>
      </c>
      <c r="DD159">
        <v>2E-3</v>
      </c>
      <c r="DE159">
        <v>1E-3</v>
      </c>
      <c r="DF159">
        <v>0</v>
      </c>
      <c r="DG159">
        <v>3.0000000000000001E-3</v>
      </c>
      <c r="DH159">
        <v>0</v>
      </c>
      <c r="DI159"/>
      <c r="DJ159">
        <v>2E-3</v>
      </c>
      <c r="DK159">
        <v>1E-3</v>
      </c>
      <c r="DL159">
        <v>1E-3</v>
      </c>
      <c r="DM159"/>
      <c r="DN159">
        <v>1E-3</v>
      </c>
      <c r="DO159">
        <v>0</v>
      </c>
      <c r="DP159">
        <v>0</v>
      </c>
      <c r="DQ159">
        <v>3.0000000000000001E-3</v>
      </c>
      <c r="DR159">
        <v>2E-3</v>
      </c>
      <c r="DS159">
        <v>1E-3</v>
      </c>
      <c r="DT159">
        <v>1E-3</v>
      </c>
      <c r="DU159">
        <v>0</v>
      </c>
      <c r="DV159"/>
      <c r="DW159">
        <v>1E-3</v>
      </c>
      <c r="DX159">
        <v>1E-3</v>
      </c>
      <c r="DY159">
        <v>2E-3</v>
      </c>
      <c r="DZ159">
        <v>4.0000000000000001E-3</v>
      </c>
      <c r="EA159">
        <v>0</v>
      </c>
      <c r="EB159">
        <v>1E-3</v>
      </c>
      <c r="EC159">
        <v>1E-3</v>
      </c>
      <c r="ED159">
        <v>2E-3</v>
      </c>
      <c r="EE159">
        <v>2E-3</v>
      </c>
      <c r="EF159">
        <v>1E-3</v>
      </c>
      <c r="EG159">
        <v>1E-3</v>
      </c>
      <c r="EH159">
        <v>1E-3</v>
      </c>
      <c r="EI159">
        <v>1E-3</v>
      </c>
      <c r="EJ159">
        <v>0</v>
      </c>
      <c r="EK159">
        <v>1E-3</v>
      </c>
      <c r="EL159">
        <v>0</v>
      </c>
      <c r="EM159">
        <v>1E-3</v>
      </c>
      <c r="EN159">
        <v>1E-3</v>
      </c>
      <c r="EO159">
        <v>1E-3</v>
      </c>
      <c r="EP159">
        <v>3.0000000000000001E-3</v>
      </c>
      <c r="EQ159">
        <v>1E-3</v>
      </c>
      <c r="ER159">
        <v>1E-3</v>
      </c>
      <c r="ES159">
        <v>0</v>
      </c>
      <c r="ET159"/>
      <c r="EU159">
        <v>1E-3</v>
      </c>
      <c r="EV159">
        <v>2E-3</v>
      </c>
      <c r="EW159">
        <v>0</v>
      </c>
      <c r="EX159">
        <v>0</v>
      </c>
      <c r="EY159">
        <v>5.0000000000000001E-3</v>
      </c>
      <c r="EZ159">
        <v>0</v>
      </c>
      <c r="FA159">
        <v>0</v>
      </c>
      <c r="FB159">
        <v>0</v>
      </c>
      <c r="FC159">
        <v>1E-3</v>
      </c>
      <c r="FD159">
        <v>4.0000000000000001E-3</v>
      </c>
      <c r="FE159">
        <v>2E-3</v>
      </c>
      <c r="FF159">
        <v>4.0000000000000001E-3</v>
      </c>
      <c r="FG159">
        <v>0</v>
      </c>
      <c r="FH159">
        <v>1E-3</v>
      </c>
      <c r="FI159"/>
      <c r="FJ159">
        <v>2E-3</v>
      </c>
      <c r="FK159">
        <v>1E-3</v>
      </c>
      <c r="FL159">
        <v>2E-3</v>
      </c>
      <c r="FM159">
        <v>0</v>
      </c>
      <c r="FN159">
        <v>0</v>
      </c>
      <c r="FO159">
        <v>5.0000000000000001E-3</v>
      </c>
      <c r="FP159">
        <v>1E-3</v>
      </c>
      <c r="FQ159">
        <v>0</v>
      </c>
      <c r="FR159">
        <v>1E-3</v>
      </c>
      <c r="FS159">
        <v>1E-3</v>
      </c>
      <c r="FT159">
        <v>3.0000000000000001E-3</v>
      </c>
      <c r="FU159">
        <v>1E-3</v>
      </c>
      <c r="FV159">
        <v>1E-3</v>
      </c>
      <c r="FW159">
        <v>1E-3</v>
      </c>
      <c r="FX159">
        <v>1E-3</v>
      </c>
      <c r="FY159">
        <v>1E-3</v>
      </c>
      <c r="FZ159">
        <v>3.0000000000000001E-3</v>
      </c>
      <c r="GA159">
        <v>1E-3</v>
      </c>
      <c r="GB159">
        <v>1E-3</v>
      </c>
      <c r="GC159">
        <v>0</v>
      </c>
      <c r="GD159">
        <v>3.0000000000000001E-3</v>
      </c>
      <c r="GE159">
        <v>1E-3</v>
      </c>
      <c r="GF159">
        <v>1E-3</v>
      </c>
      <c r="GG159">
        <v>1E-3</v>
      </c>
      <c r="GH159">
        <v>1E-3</v>
      </c>
      <c r="GI159">
        <v>3.0000000000000001E-3</v>
      </c>
      <c r="GJ159">
        <v>1E-3</v>
      </c>
      <c r="GK159">
        <v>2E-3</v>
      </c>
      <c r="GL159">
        <v>3.0000000000000001E-3</v>
      </c>
      <c r="GM159">
        <v>3.0000000000000001E-3</v>
      </c>
    </row>
    <row r="160" spans="8:195" ht="14.4" x14ac:dyDescent="0.3">
      <c r="H160" t="s">
        <v>883</v>
      </c>
      <c r="I160">
        <v>4.0000000000000001E-3</v>
      </c>
      <c r="J160">
        <v>1E-3</v>
      </c>
      <c r="K160">
        <v>1E-3</v>
      </c>
      <c r="L160">
        <v>6.0000000000000001E-3</v>
      </c>
      <c r="M160">
        <v>1E-3</v>
      </c>
      <c r="N160">
        <v>2E-3</v>
      </c>
      <c r="O160">
        <v>1E-3</v>
      </c>
      <c r="P160">
        <v>1E-3</v>
      </c>
      <c r="Q160">
        <v>1E-3</v>
      </c>
      <c r="R160">
        <v>1E-3</v>
      </c>
      <c r="S160">
        <v>2E-3</v>
      </c>
      <c r="T160">
        <v>1E-3</v>
      </c>
      <c r="U160">
        <v>1E-3</v>
      </c>
      <c r="V160">
        <v>1E-3</v>
      </c>
      <c r="W160">
        <v>1E-3</v>
      </c>
      <c r="X160">
        <v>1E-3</v>
      </c>
      <c r="Y160">
        <v>2E-3</v>
      </c>
      <c r="Z160">
        <v>4.0000000000000001E-3</v>
      </c>
      <c r="AA160">
        <v>2E-3</v>
      </c>
      <c r="AB160">
        <v>3.0000000000000001E-3</v>
      </c>
      <c r="AC160">
        <v>1E-3</v>
      </c>
      <c r="AD160">
        <v>2E-3</v>
      </c>
      <c r="AE160">
        <v>3.0000000000000001E-3</v>
      </c>
      <c r="AF160">
        <v>1E-3</v>
      </c>
      <c r="AG160">
        <v>1E-3</v>
      </c>
      <c r="AH160">
        <v>4.0000000000000001E-3</v>
      </c>
      <c r="AI160">
        <v>5.0000000000000001E-3</v>
      </c>
      <c r="AJ160">
        <v>1E-3</v>
      </c>
      <c r="AK160">
        <v>2E-3</v>
      </c>
      <c r="AL160">
        <v>5.0000000000000001E-3</v>
      </c>
      <c r="AM160">
        <v>1E-3</v>
      </c>
      <c r="AN160">
        <v>6.0000000000000001E-3</v>
      </c>
      <c r="AO160">
        <v>6.0000000000000001E-3</v>
      </c>
      <c r="AP160">
        <v>1E-3</v>
      </c>
      <c r="AQ160">
        <v>1E-3</v>
      </c>
      <c r="AR160">
        <v>4.0000000000000001E-3</v>
      </c>
      <c r="AS160"/>
      <c r="AT160">
        <v>4.0000000000000001E-3</v>
      </c>
      <c r="AU160">
        <v>1E-3</v>
      </c>
      <c r="AV160">
        <v>7.0000000000000001E-3</v>
      </c>
      <c r="AW160">
        <v>1E-3</v>
      </c>
      <c r="AX160">
        <v>1E-3</v>
      </c>
      <c r="AY160"/>
      <c r="AZ160">
        <v>0</v>
      </c>
      <c r="BA160">
        <v>1E-3</v>
      </c>
      <c r="BB160">
        <v>2E-3</v>
      </c>
      <c r="BC160">
        <v>5.0000000000000001E-3</v>
      </c>
      <c r="BD160">
        <v>0</v>
      </c>
      <c r="BE160">
        <v>4.0000000000000001E-3</v>
      </c>
      <c r="BF160">
        <v>3.0000000000000001E-3</v>
      </c>
      <c r="BG160">
        <v>2E-3</v>
      </c>
      <c r="BH160">
        <v>1E-3</v>
      </c>
      <c r="BI160">
        <v>3.0000000000000001E-3</v>
      </c>
      <c r="BJ160">
        <v>5.0000000000000001E-3</v>
      </c>
      <c r="BK160">
        <v>2E-3</v>
      </c>
      <c r="BL160">
        <v>1E-3</v>
      </c>
      <c r="BM160">
        <v>4.0000000000000001E-3</v>
      </c>
      <c r="BN160">
        <v>2E-3</v>
      </c>
      <c r="BO160">
        <v>1E-3</v>
      </c>
      <c r="BP160">
        <v>1E-3</v>
      </c>
      <c r="BQ160">
        <v>3.0000000000000001E-3</v>
      </c>
      <c r="BR160">
        <v>4.0000000000000001E-3</v>
      </c>
      <c r="BS160">
        <v>1E-3</v>
      </c>
      <c r="BT160">
        <v>0</v>
      </c>
      <c r="BU160">
        <v>4.0000000000000001E-3</v>
      </c>
      <c r="BV160">
        <v>1E-3</v>
      </c>
      <c r="BW160">
        <v>1E-3</v>
      </c>
      <c r="BX160">
        <v>3.0000000000000001E-3</v>
      </c>
      <c r="BY160">
        <v>4.0000000000000001E-3</v>
      </c>
      <c r="BZ160">
        <v>5.0000000000000001E-3</v>
      </c>
      <c r="CA160">
        <v>3.0000000000000001E-3</v>
      </c>
      <c r="CB160">
        <v>4.0000000000000001E-3</v>
      </c>
      <c r="CC160">
        <v>2E-3</v>
      </c>
      <c r="CD160">
        <v>1E-3</v>
      </c>
      <c r="CE160">
        <v>0</v>
      </c>
      <c r="CF160">
        <v>2E-3</v>
      </c>
      <c r="CG160">
        <v>2E-3</v>
      </c>
      <c r="CH160">
        <v>1E-3</v>
      </c>
      <c r="CI160">
        <v>4.0000000000000001E-3</v>
      </c>
      <c r="CJ160">
        <v>1E-3</v>
      </c>
      <c r="CK160">
        <v>1E-3</v>
      </c>
      <c r="CL160">
        <v>1E-3</v>
      </c>
      <c r="CM160">
        <v>1E-3</v>
      </c>
      <c r="CN160">
        <v>1E-3</v>
      </c>
      <c r="CO160">
        <v>1E-3</v>
      </c>
      <c r="CP160">
        <v>2E-3</v>
      </c>
      <c r="CQ160">
        <v>4.0000000000000001E-3</v>
      </c>
      <c r="CR160">
        <v>3.0000000000000001E-3</v>
      </c>
      <c r="CS160">
        <v>1E-3</v>
      </c>
      <c r="CT160">
        <v>1E-3</v>
      </c>
      <c r="CU160">
        <v>2E-3</v>
      </c>
      <c r="CV160">
        <v>1E-3</v>
      </c>
      <c r="CW160">
        <v>1E-3</v>
      </c>
      <c r="CX160">
        <v>4.0000000000000001E-3</v>
      </c>
      <c r="CY160">
        <v>4.0000000000000001E-3</v>
      </c>
      <c r="CZ160">
        <v>2E-3</v>
      </c>
      <c r="DA160">
        <v>1E-3</v>
      </c>
      <c r="DB160">
        <v>0</v>
      </c>
      <c r="DC160">
        <v>2E-3</v>
      </c>
      <c r="DD160">
        <v>3.0000000000000001E-3</v>
      </c>
      <c r="DE160">
        <v>1E-3</v>
      </c>
      <c r="DF160">
        <v>1E-3</v>
      </c>
      <c r="DG160">
        <v>4.0000000000000001E-3</v>
      </c>
      <c r="DH160">
        <v>0</v>
      </c>
      <c r="DI160"/>
      <c r="DJ160">
        <v>3.0000000000000001E-3</v>
      </c>
      <c r="DK160">
        <v>1E-3</v>
      </c>
      <c r="DL160">
        <v>2E-3</v>
      </c>
      <c r="DM160"/>
      <c r="DN160">
        <v>2E-3</v>
      </c>
      <c r="DO160">
        <v>1E-3</v>
      </c>
      <c r="DP160">
        <v>1E-3</v>
      </c>
      <c r="DQ160">
        <v>5.0000000000000001E-3</v>
      </c>
      <c r="DR160">
        <v>2E-3</v>
      </c>
      <c r="DS160">
        <v>2E-3</v>
      </c>
      <c r="DT160">
        <v>2E-3</v>
      </c>
      <c r="DU160">
        <v>0</v>
      </c>
      <c r="DV160"/>
      <c r="DW160">
        <v>1E-3</v>
      </c>
      <c r="DX160">
        <v>1E-3</v>
      </c>
      <c r="DY160">
        <v>3.0000000000000001E-3</v>
      </c>
      <c r="DZ160">
        <v>6.0000000000000001E-3</v>
      </c>
      <c r="EA160">
        <v>1E-3</v>
      </c>
      <c r="EB160">
        <v>1E-3</v>
      </c>
      <c r="EC160">
        <v>1E-3</v>
      </c>
      <c r="ED160">
        <v>3.0000000000000001E-3</v>
      </c>
      <c r="EE160">
        <v>2E-3</v>
      </c>
      <c r="EF160">
        <v>2E-3</v>
      </c>
      <c r="EG160">
        <v>2E-3</v>
      </c>
      <c r="EH160">
        <v>2E-3</v>
      </c>
      <c r="EI160">
        <v>1E-3</v>
      </c>
      <c r="EJ160">
        <v>0</v>
      </c>
      <c r="EK160">
        <v>1E-3</v>
      </c>
      <c r="EL160">
        <v>0</v>
      </c>
      <c r="EM160">
        <v>1E-3</v>
      </c>
      <c r="EN160">
        <v>1E-3</v>
      </c>
      <c r="EO160">
        <v>2E-3</v>
      </c>
      <c r="EP160">
        <v>5.0000000000000001E-3</v>
      </c>
      <c r="EQ160">
        <v>1E-3</v>
      </c>
      <c r="ER160">
        <v>1E-3</v>
      </c>
      <c r="ES160">
        <v>1E-3</v>
      </c>
      <c r="ET160"/>
      <c r="EU160">
        <v>1E-3</v>
      </c>
      <c r="EV160">
        <v>3.0000000000000001E-3</v>
      </c>
      <c r="EW160">
        <v>1E-3</v>
      </c>
      <c r="EX160">
        <v>1E-3</v>
      </c>
      <c r="EY160">
        <v>8.0000000000000002E-3</v>
      </c>
      <c r="EZ160">
        <v>1E-3</v>
      </c>
      <c r="FA160">
        <v>1E-3</v>
      </c>
      <c r="FB160">
        <v>1E-3</v>
      </c>
      <c r="FC160">
        <v>2E-3</v>
      </c>
      <c r="FD160">
        <v>5.0000000000000001E-3</v>
      </c>
      <c r="FE160">
        <v>2E-3</v>
      </c>
      <c r="FF160">
        <v>5.0000000000000001E-3</v>
      </c>
      <c r="FG160">
        <v>0</v>
      </c>
      <c r="FH160">
        <v>2E-3</v>
      </c>
      <c r="FI160"/>
      <c r="FJ160">
        <v>3.0000000000000001E-3</v>
      </c>
      <c r="FK160">
        <v>2E-3</v>
      </c>
      <c r="FL160">
        <v>4.0000000000000001E-3</v>
      </c>
      <c r="FM160">
        <v>1E-3</v>
      </c>
      <c r="FN160">
        <v>0</v>
      </c>
      <c r="FO160">
        <v>0.01</v>
      </c>
      <c r="FP160">
        <v>1E-3</v>
      </c>
      <c r="FQ160">
        <v>1E-3</v>
      </c>
      <c r="FR160">
        <v>1E-3</v>
      </c>
      <c r="FS160">
        <v>2E-3</v>
      </c>
      <c r="FT160">
        <v>4.0000000000000001E-3</v>
      </c>
      <c r="FU160">
        <v>1E-3</v>
      </c>
      <c r="FV160">
        <v>2E-3</v>
      </c>
      <c r="FW160">
        <v>1E-3</v>
      </c>
      <c r="FX160">
        <v>2E-3</v>
      </c>
      <c r="FY160">
        <v>2E-3</v>
      </c>
      <c r="FZ160">
        <v>4.0000000000000001E-3</v>
      </c>
      <c r="GA160">
        <v>2E-3</v>
      </c>
      <c r="GB160">
        <v>1E-3</v>
      </c>
      <c r="GC160">
        <v>0</v>
      </c>
      <c r="GD160">
        <v>4.0000000000000001E-3</v>
      </c>
      <c r="GE160">
        <v>1E-3</v>
      </c>
      <c r="GF160">
        <v>2E-3</v>
      </c>
      <c r="GG160">
        <v>2E-3</v>
      </c>
      <c r="GH160">
        <v>1E-3</v>
      </c>
      <c r="GI160">
        <v>5.0000000000000001E-3</v>
      </c>
      <c r="GJ160">
        <v>2E-3</v>
      </c>
      <c r="GK160">
        <v>3.0000000000000001E-3</v>
      </c>
      <c r="GL160">
        <v>4.0000000000000001E-3</v>
      </c>
      <c r="GM160">
        <v>4.0000000000000001E-3</v>
      </c>
    </row>
    <row r="161" spans="8:195" ht="14.4" x14ac:dyDescent="0.3">
      <c r="H161" t="s">
        <v>884</v>
      </c>
      <c r="I161">
        <v>4.0000000000000001E-3</v>
      </c>
      <c r="J161">
        <v>1E-3</v>
      </c>
      <c r="K161">
        <v>2E-3</v>
      </c>
      <c r="L161">
        <v>6.0000000000000001E-3</v>
      </c>
      <c r="M161">
        <v>2E-3</v>
      </c>
      <c r="N161">
        <v>2E-3</v>
      </c>
      <c r="O161">
        <v>1E-3</v>
      </c>
      <c r="P161">
        <v>1E-3</v>
      </c>
      <c r="Q161">
        <v>1E-3</v>
      </c>
      <c r="R161">
        <v>1E-3</v>
      </c>
      <c r="S161">
        <v>2E-3</v>
      </c>
      <c r="T161">
        <v>1E-3</v>
      </c>
      <c r="U161">
        <v>1E-3</v>
      </c>
      <c r="V161">
        <v>1E-3</v>
      </c>
      <c r="W161">
        <v>2E-3</v>
      </c>
      <c r="X161">
        <v>1E-3</v>
      </c>
      <c r="Y161">
        <v>2E-3</v>
      </c>
      <c r="Z161">
        <v>4.0000000000000001E-3</v>
      </c>
      <c r="AA161">
        <v>2E-3</v>
      </c>
      <c r="AB161">
        <v>3.0000000000000001E-3</v>
      </c>
      <c r="AC161">
        <v>1E-3</v>
      </c>
      <c r="AD161">
        <v>2E-3</v>
      </c>
      <c r="AE161">
        <v>3.0000000000000001E-3</v>
      </c>
      <c r="AF161">
        <v>1E-3</v>
      </c>
      <c r="AG161">
        <v>1E-3</v>
      </c>
      <c r="AH161">
        <v>4.0000000000000001E-3</v>
      </c>
      <c r="AI161">
        <v>5.0000000000000001E-3</v>
      </c>
      <c r="AJ161">
        <v>1E-3</v>
      </c>
      <c r="AK161">
        <v>3.0000000000000001E-3</v>
      </c>
      <c r="AL161">
        <v>6.0000000000000001E-3</v>
      </c>
      <c r="AM161">
        <v>1E-3</v>
      </c>
      <c r="AN161">
        <v>7.0000000000000001E-3</v>
      </c>
      <c r="AO161">
        <v>6.0000000000000001E-3</v>
      </c>
      <c r="AP161">
        <v>1E-3</v>
      </c>
      <c r="AQ161">
        <v>1E-3</v>
      </c>
      <c r="AR161">
        <v>4.0000000000000001E-3</v>
      </c>
      <c r="AS161"/>
      <c r="AT161">
        <v>4.0000000000000001E-3</v>
      </c>
      <c r="AU161">
        <v>2E-3</v>
      </c>
      <c r="AV161">
        <v>7.0000000000000001E-3</v>
      </c>
      <c r="AW161">
        <v>1E-3</v>
      </c>
      <c r="AX161">
        <v>1E-3</v>
      </c>
      <c r="AY161"/>
      <c r="AZ161">
        <v>0</v>
      </c>
      <c r="BA161">
        <v>1E-3</v>
      </c>
      <c r="BB161">
        <v>2E-3</v>
      </c>
      <c r="BC161">
        <v>5.0000000000000001E-3</v>
      </c>
      <c r="BD161">
        <v>0</v>
      </c>
      <c r="BE161">
        <v>4.0000000000000001E-3</v>
      </c>
      <c r="BF161">
        <v>2E-3</v>
      </c>
      <c r="BG161">
        <v>3.0000000000000001E-3</v>
      </c>
      <c r="BH161">
        <v>1E-3</v>
      </c>
      <c r="BI161">
        <v>4.0000000000000001E-3</v>
      </c>
      <c r="BJ161">
        <v>6.0000000000000001E-3</v>
      </c>
      <c r="BK161">
        <v>2E-3</v>
      </c>
      <c r="BL161">
        <v>2E-3</v>
      </c>
      <c r="BM161">
        <v>4.0000000000000001E-3</v>
      </c>
      <c r="BN161">
        <v>2E-3</v>
      </c>
      <c r="BO161">
        <v>1E-3</v>
      </c>
      <c r="BP161">
        <v>1E-3</v>
      </c>
      <c r="BQ161">
        <v>3.0000000000000001E-3</v>
      </c>
      <c r="BR161">
        <v>4.0000000000000001E-3</v>
      </c>
      <c r="BS161">
        <v>1E-3</v>
      </c>
      <c r="BT161">
        <v>0</v>
      </c>
      <c r="BU161">
        <v>4.0000000000000001E-3</v>
      </c>
      <c r="BV161">
        <v>1E-3</v>
      </c>
      <c r="BW161">
        <v>1E-3</v>
      </c>
      <c r="BX161">
        <v>3.0000000000000001E-3</v>
      </c>
      <c r="BY161">
        <v>5.0000000000000001E-3</v>
      </c>
      <c r="BZ161">
        <v>5.0000000000000001E-3</v>
      </c>
      <c r="CA161">
        <v>3.0000000000000001E-3</v>
      </c>
      <c r="CB161">
        <v>4.0000000000000001E-3</v>
      </c>
      <c r="CC161">
        <v>2E-3</v>
      </c>
      <c r="CD161">
        <v>1E-3</v>
      </c>
      <c r="CE161">
        <v>1E-3</v>
      </c>
      <c r="CF161">
        <v>2E-3</v>
      </c>
      <c r="CG161">
        <v>2E-3</v>
      </c>
      <c r="CH161">
        <v>1E-3</v>
      </c>
      <c r="CI161">
        <v>4.0000000000000001E-3</v>
      </c>
      <c r="CJ161">
        <v>1E-3</v>
      </c>
      <c r="CK161">
        <v>1E-3</v>
      </c>
      <c r="CL161">
        <v>1E-3</v>
      </c>
      <c r="CM161">
        <v>2E-3</v>
      </c>
      <c r="CN161">
        <v>1E-3</v>
      </c>
      <c r="CO161">
        <v>1E-3</v>
      </c>
      <c r="CP161">
        <v>3.0000000000000001E-3</v>
      </c>
      <c r="CQ161">
        <v>5.0000000000000001E-3</v>
      </c>
      <c r="CR161">
        <v>3.0000000000000001E-3</v>
      </c>
      <c r="CS161">
        <v>1E-3</v>
      </c>
      <c r="CT161">
        <v>2E-3</v>
      </c>
      <c r="CU161">
        <v>2E-3</v>
      </c>
      <c r="CV161">
        <v>2E-3</v>
      </c>
      <c r="CW161">
        <v>1E-3</v>
      </c>
      <c r="CX161">
        <v>6.0000000000000001E-3</v>
      </c>
      <c r="CY161">
        <v>4.0000000000000001E-3</v>
      </c>
      <c r="CZ161">
        <v>2E-3</v>
      </c>
      <c r="DA161">
        <v>2E-3</v>
      </c>
      <c r="DB161">
        <v>0</v>
      </c>
      <c r="DC161">
        <v>3.0000000000000001E-3</v>
      </c>
      <c r="DD161">
        <v>4.0000000000000001E-3</v>
      </c>
      <c r="DE161">
        <v>1E-3</v>
      </c>
      <c r="DF161">
        <v>1E-3</v>
      </c>
      <c r="DG161">
        <v>4.0000000000000001E-3</v>
      </c>
      <c r="DH161">
        <v>0</v>
      </c>
      <c r="DI161"/>
      <c r="DJ161">
        <v>3.0000000000000001E-3</v>
      </c>
      <c r="DK161">
        <v>2E-3</v>
      </c>
      <c r="DL161">
        <v>2E-3</v>
      </c>
      <c r="DM161"/>
      <c r="DN161">
        <v>2E-3</v>
      </c>
      <c r="DO161">
        <v>1E-3</v>
      </c>
      <c r="DP161">
        <v>1E-3</v>
      </c>
      <c r="DQ161">
        <v>6.0000000000000001E-3</v>
      </c>
      <c r="DR161">
        <v>2E-3</v>
      </c>
      <c r="DS161">
        <v>3.0000000000000001E-3</v>
      </c>
      <c r="DT161">
        <v>2E-3</v>
      </c>
      <c r="DU161">
        <v>0</v>
      </c>
      <c r="DV161"/>
      <c r="DW161">
        <v>1E-3</v>
      </c>
      <c r="DX161">
        <v>2E-3</v>
      </c>
      <c r="DY161">
        <v>3.0000000000000001E-3</v>
      </c>
      <c r="DZ161">
        <v>6.0000000000000001E-3</v>
      </c>
      <c r="EA161">
        <v>1E-3</v>
      </c>
      <c r="EB161">
        <v>1E-3</v>
      </c>
      <c r="EC161">
        <v>2E-3</v>
      </c>
      <c r="ED161">
        <v>2E-3</v>
      </c>
      <c r="EE161">
        <v>3.0000000000000001E-3</v>
      </c>
      <c r="EF161">
        <v>3.0000000000000001E-3</v>
      </c>
      <c r="EG161">
        <v>2E-3</v>
      </c>
      <c r="EH161">
        <v>3.0000000000000001E-3</v>
      </c>
      <c r="EI161">
        <v>1E-3</v>
      </c>
      <c r="EJ161">
        <v>1E-3</v>
      </c>
      <c r="EK161">
        <v>1E-3</v>
      </c>
      <c r="EL161">
        <v>1E-3</v>
      </c>
      <c r="EM161">
        <v>1E-3</v>
      </c>
      <c r="EN161">
        <v>1E-3</v>
      </c>
      <c r="EO161">
        <v>4.0000000000000001E-3</v>
      </c>
      <c r="EP161">
        <v>5.0000000000000001E-3</v>
      </c>
      <c r="EQ161">
        <v>1E-3</v>
      </c>
      <c r="ER161">
        <v>2E-3</v>
      </c>
      <c r="ES161">
        <v>1E-3</v>
      </c>
      <c r="ET161"/>
      <c r="EU161">
        <v>1E-3</v>
      </c>
      <c r="EV161">
        <v>3.0000000000000001E-3</v>
      </c>
      <c r="EW161">
        <v>1E-3</v>
      </c>
      <c r="EX161">
        <v>2E-3</v>
      </c>
      <c r="EY161">
        <v>8.0000000000000002E-3</v>
      </c>
      <c r="EZ161">
        <v>1E-3</v>
      </c>
      <c r="FA161">
        <v>1E-3</v>
      </c>
      <c r="FB161">
        <v>1E-3</v>
      </c>
      <c r="FC161">
        <v>2E-3</v>
      </c>
      <c r="FD161">
        <v>6.0000000000000001E-3</v>
      </c>
      <c r="FE161">
        <v>4.0000000000000001E-3</v>
      </c>
      <c r="FF161">
        <v>6.0000000000000001E-3</v>
      </c>
      <c r="FG161">
        <v>0</v>
      </c>
      <c r="FH161">
        <v>3.0000000000000001E-3</v>
      </c>
      <c r="FI161"/>
      <c r="FJ161">
        <v>4.0000000000000001E-3</v>
      </c>
      <c r="FK161">
        <v>2E-3</v>
      </c>
      <c r="FL161">
        <v>6.0000000000000001E-3</v>
      </c>
      <c r="FM161">
        <v>1E-3</v>
      </c>
      <c r="FN161">
        <v>0</v>
      </c>
      <c r="FO161">
        <v>1.0999999999999999E-2</v>
      </c>
      <c r="FP161">
        <v>1E-3</v>
      </c>
      <c r="FQ161">
        <v>1E-3</v>
      </c>
      <c r="FR161">
        <v>1E-3</v>
      </c>
      <c r="FS161">
        <v>2E-3</v>
      </c>
      <c r="FT161">
        <v>4.0000000000000001E-3</v>
      </c>
      <c r="FU161">
        <v>1E-3</v>
      </c>
      <c r="FV161">
        <v>2E-3</v>
      </c>
      <c r="FW161">
        <v>1E-3</v>
      </c>
      <c r="FX161">
        <v>2E-3</v>
      </c>
      <c r="FY161">
        <v>2E-3</v>
      </c>
      <c r="FZ161">
        <v>5.0000000000000001E-3</v>
      </c>
      <c r="GA161">
        <v>3.0000000000000001E-3</v>
      </c>
      <c r="GB161">
        <v>1E-3</v>
      </c>
      <c r="GC161">
        <v>1E-3</v>
      </c>
      <c r="GD161">
        <v>5.0000000000000001E-3</v>
      </c>
      <c r="GE161">
        <v>1E-3</v>
      </c>
      <c r="GF161">
        <v>2E-3</v>
      </c>
      <c r="GG161">
        <v>2E-3</v>
      </c>
      <c r="GH161">
        <v>1E-3</v>
      </c>
      <c r="GI161">
        <v>4.0000000000000001E-3</v>
      </c>
      <c r="GJ161">
        <v>2E-3</v>
      </c>
      <c r="GK161">
        <v>3.0000000000000001E-3</v>
      </c>
      <c r="GL161">
        <v>5.0000000000000001E-3</v>
      </c>
      <c r="GM161">
        <v>5.0000000000000001E-3</v>
      </c>
    </row>
    <row r="162" spans="8:195" ht="14.4" x14ac:dyDescent="0.3">
      <c r="H162" t="s">
        <v>885</v>
      </c>
      <c r="I162">
        <v>4.0000000000000001E-3</v>
      </c>
      <c r="J162">
        <v>1E-3</v>
      </c>
      <c r="K162">
        <v>2E-3</v>
      </c>
      <c r="L162">
        <v>7.0000000000000001E-3</v>
      </c>
      <c r="M162">
        <v>2E-3</v>
      </c>
      <c r="N162">
        <v>2E-3</v>
      </c>
      <c r="O162">
        <v>1E-3</v>
      </c>
      <c r="P162">
        <v>1E-3</v>
      </c>
      <c r="Q162">
        <v>1E-3</v>
      </c>
      <c r="R162">
        <v>1E-3</v>
      </c>
      <c r="S162">
        <v>3.0000000000000001E-3</v>
      </c>
      <c r="T162">
        <v>1E-3</v>
      </c>
      <c r="U162">
        <v>1E-3</v>
      </c>
      <c r="V162">
        <v>1E-3</v>
      </c>
      <c r="W162">
        <v>4.0000000000000001E-3</v>
      </c>
      <c r="X162">
        <v>1E-3</v>
      </c>
      <c r="Y162">
        <v>3.0000000000000001E-3</v>
      </c>
      <c r="Z162">
        <v>4.0000000000000001E-3</v>
      </c>
      <c r="AA162">
        <v>3.0000000000000001E-3</v>
      </c>
      <c r="AB162">
        <v>4.0000000000000001E-3</v>
      </c>
      <c r="AC162">
        <v>1E-3</v>
      </c>
      <c r="AD162">
        <v>4.0000000000000001E-3</v>
      </c>
      <c r="AE162">
        <v>3.0000000000000001E-3</v>
      </c>
      <c r="AF162">
        <v>1E-3</v>
      </c>
      <c r="AG162">
        <v>1E-3</v>
      </c>
      <c r="AH162">
        <v>4.0000000000000001E-3</v>
      </c>
      <c r="AI162">
        <v>6.0000000000000001E-3</v>
      </c>
      <c r="AJ162">
        <v>1E-3</v>
      </c>
      <c r="AK162">
        <v>3.0000000000000001E-3</v>
      </c>
      <c r="AL162">
        <v>7.0000000000000001E-3</v>
      </c>
      <c r="AM162">
        <v>1E-3</v>
      </c>
      <c r="AN162">
        <v>8.0000000000000002E-3</v>
      </c>
      <c r="AO162">
        <v>7.0000000000000001E-3</v>
      </c>
      <c r="AP162">
        <v>1E-3</v>
      </c>
      <c r="AQ162">
        <v>1E-3</v>
      </c>
      <c r="AR162">
        <v>4.0000000000000001E-3</v>
      </c>
      <c r="AS162"/>
      <c r="AT162">
        <v>5.0000000000000001E-3</v>
      </c>
      <c r="AU162">
        <v>2E-3</v>
      </c>
      <c r="AV162">
        <v>8.0000000000000002E-3</v>
      </c>
      <c r="AW162">
        <v>1E-3</v>
      </c>
      <c r="AX162">
        <v>1E-3</v>
      </c>
      <c r="AY162"/>
      <c r="AZ162">
        <v>1E-3</v>
      </c>
      <c r="BA162">
        <v>1E-3</v>
      </c>
      <c r="BB162">
        <v>2E-3</v>
      </c>
      <c r="BC162">
        <v>5.0000000000000001E-3</v>
      </c>
      <c r="BD162">
        <v>1E-3</v>
      </c>
      <c r="BE162">
        <v>5.0000000000000001E-3</v>
      </c>
      <c r="BF162">
        <v>3.0000000000000001E-3</v>
      </c>
      <c r="BG162">
        <v>3.0000000000000001E-3</v>
      </c>
      <c r="BH162">
        <v>1E-3</v>
      </c>
      <c r="BI162">
        <v>6.0000000000000001E-3</v>
      </c>
      <c r="BJ162">
        <v>7.0000000000000001E-3</v>
      </c>
      <c r="BK162">
        <v>3.0000000000000001E-3</v>
      </c>
      <c r="BL162">
        <v>3.0000000000000001E-3</v>
      </c>
      <c r="BM162">
        <v>4.0000000000000001E-3</v>
      </c>
      <c r="BN162">
        <v>2E-3</v>
      </c>
      <c r="BO162">
        <v>1E-3</v>
      </c>
      <c r="BP162">
        <v>1E-3</v>
      </c>
      <c r="BQ162">
        <v>4.0000000000000001E-3</v>
      </c>
      <c r="BR162">
        <v>5.0000000000000001E-3</v>
      </c>
      <c r="BS162">
        <v>2E-3</v>
      </c>
      <c r="BT162">
        <v>1E-3</v>
      </c>
      <c r="BU162">
        <v>5.0000000000000001E-3</v>
      </c>
      <c r="BV162">
        <v>1E-3</v>
      </c>
      <c r="BW162">
        <v>2E-3</v>
      </c>
      <c r="BX162">
        <v>4.0000000000000001E-3</v>
      </c>
      <c r="BY162">
        <v>5.0000000000000001E-3</v>
      </c>
      <c r="BZ162">
        <v>5.0000000000000001E-3</v>
      </c>
      <c r="CA162">
        <v>5.0000000000000001E-3</v>
      </c>
      <c r="CB162">
        <v>5.0000000000000001E-3</v>
      </c>
      <c r="CC162">
        <v>3.0000000000000001E-3</v>
      </c>
      <c r="CD162">
        <v>1E-3</v>
      </c>
      <c r="CE162">
        <v>1E-3</v>
      </c>
      <c r="CF162">
        <v>3.0000000000000001E-3</v>
      </c>
      <c r="CG162">
        <v>2E-3</v>
      </c>
      <c r="CH162">
        <v>1E-3</v>
      </c>
      <c r="CI162">
        <v>4.0000000000000001E-3</v>
      </c>
      <c r="CJ162">
        <v>1E-3</v>
      </c>
      <c r="CK162">
        <v>1E-3</v>
      </c>
      <c r="CL162">
        <v>1E-3</v>
      </c>
      <c r="CM162">
        <v>3.0000000000000001E-3</v>
      </c>
      <c r="CN162">
        <v>1E-3</v>
      </c>
      <c r="CO162">
        <v>1E-3</v>
      </c>
      <c r="CP162">
        <v>4.0000000000000001E-3</v>
      </c>
      <c r="CQ162">
        <v>5.0000000000000001E-3</v>
      </c>
      <c r="CR162">
        <v>3.0000000000000001E-3</v>
      </c>
      <c r="CS162">
        <v>1E-3</v>
      </c>
      <c r="CT162">
        <v>3.0000000000000001E-3</v>
      </c>
      <c r="CU162">
        <v>2E-3</v>
      </c>
      <c r="CV162">
        <v>2E-3</v>
      </c>
      <c r="CW162">
        <v>1E-3</v>
      </c>
      <c r="CX162">
        <v>1.0999999999999999E-2</v>
      </c>
      <c r="CY162">
        <v>5.0000000000000001E-3</v>
      </c>
      <c r="CZ162">
        <v>2E-3</v>
      </c>
      <c r="DA162">
        <v>3.0000000000000001E-3</v>
      </c>
      <c r="DB162">
        <v>0</v>
      </c>
      <c r="DC162">
        <v>3.0000000000000001E-3</v>
      </c>
      <c r="DD162">
        <v>6.0000000000000001E-3</v>
      </c>
      <c r="DE162">
        <v>2E-3</v>
      </c>
      <c r="DF162">
        <v>1E-3</v>
      </c>
      <c r="DG162">
        <v>5.0000000000000001E-3</v>
      </c>
      <c r="DH162">
        <v>1E-3</v>
      </c>
      <c r="DI162"/>
      <c r="DJ162">
        <v>3.0000000000000001E-3</v>
      </c>
      <c r="DK162">
        <v>2E-3</v>
      </c>
      <c r="DL162">
        <v>2E-3</v>
      </c>
      <c r="DM162"/>
      <c r="DN162">
        <v>4.0000000000000001E-3</v>
      </c>
      <c r="DO162">
        <v>1E-3</v>
      </c>
      <c r="DP162">
        <v>1E-3</v>
      </c>
      <c r="DQ162">
        <v>8.9999999999999993E-3</v>
      </c>
      <c r="DR162">
        <v>3.0000000000000001E-3</v>
      </c>
      <c r="DS162">
        <v>4.0000000000000001E-3</v>
      </c>
      <c r="DT162">
        <v>2E-3</v>
      </c>
      <c r="DU162">
        <v>1E-3</v>
      </c>
      <c r="DV162"/>
      <c r="DW162">
        <v>1E-3</v>
      </c>
      <c r="DX162">
        <v>3.0000000000000001E-3</v>
      </c>
      <c r="DY162">
        <v>3.0000000000000001E-3</v>
      </c>
      <c r="DZ162">
        <v>7.0000000000000001E-3</v>
      </c>
      <c r="EA162">
        <v>1E-3</v>
      </c>
      <c r="EB162">
        <v>1E-3</v>
      </c>
      <c r="EC162">
        <v>2E-3</v>
      </c>
      <c r="ED162">
        <v>3.0000000000000001E-3</v>
      </c>
      <c r="EE162">
        <v>3.0000000000000001E-3</v>
      </c>
      <c r="EF162">
        <v>2E-3</v>
      </c>
      <c r="EG162">
        <v>2E-3</v>
      </c>
      <c r="EH162">
        <v>3.0000000000000001E-3</v>
      </c>
      <c r="EI162">
        <v>1E-3</v>
      </c>
      <c r="EJ162">
        <v>1E-3</v>
      </c>
      <c r="EK162">
        <v>1E-3</v>
      </c>
      <c r="EL162">
        <v>1E-3</v>
      </c>
      <c r="EM162">
        <v>2E-3</v>
      </c>
      <c r="EN162">
        <v>1E-3</v>
      </c>
      <c r="EO162">
        <v>6.0000000000000001E-3</v>
      </c>
      <c r="EP162">
        <v>6.0000000000000001E-3</v>
      </c>
      <c r="EQ162">
        <v>2E-3</v>
      </c>
      <c r="ER162">
        <v>3.0000000000000001E-3</v>
      </c>
      <c r="ES162">
        <v>1E-3</v>
      </c>
      <c r="ET162"/>
      <c r="EU162">
        <v>1E-3</v>
      </c>
      <c r="EV162">
        <v>3.0000000000000001E-3</v>
      </c>
      <c r="EW162">
        <v>1E-3</v>
      </c>
      <c r="EX162">
        <v>2E-3</v>
      </c>
      <c r="EY162">
        <v>8.0000000000000002E-3</v>
      </c>
      <c r="EZ162">
        <v>1E-3</v>
      </c>
      <c r="FA162">
        <v>1E-3</v>
      </c>
      <c r="FB162">
        <v>1E-3</v>
      </c>
      <c r="FC162">
        <v>2E-3</v>
      </c>
      <c r="FD162">
        <v>7.0000000000000001E-3</v>
      </c>
      <c r="FE162">
        <v>6.0000000000000001E-3</v>
      </c>
      <c r="FF162">
        <v>8.0000000000000002E-3</v>
      </c>
      <c r="FG162">
        <v>0</v>
      </c>
      <c r="FH162">
        <v>2E-3</v>
      </c>
      <c r="FI162"/>
      <c r="FJ162">
        <v>4.0000000000000001E-3</v>
      </c>
      <c r="FK162">
        <v>3.0000000000000001E-3</v>
      </c>
      <c r="FL162">
        <v>8.9999999999999993E-3</v>
      </c>
      <c r="FM162">
        <v>1E-3</v>
      </c>
      <c r="FN162">
        <v>0</v>
      </c>
      <c r="FO162">
        <v>0.01</v>
      </c>
      <c r="FP162">
        <v>2E-3</v>
      </c>
      <c r="FQ162">
        <v>1E-3</v>
      </c>
      <c r="FR162">
        <v>2E-3</v>
      </c>
      <c r="FS162">
        <v>2E-3</v>
      </c>
      <c r="FT162">
        <v>5.0000000000000001E-3</v>
      </c>
      <c r="FU162">
        <v>1E-3</v>
      </c>
      <c r="FV162">
        <v>3.0000000000000001E-3</v>
      </c>
      <c r="FW162">
        <v>1E-3</v>
      </c>
      <c r="FX162">
        <v>2E-3</v>
      </c>
      <c r="FY162">
        <v>3.0000000000000001E-3</v>
      </c>
      <c r="FZ162">
        <v>6.0000000000000001E-3</v>
      </c>
      <c r="GA162">
        <v>4.0000000000000001E-3</v>
      </c>
      <c r="GB162">
        <v>1E-3</v>
      </c>
      <c r="GC162">
        <v>1E-3</v>
      </c>
      <c r="GD162">
        <v>6.0000000000000001E-3</v>
      </c>
      <c r="GE162">
        <v>2E-3</v>
      </c>
      <c r="GF162">
        <v>2E-3</v>
      </c>
      <c r="GG162">
        <v>3.0000000000000001E-3</v>
      </c>
      <c r="GH162">
        <v>1E-3</v>
      </c>
      <c r="GI162">
        <v>4.0000000000000001E-3</v>
      </c>
      <c r="GJ162">
        <v>2E-3</v>
      </c>
      <c r="GK162">
        <v>3.0000000000000001E-3</v>
      </c>
      <c r="GL162">
        <v>7.0000000000000001E-3</v>
      </c>
      <c r="GM162">
        <v>6.0000000000000001E-3</v>
      </c>
    </row>
    <row r="163" spans="8:195" ht="14.4" x14ac:dyDescent="0.3">
      <c r="H163" t="s">
        <v>886</v>
      </c>
      <c r="I163">
        <v>5.0000000000000001E-3</v>
      </c>
      <c r="J163">
        <v>1E-3</v>
      </c>
      <c r="K163">
        <v>2E-3</v>
      </c>
      <c r="L163">
        <v>8.9999999999999993E-3</v>
      </c>
      <c r="M163">
        <v>3.0000000000000001E-3</v>
      </c>
      <c r="N163">
        <v>2E-3</v>
      </c>
      <c r="O163">
        <v>2E-3</v>
      </c>
      <c r="P163">
        <v>1E-3</v>
      </c>
      <c r="Q163">
        <v>1E-3</v>
      </c>
      <c r="R163">
        <v>2E-3</v>
      </c>
      <c r="S163">
        <v>4.0000000000000001E-3</v>
      </c>
      <c r="T163">
        <v>1E-3</v>
      </c>
      <c r="U163">
        <v>2E-3</v>
      </c>
      <c r="V163">
        <v>1E-3</v>
      </c>
      <c r="W163">
        <v>5.0000000000000001E-3</v>
      </c>
      <c r="X163">
        <v>1E-3</v>
      </c>
      <c r="Y163">
        <v>3.0000000000000001E-3</v>
      </c>
      <c r="Z163">
        <v>5.0000000000000001E-3</v>
      </c>
      <c r="AA163">
        <v>4.0000000000000001E-3</v>
      </c>
      <c r="AB163">
        <v>4.0000000000000001E-3</v>
      </c>
      <c r="AC163">
        <v>1E-3</v>
      </c>
      <c r="AD163">
        <v>7.0000000000000001E-3</v>
      </c>
      <c r="AE163">
        <v>3.0000000000000001E-3</v>
      </c>
      <c r="AF163">
        <v>1E-3</v>
      </c>
      <c r="AG163">
        <v>2E-3</v>
      </c>
      <c r="AH163">
        <v>5.0000000000000001E-3</v>
      </c>
      <c r="AI163">
        <v>7.0000000000000001E-3</v>
      </c>
      <c r="AJ163">
        <v>1E-3</v>
      </c>
      <c r="AK163">
        <v>4.0000000000000001E-3</v>
      </c>
      <c r="AL163">
        <v>0.01</v>
      </c>
      <c r="AM163">
        <v>1E-3</v>
      </c>
      <c r="AN163">
        <v>1.0999999999999999E-2</v>
      </c>
      <c r="AO163">
        <v>0.01</v>
      </c>
      <c r="AP163">
        <v>2E-3</v>
      </c>
      <c r="AQ163">
        <v>1E-3</v>
      </c>
      <c r="AR163">
        <v>4.0000000000000001E-3</v>
      </c>
      <c r="AS163"/>
      <c r="AT163">
        <v>7.0000000000000001E-3</v>
      </c>
      <c r="AU163">
        <v>2E-3</v>
      </c>
      <c r="AV163">
        <v>1.0999999999999999E-2</v>
      </c>
      <c r="AW163">
        <v>1E-3</v>
      </c>
      <c r="AX163">
        <v>1E-3</v>
      </c>
      <c r="AY163"/>
      <c r="AZ163">
        <v>1E-3</v>
      </c>
      <c r="BA163">
        <v>1E-3</v>
      </c>
      <c r="BB163">
        <v>3.0000000000000001E-3</v>
      </c>
      <c r="BC163">
        <v>6.0000000000000001E-3</v>
      </c>
      <c r="BD163">
        <v>1E-3</v>
      </c>
      <c r="BE163">
        <v>6.0000000000000001E-3</v>
      </c>
      <c r="BF163">
        <v>3.0000000000000001E-3</v>
      </c>
      <c r="BG163">
        <v>3.0000000000000001E-3</v>
      </c>
      <c r="BH163">
        <v>2E-3</v>
      </c>
      <c r="BI163">
        <v>6.0000000000000001E-3</v>
      </c>
      <c r="BJ163">
        <v>8.9999999999999993E-3</v>
      </c>
      <c r="BK163">
        <v>5.0000000000000001E-3</v>
      </c>
      <c r="BL163">
        <v>2E-3</v>
      </c>
      <c r="BM163">
        <v>5.0000000000000001E-3</v>
      </c>
      <c r="BN163">
        <v>3.0000000000000001E-3</v>
      </c>
      <c r="BO163">
        <v>1E-3</v>
      </c>
      <c r="BP163">
        <v>1E-3</v>
      </c>
      <c r="BQ163">
        <v>5.0000000000000001E-3</v>
      </c>
      <c r="BR163">
        <v>5.0000000000000001E-3</v>
      </c>
      <c r="BS163">
        <v>2E-3</v>
      </c>
      <c r="BT163">
        <v>1E-3</v>
      </c>
      <c r="BU163">
        <v>5.0000000000000001E-3</v>
      </c>
      <c r="BV163">
        <v>1E-3</v>
      </c>
      <c r="BW163">
        <v>3.0000000000000001E-3</v>
      </c>
      <c r="BX163">
        <v>5.0000000000000001E-3</v>
      </c>
      <c r="BY163">
        <v>6.0000000000000001E-3</v>
      </c>
      <c r="BZ163">
        <v>6.0000000000000001E-3</v>
      </c>
      <c r="CA163">
        <v>6.0000000000000001E-3</v>
      </c>
      <c r="CB163">
        <v>6.0000000000000001E-3</v>
      </c>
      <c r="CC163">
        <v>4.0000000000000001E-3</v>
      </c>
      <c r="CD163">
        <v>1E-3</v>
      </c>
      <c r="CE163">
        <v>1E-3</v>
      </c>
      <c r="CF163">
        <v>4.0000000000000001E-3</v>
      </c>
      <c r="CG163">
        <v>3.0000000000000001E-3</v>
      </c>
      <c r="CH163">
        <v>1E-3</v>
      </c>
      <c r="CI163">
        <v>4.0000000000000001E-3</v>
      </c>
      <c r="CJ163">
        <v>1E-3</v>
      </c>
      <c r="CK163">
        <v>1E-3</v>
      </c>
      <c r="CL163">
        <v>1E-3</v>
      </c>
      <c r="CM163">
        <v>4.0000000000000001E-3</v>
      </c>
      <c r="CN163">
        <v>1E-3</v>
      </c>
      <c r="CO163">
        <v>1E-3</v>
      </c>
      <c r="CP163">
        <v>6.0000000000000001E-3</v>
      </c>
      <c r="CQ163">
        <v>7.0000000000000001E-3</v>
      </c>
      <c r="CR163">
        <v>4.0000000000000001E-3</v>
      </c>
      <c r="CS163">
        <v>1E-3</v>
      </c>
      <c r="CT163">
        <v>4.0000000000000001E-3</v>
      </c>
      <c r="CU163">
        <v>3.0000000000000001E-3</v>
      </c>
      <c r="CV163">
        <v>3.0000000000000001E-3</v>
      </c>
      <c r="CW163">
        <v>1E-3</v>
      </c>
      <c r="CX163">
        <v>1.9E-2</v>
      </c>
      <c r="CY163">
        <v>6.0000000000000001E-3</v>
      </c>
      <c r="CZ163">
        <v>2E-3</v>
      </c>
      <c r="DA163">
        <v>4.0000000000000001E-3</v>
      </c>
      <c r="DB163">
        <v>1E-3</v>
      </c>
      <c r="DC163">
        <v>5.0000000000000001E-3</v>
      </c>
      <c r="DD163">
        <v>0.01</v>
      </c>
      <c r="DE163">
        <v>2E-3</v>
      </c>
      <c r="DF163">
        <v>0</v>
      </c>
      <c r="DG163">
        <v>5.0000000000000001E-3</v>
      </c>
      <c r="DH163">
        <v>1E-3</v>
      </c>
      <c r="DI163"/>
      <c r="DJ163">
        <v>4.0000000000000001E-3</v>
      </c>
      <c r="DK163">
        <v>3.0000000000000001E-3</v>
      </c>
      <c r="DL163">
        <v>3.0000000000000001E-3</v>
      </c>
      <c r="DM163"/>
      <c r="DN163">
        <v>5.0000000000000001E-3</v>
      </c>
      <c r="DO163">
        <v>1E-3</v>
      </c>
      <c r="DP163">
        <v>1E-3</v>
      </c>
      <c r="DQ163">
        <v>1.2999999999999999E-2</v>
      </c>
      <c r="DR163">
        <v>3.0000000000000001E-3</v>
      </c>
      <c r="DS163">
        <v>7.0000000000000001E-3</v>
      </c>
      <c r="DT163">
        <v>2E-3</v>
      </c>
      <c r="DU163">
        <v>1E-3</v>
      </c>
      <c r="DV163"/>
      <c r="DW163">
        <v>1E-3</v>
      </c>
      <c r="DX163">
        <v>4.0000000000000001E-3</v>
      </c>
      <c r="DY163">
        <v>4.0000000000000001E-3</v>
      </c>
      <c r="DZ163">
        <v>8.9999999999999993E-3</v>
      </c>
      <c r="EA163">
        <v>1E-3</v>
      </c>
      <c r="EB163">
        <v>1E-3</v>
      </c>
      <c r="EC163">
        <v>3.0000000000000001E-3</v>
      </c>
      <c r="ED163">
        <v>3.0000000000000001E-3</v>
      </c>
      <c r="EE163">
        <v>5.0000000000000001E-3</v>
      </c>
      <c r="EF163">
        <v>3.0000000000000001E-3</v>
      </c>
      <c r="EG163">
        <v>3.0000000000000001E-3</v>
      </c>
      <c r="EH163">
        <v>4.0000000000000001E-3</v>
      </c>
      <c r="EI163">
        <v>2E-3</v>
      </c>
      <c r="EJ163">
        <v>1E-3</v>
      </c>
      <c r="EK163">
        <v>1E-3</v>
      </c>
      <c r="EL163">
        <v>1E-3</v>
      </c>
      <c r="EM163">
        <v>3.0000000000000001E-3</v>
      </c>
      <c r="EN163">
        <v>2E-3</v>
      </c>
      <c r="EO163">
        <v>7.0000000000000001E-3</v>
      </c>
      <c r="EP163">
        <v>7.0000000000000001E-3</v>
      </c>
      <c r="EQ163">
        <v>2E-3</v>
      </c>
      <c r="ER163">
        <v>4.0000000000000001E-3</v>
      </c>
      <c r="ES163">
        <v>2E-3</v>
      </c>
      <c r="ET163"/>
      <c r="EU163">
        <v>1E-3</v>
      </c>
      <c r="EV163">
        <v>4.0000000000000001E-3</v>
      </c>
      <c r="EW163">
        <v>1E-3</v>
      </c>
      <c r="EX163">
        <v>3.0000000000000001E-3</v>
      </c>
      <c r="EY163">
        <v>0.01</v>
      </c>
      <c r="EZ163">
        <v>1E-3</v>
      </c>
      <c r="FA163">
        <v>2E-3</v>
      </c>
      <c r="FB163">
        <v>1E-3</v>
      </c>
      <c r="FC163">
        <v>3.0000000000000001E-3</v>
      </c>
      <c r="FD163">
        <v>8.0000000000000002E-3</v>
      </c>
      <c r="FE163">
        <v>0.01</v>
      </c>
      <c r="FF163">
        <v>8.9999999999999993E-3</v>
      </c>
      <c r="FG163">
        <v>1E-3</v>
      </c>
      <c r="FH163">
        <v>3.0000000000000001E-3</v>
      </c>
      <c r="FI163"/>
      <c r="FJ163">
        <v>6.0000000000000001E-3</v>
      </c>
      <c r="FK163">
        <v>4.0000000000000001E-3</v>
      </c>
      <c r="FL163">
        <v>1.2999999999999999E-2</v>
      </c>
      <c r="FM163">
        <v>1E-3</v>
      </c>
      <c r="FN163">
        <v>1E-3</v>
      </c>
      <c r="FO163">
        <v>0.01</v>
      </c>
      <c r="FP163">
        <v>3.0000000000000001E-3</v>
      </c>
      <c r="FQ163">
        <v>1E-3</v>
      </c>
      <c r="FR163">
        <v>3.0000000000000001E-3</v>
      </c>
      <c r="FS163">
        <v>2E-3</v>
      </c>
      <c r="FT163">
        <v>7.0000000000000001E-3</v>
      </c>
      <c r="FU163">
        <v>2E-3</v>
      </c>
      <c r="FV163">
        <v>3.0000000000000001E-3</v>
      </c>
      <c r="FW163">
        <v>1E-3</v>
      </c>
      <c r="FX163">
        <v>3.0000000000000001E-3</v>
      </c>
      <c r="FY163">
        <v>5.0000000000000001E-3</v>
      </c>
      <c r="FZ163">
        <v>8.0000000000000002E-3</v>
      </c>
      <c r="GA163">
        <v>6.0000000000000001E-3</v>
      </c>
      <c r="GB163">
        <v>1E-3</v>
      </c>
      <c r="GC163">
        <v>1E-3</v>
      </c>
      <c r="GD163">
        <v>7.0000000000000001E-3</v>
      </c>
      <c r="GE163">
        <v>2E-3</v>
      </c>
      <c r="GF163">
        <v>2E-3</v>
      </c>
      <c r="GG163">
        <v>4.0000000000000001E-3</v>
      </c>
      <c r="GH163">
        <v>2E-3</v>
      </c>
      <c r="GI163">
        <v>4.0000000000000001E-3</v>
      </c>
      <c r="GJ163">
        <v>3.0000000000000001E-3</v>
      </c>
      <c r="GK163">
        <v>4.0000000000000001E-3</v>
      </c>
      <c r="GL163">
        <v>0.01</v>
      </c>
      <c r="GM163">
        <v>8.9999999999999993E-3</v>
      </c>
    </row>
    <row r="164" spans="8:195" ht="14.4" x14ac:dyDescent="0.3">
      <c r="H164" t="s">
        <v>887</v>
      </c>
      <c r="I164">
        <v>6.0000000000000001E-3</v>
      </c>
      <c r="J164">
        <v>2E-3</v>
      </c>
      <c r="K164">
        <v>3.0000000000000001E-3</v>
      </c>
      <c r="L164">
        <v>0.01</v>
      </c>
      <c r="M164">
        <v>4.0000000000000001E-3</v>
      </c>
      <c r="N164">
        <v>3.0000000000000001E-3</v>
      </c>
      <c r="O164">
        <v>3.0000000000000001E-3</v>
      </c>
      <c r="P164">
        <v>2E-3</v>
      </c>
      <c r="Q164">
        <v>1E-3</v>
      </c>
      <c r="R164">
        <v>3.0000000000000001E-3</v>
      </c>
      <c r="S164">
        <v>5.0000000000000001E-3</v>
      </c>
      <c r="T164">
        <v>1E-3</v>
      </c>
      <c r="U164">
        <v>3.0000000000000001E-3</v>
      </c>
      <c r="V164">
        <v>2E-3</v>
      </c>
      <c r="W164">
        <v>8.0000000000000002E-3</v>
      </c>
      <c r="X164">
        <v>2E-3</v>
      </c>
      <c r="Y164">
        <v>5.0000000000000001E-3</v>
      </c>
      <c r="Z164">
        <v>7.0000000000000001E-3</v>
      </c>
      <c r="AA164">
        <v>6.0000000000000001E-3</v>
      </c>
      <c r="AB164">
        <v>5.0000000000000001E-3</v>
      </c>
      <c r="AC164">
        <v>2E-3</v>
      </c>
      <c r="AD164">
        <v>0.01</v>
      </c>
      <c r="AE164">
        <v>4.0000000000000001E-3</v>
      </c>
      <c r="AF164">
        <v>2E-3</v>
      </c>
      <c r="AG164">
        <v>3.0000000000000001E-3</v>
      </c>
      <c r="AH164">
        <v>6.0000000000000001E-3</v>
      </c>
      <c r="AI164">
        <v>8.9999999999999993E-3</v>
      </c>
      <c r="AJ164">
        <v>2E-3</v>
      </c>
      <c r="AK164">
        <v>5.0000000000000001E-3</v>
      </c>
      <c r="AL164">
        <v>1.2E-2</v>
      </c>
      <c r="AM164">
        <v>1E-3</v>
      </c>
      <c r="AN164">
        <v>1.4E-2</v>
      </c>
      <c r="AO164">
        <v>1.2E-2</v>
      </c>
      <c r="AP164">
        <v>2E-3</v>
      </c>
      <c r="AQ164">
        <v>2E-3</v>
      </c>
      <c r="AR164">
        <v>4.0000000000000001E-3</v>
      </c>
      <c r="AS164"/>
      <c r="AT164">
        <v>8.0000000000000002E-3</v>
      </c>
      <c r="AU164">
        <v>3.0000000000000001E-3</v>
      </c>
      <c r="AV164">
        <v>1.2999999999999999E-2</v>
      </c>
      <c r="AW164">
        <v>2E-3</v>
      </c>
      <c r="AX164">
        <v>2E-3</v>
      </c>
      <c r="AY164"/>
      <c r="AZ164">
        <v>1E-3</v>
      </c>
      <c r="BA164">
        <v>2E-3</v>
      </c>
      <c r="BB164">
        <v>3.0000000000000001E-3</v>
      </c>
      <c r="BC164">
        <v>7.0000000000000001E-3</v>
      </c>
      <c r="BD164">
        <v>1E-3</v>
      </c>
      <c r="BE164">
        <v>7.0000000000000001E-3</v>
      </c>
      <c r="BF164">
        <v>4.0000000000000001E-3</v>
      </c>
      <c r="BG164">
        <v>3.0000000000000001E-3</v>
      </c>
      <c r="BH164">
        <v>3.0000000000000001E-3</v>
      </c>
      <c r="BI164">
        <v>7.0000000000000001E-3</v>
      </c>
      <c r="BJ164">
        <v>1.0999999999999999E-2</v>
      </c>
      <c r="BK164">
        <v>7.0000000000000001E-3</v>
      </c>
      <c r="BL164">
        <v>3.0000000000000001E-3</v>
      </c>
      <c r="BM164">
        <v>6.0000000000000001E-3</v>
      </c>
      <c r="BN164">
        <v>5.0000000000000001E-3</v>
      </c>
      <c r="BO164">
        <v>2E-3</v>
      </c>
      <c r="BP164">
        <v>2E-3</v>
      </c>
      <c r="BQ164">
        <v>6.0000000000000001E-3</v>
      </c>
      <c r="BR164">
        <v>7.0000000000000001E-3</v>
      </c>
      <c r="BS164">
        <v>4.0000000000000001E-3</v>
      </c>
      <c r="BT164">
        <v>1E-3</v>
      </c>
      <c r="BU164">
        <v>7.0000000000000001E-3</v>
      </c>
      <c r="BV164">
        <v>2E-3</v>
      </c>
      <c r="BW164">
        <v>4.0000000000000001E-3</v>
      </c>
      <c r="BX164">
        <v>6.0000000000000001E-3</v>
      </c>
      <c r="BY164">
        <v>8.0000000000000002E-3</v>
      </c>
      <c r="BZ164">
        <v>8.0000000000000002E-3</v>
      </c>
      <c r="CA164">
        <v>6.0000000000000001E-3</v>
      </c>
      <c r="CB164">
        <v>7.0000000000000001E-3</v>
      </c>
      <c r="CC164">
        <v>4.0000000000000001E-3</v>
      </c>
      <c r="CD164">
        <v>2E-3</v>
      </c>
      <c r="CE164">
        <v>1E-3</v>
      </c>
      <c r="CF164">
        <v>5.0000000000000001E-3</v>
      </c>
      <c r="CG164">
        <v>4.0000000000000001E-3</v>
      </c>
      <c r="CH164">
        <v>2E-3</v>
      </c>
      <c r="CI164">
        <v>4.0000000000000001E-3</v>
      </c>
      <c r="CJ164">
        <v>2E-3</v>
      </c>
      <c r="CK164">
        <v>1E-3</v>
      </c>
      <c r="CL164">
        <v>1E-3</v>
      </c>
      <c r="CM164">
        <v>4.0000000000000001E-3</v>
      </c>
      <c r="CN164">
        <v>1E-3</v>
      </c>
      <c r="CO164">
        <v>2E-3</v>
      </c>
      <c r="CP164">
        <v>7.0000000000000001E-3</v>
      </c>
      <c r="CQ164">
        <v>8.9999999999999993E-3</v>
      </c>
      <c r="CR164">
        <v>5.0000000000000001E-3</v>
      </c>
      <c r="CS164">
        <v>2E-3</v>
      </c>
      <c r="CT164">
        <v>6.0000000000000001E-3</v>
      </c>
      <c r="CU164">
        <v>4.0000000000000001E-3</v>
      </c>
      <c r="CV164">
        <v>5.0000000000000001E-3</v>
      </c>
      <c r="CW164">
        <v>2E-3</v>
      </c>
      <c r="CX164">
        <v>2.4E-2</v>
      </c>
      <c r="CY164">
        <v>7.0000000000000001E-3</v>
      </c>
      <c r="CZ164">
        <v>3.0000000000000001E-3</v>
      </c>
      <c r="DA164">
        <v>6.0000000000000001E-3</v>
      </c>
      <c r="DB164">
        <v>1E-3</v>
      </c>
      <c r="DC164">
        <v>6.0000000000000001E-3</v>
      </c>
      <c r="DD164">
        <v>1.4999999999999999E-2</v>
      </c>
      <c r="DE164">
        <v>3.0000000000000001E-3</v>
      </c>
      <c r="DF164">
        <v>1E-3</v>
      </c>
      <c r="DG164">
        <v>7.0000000000000001E-3</v>
      </c>
      <c r="DH164">
        <v>1E-3</v>
      </c>
      <c r="DI164"/>
      <c r="DJ164">
        <v>5.0000000000000001E-3</v>
      </c>
      <c r="DK164">
        <v>4.0000000000000001E-3</v>
      </c>
      <c r="DL164">
        <v>3.0000000000000001E-3</v>
      </c>
      <c r="DM164"/>
      <c r="DN164">
        <v>8.0000000000000002E-3</v>
      </c>
      <c r="DO164">
        <v>2E-3</v>
      </c>
      <c r="DP164">
        <v>2E-3</v>
      </c>
      <c r="DQ164">
        <v>1.4999999999999999E-2</v>
      </c>
      <c r="DR164">
        <v>5.0000000000000001E-3</v>
      </c>
      <c r="DS164">
        <v>8.9999999999999993E-3</v>
      </c>
      <c r="DT164">
        <v>4.0000000000000001E-3</v>
      </c>
      <c r="DU164">
        <v>1E-3</v>
      </c>
      <c r="DV164"/>
      <c r="DW164">
        <v>2E-3</v>
      </c>
      <c r="DX164">
        <v>5.0000000000000001E-3</v>
      </c>
      <c r="DY164">
        <v>5.0000000000000001E-3</v>
      </c>
      <c r="DZ164">
        <v>1.0999999999999999E-2</v>
      </c>
      <c r="EA164">
        <v>1E-3</v>
      </c>
      <c r="EB164">
        <v>2E-3</v>
      </c>
      <c r="EC164">
        <v>4.0000000000000001E-3</v>
      </c>
      <c r="ED164">
        <v>3.0000000000000001E-3</v>
      </c>
      <c r="EE164">
        <v>7.0000000000000001E-3</v>
      </c>
      <c r="EF164">
        <v>3.0000000000000001E-3</v>
      </c>
      <c r="EG164">
        <v>3.0000000000000001E-3</v>
      </c>
      <c r="EH164">
        <v>6.0000000000000001E-3</v>
      </c>
      <c r="EI164">
        <v>3.0000000000000001E-3</v>
      </c>
      <c r="EJ164">
        <v>2E-3</v>
      </c>
      <c r="EK164">
        <v>1E-3</v>
      </c>
      <c r="EL164">
        <v>2E-3</v>
      </c>
      <c r="EM164">
        <v>5.0000000000000001E-3</v>
      </c>
      <c r="EN164">
        <v>3.0000000000000001E-3</v>
      </c>
      <c r="EO164">
        <v>8.9999999999999993E-3</v>
      </c>
      <c r="EP164">
        <v>8.0000000000000002E-3</v>
      </c>
      <c r="EQ164">
        <v>3.0000000000000001E-3</v>
      </c>
      <c r="ER164">
        <v>5.0000000000000001E-3</v>
      </c>
      <c r="ES164">
        <v>3.0000000000000001E-3</v>
      </c>
      <c r="ET164"/>
      <c r="EU164">
        <v>1E-3</v>
      </c>
      <c r="EV164">
        <v>5.0000000000000001E-3</v>
      </c>
      <c r="EW164">
        <v>2E-3</v>
      </c>
      <c r="EX164">
        <v>6.0000000000000001E-3</v>
      </c>
      <c r="EY164">
        <v>1.2E-2</v>
      </c>
      <c r="EZ164">
        <v>1E-3</v>
      </c>
      <c r="FA164">
        <v>3.0000000000000001E-3</v>
      </c>
      <c r="FB164">
        <v>2E-3</v>
      </c>
      <c r="FC164">
        <v>4.0000000000000001E-3</v>
      </c>
      <c r="FD164">
        <v>0.01</v>
      </c>
      <c r="FE164">
        <v>1.2E-2</v>
      </c>
      <c r="FF164">
        <v>0.01</v>
      </c>
      <c r="FG164">
        <v>1E-3</v>
      </c>
      <c r="FH164">
        <v>5.0000000000000001E-3</v>
      </c>
      <c r="FI164"/>
      <c r="FJ164">
        <v>7.0000000000000001E-3</v>
      </c>
      <c r="FK164">
        <v>5.0000000000000001E-3</v>
      </c>
      <c r="FL164">
        <v>1.4999999999999999E-2</v>
      </c>
      <c r="FM164">
        <v>1E-3</v>
      </c>
      <c r="FN164">
        <v>1E-3</v>
      </c>
      <c r="FO164">
        <v>8.9999999999999993E-3</v>
      </c>
      <c r="FP164">
        <v>4.0000000000000001E-3</v>
      </c>
      <c r="FQ164">
        <v>2E-3</v>
      </c>
      <c r="FR164">
        <v>5.0000000000000001E-3</v>
      </c>
      <c r="FS164">
        <v>3.0000000000000001E-3</v>
      </c>
      <c r="FT164">
        <v>8.9999999999999993E-3</v>
      </c>
      <c r="FU164">
        <v>3.0000000000000001E-3</v>
      </c>
      <c r="FV164">
        <v>4.0000000000000001E-3</v>
      </c>
      <c r="FW164">
        <v>2E-3</v>
      </c>
      <c r="FX164">
        <v>3.0000000000000001E-3</v>
      </c>
      <c r="FY164">
        <v>7.0000000000000001E-3</v>
      </c>
      <c r="FZ164">
        <v>8.9999999999999993E-3</v>
      </c>
      <c r="GA164">
        <v>8.0000000000000002E-3</v>
      </c>
      <c r="GB164">
        <v>1E-3</v>
      </c>
      <c r="GC164">
        <v>2E-3</v>
      </c>
      <c r="GD164">
        <v>8.9999999999999993E-3</v>
      </c>
      <c r="GE164">
        <v>2E-3</v>
      </c>
      <c r="GF164">
        <v>3.0000000000000001E-3</v>
      </c>
      <c r="GG164">
        <v>5.0000000000000001E-3</v>
      </c>
      <c r="GH164">
        <v>3.0000000000000001E-3</v>
      </c>
      <c r="GI164">
        <v>4.0000000000000001E-3</v>
      </c>
      <c r="GJ164">
        <v>4.0000000000000001E-3</v>
      </c>
      <c r="GK164">
        <v>5.0000000000000001E-3</v>
      </c>
      <c r="GL164">
        <v>1.2E-2</v>
      </c>
      <c r="GM164">
        <v>1.2E-2</v>
      </c>
    </row>
    <row r="165" spans="8:195" ht="14.4" x14ac:dyDescent="0.3">
      <c r="H165" t="s">
        <v>888</v>
      </c>
      <c r="I165">
        <v>8.9999999999999993E-3</v>
      </c>
      <c r="J165">
        <v>3.0000000000000001E-3</v>
      </c>
      <c r="K165">
        <v>4.0000000000000001E-3</v>
      </c>
      <c r="L165">
        <v>1.2E-2</v>
      </c>
      <c r="M165">
        <v>5.0000000000000001E-3</v>
      </c>
      <c r="N165">
        <v>4.0000000000000001E-3</v>
      </c>
      <c r="O165">
        <v>5.0000000000000001E-3</v>
      </c>
      <c r="P165">
        <v>2E-3</v>
      </c>
      <c r="Q165">
        <v>2E-3</v>
      </c>
      <c r="R165">
        <v>5.0000000000000001E-3</v>
      </c>
      <c r="S165">
        <v>6.0000000000000001E-3</v>
      </c>
      <c r="T165">
        <v>2E-3</v>
      </c>
      <c r="U165">
        <v>5.0000000000000001E-3</v>
      </c>
      <c r="V165">
        <v>4.0000000000000001E-3</v>
      </c>
      <c r="W165">
        <v>1.0999999999999999E-2</v>
      </c>
      <c r="X165">
        <v>2E-3</v>
      </c>
      <c r="Y165">
        <v>7.0000000000000001E-3</v>
      </c>
      <c r="Z165">
        <v>8.9999999999999993E-3</v>
      </c>
      <c r="AA165">
        <v>7.0000000000000001E-3</v>
      </c>
      <c r="AB165">
        <v>7.0000000000000001E-3</v>
      </c>
      <c r="AC165">
        <v>3.0000000000000001E-3</v>
      </c>
      <c r="AD165">
        <v>1.2E-2</v>
      </c>
      <c r="AE165">
        <v>5.0000000000000001E-3</v>
      </c>
      <c r="AF165">
        <v>3.0000000000000001E-3</v>
      </c>
      <c r="AG165">
        <v>6.0000000000000001E-3</v>
      </c>
      <c r="AH165">
        <v>8.0000000000000002E-3</v>
      </c>
      <c r="AI165">
        <v>1.0999999999999999E-2</v>
      </c>
      <c r="AJ165">
        <v>4.0000000000000001E-3</v>
      </c>
      <c r="AK165">
        <v>7.0000000000000001E-3</v>
      </c>
      <c r="AL165">
        <v>1.4E-2</v>
      </c>
      <c r="AM165">
        <v>2E-3</v>
      </c>
      <c r="AN165">
        <v>1.7000000000000001E-2</v>
      </c>
      <c r="AO165">
        <v>1.2999999999999999E-2</v>
      </c>
      <c r="AP165">
        <v>3.0000000000000001E-3</v>
      </c>
      <c r="AQ165">
        <v>3.0000000000000001E-3</v>
      </c>
      <c r="AR165">
        <v>5.0000000000000001E-3</v>
      </c>
      <c r="AS165"/>
      <c r="AT165">
        <v>0.01</v>
      </c>
      <c r="AU165">
        <v>3.0000000000000001E-3</v>
      </c>
      <c r="AV165">
        <v>1.4999999999999999E-2</v>
      </c>
      <c r="AW165">
        <v>4.0000000000000001E-3</v>
      </c>
      <c r="AX165">
        <v>3.0000000000000001E-3</v>
      </c>
      <c r="AY165"/>
      <c r="AZ165">
        <v>2E-3</v>
      </c>
      <c r="BA165">
        <v>3.0000000000000001E-3</v>
      </c>
      <c r="BB165">
        <v>4.0000000000000001E-3</v>
      </c>
      <c r="BC165">
        <v>8.0000000000000002E-3</v>
      </c>
      <c r="BD165">
        <v>2E-3</v>
      </c>
      <c r="BE165">
        <v>8.0000000000000002E-3</v>
      </c>
      <c r="BF165">
        <v>6.0000000000000001E-3</v>
      </c>
      <c r="BG165">
        <v>4.0000000000000001E-3</v>
      </c>
      <c r="BH165">
        <v>6.0000000000000001E-3</v>
      </c>
      <c r="BI165">
        <v>8.0000000000000002E-3</v>
      </c>
      <c r="BJ165">
        <v>1.2E-2</v>
      </c>
      <c r="BK165">
        <v>0.01</v>
      </c>
      <c r="BL165">
        <v>5.0000000000000001E-3</v>
      </c>
      <c r="BM165">
        <v>8.0000000000000002E-3</v>
      </c>
      <c r="BN165">
        <v>8.0000000000000002E-3</v>
      </c>
      <c r="BO165">
        <v>3.0000000000000001E-3</v>
      </c>
      <c r="BP165">
        <v>3.0000000000000001E-3</v>
      </c>
      <c r="BQ165">
        <v>8.0000000000000002E-3</v>
      </c>
      <c r="BR165">
        <v>8.9999999999999993E-3</v>
      </c>
      <c r="BS165">
        <v>7.0000000000000001E-3</v>
      </c>
      <c r="BT165">
        <v>2E-3</v>
      </c>
      <c r="BU165">
        <v>8.0000000000000002E-3</v>
      </c>
      <c r="BV165">
        <v>3.0000000000000001E-3</v>
      </c>
      <c r="BW165">
        <v>6.0000000000000001E-3</v>
      </c>
      <c r="BX165">
        <v>8.0000000000000002E-3</v>
      </c>
      <c r="BY165">
        <v>0.01</v>
      </c>
      <c r="BZ165">
        <v>0.01</v>
      </c>
      <c r="CA165">
        <v>8.0000000000000002E-3</v>
      </c>
      <c r="CB165">
        <v>8.9999999999999993E-3</v>
      </c>
      <c r="CC165">
        <v>5.0000000000000001E-3</v>
      </c>
      <c r="CD165">
        <v>5.0000000000000001E-3</v>
      </c>
      <c r="CE165">
        <v>2E-3</v>
      </c>
      <c r="CF165">
        <v>7.0000000000000001E-3</v>
      </c>
      <c r="CG165">
        <v>6.0000000000000001E-3</v>
      </c>
      <c r="CH165">
        <v>3.0000000000000001E-3</v>
      </c>
      <c r="CI165">
        <v>6.0000000000000001E-3</v>
      </c>
      <c r="CJ165">
        <v>2E-3</v>
      </c>
      <c r="CK165">
        <v>2E-3</v>
      </c>
      <c r="CL165">
        <v>2E-3</v>
      </c>
      <c r="CM165">
        <v>5.0000000000000001E-3</v>
      </c>
      <c r="CN165">
        <v>2E-3</v>
      </c>
      <c r="CO165">
        <v>4.0000000000000001E-3</v>
      </c>
      <c r="CP165">
        <v>8.9999999999999993E-3</v>
      </c>
      <c r="CQ165">
        <v>0.01</v>
      </c>
      <c r="CR165">
        <v>7.0000000000000001E-3</v>
      </c>
      <c r="CS165">
        <v>3.0000000000000001E-3</v>
      </c>
      <c r="CT165">
        <v>8.0000000000000002E-3</v>
      </c>
      <c r="CU165">
        <v>7.0000000000000001E-3</v>
      </c>
      <c r="CV165">
        <v>8.0000000000000002E-3</v>
      </c>
      <c r="CW165">
        <v>3.0000000000000001E-3</v>
      </c>
      <c r="CX165">
        <v>2.7E-2</v>
      </c>
      <c r="CY165">
        <v>8.9999999999999993E-3</v>
      </c>
      <c r="CZ165">
        <v>5.0000000000000001E-3</v>
      </c>
      <c r="DA165">
        <v>8.0000000000000002E-3</v>
      </c>
      <c r="DB165">
        <v>2E-3</v>
      </c>
      <c r="DC165">
        <v>8.0000000000000002E-3</v>
      </c>
      <c r="DD165">
        <v>0.02</v>
      </c>
      <c r="DE165">
        <v>5.0000000000000001E-3</v>
      </c>
      <c r="DF165">
        <v>2E-3</v>
      </c>
      <c r="DG165">
        <v>8.0000000000000002E-3</v>
      </c>
      <c r="DH165">
        <v>2E-3</v>
      </c>
      <c r="DI165"/>
      <c r="DJ165">
        <v>7.0000000000000001E-3</v>
      </c>
      <c r="DK165">
        <v>7.0000000000000001E-3</v>
      </c>
      <c r="DL165">
        <v>5.0000000000000001E-3</v>
      </c>
      <c r="DM165"/>
      <c r="DN165">
        <v>1.0999999999999999E-2</v>
      </c>
      <c r="DO165">
        <v>4.0000000000000001E-3</v>
      </c>
      <c r="DP165">
        <v>3.0000000000000001E-3</v>
      </c>
      <c r="DQ165">
        <v>1.4999999999999999E-2</v>
      </c>
      <c r="DR165">
        <v>7.0000000000000001E-3</v>
      </c>
      <c r="DS165">
        <v>1.0999999999999999E-2</v>
      </c>
      <c r="DT165">
        <v>6.0000000000000001E-3</v>
      </c>
      <c r="DU165">
        <v>2E-3</v>
      </c>
      <c r="DV165"/>
      <c r="DW165">
        <v>2E-3</v>
      </c>
      <c r="DX165">
        <v>7.0000000000000001E-3</v>
      </c>
      <c r="DY165">
        <v>7.0000000000000001E-3</v>
      </c>
      <c r="DZ165">
        <v>1.2E-2</v>
      </c>
      <c r="EA165">
        <v>2E-3</v>
      </c>
      <c r="EB165">
        <v>3.0000000000000001E-3</v>
      </c>
      <c r="EC165">
        <v>6.0000000000000001E-3</v>
      </c>
      <c r="ED165">
        <v>4.0000000000000001E-3</v>
      </c>
      <c r="EE165">
        <v>1.0999999999999999E-2</v>
      </c>
      <c r="EF165">
        <v>5.0000000000000001E-3</v>
      </c>
      <c r="EG165">
        <v>4.0000000000000001E-3</v>
      </c>
      <c r="EH165">
        <v>8.9999999999999993E-3</v>
      </c>
      <c r="EI165">
        <v>5.0000000000000001E-3</v>
      </c>
      <c r="EJ165">
        <v>4.0000000000000001E-3</v>
      </c>
      <c r="EK165">
        <v>1E-3</v>
      </c>
      <c r="EL165">
        <v>3.0000000000000001E-3</v>
      </c>
      <c r="EM165">
        <v>8.0000000000000002E-3</v>
      </c>
      <c r="EN165">
        <v>6.0000000000000001E-3</v>
      </c>
      <c r="EO165">
        <v>1.0999999999999999E-2</v>
      </c>
      <c r="EP165">
        <v>0.01</v>
      </c>
      <c r="EQ165">
        <v>5.0000000000000001E-3</v>
      </c>
      <c r="ER165">
        <v>7.0000000000000001E-3</v>
      </c>
      <c r="ES165">
        <v>5.0000000000000001E-3</v>
      </c>
      <c r="ET165"/>
      <c r="EU165">
        <v>2E-3</v>
      </c>
      <c r="EV165">
        <v>7.0000000000000001E-3</v>
      </c>
      <c r="EW165">
        <v>4.0000000000000001E-3</v>
      </c>
      <c r="EX165">
        <v>8.0000000000000002E-3</v>
      </c>
      <c r="EY165">
        <v>1.4E-2</v>
      </c>
      <c r="EZ165">
        <v>2E-3</v>
      </c>
      <c r="FA165">
        <v>5.0000000000000001E-3</v>
      </c>
      <c r="FB165">
        <v>3.0000000000000001E-3</v>
      </c>
      <c r="FC165">
        <v>6.0000000000000001E-3</v>
      </c>
      <c r="FD165">
        <v>1.0999999999999999E-2</v>
      </c>
      <c r="FE165">
        <v>1.4999999999999999E-2</v>
      </c>
      <c r="FF165">
        <v>1.2E-2</v>
      </c>
      <c r="FG165">
        <v>2E-3</v>
      </c>
      <c r="FH165">
        <v>7.0000000000000001E-3</v>
      </c>
      <c r="FI165"/>
      <c r="FJ165">
        <v>8.0000000000000002E-3</v>
      </c>
      <c r="FK165">
        <v>7.0000000000000001E-3</v>
      </c>
      <c r="FL165">
        <v>1.7000000000000001E-2</v>
      </c>
      <c r="FM165">
        <v>2E-3</v>
      </c>
      <c r="FN165">
        <v>2E-3</v>
      </c>
      <c r="FO165">
        <v>0.01</v>
      </c>
      <c r="FP165">
        <v>7.0000000000000001E-3</v>
      </c>
      <c r="FQ165">
        <v>4.0000000000000001E-3</v>
      </c>
      <c r="FR165">
        <v>7.0000000000000001E-3</v>
      </c>
      <c r="FS165">
        <v>5.0000000000000001E-3</v>
      </c>
      <c r="FT165">
        <v>1.0999999999999999E-2</v>
      </c>
      <c r="FU165">
        <v>5.0000000000000001E-3</v>
      </c>
      <c r="FV165">
        <v>7.0000000000000001E-3</v>
      </c>
      <c r="FW165">
        <v>4.0000000000000001E-3</v>
      </c>
      <c r="FX165">
        <v>4.0000000000000001E-3</v>
      </c>
      <c r="FY165">
        <v>0.01</v>
      </c>
      <c r="FZ165">
        <v>1.0999999999999999E-2</v>
      </c>
      <c r="GA165">
        <v>0.01</v>
      </c>
      <c r="GB165">
        <v>2E-3</v>
      </c>
      <c r="GC165">
        <v>2E-3</v>
      </c>
      <c r="GD165">
        <v>1.0999999999999999E-2</v>
      </c>
      <c r="GE165">
        <v>4.0000000000000001E-3</v>
      </c>
      <c r="GF165">
        <v>4.0000000000000001E-3</v>
      </c>
      <c r="GG165">
        <v>8.0000000000000002E-3</v>
      </c>
      <c r="GH165">
        <v>4.0000000000000001E-3</v>
      </c>
      <c r="GI165">
        <v>4.0000000000000001E-3</v>
      </c>
      <c r="GJ165">
        <v>6.0000000000000001E-3</v>
      </c>
      <c r="GK165">
        <v>8.0000000000000002E-3</v>
      </c>
      <c r="GL165">
        <v>1.4E-2</v>
      </c>
      <c r="GM165">
        <v>1.4999999999999999E-2</v>
      </c>
    </row>
    <row r="166" spans="8:195" ht="14.4" x14ac:dyDescent="0.3">
      <c r="H166" t="s">
        <v>889</v>
      </c>
      <c r="I166">
        <v>1.2999999999999999E-2</v>
      </c>
      <c r="J166">
        <v>4.0000000000000001E-3</v>
      </c>
      <c r="K166">
        <v>6.0000000000000001E-3</v>
      </c>
      <c r="L166">
        <v>1.6E-2</v>
      </c>
      <c r="M166">
        <v>7.0000000000000001E-3</v>
      </c>
      <c r="N166">
        <v>7.0000000000000001E-3</v>
      </c>
      <c r="O166">
        <v>8.0000000000000002E-3</v>
      </c>
      <c r="P166">
        <v>3.0000000000000001E-3</v>
      </c>
      <c r="Q166">
        <v>4.0000000000000001E-3</v>
      </c>
      <c r="R166">
        <v>8.0000000000000002E-3</v>
      </c>
      <c r="S166">
        <v>8.9999999999999993E-3</v>
      </c>
      <c r="T166">
        <v>3.0000000000000001E-3</v>
      </c>
      <c r="U166">
        <v>8.0000000000000002E-3</v>
      </c>
      <c r="V166">
        <v>6.0000000000000001E-3</v>
      </c>
      <c r="W166">
        <v>1.6E-2</v>
      </c>
      <c r="X166">
        <v>4.0000000000000001E-3</v>
      </c>
      <c r="Y166">
        <v>0.01</v>
      </c>
      <c r="Z166">
        <v>1.2E-2</v>
      </c>
      <c r="AA166">
        <v>8.9999999999999993E-3</v>
      </c>
      <c r="AB166">
        <v>8.9999999999999993E-3</v>
      </c>
      <c r="AC166">
        <v>6.0000000000000001E-3</v>
      </c>
      <c r="AD166">
        <v>1.4E-2</v>
      </c>
      <c r="AE166">
        <v>8.0000000000000002E-3</v>
      </c>
      <c r="AF166">
        <v>5.0000000000000001E-3</v>
      </c>
      <c r="AG166">
        <v>0.01</v>
      </c>
      <c r="AH166">
        <v>1.2E-2</v>
      </c>
      <c r="AI166">
        <v>1.4E-2</v>
      </c>
      <c r="AJ166">
        <v>7.0000000000000001E-3</v>
      </c>
      <c r="AK166">
        <v>8.0000000000000002E-3</v>
      </c>
      <c r="AL166">
        <v>1.7000000000000001E-2</v>
      </c>
      <c r="AM166">
        <v>4.0000000000000001E-3</v>
      </c>
      <c r="AN166">
        <v>1.9E-2</v>
      </c>
      <c r="AO166">
        <v>1.6E-2</v>
      </c>
      <c r="AP166">
        <v>5.0000000000000001E-3</v>
      </c>
      <c r="AQ166">
        <v>5.0000000000000001E-3</v>
      </c>
      <c r="AR166">
        <v>7.0000000000000001E-3</v>
      </c>
      <c r="AS166"/>
      <c r="AT166">
        <v>1.2999999999999999E-2</v>
      </c>
      <c r="AU166">
        <v>5.0000000000000001E-3</v>
      </c>
      <c r="AV166">
        <v>1.7999999999999999E-2</v>
      </c>
      <c r="AW166">
        <v>7.0000000000000001E-3</v>
      </c>
      <c r="AX166">
        <v>5.0000000000000001E-3</v>
      </c>
      <c r="AY166"/>
      <c r="AZ166">
        <v>3.0000000000000001E-3</v>
      </c>
      <c r="BA166">
        <v>5.0000000000000001E-3</v>
      </c>
      <c r="BB166">
        <v>6.0000000000000001E-3</v>
      </c>
      <c r="BC166">
        <v>1.2E-2</v>
      </c>
      <c r="BD166">
        <v>4.0000000000000001E-3</v>
      </c>
      <c r="BE166">
        <v>1.0999999999999999E-2</v>
      </c>
      <c r="BF166">
        <v>8.0000000000000002E-3</v>
      </c>
      <c r="BG166">
        <v>6.0000000000000001E-3</v>
      </c>
      <c r="BH166">
        <v>0.01</v>
      </c>
      <c r="BI166">
        <v>0.01</v>
      </c>
      <c r="BJ166">
        <v>1.4999999999999999E-2</v>
      </c>
      <c r="BK166">
        <v>1.4999999999999999E-2</v>
      </c>
      <c r="BL166">
        <v>8.0000000000000002E-3</v>
      </c>
      <c r="BM166">
        <v>1.0999999999999999E-2</v>
      </c>
      <c r="BN166">
        <v>1.2E-2</v>
      </c>
      <c r="BO166">
        <v>4.0000000000000001E-3</v>
      </c>
      <c r="BP166">
        <v>5.0000000000000001E-3</v>
      </c>
      <c r="BQ166">
        <v>0.01</v>
      </c>
      <c r="BR166">
        <v>1.2999999999999999E-2</v>
      </c>
      <c r="BS166">
        <v>0.01</v>
      </c>
      <c r="BT166">
        <v>4.0000000000000001E-3</v>
      </c>
      <c r="BU166">
        <v>1.2E-2</v>
      </c>
      <c r="BV166">
        <v>5.0000000000000001E-3</v>
      </c>
      <c r="BW166">
        <v>8.9999999999999993E-3</v>
      </c>
      <c r="BX166">
        <v>1.0999999999999999E-2</v>
      </c>
      <c r="BY166">
        <v>1.2999999999999999E-2</v>
      </c>
      <c r="BZ166">
        <v>1.4E-2</v>
      </c>
      <c r="CA166">
        <v>0.01</v>
      </c>
      <c r="CB166">
        <v>1.2E-2</v>
      </c>
      <c r="CC166">
        <v>7.0000000000000001E-3</v>
      </c>
      <c r="CD166">
        <v>1.0999999999999999E-2</v>
      </c>
      <c r="CE166">
        <v>2E-3</v>
      </c>
      <c r="CF166">
        <v>0.01</v>
      </c>
      <c r="CG166">
        <v>0.01</v>
      </c>
      <c r="CH166">
        <v>5.0000000000000001E-3</v>
      </c>
      <c r="CI166">
        <v>8.9999999999999993E-3</v>
      </c>
      <c r="CJ166">
        <v>4.0000000000000001E-3</v>
      </c>
      <c r="CK166">
        <v>4.0000000000000001E-3</v>
      </c>
      <c r="CL166">
        <v>3.0000000000000001E-3</v>
      </c>
      <c r="CM166">
        <v>6.0000000000000001E-3</v>
      </c>
      <c r="CN166">
        <v>3.0000000000000001E-3</v>
      </c>
      <c r="CO166">
        <v>6.0000000000000001E-3</v>
      </c>
      <c r="CP166">
        <v>1.4E-2</v>
      </c>
      <c r="CQ166">
        <v>1.2E-2</v>
      </c>
      <c r="CR166">
        <v>1.0999999999999999E-2</v>
      </c>
      <c r="CS166">
        <v>4.0000000000000001E-3</v>
      </c>
      <c r="CT166">
        <v>1.2E-2</v>
      </c>
      <c r="CU166">
        <v>0.01</v>
      </c>
      <c r="CV166">
        <v>1.2E-2</v>
      </c>
      <c r="CW166">
        <v>5.0000000000000001E-3</v>
      </c>
      <c r="CX166">
        <v>2.8000000000000001E-2</v>
      </c>
      <c r="CY166">
        <v>1.2E-2</v>
      </c>
      <c r="CZ166">
        <v>8.0000000000000002E-3</v>
      </c>
      <c r="DA166">
        <v>1.2E-2</v>
      </c>
      <c r="DB166">
        <v>4.0000000000000001E-3</v>
      </c>
      <c r="DC166">
        <v>1.0999999999999999E-2</v>
      </c>
      <c r="DD166">
        <v>2.1999999999999999E-2</v>
      </c>
      <c r="DE166">
        <v>8.0000000000000002E-3</v>
      </c>
      <c r="DF166">
        <v>4.0000000000000001E-3</v>
      </c>
      <c r="DG166">
        <v>1.0999999999999999E-2</v>
      </c>
      <c r="DH166">
        <v>3.0000000000000001E-3</v>
      </c>
      <c r="DI166"/>
      <c r="DJ166">
        <v>0.01</v>
      </c>
      <c r="DK166">
        <v>8.9999999999999993E-3</v>
      </c>
      <c r="DL166">
        <v>7.0000000000000001E-3</v>
      </c>
      <c r="DM166"/>
      <c r="DN166">
        <v>1.7999999999999999E-2</v>
      </c>
      <c r="DO166">
        <v>7.0000000000000001E-3</v>
      </c>
      <c r="DP166">
        <v>5.0000000000000001E-3</v>
      </c>
      <c r="DQ166">
        <v>1.7000000000000001E-2</v>
      </c>
      <c r="DR166">
        <v>1.0999999999999999E-2</v>
      </c>
      <c r="DS166">
        <v>1.4E-2</v>
      </c>
      <c r="DT166">
        <v>8.9999999999999993E-3</v>
      </c>
      <c r="DU166">
        <v>3.0000000000000001E-3</v>
      </c>
      <c r="DV166"/>
      <c r="DW166">
        <v>3.0000000000000001E-3</v>
      </c>
      <c r="DX166">
        <v>8.9999999999999993E-3</v>
      </c>
      <c r="DY166">
        <v>1.0999999999999999E-2</v>
      </c>
      <c r="DZ166">
        <v>1.6E-2</v>
      </c>
      <c r="EA166">
        <v>3.0000000000000001E-3</v>
      </c>
      <c r="EB166">
        <v>5.0000000000000001E-3</v>
      </c>
      <c r="EC166">
        <v>8.0000000000000002E-3</v>
      </c>
      <c r="ED166">
        <v>6.0000000000000001E-3</v>
      </c>
      <c r="EE166">
        <v>1.7000000000000001E-2</v>
      </c>
      <c r="EF166">
        <v>7.0000000000000001E-3</v>
      </c>
      <c r="EG166">
        <v>7.0000000000000001E-3</v>
      </c>
      <c r="EH166">
        <v>1.4E-2</v>
      </c>
      <c r="EI166">
        <v>8.9999999999999993E-3</v>
      </c>
      <c r="EJ166">
        <v>6.0000000000000001E-3</v>
      </c>
      <c r="EK166">
        <v>2E-3</v>
      </c>
      <c r="EL166">
        <v>5.0000000000000001E-3</v>
      </c>
      <c r="EM166">
        <v>1.2999999999999999E-2</v>
      </c>
      <c r="EN166">
        <v>1.0999999999999999E-2</v>
      </c>
      <c r="EO166">
        <v>1.6E-2</v>
      </c>
      <c r="EP166">
        <v>1.2999999999999999E-2</v>
      </c>
      <c r="EQ166">
        <v>8.0000000000000002E-3</v>
      </c>
      <c r="ER166">
        <v>8.0000000000000002E-3</v>
      </c>
      <c r="ES166">
        <v>8.0000000000000002E-3</v>
      </c>
      <c r="ET166"/>
      <c r="EU166">
        <v>4.0000000000000001E-3</v>
      </c>
      <c r="EV166">
        <v>0.01</v>
      </c>
      <c r="EW166">
        <v>8.9999999999999993E-3</v>
      </c>
      <c r="EX166">
        <v>1.2E-2</v>
      </c>
      <c r="EY166">
        <v>1.9E-2</v>
      </c>
      <c r="EZ166">
        <v>3.0000000000000001E-3</v>
      </c>
      <c r="FA166">
        <v>8.0000000000000002E-3</v>
      </c>
      <c r="FB166">
        <v>5.0000000000000001E-3</v>
      </c>
      <c r="FC166">
        <v>8.9999999999999993E-3</v>
      </c>
      <c r="FD166">
        <v>1.4E-2</v>
      </c>
      <c r="FE166">
        <v>0.02</v>
      </c>
      <c r="FF166">
        <v>1.4E-2</v>
      </c>
      <c r="FG166">
        <v>4.0000000000000001E-3</v>
      </c>
      <c r="FH166">
        <v>8.9999999999999993E-3</v>
      </c>
      <c r="FI166"/>
      <c r="FJ166">
        <v>0.01</v>
      </c>
      <c r="FK166">
        <v>0.01</v>
      </c>
      <c r="FL166">
        <v>0.02</v>
      </c>
      <c r="FM166">
        <v>3.0000000000000001E-3</v>
      </c>
      <c r="FN166">
        <v>3.0000000000000001E-3</v>
      </c>
      <c r="FO166">
        <v>1.2999999999999999E-2</v>
      </c>
      <c r="FP166">
        <v>1.0999999999999999E-2</v>
      </c>
      <c r="FQ166">
        <v>7.0000000000000001E-3</v>
      </c>
      <c r="FR166">
        <v>0.01</v>
      </c>
      <c r="FS166">
        <v>8.0000000000000002E-3</v>
      </c>
      <c r="FT166">
        <v>1.2999999999999999E-2</v>
      </c>
      <c r="FU166">
        <v>8.9999999999999993E-3</v>
      </c>
      <c r="FV166">
        <v>0.01</v>
      </c>
      <c r="FW166">
        <v>6.0000000000000001E-3</v>
      </c>
      <c r="FX166">
        <v>6.0000000000000001E-3</v>
      </c>
      <c r="FY166">
        <v>1.6E-2</v>
      </c>
      <c r="FZ166">
        <v>1.4E-2</v>
      </c>
      <c r="GA166">
        <v>1.4999999999999999E-2</v>
      </c>
      <c r="GB166">
        <v>4.0000000000000001E-3</v>
      </c>
      <c r="GC166">
        <v>4.0000000000000001E-3</v>
      </c>
      <c r="GD166">
        <v>1.4E-2</v>
      </c>
      <c r="GE166">
        <v>6.0000000000000001E-3</v>
      </c>
      <c r="GF166">
        <v>6.0000000000000001E-3</v>
      </c>
      <c r="GG166">
        <v>1.2E-2</v>
      </c>
      <c r="GH166">
        <v>7.0000000000000001E-3</v>
      </c>
      <c r="GI166">
        <v>7.0000000000000001E-3</v>
      </c>
      <c r="GJ166">
        <v>8.9999999999999993E-3</v>
      </c>
      <c r="GK166">
        <v>1.0999999999999999E-2</v>
      </c>
      <c r="GL166">
        <v>1.6E-2</v>
      </c>
      <c r="GM166">
        <v>1.7000000000000001E-2</v>
      </c>
    </row>
    <row r="167" spans="8:195" ht="14.4" x14ac:dyDescent="0.3">
      <c r="H167" t="s">
        <v>890</v>
      </c>
      <c r="I167">
        <v>1.9E-2</v>
      </c>
      <c r="J167">
        <v>7.0000000000000001E-3</v>
      </c>
      <c r="K167">
        <v>8.0000000000000002E-3</v>
      </c>
      <c r="L167">
        <v>0.02</v>
      </c>
      <c r="M167">
        <v>8.9999999999999993E-3</v>
      </c>
      <c r="N167">
        <v>1.0999999999999999E-2</v>
      </c>
      <c r="O167">
        <v>1.2999999999999999E-2</v>
      </c>
      <c r="P167">
        <v>5.0000000000000001E-3</v>
      </c>
      <c r="Q167">
        <v>7.0000000000000001E-3</v>
      </c>
      <c r="R167">
        <v>1.2999999999999999E-2</v>
      </c>
      <c r="S167">
        <v>1.0999999999999999E-2</v>
      </c>
      <c r="T167">
        <v>6.0000000000000001E-3</v>
      </c>
      <c r="U167">
        <v>1.0999999999999999E-2</v>
      </c>
      <c r="V167">
        <v>0.01</v>
      </c>
      <c r="W167">
        <v>2.3E-2</v>
      </c>
      <c r="X167">
        <v>7.0000000000000001E-3</v>
      </c>
      <c r="Y167">
        <v>1.6E-2</v>
      </c>
      <c r="Z167">
        <v>1.7000000000000001E-2</v>
      </c>
      <c r="AA167">
        <v>1.2E-2</v>
      </c>
      <c r="AB167">
        <v>1.2E-2</v>
      </c>
      <c r="AC167">
        <v>0.01</v>
      </c>
      <c r="AD167">
        <v>1.7999999999999999E-2</v>
      </c>
      <c r="AE167">
        <v>1.0999999999999999E-2</v>
      </c>
      <c r="AF167">
        <v>6.0000000000000001E-3</v>
      </c>
      <c r="AG167">
        <v>1.6E-2</v>
      </c>
      <c r="AH167">
        <v>1.7999999999999999E-2</v>
      </c>
      <c r="AI167">
        <v>1.7000000000000001E-2</v>
      </c>
      <c r="AJ167">
        <v>1.0999999999999999E-2</v>
      </c>
      <c r="AK167">
        <v>1.2999999999999999E-2</v>
      </c>
      <c r="AL167">
        <v>0.02</v>
      </c>
      <c r="AM167">
        <v>6.0000000000000001E-3</v>
      </c>
      <c r="AN167">
        <v>2.1999999999999999E-2</v>
      </c>
      <c r="AO167">
        <v>0.02</v>
      </c>
      <c r="AP167">
        <v>7.0000000000000001E-3</v>
      </c>
      <c r="AQ167">
        <v>8.0000000000000002E-3</v>
      </c>
      <c r="AR167">
        <v>0.01</v>
      </c>
      <c r="AS167"/>
      <c r="AT167">
        <v>1.4999999999999999E-2</v>
      </c>
      <c r="AU167">
        <v>8.0000000000000002E-3</v>
      </c>
      <c r="AV167">
        <v>2.3E-2</v>
      </c>
      <c r="AW167">
        <v>1.0999999999999999E-2</v>
      </c>
      <c r="AX167">
        <v>8.9999999999999993E-3</v>
      </c>
      <c r="AY167"/>
      <c r="AZ167">
        <v>6.0000000000000001E-3</v>
      </c>
      <c r="BA167">
        <v>0.01</v>
      </c>
      <c r="BB167">
        <v>1.4999999999999999E-2</v>
      </c>
      <c r="BC167">
        <v>1.6E-2</v>
      </c>
      <c r="BD167">
        <v>7.0000000000000001E-3</v>
      </c>
      <c r="BE167">
        <v>1.4E-2</v>
      </c>
      <c r="BF167">
        <v>1.2E-2</v>
      </c>
      <c r="BG167">
        <v>8.0000000000000002E-3</v>
      </c>
      <c r="BH167">
        <v>1.7999999999999999E-2</v>
      </c>
      <c r="BI167">
        <v>1.2999999999999999E-2</v>
      </c>
      <c r="BJ167">
        <v>1.7999999999999999E-2</v>
      </c>
      <c r="BK167">
        <v>2.3E-2</v>
      </c>
      <c r="BL167">
        <v>1.2999999999999999E-2</v>
      </c>
      <c r="BM167">
        <v>1.4E-2</v>
      </c>
      <c r="BN167">
        <v>1.9E-2</v>
      </c>
      <c r="BO167">
        <v>8.0000000000000002E-3</v>
      </c>
      <c r="BP167">
        <v>8.0000000000000002E-3</v>
      </c>
      <c r="BQ167">
        <v>1.2999999999999999E-2</v>
      </c>
      <c r="BR167">
        <v>1.7999999999999999E-2</v>
      </c>
      <c r="BS167">
        <v>1.4999999999999999E-2</v>
      </c>
      <c r="BT167">
        <v>7.0000000000000001E-3</v>
      </c>
      <c r="BU167">
        <v>1.6E-2</v>
      </c>
      <c r="BV167">
        <v>8.0000000000000002E-3</v>
      </c>
      <c r="BW167">
        <v>1.4E-2</v>
      </c>
      <c r="BX167">
        <v>1.4E-2</v>
      </c>
      <c r="BY167">
        <v>1.6E-2</v>
      </c>
      <c r="BZ167">
        <v>1.9E-2</v>
      </c>
      <c r="CA167">
        <v>1.7999999999999999E-2</v>
      </c>
      <c r="CB167">
        <v>1.4999999999999999E-2</v>
      </c>
      <c r="CC167">
        <v>0.01</v>
      </c>
      <c r="CD167">
        <v>1.7999999999999999E-2</v>
      </c>
      <c r="CE167">
        <v>4.0000000000000001E-3</v>
      </c>
      <c r="CF167">
        <v>1.4999999999999999E-2</v>
      </c>
      <c r="CG167">
        <v>1.6E-2</v>
      </c>
      <c r="CH167">
        <v>7.0000000000000001E-3</v>
      </c>
      <c r="CI167">
        <v>1.4E-2</v>
      </c>
      <c r="CJ167">
        <v>5.0000000000000001E-3</v>
      </c>
      <c r="CK167">
        <v>6.0000000000000001E-3</v>
      </c>
      <c r="CL167">
        <v>5.0000000000000001E-3</v>
      </c>
      <c r="CM167">
        <v>8.0000000000000002E-3</v>
      </c>
      <c r="CN167">
        <v>5.0000000000000001E-3</v>
      </c>
      <c r="CO167">
        <v>1.0999999999999999E-2</v>
      </c>
      <c r="CP167">
        <v>2.1000000000000001E-2</v>
      </c>
      <c r="CQ167">
        <v>1.4999999999999999E-2</v>
      </c>
      <c r="CR167">
        <v>1.7000000000000001E-2</v>
      </c>
      <c r="CS167">
        <v>8.0000000000000002E-3</v>
      </c>
      <c r="CT167">
        <v>1.7000000000000001E-2</v>
      </c>
      <c r="CU167">
        <v>1.6E-2</v>
      </c>
      <c r="CV167">
        <v>1.7999999999999999E-2</v>
      </c>
      <c r="CW167">
        <v>8.9999999999999993E-3</v>
      </c>
      <c r="CX167">
        <v>2.9000000000000001E-2</v>
      </c>
      <c r="CY167">
        <v>1.7000000000000001E-2</v>
      </c>
      <c r="CZ167">
        <v>1.2999999999999999E-2</v>
      </c>
      <c r="DA167">
        <v>1.7999999999999999E-2</v>
      </c>
      <c r="DB167">
        <v>7.0000000000000001E-3</v>
      </c>
      <c r="DC167">
        <v>1.4999999999999999E-2</v>
      </c>
      <c r="DD167">
        <v>2.3E-2</v>
      </c>
      <c r="DE167">
        <v>1.2E-2</v>
      </c>
      <c r="DF167">
        <v>6.0000000000000001E-3</v>
      </c>
      <c r="DG167">
        <v>1.4999999999999999E-2</v>
      </c>
      <c r="DH167">
        <v>6.0000000000000001E-3</v>
      </c>
      <c r="DI167"/>
      <c r="DJ167">
        <v>1.4999999999999999E-2</v>
      </c>
      <c r="DK167">
        <v>1.2999999999999999E-2</v>
      </c>
      <c r="DL167">
        <v>0.01</v>
      </c>
      <c r="DM167"/>
      <c r="DN167">
        <v>2.3E-2</v>
      </c>
      <c r="DO167">
        <v>0.01</v>
      </c>
      <c r="DP167">
        <v>8.9999999999999993E-3</v>
      </c>
      <c r="DQ167">
        <v>1.9E-2</v>
      </c>
      <c r="DR167">
        <v>1.7000000000000001E-2</v>
      </c>
      <c r="DS167">
        <v>1.7999999999999999E-2</v>
      </c>
      <c r="DT167">
        <v>1.4E-2</v>
      </c>
      <c r="DU167">
        <v>5.0000000000000001E-3</v>
      </c>
      <c r="DV167"/>
      <c r="DW167">
        <v>5.0000000000000001E-3</v>
      </c>
      <c r="DX167">
        <v>1.2E-2</v>
      </c>
      <c r="DY167">
        <v>1.6E-2</v>
      </c>
      <c r="DZ167">
        <v>2.1000000000000001E-2</v>
      </c>
      <c r="EA167">
        <v>6.0000000000000001E-3</v>
      </c>
      <c r="EB167">
        <v>8.0000000000000002E-3</v>
      </c>
      <c r="EC167">
        <v>1.2999999999999999E-2</v>
      </c>
      <c r="ED167">
        <v>8.0000000000000002E-3</v>
      </c>
      <c r="EE167">
        <v>2.5000000000000001E-2</v>
      </c>
      <c r="EF167">
        <v>0.01</v>
      </c>
      <c r="EG167">
        <v>0.01</v>
      </c>
      <c r="EH167">
        <v>2.1000000000000001E-2</v>
      </c>
      <c r="EI167">
        <v>1.2999999999999999E-2</v>
      </c>
      <c r="EJ167">
        <v>8.0000000000000002E-3</v>
      </c>
      <c r="EK167">
        <v>7.0000000000000001E-3</v>
      </c>
      <c r="EL167">
        <v>6.0000000000000001E-3</v>
      </c>
      <c r="EM167">
        <v>1.7999999999999999E-2</v>
      </c>
      <c r="EN167">
        <v>1.6E-2</v>
      </c>
      <c r="EO167">
        <v>2.3E-2</v>
      </c>
      <c r="EP167">
        <v>1.7999999999999999E-2</v>
      </c>
      <c r="EQ167">
        <v>1.2E-2</v>
      </c>
      <c r="ER167">
        <v>8.9999999999999993E-3</v>
      </c>
      <c r="ES167">
        <v>1.2999999999999999E-2</v>
      </c>
      <c r="ET167"/>
      <c r="EU167">
        <v>7.0000000000000001E-3</v>
      </c>
      <c r="EV167">
        <v>1.4999999999999999E-2</v>
      </c>
      <c r="EW167">
        <v>1.4999999999999999E-2</v>
      </c>
      <c r="EX167">
        <v>1.9E-2</v>
      </c>
      <c r="EY167">
        <v>2.5000000000000001E-2</v>
      </c>
      <c r="EZ167">
        <v>5.0000000000000001E-3</v>
      </c>
      <c r="FA167">
        <v>1.2999999999999999E-2</v>
      </c>
      <c r="FB167">
        <v>8.9999999999999993E-3</v>
      </c>
      <c r="FC167">
        <v>1.4999999999999999E-2</v>
      </c>
      <c r="FD167">
        <v>1.7999999999999999E-2</v>
      </c>
      <c r="FE167">
        <v>2.7E-2</v>
      </c>
      <c r="FF167">
        <v>1.7000000000000001E-2</v>
      </c>
      <c r="FG167">
        <v>6.0000000000000001E-3</v>
      </c>
      <c r="FH167">
        <v>1.2999999999999999E-2</v>
      </c>
      <c r="FI167"/>
      <c r="FJ167">
        <v>1.4E-2</v>
      </c>
      <c r="FK167">
        <v>1.4999999999999999E-2</v>
      </c>
      <c r="FL167">
        <v>2.4E-2</v>
      </c>
      <c r="FM167">
        <v>5.0000000000000001E-3</v>
      </c>
      <c r="FN167">
        <v>5.0000000000000001E-3</v>
      </c>
      <c r="FO167">
        <v>1.9E-2</v>
      </c>
      <c r="FP167">
        <v>1.7000000000000001E-2</v>
      </c>
      <c r="FQ167">
        <v>1.0999999999999999E-2</v>
      </c>
      <c r="FR167">
        <v>1.4E-2</v>
      </c>
      <c r="FS167">
        <v>1.4E-2</v>
      </c>
      <c r="FT167">
        <v>1.7000000000000001E-2</v>
      </c>
      <c r="FU167">
        <v>1.4E-2</v>
      </c>
      <c r="FV167">
        <v>1.6E-2</v>
      </c>
      <c r="FW167">
        <v>1.0999999999999999E-2</v>
      </c>
      <c r="FX167">
        <v>8.0000000000000002E-3</v>
      </c>
      <c r="FY167">
        <v>2.3E-2</v>
      </c>
      <c r="FZ167">
        <v>1.7000000000000001E-2</v>
      </c>
      <c r="GA167">
        <v>1.9E-2</v>
      </c>
      <c r="GB167">
        <v>6.0000000000000001E-3</v>
      </c>
      <c r="GC167">
        <v>6.0000000000000001E-3</v>
      </c>
      <c r="GD167">
        <v>1.7000000000000001E-2</v>
      </c>
      <c r="GE167">
        <v>8.9999999999999993E-3</v>
      </c>
      <c r="GF167">
        <v>0.01</v>
      </c>
      <c r="GG167">
        <v>1.7999999999999999E-2</v>
      </c>
      <c r="GH167">
        <v>1.2E-2</v>
      </c>
      <c r="GI167">
        <v>1.2E-2</v>
      </c>
      <c r="GJ167">
        <v>1.2999999999999999E-2</v>
      </c>
      <c r="GK167">
        <v>1.7000000000000001E-2</v>
      </c>
      <c r="GL167">
        <v>1.7999999999999999E-2</v>
      </c>
      <c r="GM167">
        <v>1.7999999999999999E-2</v>
      </c>
    </row>
    <row r="168" spans="8:195" ht="14.4" x14ac:dyDescent="0.3">
      <c r="H168" t="s">
        <v>891</v>
      </c>
      <c r="I168">
        <v>2.8000000000000001E-2</v>
      </c>
      <c r="J168">
        <v>1.0999999999999999E-2</v>
      </c>
      <c r="K168">
        <v>1.2999999999999999E-2</v>
      </c>
      <c r="L168">
        <v>2.8000000000000001E-2</v>
      </c>
      <c r="M168">
        <v>1.2999999999999999E-2</v>
      </c>
      <c r="N168">
        <v>1.7999999999999999E-2</v>
      </c>
      <c r="O168">
        <v>2.1999999999999999E-2</v>
      </c>
      <c r="P168">
        <v>7.0000000000000001E-3</v>
      </c>
      <c r="Q168">
        <v>1.2E-2</v>
      </c>
      <c r="R168">
        <v>2.4E-2</v>
      </c>
      <c r="S168">
        <v>1.4999999999999999E-2</v>
      </c>
      <c r="T168">
        <v>1.2999999999999999E-2</v>
      </c>
      <c r="U168">
        <v>2.3E-2</v>
      </c>
      <c r="V168">
        <v>1.7000000000000001E-2</v>
      </c>
      <c r="W168">
        <v>3.5999999999999997E-2</v>
      </c>
      <c r="X168">
        <v>1.0999999999999999E-2</v>
      </c>
      <c r="Y168">
        <v>2.5000000000000001E-2</v>
      </c>
      <c r="Z168">
        <v>2.7E-2</v>
      </c>
      <c r="AA168">
        <v>1.6E-2</v>
      </c>
      <c r="AB168">
        <v>1.7999999999999999E-2</v>
      </c>
      <c r="AC168">
        <v>1.2999999999999999E-2</v>
      </c>
      <c r="AD168">
        <v>2.5000000000000001E-2</v>
      </c>
      <c r="AE168">
        <v>1.7000000000000001E-2</v>
      </c>
      <c r="AF168">
        <v>8.9999999999999993E-3</v>
      </c>
      <c r="AG168">
        <v>2.4E-2</v>
      </c>
      <c r="AH168">
        <v>2.7E-2</v>
      </c>
      <c r="AI168">
        <v>2.5000000000000001E-2</v>
      </c>
      <c r="AJ168">
        <v>1.7999999999999999E-2</v>
      </c>
      <c r="AK168">
        <v>2.4E-2</v>
      </c>
      <c r="AL168">
        <v>2.7E-2</v>
      </c>
      <c r="AM168">
        <v>8.9999999999999993E-3</v>
      </c>
      <c r="AN168">
        <v>2.8000000000000001E-2</v>
      </c>
      <c r="AO168">
        <v>2.8000000000000001E-2</v>
      </c>
      <c r="AP168">
        <v>1.2E-2</v>
      </c>
      <c r="AQ168">
        <v>1.4E-2</v>
      </c>
      <c r="AR168">
        <v>1.4999999999999999E-2</v>
      </c>
      <c r="AS168"/>
      <c r="AT168">
        <v>2.1000000000000001E-2</v>
      </c>
      <c r="AU168">
        <v>1.0999999999999999E-2</v>
      </c>
      <c r="AV168">
        <v>3.3000000000000002E-2</v>
      </c>
      <c r="AW168">
        <v>1.6E-2</v>
      </c>
      <c r="AX168">
        <v>1.4E-2</v>
      </c>
      <c r="AY168"/>
      <c r="AZ168">
        <v>0.01</v>
      </c>
      <c r="BA168">
        <v>1.6E-2</v>
      </c>
      <c r="BB168">
        <v>3.2000000000000001E-2</v>
      </c>
      <c r="BC168">
        <v>2.4E-2</v>
      </c>
      <c r="BD168">
        <v>1.0999999999999999E-2</v>
      </c>
      <c r="BE168">
        <v>2.1999999999999999E-2</v>
      </c>
      <c r="BF168">
        <v>1.7999999999999999E-2</v>
      </c>
      <c r="BG168">
        <v>1.2999999999999999E-2</v>
      </c>
      <c r="BH168">
        <v>2.5000000000000001E-2</v>
      </c>
      <c r="BI168">
        <v>1.9E-2</v>
      </c>
      <c r="BJ168">
        <v>2.5000000000000001E-2</v>
      </c>
      <c r="BK168">
        <v>3.5999999999999997E-2</v>
      </c>
      <c r="BL168">
        <v>2.1000000000000001E-2</v>
      </c>
      <c r="BM168">
        <v>2.1000000000000001E-2</v>
      </c>
      <c r="BN168">
        <v>2.9000000000000001E-2</v>
      </c>
      <c r="BO168">
        <v>1.0999999999999999E-2</v>
      </c>
      <c r="BP168">
        <v>1.0999999999999999E-2</v>
      </c>
      <c r="BQ168">
        <v>1.9E-2</v>
      </c>
      <c r="BR168">
        <v>2.8000000000000001E-2</v>
      </c>
      <c r="BS168">
        <v>2.4E-2</v>
      </c>
      <c r="BT168">
        <v>1.2E-2</v>
      </c>
      <c r="BU168">
        <v>2.5000000000000001E-2</v>
      </c>
      <c r="BV168">
        <v>1.0999999999999999E-2</v>
      </c>
      <c r="BW168">
        <v>2.1000000000000001E-2</v>
      </c>
      <c r="BX168">
        <v>1.7000000000000001E-2</v>
      </c>
      <c r="BY168">
        <v>2.4E-2</v>
      </c>
      <c r="BZ168">
        <v>2.9000000000000001E-2</v>
      </c>
      <c r="CA168">
        <v>2.5999999999999999E-2</v>
      </c>
      <c r="CB168">
        <v>2.1999999999999999E-2</v>
      </c>
      <c r="CC168">
        <v>1.4E-2</v>
      </c>
      <c r="CD168">
        <v>2.5000000000000001E-2</v>
      </c>
      <c r="CE168">
        <v>7.0000000000000001E-3</v>
      </c>
      <c r="CF168">
        <v>2.3E-2</v>
      </c>
      <c r="CG168">
        <v>2.7E-2</v>
      </c>
      <c r="CH168">
        <v>1.0999999999999999E-2</v>
      </c>
      <c r="CI168">
        <v>2.1000000000000001E-2</v>
      </c>
      <c r="CJ168">
        <v>8.0000000000000002E-3</v>
      </c>
      <c r="CK168">
        <v>8.9999999999999993E-3</v>
      </c>
      <c r="CL168">
        <v>8.0000000000000002E-3</v>
      </c>
      <c r="CM168">
        <v>1.2E-2</v>
      </c>
      <c r="CN168">
        <v>8.9999999999999993E-3</v>
      </c>
      <c r="CO168">
        <v>1.7000000000000001E-2</v>
      </c>
      <c r="CP168">
        <v>3.1E-2</v>
      </c>
      <c r="CQ168">
        <v>2.1999999999999999E-2</v>
      </c>
      <c r="CR168">
        <v>2.5999999999999999E-2</v>
      </c>
      <c r="CS168">
        <v>1.4E-2</v>
      </c>
      <c r="CT168">
        <v>2.7E-2</v>
      </c>
      <c r="CU168">
        <v>2.5000000000000001E-2</v>
      </c>
      <c r="CV168">
        <v>2.8000000000000001E-2</v>
      </c>
      <c r="CW168">
        <v>1.4999999999999999E-2</v>
      </c>
      <c r="CX168">
        <v>3.4000000000000002E-2</v>
      </c>
      <c r="CY168">
        <v>2.5999999999999999E-2</v>
      </c>
      <c r="CZ168">
        <v>0.02</v>
      </c>
      <c r="DA168">
        <v>2.9000000000000001E-2</v>
      </c>
      <c r="DB168">
        <v>0.01</v>
      </c>
      <c r="DC168">
        <v>2.4E-2</v>
      </c>
      <c r="DD168">
        <v>2.7E-2</v>
      </c>
      <c r="DE168">
        <v>1.7999999999999999E-2</v>
      </c>
      <c r="DF168">
        <v>1.0999999999999999E-2</v>
      </c>
      <c r="DG168">
        <v>2.3E-2</v>
      </c>
      <c r="DH168">
        <v>8.0000000000000002E-3</v>
      </c>
      <c r="DI168"/>
      <c r="DJ168">
        <v>2.3E-2</v>
      </c>
      <c r="DK168">
        <v>2.1000000000000001E-2</v>
      </c>
      <c r="DL168">
        <v>1.4E-2</v>
      </c>
      <c r="DM168"/>
      <c r="DN168">
        <v>0.03</v>
      </c>
      <c r="DO168">
        <v>1.7000000000000001E-2</v>
      </c>
      <c r="DP168">
        <v>1.4999999999999999E-2</v>
      </c>
      <c r="DQ168">
        <v>2.5999999999999999E-2</v>
      </c>
      <c r="DR168">
        <v>2.5000000000000001E-2</v>
      </c>
      <c r="DS168">
        <v>2.5000000000000001E-2</v>
      </c>
      <c r="DT168">
        <v>2.1999999999999999E-2</v>
      </c>
      <c r="DU168">
        <v>8.0000000000000002E-3</v>
      </c>
      <c r="DV168"/>
      <c r="DW168">
        <v>8.0000000000000002E-3</v>
      </c>
      <c r="DX168">
        <v>1.9E-2</v>
      </c>
      <c r="DY168">
        <v>2.4E-2</v>
      </c>
      <c r="DZ168">
        <v>3.1E-2</v>
      </c>
      <c r="EA168">
        <v>8.0000000000000002E-3</v>
      </c>
      <c r="EB168">
        <v>1.4E-2</v>
      </c>
      <c r="EC168">
        <v>0.02</v>
      </c>
      <c r="ED168">
        <v>1.4E-2</v>
      </c>
      <c r="EE168">
        <v>0.04</v>
      </c>
      <c r="EF168">
        <v>1.6E-2</v>
      </c>
      <c r="EG168">
        <v>1.4E-2</v>
      </c>
      <c r="EH168">
        <v>3.1E-2</v>
      </c>
      <c r="EI168">
        <v>0.02</v>
      </c>
      <c r="EJ168">
        <v>1.0999999999999999E-2</v>
      </c>
      <c r="EK168">
        <v>1.2E-2</v>
      </c>
      <c r="EL168">
        <v>8.9999999999999993E-3</v>
      </c>
      <c r="EM168">
        <v>0.03</v>
      </c>
      <c r="EN168">
        <v>2.1000000000000001E-2</v>
      </c>
      <c r="EO168">
        <v>3.4000000000000002E-2</v>
      </c>
      <c r="EP168">
        <v>2.5000000000000001E-2</v>
      </c>
      <c r="EQ168">
        <v>1.9E-2</v>
      </c>
      <c r="ER168">
        <v>1.4999999999999999E-2</v>
      </c>
      <c r="ES168">
        <v>2.4E-2</v>
      </c>
      <c r="ET168"/>
      <c r="EU168">
        <v>1.9E-2</v>
      </c>
      <c r="EV168">
        <v>2.3E-2</v>
      </c>
      <c r="EW168">
        <v>1.9E-2</v>
      </c>
      <c r="EX168">
        <v>2.8000000000000001E-2</v>
      </c>
      <c r="EY168">
        <v>3.7999999999999999E-2</v>
      </c>
      <c r="EZ168">
        <v>8.9999999999999993E-3</v>
      </c>
      <c r="FA168">
        <v>2.1000000000000001E-2</v>
      </c>
      <c r="FB168">
        <v>1.2E-2</v>
      </c>
      <c r="FC168">
        <v>2.3E-2</v>
      </c>
      <c r="FD168">
        <v>2.5999999999999999E-2</v>
      </c>
      <c r="FE168">
        <v>3.9E-2</v>
      </c>
      <c r="FF168">
        <v>2.5000000000000001E-2</v>
      </c>
      <c r="FG168">
        <v>0.01</v>
      </c>
      <c r="FH168">
        <v>1.7000000000000001E-2</v>
      </c>
      <c r="FI168"/>
      <c r="FJ168">
        <v>2.1000000000000001E-2</v>
      </c>
      <c r="FK168">
        <v>2.1000000000000001E-2</v>
      </c>
      <c r="FL168">
        <v>3.2000000000000001E-2</v>
      </c>
      <c r="FM168">
        <v>8.0000000000000002E-3</v>
      </c>
      <c r="FN168">
        <v>8.0000000000000002E-3</v>
      </c>
      <c r="FO168">
        <v>2.1999999999999999E-2</v>
      </c>
      <c r="FP168">
        <v>2.5000000000000001E-2</v>
      </c>
      <c r="FQ168">
        <v>1.9E-2</v>
      </c>
      <c r="FR168">
        <v>0.02</v>
      </c>
      <c r="FS168">
        <v>2.1999999999999999E-2</v>
      </c>
      <c r="FT168">
        <v>2.5999999999999999E-2</v>
      </c>
      <c r="FU168">
        <v>2.5000000000000001E-2</v>
      </c>
      <c r="FV168">
        <v>2.5000000000000001E-2</v>
      </c>
      <c r="FW168">
        <v>1.7000000000000001E-2</v>
      </c>
      <c r="FX168">
        <v>1.2999999999999999E-2</v>
      </c>
      <c r="FY168">
        <v>3.6999999999999998E-2</v>
      </c>
      <c r="FZ168">
        <v>2.4E-2</v>
      </c>
      <c r="GA168">
        <v>3.4000000000000002E-2</v>
      </c>
      <c r="GB168">
        <v>1.6E-2</v>
      </c>
      <c r="GC168">
        <v>8.9999999999999993E-3</v>
      </c>
      <c r="GD168">
        <v>2.4E-2</v>
      </c>
      <c r="GE168">
        <v>1.2999999999999999E-2</v>
      </c>
      <c r="GF168">
        <v>1.6E-2</v>
      </c>
      <c r="GG168">
        <v>2.5999999999999999E-2</v>
      </c>
      <c r="GH168">
        <v>0.02</v>
      </c>
      <c r="GI168">
        <v>1.7000000000000001E-2</v>
      </c>
      <c r="GJ168">
        <v>1.7000000000000001E-2</v>
      </c>
      <c r="GK168">
        <v>2.5999999999999999E-2</v>
      </c>
      <c r="GL168">
        <v>2.4E-2</v>
      </c>
      <c r="GM168">
        <v>2.3E-2</v>
      </c>
    </row>
    <row r="169" spans="8:195" ht="14.4" x14ac:dyDescent="0.3">
      <c r="H169" t="s">
        <v>892</v>
      </c>
      <c r="I169">
        <v>4.2000000000000003E-2</v>
      </c>
      <c r="J169">
        <v>1.9E-2</v>
      </c>
      <c r="K169">
        <v>1.9E-2</v>
      </c>
      <c r="L169">
        <v>4.1000000000000002E-2</v>
      </c>
      <c r="M169">
        <v>1.9E-2</v>
      </c>
      <c r="N169">
        <v>2.8000000000000001E-2</v>
      </c>
      <c r="O169">
        <v>0.03</v>
      </c>
      <c r="P169">
        <v>1.2E-2</v>
      </c>
      <c r="Q169">
        <v>1.6E-2</v>
      </c>
      <c r="R169">
        <v>3.3000000000000002E-2</v>
      </c>
      <c r="S169">
        <v>2.1000000000000001E-2</v>
      </c>
      <c r="T169">
        <v>2.3E-2</v>
      </c>
      <c r="U169">
        <v>2.8000000000000001E-2</v>
      </c>
      <c r="V169">
        <v>2.8000000000000001E-2</v>
      </c>
      <c r="W169">
        <v>4.3999999999999997E-2</v>
      </c>
      <c r="X169">
        <v>1.7000000000000001E-2</v>
      </c>
      <c r="Y169">
        <v>3.9E-2</v>
      </c>
      <c r="Z169">
        <v>4.1000000000000002E-2</v>
      </c>
      <c r="AA169">
        <v>2.3E-2</v>
      </c>
      <c r="AB169">
        <v>2.5000000000000001E-2</v>
      </c>
      <c r="AC169">
        <v>2.8000000000000001E-2</v>
      </c>
      <c r="AD169">
        <v>3.5999999999999997E-2</v>
      </c>
      <c r="AE169">
        <v>2.5000000000000001E-2</v>
      </c>
      <c r="AF169">
        <v>1.6E-2</v>
      </c>
      <c r="AG169">
        <v>3.2000000000000001E-2</v>
      </c>
      <c r="AH169">
        <v>4.2000000000000003E-2</v>
      </c>
      <c r="AI169">
        <v>3.7999999999999999E-2</v>
      </c>
      <c r="AJ169">
        <v>0.03</v>
      </c>
      <c r="AK169">
        <v>3.5999999999999997E-2</v>
      </c>
      <c r="AL169">
        <v>3.9E-2</v>
      </c>
      <c r="AM169">
        <v>1.2999999999999999E-2</v>
      </c>
      <c r="AN169">
        <v>0.04</v>
      </c>
      <c r="AO169">
        <v>4.2000000000000003E-2</v>
      </c>
      <c r="AP169">
        <v>1.9E-2</v>
      </c>
      <c r="AQ169">
        <v>2.5999999999999999E-2</v>
      </c>
      <c r="AR169">
        <v>2.5999999999999999E-2</v>
      </c>
      <c r="AS169"/>
      <c r="AT169">
        <v>3.2000000000000001E-2</v>
      </c>
      <c r="AU169">
        <v>1.4999999999999999E-2</v>
      </c>
      <c r="AV169">
        <v>4.8000000000000001E-2</v>
      </c>
      <c r="AW169">
        <v>2.5000000000000001E-2</v>
      </c>
      <c r="AX169">
        <v>2.3E-2</v>
      </c>
      <c r="AY169"/>
      <c r="AZ169">
        <v>1.7000000000000001E-2</v>
      </c>
      <c r="BA169">
        <v>2.5000000000000001E-2</v>
      </c>
      <c r="BB169">
        <v>5.2999999999999999E-2</v>
      </c>
      <c r="BC169">
        <v>3.6999999999999998E-2</v>
      </c>
      <c r="BD169">
        <v>1.7000000000000001E-2</v>
      </c>
      <c r="BE169">
        <v>3.3000000000000002E-2</v>
      </c>
      <c r="BF169">
        <v>2.7E-2</v>
      </c>
      <c r="BG169">
        <v>0.02</v>
      </c>
      <c r="BH169">
        <v>3.3000000000000002E-2</v>
      </c>
      <c r="BI169">
        <v>2.3E-2</v>
      </c>
      <c r="BJ169">
        <v>3.6999999999999998E-2</v>
      </c>
      <c r="BK169">
        <v>5.5E-2</v>
      </c>
      <c r="BL169">
        <v>2.9000000000000001E-2</v>
      </c>
      <c r="BM169">
        <v>3.3000000000000002E-2</v>
      </c>
      <c r="BN169">
        <v>4.2999999999999997E-2</v>
      </c>
      <c r="BO169">
        <v>1.7000000000000001E-2</v>
      </c>
      <c r="BP169">
        <v>1.4E-2</v>
      </c>
      <c r="BQ169">
        <v>2.9000000000000001E-2</v>
      </c>
      <c r="BR169">
        <v>4.2999999999999997E-2</v>
      </c>
      <c r="BS169">
        <v>2.9000000000000001E-2</v>
      </c>
      <c r="BT169">
        <v>1.6E-2</v>
      </c>
      <c r="BU169">
        <v>3.7999999999999999E-2</v>
      </c>
      <c r="BV169">
        <v>1.6E-2</v>
      </c>
      <c r="BW169">
        <v>3.1E-2</v>
      </c>
      <c r="BX169">
        <v>2.3E-2</v>
      </c>
      <c r="BY169">
        <v>3.5999999999999997E-2</v>
      </c>
      <c r="BZ169">
        <v>4.3999999999999997E-2</v>
      </c>
      <c r="CA169">
        <v>4.1000000000000002E-2</v>
      </c>
      <c r="CB169">
        <v>3.4000000000000002E-2</v>
      </c>
      <c r="CC169">
        <v>2.1000000000000001E-2</v>
      </c>
      <c r="CD169">
        <v>3.2000000000000001E-2</v>
      </c>
      <c r="CE169">
        <v>1.2E-2</v>
      </c>
      <c r="CF169">
        <v>3.5999999999999997E-2</v>
      </c>
      <c r="CG169">
        <v>4.2000000000000003E-2</v>
      </c>
      <c r="CH169">
        <v>1.7999999999999999E-2</v>
      </c>
      <c r="CI169">
        <v>3.3000000000000002E-2</v>
      </c>
      <c r="CJ169">
        <v>1.4E-2</v>
      </c>
      <c r="CK169">
        <v>1.2999999999999999E-2</v>
      </c>
      <c r="CL169">
        <v>1.4E-2</v>
      </c>
      <c r="CM169">
        <v>1.9E-2</v>
      </c>
      <c r="CN169">
        <v>1.2999999999999999E-2</v>
      </c>
      <c r="CO169">
        <v>2.8000000000000001E-2</v>
      </c>
      <c r="CP169">
        <v>4.2999999999999997E-2</v>
      </c>
      <c r="CQ169">
        <v>3.3000000000000002E-2</v>
      </c>
      <c r="CR169">
        <v>0.04</v>
      </c>
      <c r="CS169">
        <v>2.7E-2</v>
      </c>
      <c r="CT169">
        <v>3.5000000000000003E-2</v>
      </c>
      <c r="CU169">
        <v>3.7999999999999999E-2</v>
      </c>
      <c r="CV169">
        <v>3.6999999999999998E-2</v>
      </c>
      <c r="CW169">
        <v>2.5000000000000001E-2</v>
      </c>
      <c r="CX169">
        <v>4.5999999999999999E-2</v>
      </c>
      <c r="CY169">
        <v>4.1000000000000002E-2</v>
      </c>
      <c r="CZ169">
        <v>3.3000000000000002E-2</v>
      </c>
      <c r="DA169">
        <v>3.7999999999999999E-2</v>
      </c>
      <c r="DB169">
        <v>1.6E-2</v>
      </c>
      <c r="DC169">
        <v>3.7999999999999999E-2</v>
      </c>
      <c r="DD169">
        <v>3.7999999999999999E-2</v>
      </c>
      <c r="DE169">
        <v>2.8000000000000001E-2</v>
      </c>
      <c r="DF169">
        <v>2.3E-2</v>
      </c>
      <c r="DG169">
        <v>3.5999999999999997E-2</v>
      </c>
      <c r="DH169">
        <v>1.2999999999999999E-2</v>
      </c>
      <c r="DI169"/>
      <c r="DJ169">
        <v>3.5999999999999997E-2</v>
      </c>
      <c r="DK169">
        <v>2.5999999999999999E-2</v>
      </c>
      <c r="DL169">
        <v>2.1000000000000001E-2</v>
      </c>
      <c r="DM169"/>
      <c r="DN169">
        <v>0.04</v>
      </c>
      <c r="DO169">
        <v>2.8000000000000001E-2</v>
      </c>
      <c r="DP169">
        <v>2.5000000000000001E-2</v>
      </c>
      <c r="DQ169">
        <v>3.7999999999999999E-2</v>
      </c>
      <c r="DR169">
        <v>3.9E-2</v>
      </c>
      <c r="DS169">
        <v>3.7999999999999999E-2</v>
      </c>
      <c r="DT169">
        <v>3.5000000000000003E-2</v>
      </c>
      <c r="DU169">
        <v>1.4E-2</v>
      </c>
      <c r="DV169"/>
      <c r="DW169">
        <v>1.2999999999999999E-2</v>
      </c>
      <c r="DX169">
        <v>2.8000000000000001E-2</v>
      </c>
      <c r="DY169">
        <v>3.6999999999999998E-2</v>
      </c>
      <c r="DZ169">
        <v>4.8000000000000001E-2</v>
      </c>
      <c r="EA169">
        <v>1.4E-2</v>
      </c>
      <c r="EB169">
        <v>2.7E-2</v>
      </c>
      <c r="EC169">
        <v>3.1E-2</v>
      </c>
      <c r="ED169">
        <v>0.02</v>
      </c>
      <c r="EE169">
        <v>5.8999999999999997E-2</v>
      </c>
      <c r="EF169">
        <v>2.3E-2</v>
      </c>
      <c r="EG169">
        <v>2.3E-2</v>
      </c>
      <c r="EH169">
        <v>4.1000000000000002E-2</v>
      </c>
      <c r="EI169">
        <v>2.7E-2</v>
      </c>
      <c r="EJ169">
        <v>1.4999999999999999E-2</v>
      </c>
      <c r="EK169">
        <v>0.02</v>
      </c>
      <c r="EL169">
        <v>1.2999999999999999E-2</v>
      </c>
      <c r="EM169">
        <v>3.5000000000000003E-2</v>
      </c>
      <c r="EN169">
        <v>3.1E-2</v>
      </c>
      <c r="EO169">
        <v>4.4999999999999998E-2</v>
      </c>
      <c r="EP169">
        <v>3.7999999999999999E-2</v>
      </c>
      <c r="EQ169">
        <v>2.7E-2</v>
      </c>
      <c r="ER169">
        <v>2.9000000000000001E-2</v>
      </c>
      <c r="ES169">
        <v>3.6999999999999998E-2</v>
      </c>
      <c r="ET169"/>
      <c r="EU169">
        <v>2.8000000000000001E-2</v>
      </c>
      <c r="EV169">
        <v>3.5999999999999997E-2</v>
      </c>
      <c r="EW169">
        <v>2.7E-2</v>
      </c>
      <c r="EX169">
        <v>3.9E-2</v>
      </c>
      <c r="EY169">
        <v>5.7000000000000002E-2</v>
      </c>
      <c r="EZ169">
        <v>1.4999999999999999E-2</v>
      </c>
      <c r="FA169">
        <v>2.9000000000000001E-2</v>
      </c>
      <c r="FB169">
        <v>1.7999999999999999E-2</v>
      </c>
      <c r="FC169">
        <v>3.5999999999999997E-2</v>
      </c>
      <c r="FD169">
        <v>3.9E-2</v>
      </c>
      <c r="FE169">
        <v>5.6000000000000001E-2</v>
      </c>
      <c r="FF169">
        <v>3.7999999999999999E-2</v>
      </c>
      <c r="FG169">
        <v>1.4E-2</v>
      </c>
      <c r="FH169">
        <v>2.5999999999999999E-2</v>
      </c>
      <c r="FI169"/>
      <c r="FJ169">
        <v>3.2000000000000001E-2</v>
      </c>
      <c r="FK169">
        <v>0.03</v>
      </c>
      <c r="FL169">
        <v>4.4999999999999998E-2</v>
      </c>
      <c r="FM169">
        <v>1.2E-2</v>
      </c>
      <c r="FN169">
        <v>1.2E-2</v>
      </c>
      <c r="FO169">
        <v>3.4000000000000002E-2</v>
      </c>
      <c r="FP169">
        <v>3.9E-2</v>
      </c>
      <c r="FQ169">
        <v>0.03</v>
      </c>
      <c r="FR169">
        <v>2.9000000000000001E-2</v>
      </c>
      <c r="FS169">
        <v>3.5999999999999997E-2</v>
      </c>
      <c r="FT169">
        <v>0.04</v>
      </c>
      <c r="FU169">
        <v>3.9E-2</v>
      </c>
      <c r="FV169">
        <v>0.04</v>
      </c>
      <c r="FW169">
        <v>2.8000000000000001E-2</v>
      </c>
      <c r="FX169">
        <v>2.1999999999999999E-2</v>
      </c>
      <c r="FY169">
        <v>4.9000000000000002E-2</v>
      </c>
      <c r="FZ169">
        <v>3.5000000000000003E-2</v>
      </c>
      <c r="GA169">
        <v>4.2000000000000003E-2</v>
      </c>
      <c r="GB169">
        <v>2.1999999999999999E-2</v>
      </c>
      <c r="GC169">
        <v>1.4999999999999999E-2</v>
      </c>
      <c r="GD169">
        <v>3.5000000000000003E-2</v>
      </c>
      <c r="GE169">
        <v>1.7999999999999999E-2</v>
      </c>
      <c r="GF169">
        <v>2.5000000000000001E-2</v>
      </c>
      <c r="GG169">
        <v>3.9E-2</v>
      </c>
      <c r="GH169">
        <v>3.2000000000000001E-2</v>
      </c>
      <c r="GI169">
        <v>2.1999999999999999E-2</v>
      </c>
      <c r="GJ169">
        <v>2.8000000000000001E-2</v>
      </c>
      <c r="GK169">
        <v>0.04</v>
      </c>
      <c r="GL169">
        <v>3.4000000000000002E-2</v>
      </c>
      <c r="GM169">
        <v>3.3000000000000002E-2</v>
      </c>
    </row>
    <row r="170" spans="8:195" ht="14.4" x14ac:dyDescent="0.3">
      <c r="H170" t="s">
        <v>893</v>
      </c>
      <c r="I170">
        <v>6.5000000000000002E-2</v>
      </c>
      <c r="J170">
        <v>3.6999999999999998E-2</v>
      </c>
      <c r="K170">
        <v>3.1E-2</v>
      </c>
      <c r="L170">
        <v>6.5000000000000002E-2</v>
      </c>
      <c r="M170">
        <v>3.2000000000000001E-2</v>
      </c>
      <c r="N170">
        <v>4.2000000000000003E-2</v>
      </c>
      <c r="O170">
        <v>0.05</v>
      </c>
      <c r="P170">
        <v>1.9E-2</v>
      </c>
      <c r="Q170">
        <v>2.5999999999999999E-2</v>
      </c>
      <c r="R170">
        <v>5.5E-2</v>
      </c>
      <c r="S170">
        <v>3.3000000000000002E-2</v>
      </c>
      <c r="T170">
        <v>0.04</v>
      </c>
      <c r="U170">
        <v>5.6000000000000001E-2</v>
      </c>
      <c r="V170">
        <v>4.5999999999999999E-2</v>
      </c>
      <c r="W170">
        <v>6.4000000000000001E-2</v>
      </c>
      <c r="X170">
        <v>2.5000000000000001E-2</v>
      </c>
      <c r="Y170">
        <v>0.06</v>
      </c>
      <c r="Z170">
        <v>6.7000000000000004E-2</v>
      </c>
      <c r="AA170">
        <v>3.4000000000000002E-2</v>
      </c>
      <c r="AB170">
        <v>3.5000000000000003E-2</v>
      </c>
      <c r="AC170">
        <v>4.2000000000000003E-2</v>
      </c>
      <c r="AD170">
        <v>5.6000000000000001E-2</v>
      </c>
      <c r="AE170">
        <v>3.6999999999999998E-2</v>
      </c>
      <c r="AF170">
        <v>3.1E-2</v>
      </c>
      <c r="AG170">
        <v>4.7E-2</v>
      </c>
      <c r="AH170">
        <v>7.0000000000000007E-2</v>
      </c>
      <c r="AI170">
        <v>0.06</v>
      </c>
      <c r="AJ170">
        <v>4.9000000000000002E-2</v>
      </c>
      <c r="AK170">
        <v>5.6000000000000001E-2</v>
      </c>
      <c r="AL170">
        <v>5.8999999999999997E-2</v>
      </c>
      <c r="AM170">
        <v>2.1000000000000001E-2</v>
      </c>
      <c r="AN170">
        <v>6.3E-2</v>
      </c>
      <c r="AO170">
        <v>6.5000000000000002E-2</v>
      </c>
      <c r="AP170">
        <v>2.9000000000000001E-2</v>
      </c>
      <c r="AQ170">
        <v>4.4999999999999998E-2</v>
      </c>
      <c r="AR170">
        <v>3.7999999999999999E-2</v>
      </c>
      <c r="AS170"/>
      <c r="AT170">
        <v>0.05</v>
      </c>
      <c r="AU170">
        <v>2.5999999999999999E-2</v>
      </c>
      <c r="AV170">
        <v>7.5999999999999998E-2</v>
      </c>
      <c r="AW170">
        <v>4.2999999999999997E-2</v>
      </c>
      <c r="AX170">
        <v>3.3000000000000002E-2</v>
      </c>
      <c r="AY170"/>
      <c r="AZ170">
        <v>3.1E-2</v>
      </c>
      <c r="BA170">
        <v>3.6999999999999998E-2</v>
      </c>
      <c r="BB170">
        <v>7.5999999999999998E-2</v>
      </c>
      <c r="BC170">
        <v>5.7000000000000002E-2</v>
      </c>
      <c r="BD170">
        <v>2.5000000000000001E-2</v>
      </c>
      <c r="BE170">
        <v>5.1999999999999998E-2</v>
      </c>
      <c r="BF170">
        <v>3.5999999999999997E-2</v>
      </c>
      <c r="BG170">
        <v>2.8000000000000001E-2</v>
      </c>
      <c r="BH170">
        <v>0.06</v>
      </c>
      <c r="BI170">
        <v>3.2000000000000001E-2</v>
      </c>
      <c r="BJ170">
        <v>5.7000000000000002E-2</v>
      </c>
      <c r="BK170">
        <v>7.9000000000000001E-2</v>
      </c>
      <c r="BL170">
        <v>4.3999999999999997E-2</v>
      </c>
      <c r="BM170">
        <v>5.1999999999999998E-2</v>
      </c>
      <c r="BN170">
        <v>6.4000000000000001E-2</v>
      </c>
      <c r="BO170">
        <v>2.5999999999999999E-2</v>
      </c>
      <c r="BP170">
        <v>0.02</v>
      </c>
      <c r="BQ170">
        <v>4.5999999999999999E-2</v>
      </c>
      <c r="BR170">
        <v>7.0000000000000007E-2</v>
      </c>
      <c r="BS170">
        <v>5.7000000000000002E-2</v>
      </c>
      <c r="BT170">
        <v>2.5999999999999999E-2</v>
      </c>
      <c r="BU170">
        <v>6.4000000000000001E-2</v>
      </c>
      <c r="BV170">
        <v>2.4E-2</v>
      </c>
      <c r="BW170">
        <v>4.8000000000000001E-2</v>
      </c>
      <c r="BX170">
        <v>3.4000000000000002E-2</v>
      </c>
      <c r="BY170">
        <v>5.6000000000000001E-2</v>
      </c>
      <c r="BZ170">
        <v>7.0999999999999994E-2</v>
      </c>
      <c r="CA170">
        <v>6.3E-2</v>
      </c>
      <c r="CB170">
        <v>5.2999999999999999E-2</v>
      </c>
      <c r="CC170">
        <v>3.3000000000000002E-2</v>
      </c>
      <c r="CD170">
        <v>4.4999999999999998E-2</v>
      </c>
      <c r="CE170">
        <v>1.9E-2</v>
      </c>
      <c r="CF170">
        <v>5.3999999999999999E-2</v>
      </c>
      <c r="CG170">
        <v>6.4000000000000001E-2</v>
      </c>
      <c r="CH170">
        <v>0.04</v>
      </c>
      <c r="CI170">
        <v>5.1999999999999998E-2</v>
      </c>
      <c r="CJ170">
        <v>2.3E-2</v>
      </c>
      <c r="CK170">
        <v>2.1999999999999999E-2</v>
      </c>
      <c r="CL170">
        <v>2.3E-2</v>
      </c>
      <c r="CM170">
        <v>3.1E-2</v>
      </c>
      <c r="CN170">
        <v>2.1000000000000001E-2</v>
      </c>
      <c r="CO170">
        <v>4.5999999999999999E-2</v>
      </c>
      <c r="CP170">
        <v>6.8000000000000005E-2</v>
      </c>
      <c r="CQ170">
        <v>5.0999999999999997E-2</v>
      </c>
      <c r="CR170">
        <v>6.2E-2</v>
      </c>
      <c r="CS170">
        <v>0.05</v>
      </c>
      <c r="CT170">
        <v>5.8999999999999997E-2</v>
      </c>
      <c r="CU170">
        <v>0.06</v>
      </c>
      <c r="CV170">
        <v>5.0999999999999997E-2</v>
      </c>
      <c r="CW170">
        <v>4.2000000000000003E-2</v>
      </c>
      <c r="CX170">
        <v>6.8000000000000005E-2</v>
      </c>
      <c r="CY170">
        <v>6.8000000000000005E-2</v>
      </c>
      <c r="CZ170">
        <v>5.2999999999999999E-2</v>
      </c>
      <c r="DA170">
        <v>6.0999999999999999E-2</v>
      </c>
      <c r="DB170">
        <v>2.5000000000000001E-2</v>
      </c>
      <c r="DC170">
        <v>5.8000000000000003E-2</v>
      </c>
      <c r="DD170">
        <v>6.2E-2</v>
      </c>
      <c r="DE170">
        <v>4.3999999999999997E-2</v>
      </c>
      <c r="DF170">
        <v>3.9E-2</v>
      </c>
      <c r="DG170">
        <v>0.06</v>
      </c>
      <c r="DH170">
        <v>2.1000000000000001E-2</v>
      </c>
      <c r="DI170"/>
      <c r="DJ170">
        <v>0.06</v>
      </c>
      <c r="DK170">
        <v>4.2000000000000003E-2</v>
      </c>
      <c r="DL170">
        <v>3.2000000000000001E-2</v>
      </c>
      <c r="DM170"/>
      <c r="DN170">
        <v>6.4000000000000001E-2</v>
      </c>
      <c r="DO170">
        <v>4.2000000000000003E-2</v>
      </c>
      <c r="DP170">
        <v>4.2999999999999997E-2</v>
      </c>
      <c r="DQ170">
        <v>5.8000000000000003E-2</v>
      </c>
      <c r="DR170">
        <v>6.0999999999999999E-2</v>
      </c>
      <c r="DS170">
        <v>5.8999999999999997E-2</v>
      </c>
      <c r="DT170">
        <v>5.6000000000000001E-2</v>
      </c>
      <c r="DU170">
        <v>2.4E-2</v>
      </c>
      <c r="DV170"/>
      <c r="DW170">
        <v>2.1000000000000001E-2</v>
      </c>
      <c r="DX170">
        <v>3.2000000000000001E-2</v>
      </c>
      <c r="DY170">
        <v>6.2E-2</v>
      </c>
      <c r="DZ170">
        <v>7.9000000000000001E-2</v>
      </c>
      <c r="EA170">
        <v>2.3E-2</v>
      </c>
      <c r="EB170">
        <v>3.4000000000000002E-2</v>
      </c>
      <c r="EC170">
        <v>4.9000000000000002E-2</v>
      </c>
      <c r="ED170">
        <v>2.8000000000000001E-2</v>
      </c>
      <c r="EE170">
        <v>8.4000000000000005E-2</v>
      </c>
      <c r="EF170">
        <v>3.5999999999999997E-2</v>
      </c>
      <c r="EG170">
        <v>3.5000000000000003E-2</v>
      </c>
      <c r="EH170">
        <v>5.7000000000000002E-2</v>
      </c>
      <c r="EI170">
        <v>0.04</v>
      </c>
      <c r="EJ170">
        <v>2.4E-2</v>
      </c>
      <c r="EK170">
        <v>3.3000000000000002E-2</v>
      </c>
      <c r="EL170">
        <v>2.7E-2</v>
      </c>
      <c r="EM170">
        <v>6.4000000000000001E-2</v>
      </c>
      <c r="EN170">
        <v>4.5999999999999999E-2</v>
      </c>
      <c r="EO170">
        <v>6.2E-2</v>
      </c>
      <c r="EP170">
        <v>5.8000000000000003E-2</v>
      </c>
      <c r="EQ170">
        <v>3.9E-2</v>
      </c>
      <c r="ER170">
        <v>4.3999999999999997E-2</v>
      </c>
      <c r="ES170">
        <v>5.6000000000000001E-2</v>
      </c>
      <c r="ET170"/>
      <c r="EU170">
        <v>5.7000000000000002E-2</v>
      </c>
      <c r="EV170">
        <v>0.06</v>
      </c>
      <c r="EW170">
        <v>4.8000000000000001E-2</v>
      </c>
      <c r="EX170">
        <v>5.2999999999999999E-2</v>
      </c>
      <c r="EY170">
        <v>0.09</v>
      </c>
      <c r="EZ170">
        <v>2.4E-2</v>
      </c>
      <c r="FA170">
        <v>4.4999999999999998E-2</v>
      </c>
      <c r="FB170">
        <v>2.8000000000000001E-2</v>
      </c>
      <c r="FC170">
        <v>5.8000000000000003E-2</v>
      </c>
      <c r="FD170">
        <v>0.06</v>
      </c>
      <c r="FE170">
        <v>7.9000000000000001E-2</v>
      </c>
      <c r="FF170">
        <v>5.8999999999999997E-2</v>
      </c>
      <c r="FG170">
        <v>2.1000000000000001E-2</v>
      </c>
      <c r="FH170">
        <v>0.04</v>
      </c>
      <c r="FI170"/>
      <c r="FJ170">
        <v>5.0999999999999997E-2</v>
      </c>
      <c r="FK170">
        <v>0.05</v>
      </c>
      <c r="FL170">
        <v>6.7000000000000004E-2</v>
      </c>
      <c r="FM170">
        <v>0.02</v>
      </c>
      <c r="FN170">
        <v>1.7999999999999999E-2</v>
      </c>
      <c r="FO170">
        <v>5.3999999999999999E-2</v>
      </c>
      <c r="FP170">
        <v>5.8000000000000003E-2</v>
      </c>
      <c r="FQ170">
        <v>4.7E-2</v>
      </c>
      <c r="FR170">
        <v>4.1000000000000002E-2</v>
      </c>
      <c r="FS170">
        <v>5.8999999999999997E-2</v>
      </c>
      <c r="FT170">
        <v>6.6000000000000003E-2</v>
      </c>
      <c r="FU170">
        <v>5.8000000000000003E-2</v>
      </c>
      <c r="FV170">
        <v>0.06</v>
      </c>
      <c r="FW170">
        <v>4.5999999999999999E-2</v>
      </c>
      <c r="FX170">
        <v>3.9E-2</v>
      </c>
      <c r="FY170">
        <v>7.4999999999999997E-2</v>
      </c>
      <c r="FZ170">
        <v>5.3999999999999999E-2</v>
      </c>
      <c r="GA170">
        <v>6.3E-2</v>
      </c>
      <c r="GB170">
        <v>3.5999999999999997E-2</v>
      </c>
      <c r="GC170">
        <v>2.4E-2</v>
      </c>
      <c r="GD170">
        <v>5.5E-2</v>
      </c>
      <c r="GE170">
        <v>2.7E-2</v>
      </c>
      <c r="GF170">
        <v>4.2000000000000003E-2</v>
      </c>
      <c r="GG170">
        <v>5.6000000000000001E-2</v>
      </c>
      <c r="GH170">
        <v>5.1999999999999998E-2</v>
      </c>
      <c r="GI170">
        <v>3.9E-2</v>
      </c>
      <c r="GJ170">
        <v>4.1000000000000002E-2</v>
      </c>
      <c r="GK170">
        <v>6.3E-2</v>
      </c>
      <c r="GL170">
        <v>5.1999999999999998E-2</v>
      </c>
      <c r="GM170">
        <v>0.05</v>
      </c>
    </row>
    <row r="171" spans="8:195" ht="14.4" x14ac:dyDescent="0.3">
      <c r="H171" t="s">
        <v>894</v>
      </c>
      <c r="I171">
        <v>0.10100000000000001</v>
      </c>
      <c r="J171">
        <v>6.7000000000000004E-2</v>
      </c>
      <c r="K171">
        <v>5.0999999999999997E-2</v>
      </c>
      <c r="L171">
        <v>0.10299999999999999</v>
      </c>
      <c r="M171">
        <v>5.8000000000000003E-2</v>
      </c>
      <c r="N171">
        <v>6.4000000000000001E-2</v>
      </c>
      <c r="O171">
        <v>7.0999999999999994E-2</v>
      </c>
      <c r="P171">
        <v>3.4000000000000002E-2</v>
      </c>
      <c r="Q171">
        <v>3.5999999999999997E-2</v>
      </c>
      <c r="R171">
        <v>8.7999999999999995E-2</v>
      </c>
      <c r="S171">
        <v>4.7E-2</v>
      </c>
      <c r="T171">
        <v>7.0999999999999994E-2</v>
      </c>
      <c r="U171">
        <v>0.06</v>
      </c>
      <c r="V171">
        <v>7.5999999999999998E-2</v>
      </c>
      <c r="W171">
        <v>9.0999999999999998E-2</v>
      </c>
      <c r="X171">
        <v>0.04</v>
      </c>
      <c r="Y171">
        <v>9.6000000000000002E-2</v>
      </c>
      <c r="Z171">
        <v>0.113</v>
      </c>
      <c r="AA171">
        <v>5.1999999999999998E-2</v>
      </c>
      <c r="AB171">
        <v>5.2999999999999999E-2</v>
      </c>
      <c r="AC171">
        <v>7.1999999999999995E-2</v>
      </c>
      <c r="AD171">
        <v>0.09</v>
      </c>
      <c r="AE171">
        <v>5.5E-2</v>
      </c>
      <c r="AF171">
        <v>6.9000000000000006E-2</v>
      </c>
      <c r="AG171">
        <v>7.3999999999999996E-2</v>
      </c>
      <c r="AH171">
        <v>0.11700000000000001</v>
      </c>
      <c r="AI171">
        <v>9.2999999999999999E-2</v>
      </c>
      <c r="AJ171">
        <v>0.08</v>
      </c>
      <c r="AK171">
        <v>8.7999999999999995E-2</v>
      </c>
      <c r="AL171">
        <v>9.1999999999999998E-2</v>
      </c>
      <c r="AM171">
        <v>3.5999999999999997E-2</v>
      </c>
      <c r="AN171">
        <v>0.1</v>
      </c>
      <c r="AO171">
        <v>0.1</v>
      </c>
      <c r="AP171">
        <v>4.2999999999999997E-2</v>
      </c>
      <c r="AQ171">
        <v>7.5999999999999998E-2</v>
      </c>
      <c r="AR171">
        <v>5.2999999999999999E-2</v>
      </c>
      <c r="AS171"/>
      <c r="AT171">
        <v>0.08</v>
      </c>
      <c r="AU171">
        <v>4.2000000000000003E-2</v>
      </c>
      <c r="AV171">
        <v>0.11799999999999999</v>
      </c>
      <c r="AW171">
        <v>6.5000000000000002E-2</v>
      </c>
      <c r="AX171">
        <v>4.5999999999999999E-2</v>
      </c>
      <c r="AY171"/>
      <c r="AZ171">
        <v>5.6000000000000001E-2</v>
      </c>
      <c r="BA171">
        <v>5.7000000000000002E-2</v>
      </c>
      <c r="BB171">
        <v>0.128</v>
      </c>
      <c r="BC171">
        <v>0.09</v>
      </c>
      <c r="BD171">
        <v>4.4999999999999998E-2</v>
      </c>
      <c r="BE171">
        <v>8.3000000000000004E-2</v>
      </c>
      <c r="BF171">
        <v>5.0999999999999997E-2</v>
      </c>
      <c r="BG171">
        <v>4.4999999999999998E-2</v>
      </c>
      <c r="BH171">
        <v>8.7999999999999995E-2</v>
      </c>
      <c r="BI171">
        <v>4.5999999999999999E-2</v>
      </c>
      <c r="BJ171">
        <v>8.8999999999999996E-2</v>
      </c>
      <c r="BK171">
        <v>0.111</v>
      </c>
      <c r="BL171">
        <v>6.2E-2</v>
      </c>
      <c r="BM171">
        <v>8.3000000000000004E-2</v>
      </c>
      <c r="BN171">
        <v>9.6000000000000002E-2</v>
      </c>
      <c r="BO171">
        <v>0.04</v>
      </c>
      <c r="BP171">
        <v>3.4000000000000002E-2</v>
      </c>
      <c r="BQ171">
        <v>7.4999999999999997E-2</v>
      </c>
      <c r="BR171">
        <v>0.11600000000000001</v>
      </c>
      <c r="BS171">
        <v>8.2000000000000003E-2</v>
      </c>
      <c r="BT171">
        <v>4.2999999999999997E-2</v>
      </c>
      <c r="BU171">
        <v>0.109</v>
      </c>
      <c r="BV171">
        <v>4.2000000000000003E-2</v>
      </c>
      <c r="BW171">
        <v>7.3999999999999996E-2</v>
      </c>
      <c r="BX171">
        <v>5.0999999999999997E-2</v>
      </c>
      <c r="BY171">
        <v>8.7999999999999995E-2</v>
      </c>
      <c r="BZ171">
        <v>0.11899999999999999</v>
      </c>
      <c r="CA171">
        <v>0.10100000000000001</v>
      </c>
      <c r="CB171">
        <v>8.4000000000000005E-2</v>
      </c>
      <c r="CC171">
        <v>5.0999999999999997E-2</v>
      </c>
      <c r="CD171">
        <v>6.8000000000000005E-2</v>
      </c>
      <c r="CE171">
        <v>3.5999999999999997E-2</v>
      </c>
      <c r="CF171">
        <v>7.9000000000000001E-2</v>
      </c>
      <c r="CG171">
        <v>0.10100000000000001</v>
      </c>
      <c r="CH171">
        <v>7.5999999999999998E-2</v>
      </c>
      <c r="CI171">
        <v>8.4000000000000005E-2</v>
      </c>
      <c r="CJ171">
        <v>4.2000000000000003E-2</v>
      </c>
      <c r="CK171">
        <v>3.6999999999999998E-2</v>
      </c>
      <c r="CL171">
        <v>3.7999999999999999E-2</v>
      </c>
      <c r="CM171">
        <v>5.1999999999999998E-2</v>
      </c>
      <c r="CN171">
        <v>3.6999999999999998E-2</v>
      </c>
      <c r="CO171">
        <v>7.4999999999999997E-2</v>
      </c>
      <c r="CP171">
        <v>0.106</v>
      </c>
      <c r="CQ171">
        <v>8.2000000000000003E-2</v>
      </c>
      <c r="CR171">
        <v>9.8000000000000004E-2</v>
      </c>
      <c r="CS171">
        <v>0.09</v>
      </c>
      <c r="CT171">
        <v>9.4E-2</v>
      </c>
      <c r="CU171">
        <v>9.5000000000000001E-2</v>
      </c>
      <c r="CV171">
        <v>7.1999999999999995E-2</v>
      </c>
      <c r="CW171">
        <v>7.0000000000000007E-2</v>
      </c>
      <c r="CX171">
        <v>0.10299999999999999</v>
      </c>
      <c r="CY171">
        <v>0.115</v>
      </c>
      <c r="CZ171">
        <v>8.5999999999999993E-2</v>
      </c>
      <c r="DA171">
        <v>9.6000000000000002E-2</v>
      </c>
      <c r="DB171">
        <v>3.5999999999999997E-2</v>
      </c>
      <c r="DC171">
        <v>8.8999999999999996E-2</v>
      </c>
      <c r="DD171">
        <v>0.105</v>
      </c>
      <c r="DE171">
        <v>6.7000000000000004E-2</v>
      </c>
      <c r="DF171">
        <v>5.7000000000000002E-2</v>
      </c>
      <c r="DG171">
        <v>0.10100000000000001</v>
      </c>
      <c r="DH171">
        <v>4.2000000000000003E-2</v>
      </c>
      <c r="DI171"/>
      <c r="DJ171">
        <v>0.10299999999999999</v>
      </c>
      <c r="DK171">
        <v>6.5000000000000002E-2</v>
      </c>
      <c r="DL171">
        <v>5.2999999999999999E-2</v>
      </c>
      <c r="DM171"/>
      <c r="DN171">
        <v>0.10199999999999999</v>
      </c>
      <c r="DO171">
        <v>7.0000000000000007E-2</v>
      </c>
      <c r="DP171">
        <v>7.0999999999999994E-2</v>
      </c>
      <c r="DQ171">
        <v>9.0999999999999998E-2</v>
      </c>
      <c r="DR171">
        <v>9.7000000000000003E-2</v>
      </c>
      <c r="DS171">
        <v>9.1999999999999998E-2</v>
      </c>
      <c r="DT171">
        <v>8.8999999999999996E-2</v>
      </c>
      <c r="DU171">
        <v>4.2000000000000003E-2</v>
      </c>
      <c r="DV171"/>
      <c r="DW171">
        <v>3.7999999999999999E-2</v>
      </c>
      <c r="DX171">
        <v>4.9000000000000002E-2</v>
      </c>
      <c r="DY171">
        <v>0.106</v>
      </c>
      <c r="DZ171">
        <v>0.13100000000000001</v>
      </c>
      <c r="EA171">
        <v>4.1000000000000002E-2</v>
      </c>
      <c r="EB171">
        <v>6.2E-2</v>
      </c>
      <c r="EC171">
        <v>7.6999999999999999E-2</v>
      </c>
      <c r="ED171">
        <v>4.2000000000000003E-2</v>
      </c>
      <c r="EE171">
        <v>0.11600000000000001</v>
      </c>
      <c r="EF171">
        <v>4.9000000000000002E-2</v>
      </c>
      <c r="EG171">
        <v>5.6000000000000001E-2</v>
      </c>
      <c r="EH171">
        <v>9.2999999999999999E-2</v>
      </c>
      <c r="EI171">
        <v>5.7000000000000002E-2</v>
      </c>
      <c r="EJ171">
        <v>4.2999999999999997E-2</v>
      </c>
      <c r="EK171">
        <v>5.5E-2</v>
      </c>
      <c r="EL171">
        <v>4.5999999999999999E-2</v>
      </c>
      <c r="EM171">
        <v>0.10299999999999999</v>
      </c>
      <c r="EN171">
        <v>6.8000000000000005E-2</v>
      </c>
      <c r="EO171">
        <v>9.7000000000000003E-2</v>
      </c>
      <c r="EP171">
        <v>9.1999999999999998E-2</v>
      </c>
      <c r="EQ171">
        <v>5.8999999999999997E-2</v>
      </c>
      <c r="ER171">
        <v>6.5000000000000002E-2</v>
      </c>
      <c r="ES171">
        <v>8.2000000000000003E-2</v>
      </c>
      <c r="ET171"/>
      <c r="EU171">
        <v>7.3999999999999996E-2</v>
      </c>
      <c r="EV171">
        <v>0.10299999999999999</v>
      </c>
      <c r="EW171">
        <v>7.5999999999999998E-2</v>
      </c>
      <c r="EX171">
        <v>7.1999999999999995E-2</v>
      </c>
      <c r="EY171">
        <v>0.14599999999999999</v>
      </c>
      <c r="EZ171">
        <v>4.2999999999999997E-2</v>
      </c>
      <c r="FA171">
        <v>6.8000000000000005E-2</v>
      </c>
      <c r="FB171">
        <v>4.8000000000000001E-2</v>
      </c>
      <c r="FC171">
        <v>9.1999999999999998E-2</v>
      </c>
      <c r="FD171">
        <v>9.5000000000000001E-2</v>
      </c>
      <c r="FE171">
        <v>0.11</v>
      </c>
      <c r="FF171">
        <v>9.1999999999999998E-2</v>
      </c>
      <c r="FG171">
        <v>3.9E-2</v>
      </c>
      <c r="FH171">
        <v>0.06</v>
      </c>
      <c r="FI171"/>
      <c r="FJ171">
        <v>8.1000000000000003E-2</v>
      </c>
      <c r="FK171">
        <v>8.1000000000000003E-2</v>
      </c>
      <c r="FL171">
        <v>0.10299999999999999</v>
      </c>
      <c r="FM171">
        <v>3.6999999999999998E-2</v>
      </c>
      <c r="FN171">
        <v>3.4000000000000002E-2</v>
      </c>
      <c r="FO171">
        <v>8.5000000000000006E-2</v>
      </c>
      <c r="FP171">
        <v>8.5999999999999993E-2</v>
      </c>
      <c r="FQ171">
        <v>8.1000000000000003E-2</v>
      </c>
      <c r="FR171">
        <v>5.8000000000000003E-2</v>
      </c>
      <c r="FS171">
        <v>9.5000000000000001E-2</v>
      </c>
      <c r="FT171">
        <v>0.113</v>
      </c>
      <c r="FU171">
        <v>8.5000000000000006E-2</v>
      </c>
      <c r="FV171">
        <v>8.8999999999999996E-2</v>
      </c>
      <c r="FW171">
        <v>7.8E-2</v>
      </c>
      <c r="FX171">
        <v>7.0000000000000007E-2</v>
      </c>
      <c r="FY171">
        <v>8.6999999999999994E-2</v>
      </c>
      <c r="FZ171">
        <v>8.5000000000000006E-2</v>
      </c>
      <c r="GA171">
        <v>8.6999999999999994E-2</v>
      </c>
      <c r="GB171">
        <v>0.06</v>
      </c>
      <c r="GC171">
        <v>0.04</v>
      </c>
      <c r="GD171">
        <v>8.6999999999999994E-2</v>
      </c>
      <c r="GE171">
        <v>4.1000000000000002E-2</v>
      </c>
      <c r="GF171">
        <v>6.3E-2</v>
      </c>
      <c r="GG171">
        <v>8.1000000000000003E-2</v>
      </c>
      <c r="GH171">
        <v>8.4000000000000005E-2</v>
      </c>
      <c r="GI171">
        <v>6.4000000000000001E-2</v>
      </c>
      <c r="GJ171">
        <v>0.06</v>
      </c>
      <c r="GK171">
        <v>9.9000000000000005E-2</v>
      </c>
      <c r="GL171">
        <v>8.2000000000000003E-2</v>
      </c>
      <c r="GM171">
        <v>0.08</v>
      </c>
    </row>
    <row r="172" spans="8:195" ht="14.4" x14ac:dyDescent="0.3">
      <c r="H172" t="s">
        <v>895</v>
      </c>
      <c r="I172">
        <v>0.157</v>
      </c>
      <c r="J172">
        <v>0.11600000000000001</v>
      </c>
      <c r="K172">
        <v>8.4000000000000005E-2</v>
      </c>
      <c r="L172">
        <v>0.20399999999999999</v>
      </c>
      <c r="M172">
        <v>0.10299999999999999</v>
      </c>
      <c r="N172">
        <v>0.1</v>
      </c>
      <c r="O172">
        <v>0.123</v>
      </c>
      <c r="P172">
        <v>6.3E-2</v>
      </c>
      <c r="Q172">
        <v>7.2999999999999995E-2</v>
      </c>
      <c r="R172">
        <v>0.14299999999999999</v>
      </c>
      <c r="S172">
        <v>8.3000000000000004E-2</v>
      </c>
      <c r="T172">
        <v>0.11799999999999999</v>
      </c>
      <c r="U172">
        <v>0.09</v>
      </c>
      <c r="V172">
        <v>0.126</v>
      </c>
      <c r="W172">
        <v>0.126</v>
      </c>
      <c r="X172">
        <v>7.3999999999999996E-2</v>
      </c>
      <c r="Y172">
        <v>0.151</v>
      </c>
      <c r="Z172">
        <v>0.186</v>
      </c>
      <c r="AA172">
        <v>8.1000000000000003E-2</v>
      </c>
      <c r="AB172">
        <v>7.6999999999999999E-2</v>
      </c>
      <c r="AC172">
        <v>0.11</v>
      </c>
      <c r="AD172">
        <v>0.187</v>
      </c>
      <c r="AE172">
        <v>8.7999999999999995E-2</v>
      </c>
      <c r="AF172">
        <v>0.115</v>
      </c>
      <c r="AG172">
        <v>0.11799999999999999</v>
      </c>
      <c r="AH172">
        <v>0.191</v>
      </c>
      <c r="AI172">
        <v>0.17</v>
      </c>
      <c r="AJ172">
        <v>0.13200000000000001</v>
      </c>
      <c r="AK172">
        <v>0.13800000000000001</v>
      </c>
      <c r="AL172">
        <v>0.14399999999999999</v>
      </c>
      <c r="AM172">
        <v>6.2E-2</v>
      </c>
      <c r="AN172">
        <v>0.19900000000000001</v>
      </c>
      <c r="AO172">
        <v>0.156</v>
      </c>
      <c r="AP172">
        <v>6.8000000000000005E-2</v>
      </c>
      <c r="AQ172">
        <v>0.111</v>
      </c>
      <c r="AR172">
        <v>8.1000000000000003E-2</v>
      </c>
      <c r="AS172"/>
      <c r="AT172">
        <v>0.127</v>
      </c>
      <c r="AU172">
        <v>6.9000000000000006E-2</v>
      </c>
      <c r="AV172">
        <v>0.184</v>
      </c>
      <c r="AW172">
        <v>0.105</v>
      </c>
      <c r="AX172">
        <v>7.2999999999999995E-2</v>
      </c>
      <c r="AY172"/>
      <c r="AZ172">
        <v>9.7000000000000003E-2</v>
      </c>
      <c r="BA172">
        <v>9.2999999999999999E-2</v>
      </c>
      <c r="BB172">
        <v>0.188</v>
      </c>
      <c r="BC172">
        <v>0.14299999999999999</v>
      </c>
      <c r="BD172">
        <v>8.2000000000000003E-2</v>
      </c>
      <c r="BE172">
        <v>0.13300000000000001</v>
      </c>
      <c r="BF172">
        <v>7.3999999999999996E-2</v>
      </c>
      <c r="BG172">
        <v>7.4999999999999997E-2</v>
      </c>
      <c r="BH172">
        <v>0.14199999999999999</v>
      </c>
      <c r="BI172">
        <v>7.9000000000000001E-2</v>
      </c>
      <c r="BJ172">
        <v>0.14000000000000001</v>
      </c>
      <c r="BK172">
        <v>0.156</v>
      </c>
      <c r="BL172">
        <v>9.9000000000000005E-2</v>
      </c>
      <c r="BM172">
        <v>0.13200000000000001</v>
      </c>
      <c r="BN172">
        <v>0.14399999999999999</v>
      </c>
      <c r="BO172">
        <v>7.3999999999999996E-2</v>
      </c>
      <c r="BP172">
        <v>6.2E-2</v>
      </c>
      <c r="BQ172">
        <v>0.16600000000000001</v>
      </c>
      <c r="BR172">
        <v>0.19</v>
      </c>
      <c r="BS172">
        <v>0.13800000000000001</v>
      </c>
      <c r="BT172">
        <v>7.8E-2</v>
      </c>
      <c r="BU172">
        <v>0.184</v>
      </c>
      <c r="BV172">
        <v>8.1000000000000003E-2</v>
      </c>
      <c r="BW172">
        <v>0.113</v>
      </c>
      <c r="BX172">
        <v>9.2999999999999999E-2</v>
      </c>
      <c r="BY172">
        <v>0.13900000000000001</v>
      </c>
      <c r="BZ172">
        <v>0.193</v>
      </c>
      <c r="CA172">
        <v>0.157</v>
      </c>
      <c r="CB172">
        <v>0.13300000000000001</v>
      </c>
      <c r="CC172">
        <v>7.9000000000000001E-2</v>
      </c>
      <c r="CD172">
        <v>0.107</v>
      </c>
      <c r="CE172">
        <v>6.8000000000000005E-2</v>
      </c>
      <c r="CF172">
        <v>0.11</v>
      </c>
      <c r="CG172">
        <v>0.157</v>
      </c>
      <c r="CH172">
        <v>0.125</v>
      </c>
      <c r="CI172">
        <v>0.13700000000000001</v>
      </c>
      <c r="CJ172">
        <v>8.2000000000000003E-2</v>
      </c>
      <c r="CK172">
        <v>6.2E-2</v>
      </c>
      <c r="CL172">
        <v>6.8000000000000005E-2</v>
      </c>
      <c r="CM172">
        <v>8.1000000000000003E-2</v>
      </c>
      <c r="CN172">
        <v>6.7000000000000004E-2</v>
      </c>
      <c r="CO172">
        <v>0.126</v>
      </c>
      <c r="CP172">
        <v>0.16700000000000001</v>
      </c>
      <c r="CQ172">
        <v>0.13100000000000001</v>
      </c>
      <c r="CR172">
        <v>0.154</v>
      </c>
      <c r="CS172">
        <v>0.156</v>
      </c>
      <c r="CT172">
        <v>0.19500000000000001</v>
      </c>
      <c r="CU172">
        <v>0.15</v>
      </c>
      <c r="CV172">
        <v>0.111</v>
      </c>
      <c r="CW172">
        <v>0.11799999999999999</v>
      </c>
      <c r="CX172">
        <v>0.157</v>
      </c>
      <c r="CY172">
        <v>0.192</v>
      </c>
      <c r="CZ172">
        <v>0.13900000000000001</v>
      </c>
      <c r="DA172">
        <v>0.152</v>
      </c>
      <c r="DB172">
        <v>7.3999999999999996E-2</v>
      </c>
      <c r="DC172">
        <v>0.13400000000000001</v>
      </c>
      <c r="DD172">
        <v>0.17399999999999999</v>
      </c>
      <c r="DE172">
        <v>0.104</v>
      </c>
      <c r="DF172">
        <v>9.0999999999999998E-2</v>
      </c>
      <c r="DG172">
        <v>0.16900000000000001</v>
      </c>
      <c r="DH172">
        <v>0.08</v>
      </c>
      <c r="DI172"/>
      <c r="DJ172">
        <v>0.17299999999999999</v>
      </c>
      <c r="DK172">
        <v>0.10100000000000001</v>
      </c>
      <c r="DL172">
        <v>7.6999999999999999E-2</v>
      </c>
      <c r="DM172"/>
      <c r="DN172">
        <v>0.15</v>
      </c>
      <c r="DO172">
        <v>0.11600000000000001</v>
      </c>
      <c r="DP172">
        <v>0.112</v>
      </c>
      <c r="DQ172">
        <v>0.14199999999999999</v>
      </c>
      <c r="DR172">
        <v>0.152</v>
      </c>
      <c r="DS172">
        <v>0.14599999999999999</v>
      </c>
      <c r="DT172">
        <v>0.14299999999999999</v>
      </c>
      <c r="DU172">
        <v>7.8E-2</v>
      </c>
      <c r="DV172"/>
      <c r="DW172">
        <v>6.5000000000000002E-2</v>
      </c>
      <c r="DX172">
        <v>7.9000000000000001E-2</v>
      </c>
      <c r="DY172">
        <v>0.17499999999999999</v>
      </c>
      <c r="DZ172">
        <v>0.215</v>
      </c>
      <c r="EA172">
        <v>7.5999999999999998E-2</v>
      </c>
      <c r="EB172">
        <v>9.7000000000000003E-2</v>
      </c>
      <c r="EC172">
        <v>0.123</v>
      </c>
      <c r="ED172">
        <v>6.2E-2</v>
      </c>
      <c r="EE172">
        <v>0.16</v>
      </c>
      <c r="EF172">
        <v>9.4E-2</v>
      </c>
      <c r="EG172">
        <v>9.1999999999999998E-2</v>
      </c>
      <c r="EH172">
        <v>0.14699999999999999</v>
      </c>
      <c r="EI172">
        <v>9.0999999999999998E-2</v>
      </c>
      <c r="EJ172">
        <v>7.9000000000000001E-2</v>
      </c>
      <c r="EK172">
        <v>8.8999999999999996E-2</v>
      </c>
      <c r="EL172">
        <v>8.1000000000000003E-2</v>
      </c>
      <c r="EM172">
        <v>0.157</v>
      </c>
      <c r="EN172">
        <v>0.109</v>
      </c>
      <c r="EO172">
        <v>0.13400000000000001</v>
      </c>
      <c r="EP172">
        <v>0.14399999999999999</v>
      </c>
      <c r="EQ172">
        <v>8.7999999999999995E-2</v>
      </c>
      <c r="ER172">
        <v>9.5000000000000001E-2</v>
      </c>
      <c r="ES172">
        <v>0.121</v>
      </c>
      <c r="ET172"/>
      <c r="EU172">
        <v>0.125</v>
      </c>
      <c r="EV172">
        <v>0.17100000000000001</v>
      </c>
      <c r="EW172">
        <v>0.121</v>
      </c>
      <c r="EX172">
        <v>9.5000000000000001E-2</v>
      </c>
      <c r="EY172">
        <v>0.22900000000000001</v>
      </c>
      <c r="EZ172">
        <v>7.5999999999999998E-2</v>
      </c>
      <c r="FA172">
        <v>0.113</v>
      </c>
      <c r="FB172">
        <v>8.4000000000000005E-2</v>
      </c>
      <c r="FC172">
        <v>0.14599999999999999</v>
      </c>
      <c r="FD172">
        <v>0.14499999999999999</v>
      </c>
      <c r="FE172">
        <v>0.152</v>
      </c>
      <c r="FF172">
        <v>0.14599999999999999</v>
      </c>
      <c r="FG172">
        <v>6.8000000000000005E-2</v>
      </c>
      <c r="FH172">
        <v>9.4E-2</v>
      </c>
      <c r="FI172"/>
      <c r="FJ172">
        <v>0.126</v>
      </c>
      <c r="FK172">
        <v>0.115</v>
      </c>
      <c r="FL172">
        <v>0.157</v>
      </c>
      <c r="FM172">
        <v>6.9000000000000006E-2</v>
      </c>
      <c r="FN172">
        <v>6.2E-2</v>
      </c>
      <c r="FO172">
        <v>0.14000000000000001</v>
      </c>
      <c r="FP172">
        <v>0.126</v>
      </c>
      <c r="FQ172">
        <v>0.127</v>
      </c>
      <c r="FR172">
        <v>8.6999999999999994E-2</v>
      </c>
      <c r="FS172">
        <v>0.14899999999999999</v>
      </c>
      <c r="FT172">
        <v>0.189</v>
      </c>
      <c r="FU172">
        <v>0.125</v>
      </c>
      <c r="FV172">
        <v>0.128</v>
      </c>
      <c r="FW172">
        <v>0.128</v>
      </c>
      <c r="FX172">
        <v>0.124</v>
      </c>
      <c r="FY172">
        <v>0.14399999999999999</v>
      </c>
      <c r="FZ172">
        <v>0.13500000000000001</v>
      </c>
      <c r="GA172">
        <v>0.129</v>
      </c>
      <c r="GB172">
        <v>9.7000000000000003E-2</v>
      </c>
      <c r="GC172">
        <v>7.2999999999999995E-2</v>
      </c>
      <c r="GD172">
        <v>0.13700000000000001</v>
      </c>
      <c r="GE172">
        <v>6.8000000000000005E-2</v>
      </c>
      <c r="GF172">
        <v>0.1</v>
      </c>
      <c r="GG172">
        <v>0.115</v>
      </c>
      <c r="GH172">
        <v>0.13700000000000001</v>
      </c>
      <c r="GI172">
        <v>0.10100000000000001</v>
      </c>
      <c r="GJ172">
        <v>8.5999999999999993E-2</v>
      </c>
      <c r="GK172">
        <v>0.154</v>
      </c>
      <c r="GL172">
        <v>0.13</v>
      </c>
      <c r="GM172">
        <v>0.126</v>
      </c>
    </row>
    <row r="173" spans="8:195" ht="14.4" x14ac:dyDescent="0.3">
      <c r="H173" t="s">
        <v>896</v>
      </c>
      <c r="I173">
        <v>0.24</v>
      </c>
      <c r="J173">
        <v>0.20100000000000001</v>
      </c>
      <c r="K173">
        <v>0.13200000000000001</v>
      </c>
      <c r="L173">
        <v>0.23200000000000001</v>
      </c>
      <c r="M173">
        <v>0.17499999999999999</v>
      </c>
      <c r="N173">
        <v>0.153</v>
      </c>
      <c r="O173">
        <v>0.184</v>
      </c>
      <c r="P173">
        <v>0.111</v>
      </c>
      <c r="Q173">
        <v>0.128</v>
      </c>
      <c r="R173">
        <v>0.16</v>
      </c>
      <c r="S173">
        <v>0.13900000000000001</v>
      </c>
      <c r="T173">
        <v>0.185</v>
      </c>
      <c r="U173">
        <v>0.11700000000000001</v>
      </c>
      <c r="V173">
        <v>0.20399999999999999</v>
      </c>
      <c r="W173">
        <v>0.17299999999999999</v>
      </c>
      <c r="X173">
        <v>0.13</v>
      </c>
      <c r="Y173">
        <v>0.23300000000000001</v>
      </c>
      <c r="Z173">
        <v>0.29199999999999998</v>
      </c>
      <c r="AA173">
        <v>0.11899999999999999</v>
      </c>
      <c r="AB173">
        <v>0.122</v>
      </c>
      <c r="AC173">
        <v>0.151</v>
      </c>
      <c r="AD173">
        <v>0.22500000000000001</v>
      </c>
      <c r="AE173">
        <v>0.14299999999999999</v>
      </c>
      <c r="AF173">
        <v>0.16400000000000001</v>
      </c>
      <c r="AG173">
        <v>0.185</v>
      </c>
      <c r="AH173">
        <v>0.29899999999999999</v>
      </c>
      <c r="AI173">
        <v>0.22500000000000001</v>
      </c>
      <c r="AJ173">
        <v>0.214</v>
      </c>
      <c r="AK173">
        <v>0.21099999999999999</v>
      </c>
      <c r="AL173">
        <v>0.222</v>
      </c>
      <c r="AM173">
        <v>0.11600000000000001</v>
      </c>
      <c r="AN173">
        <v>0.23499999999999999</v>
      </c>
      <c r="AO173">
        <v>0.23899999999999999</v>
      </c>
      <c r="AP173">
        <v>0.10299999999999999</v>
      </c>
      <c r="AQ173">
        <v>0.16900000000000001</v>
      </c>
      <c r="AR173">
        <v>0.122</v>
      </c>
      <c r="AS173"/>
      <c r="AT173">
        <v>0.20100000000000001</v>
      </c>
      <c r="AU173">
        <v>0.107</v>
      </c>
      <c r="AV173">
        <v>0.27600000000000002</v>
      </c>
      <c r="AW173">
        <v>0.156</v>
      </c>
      <c r="AX173">
        <v>0.109</v>
      </c>
      <c r="AY173"/>
      <c r="AZ173">
        <v>0.16400000000000001</v>
      </c>
      <c r="BA173">
        <v>0.13400000000000001</v>
      </c>
      <c r="BB173">
        <v>0.26700000000000002</v>
      </c>
      <c r="BC173">
        <v>0.221</v>
      </c>
      <c r="BD173">
        <v>0.13800000000000001</v>
      </c>
      <c r="BE173">
        <v>0.20899999999999999</v>
      </c>
      <c r="BF173">
        <v>0.1</v>
      </c>
      <c r="BG173">
        <v>0.13100000000000001</v>
      </c>
      <c r="BH173">
        <v>0.215</v>
      </c>
      <c r="BI173">
        <v>0.13400000000000001</v>
      </c>
      <c r="BJ173">
        <v>0.217</v>
      </c>
      <c r="BK173">
        <v>0.20899999999999999</v>
      </c>
      <c r="BL173">
        <v>0.14399999999999999</v>
      </c>
      <c r="BM173">
        <v>0.20699999999999999</v>
      </c>
      <c r="BN173">
        <v>0.214</v>
      </c>
      <c r="BO173">
        <v>0.129</v>
      </c>
      <c r="BP173">
        <v>0.107</v>
      </c>
      <c r="BQ173">
        <v>0.192</v>
      </c>
      <c r="BR173">
        <v>0.29699999999999999</v>
      </c>
      <c r="BS173">
        <v>0.187</v>
      </c>
      <c r="BT173">
        <v>0.13200000000000001</v>
      </c>
      <c r="BU173">
        <v>0.28999999999999998</v>
      </c>
      <c r="BV173">
        <v>0.13600000000000001</v>
      </c>
      <c r="BW173">
        <v>0.16900000000000001</v>
      </c>
      <c r="BX173">
        <v>0.14399999999999999</v>
      </c>
      <c r="BY173">
        <v>0.216</v>
      </c>
      <c r="BZ173">
        <v>0.29099999999999998</v>
      </c>
      <c r="CA173">
        <v>0.24199999999999999</v>
      </c>
      <c r="CB173">
        <v>0.20899999999999999</v>
      </c>
      <c r="CC173">
        <v>0.122</v>
      </c>
      <c r="CD173">
        <v>0.158</v>
      </c>
      <c r="CE173">
        <v>0.11899999999999999</v>
      </c>
      <c r="CF173">
        <v>0.156</v>
      </c>
      <c r="CG173">
        <v>0.23899999999999999</v>
      </c>
      <c r="CH173">
        <v>0.19</v>
      </c>
      <c r="CI173">
        <v>0.218</v>
      </c>
      <c r="CJ173">
        <v>0.126</v>
      </c>
      <c r="CK173">
        <v>0.11</v>
      </c>
      <c r="CL173">
        <v>0.112</v>
      </c>
      <c r="CM173">
        <v>0.127</v>
      </c>
      <c r="CN173">
        <v>0.11799999999999999</v>
      </c>
      <c r="CO173">
        <v>0.20399999999999999</v>
      </c>
      <c r="CP173">
        <v>0.24199999999999999</v>
      </c>
      <c r="CQ173">
        <v>0.20599999999999999</v>
      </c>
      <c r="CR173">
        <v>0.23599999999999999</v>
      </c>
      <c r="CS173">
        <v>0.255</v>
      </c>
      <c r="CT173">
        <v>0.32300000000000001</v>
      </c>
      <c r="CU173">
        <v>0.23200000000000001</v>
      </c>
      <c r="CV173">
        <v>0.17199999999999999</v>
      </c>
      <c r="CW173">
        <v>0.19400000000000001</v>
      </c>
      <c r="CX173">
        <v>0.23599999999999999</v>
      </c>
      <c r="CY173">
        <v>0.3</v>
      </c>
      <c r="CZ173">
        <v>0.222</v>
      </c>
      <c r="DA173">
        <v>0.23200000000000001</v>
      </c>
      <c r="DB173">
        <v>0.13800000000000001</v>
      </c>
      <c r="DC173">
        <v>0.19500000000000001</v>
      </c>
      <c r="DD173">
        <v>0.27800000000000002</v>
      </c>
      <c r="DE173">
        <v>0.153</v>
      </c>
      <c r="DF173">
        <v>0.12</v>
      </c>
      <c r="DG173">
        <v>0.26700000000000002</v>
      </c>
      <c r="DH173">
        <v>0.13200000000000001</v>
      </c>
      <c r="DI173"/>
      <c r="DJ173">
        <v>0.27800000000000002</v>
      </c>
      <c r="DK173">
        <v>0.157</v>
      </c>
      <c r="DL173">
        <v>0.113</v>
      </c>
      <c r="DM173"/>
      <c r="DN173">
        <v>0.22</v>
      </c>
      <c r="DO173">
        <v>0.17799999999999999</v>
      </c>
      <c r="DP173">
        <v>0.17</v>
      </c>
      <c r="DQ173">
        <v>0.219</v>
      </c>
      <c r="DR173">
        <v>0.23499999999999999</v>
      </c>
      <c r="DS173">
        <v>0.22800000000000001</v>
      </c>
      <c r="DT173">
        <v>0.22600000000000001</v>
      </c>
      <c r="DU173">
        <v>0.13600000000000001</v>
      </c>
      <c r="DV173"/>
      <c r="DW173">
        <v>0.115</v>
      </c>
      <c r="DX173">
        <v>0.11600000000000001</v>
      </c>
      <c r="DY173">
        <v>0.28100000000000003</v>
      </c>
      <c r="DZ173">
        <v>0.32700000000000001</v>
      </c>
      <c r="EA173">
        <v>0.13200000000000001</v>
      </c>
      <c r="EB173">
        <v>0.14799999999999999</v>
      </c>
      <c r="EC173">
        <v>0.19</v>
      </c>
      <c r="ED173">
        <v>9.0999999999999998E-2</v>
      </c>
      <c r="EE173">
        <v>0.221</v>
      </c>
      <c r="EF173">
        <v>0.14599999999999999</v>
      </c>
      <c r="EG173">
        <v>0.13900000000000001</v>
      </c>
      <c r="EH173">
        <v>0.222</v>
      </c>
      <c r="EI173">
        <v>0.13400000000000001</v>
      </c>
      <c r="EJ173">
        <v>0.14599999999999999</v>
      </c>
      <c r="EK173">
        <v>0.14199999999999999</v>
      </c>
      <c r="EL173">
        <v>0.13600000000000001</v>
      </c>
      <c r="EM173">
        <v>0.22</v>
      </c>
      <c r="EN173">
        <v>0.16800000000000001</v>
      </c>
      <c r="EO173">
        <v>0.21199999999999999</v>
      </c>
      <c r="EP173">
        <v>0.223</v>
      </c>
      <c r="EQ173">
        <v>0.129</v>
      </c>
      <c r="ER173">
        <v>0.13700000000000001</v>
      </c>
      <c r="ES173">
        <v>0.17899999999999999</v>
      </c>
      <c r="ET173"/>
      <c r="EU173">
        <v>0.183</v>
      </c>
      <c r="EV173">
        <v>0.27500000000000002</v>
      </c>
      <c r="EW173">
        <v>0.186</v>
      </c>
      <c r="EX173">
        <v>0.14699999999999999</v>
      </c>
      <c r="EY173">
        <v>0.34399999999999997</v>
      </c>
      <c r="EZ173">
        <v>0.112</v>
      </c>
      <c r="FA173">
        <v>0.16400000000000001</v>
      </c>
      <c r="FB173">
        <v>0.128</v>
      </c>
      <c r="FC173">
        <v>0.22900000000000001</v>
      </c>
      <c r="FD173">
        <v>0.216</v>
      </c>
      <c r="FE173">
        <v>0.21199999999999999</v>
      </c>
      <c r="FF173">
        <v>0.217</v>
      </c>
      <c r="FG173">
        <v>0.126</v>
      </c>
      <c r="FH173">
        <v>0.13700000000000001</v>
      </c>
      <c r="FI173"/>
      <c r="FJ173">
        <v>0.189</v>
      </c>
      <c r="FK173">
        <v>0.16200000000000001</v>
      </c>
      <c r="FL173">
        <v>0.22900000000000001</v>
      </c>
      <c r="FM173">
        <v>0.129</v>
      </c>
      <c r="FN173">
        <v>0.11899999999999999</v>
      </c>
      <c r="FO173">
        <v>0.22600000000000001</v>
      </c>
      <c r="FP173">
        <v>0.17599999999999999</v>
      </c>
      <c r="FQ173">
        <v>0.19900000000000001</v>
      </c>
      <c r="FR173">
        <v>0.128</v>
      </c>
      <c r="FS173">
        <v>0.23200000000000001</v>
      </c>
      <c r="FT173">
        <v>0.29599999999999999</v>
      </c>
      <c r="FU173">
        <v>0.185</v>
      </c>
      <c r="FV173">
        <v>0.182</v>
      </c>
      <c r="FW173">
        <v>0.19600000000000001</v>
      </c>
      <c r="FX173">
        <v>0.20699999999999999</v>
      </c>
      <c r="FY173">
        <v>0.19700000000000001</v>
      </c>
      <c r="FZ173">
        <v>0.21</v>
      </c>
      <c r="GA173">
        <v>0.17699999999999999</v>
      </c>
      <c r="GB173">
        <v>0.153</v>
      </c>
      <c r="GC173">
        <v>0.12</v>
      </c>
      <c r="GD173">
        <v>0.214</v>
      </c>
      <c r="GE173">
        <v>0.11799999999999999</v>
      </c>
      <c r="GF173">
        <v>0.15</v>
      </c>
      <c r="GG173">
        <v>0.158</v>
      </c>
      <c r="GH173">
        <v>0.219</v>
      </c>
      <c r="GI173">
        <v>0.151</v>
      </c>
      <c r="GJ173">
        <v>0.123</v>
      </c>
      <c r="GK173">
        <v>0.23599999999999999</v>
      </c>
      <c r="GL173">
        <v>0.20399999999999999</v>
      </c>
      <c r="GM173">
        <v>0.19800000000000001</v>
      </c>
    </row>
    <row r="174" spans="8:195" ht="14.4" x14ac:dyDescent="0.3">
      <c r="H174" t="s">
        <v>897</v>
      </c>
      <c r="I174">
        <v>0.34699999999999998</v>
      </c>
      <c r="J174">
        <v>0.317</v>
      </c>
      <c r="K174">
        <v>0.19900000000000001</v>
      </c>
      <c r="L174">
        <v>0.32700000000000001</v>
      </c>
      <c r="M174">
        <v>0.28000000000000003</v>
      </c>
      <c r="N174">
        <v>0.22800000000000001</v>
      </c>
      <c r="O174">
        <v>0.27</v>
      </c>
      <c r="P174">
        <v>0.19600000000000001</v>
      </c>
      <c r="Q174">
        <v>0.23400000000000001</v>
      </c>
      <c r="R174">
        <v>0.24</v>
      </c>
      <c r="S174">
        <v>0.223</v>
      </c>
      <c r="T174">
        <v>0.27200000000000002</v>
      </c>
      <c r="U174">
        <v>0.155</v>
      </c>
      <c r="V174">
        <v>0.313</v>
      </c>
      <c r="W174">
        <v>0.26300000000000001</v>
      </c>
      <c r="X174">
        <v>0.22800000000000001</v>
      </c>
      <c r="Y174">
        <v>0.34100000000000003</v>
      </c>
      <c r="Z174">
        <v>0.42899999999999999</v>
      </c>
      <c r="AA174">
        <v>0.17399999999999999</v>
      </c>
      <c r="AB174">
        <v>0.185</v>
      </c>
      <c r="AC174">
        <v>0.23</v>
      </c>
      <c r="AD174">
        <v>0.33400000000000002</v>
      </c>
      <c r="AE174">
        <v>0.23</v>
      </c>
      <c r="AF174">
        <v>0.25600000000000001</v>
      </c>
      <c r="AG174">
        <v>0.28100000000000003</v>
      </c>
      <c r="AH174">
        <v>0.436</v>
      </c>
      <c r="AI174">
        <v>0.33</v>
      </c>
      <c r="AJ174">
        <v>0.32200000000000001</v>
      </c>
      <c r="AK174">
        <v>0.3</v>
      </c>
      <c r="AL174">
        <v>0.32600000000000001</v>
      </c>
      <c r="AM174">
        <v>0.20599999999999999</v>
      </c>
      <c r="AN174">
        <v>0.34200000000000003</v>
      </c>
      <c r="AO174">
        <v>0.34699999999999998</v>
      </c>
      <c r="AP174">
        <v>0.155</v>
      </c>
      <c r="AQ174">
        <v>0.24399999999999999</v>
      </c>
      <c r="AR174">
        <v>0.185</v>
      </c>
      <c r="AS174"/>
      <c r="AT174">
        <v>0.30199999999999999</v>
      </c>
      <c r="AU174">
        <v>0.16900000000000001</v>
      </c>
      <c r="AV174">
        <v>0.38800000000000001</v>
      </c>
      <c r="AW174">
        <v>0.22800000000000001</v>
      </c>
      <c r="AX174">
        <v>0.16600000000000001</v>
      </c>
      <c r="AY174"/>
      <c r="AZ174">
        <v>0.26</v>
      </c>
      <c r="BA174">
        <v>0.20499999999999999</v>
      </c>
      <c r="BB174">
        <v>0.35899999999999999</v>
      </c>
      <c r="BC174">
        <v>0.32500000000000001</v>
      </c>
      <c r="BD174">
        <v>0.23400000000000001</v>
      </c>
      <c r="BE174">
        <v>0.311</v>
      </c>
      <c r="BF174">
        <v>0.13400000000000001</v>
      </c>
      <c r="BG174">
        <v>0.20899999999999999</v>
      </c>
      <c r="BH174">
        <v>0.309</v>
      </c>
      <c r="BI174">
        <v>0.218</v>
      </c>
      <c r="BJ174">
        <v>0.32</v>
      </c>
      <c r="BK174">
        <v>0.27200000000000002</v>
      </c>
      <c r="BL174">
        <v>0.24</v>
      </c>
      <c r="BM174">
        <v>0.31</v>
      </c>
      <c r="BN174">
        <v>0.29099999999999998</v>
      </c>
      <c r="BO174">
        <v>0.22500000000000001</v>
      </c>
      <c r="BP174">
        <v>0.19500000000000001</v>
      </c>
      <c r="BQ174">
        <v>0.29299999999999998</v>
      </c>
      <c r="BR174">
        <v>0.435</v>
      </c>
      <c r="BS174">
        <v>0.27400000000000002</v>
      </c>
      <c r="BT174">
        <v>0.23</v>
      </c>
      <c r="BU174">
        <v>0.42699999999999999</v>
      </c>
      <c r="BV174">
        <v>0.219</v>
      </c>
      <c r="BW174">
        <v>0.24299999999999999</v>
      </c>
      <c r="BX174">
        <v>0.21199999999999999</v>
      </c>
      <c r="BY174">
        <v>0.33300000000000002</v>
      </c>
      <c r="BZ174">
        <v>0.40899999999999997</v>
      </c>
      <c r="CA174">
        <v>0.34899999999999998</v>
      </c>
      <c r="CB174">
        <v>0.312</v>
      </c>
      <c r="CC174">
        <v>0.186</v>
      </c>
      <c r="CD174">
        <v>0.23400000000000001</v>
      </c>
      <c r="CE174">
        <v>0.224</v>
      </c>
      <c r="CF174">
        <v>0.216</v>
      </c>
      <c r="CG174">
        <v>0.34699999999999998</v>
      </c>
      <c r="CH174">
        <v>0.28699999999999998</v>
      </c>
      <c r="CI174">
        <v>0.32800000000000001</v>
      </c>
      <c r="CJ174">
        <v>0.20200000000000001</v>
      </c>
      <c r="CK174">
        <v>0.184</v>
      </c>
      <c r="CL174">
        <v>0.184</v>
      </c>
      <c r="CM174">
        <v>0.19500000000000001</v>
      </c>
      <c r="CN174">
        <v>0.2</v>
      </c>
      <c r="CO174">
        <v>0.313</v>
      </c>
      <c r="CP174">
        <v>0.34699999999999998</v>
      </c>
      <c r="CQ174">
        <v>0.309</v>
      </c>
      <c r="CR174">
        <v>0.34399999999999997</v>
      </c>
      <c r="CS174">
        <v>0.38600000000000001</v>
      </c>
      <c r="CT174">
        <v>0.47799999999999998</v>
      </c>
      <c r="CU174">
        <v>0.34</v>
      </c>
      <c r="CV174">
        <v>0.26900000000000002</v>
      </c>
      <c r="CW174">
        <v>0.30099999999999999</v>
      </c>
      <c r="CX174">
        <v>0.34399999999999997</v>
      </c>
      <c r="CY174">
        <v>0.47399999999999998</v>
      </c>
      <c r="CZ174">
        <v>0.33200000000000002</v>
      </c>
      <c r="DA174">
        <v>0.32600000000000001</v>
      </c>
      <c r="DB174">
        <v>0.20799999999999999</v>
      </c>
      <c r="DC174">
        <v>0.27400000000000002</v>
      </c>
      <c r="DD174">
        <v>0.41499999999999998</v>
      </c>
      <c r="DE174">
        <v>0.22500000000000001</v>
      </c>
      <c r="DF174">
        <v>0.18</v>
      </c>
      <c r="DG174">
        <v>0.39600000000000002</v>
      </c>
      <c r="DH174">
        <v>0.22600000000000001</v>
      </c>
      <c r="DI174"/>
      <c r="DJ174">
        <v>0.41499999999999998</v>
      </c>
      <c r="DK174">
        <v>0.23100000000000001</v>
      </c>
      <c r="DL174">
        <v>0.17199999999999999</v>
      </c>
      <c r="DM174"/>
      <c r="DN174">
        <v>0.33400000000000002</v>
      </c>
      <c r="DO174">
        <v>0.27200000000000002</v>
      </c>
      <c r="DP174">
        <v>0.27100000000000002</v>
      </c>
      <c r="DQ174">
        <v>0.32400000000000001</v>
      </c>
      <c r="DR174">
        <v>0.34200000000000003</v>
      </c>
      <c r="DS174">
        <v>0.33600000000000002</v>
      </c>
      <c r="DT174">
        <v>0.33300000000000002</v>
      </c>
      <c r="DU174">
        <v>0.23400000000000001</v>
      </c>
      <c r="DV174"/>
      <c r="DW174">
        <v>0.20399999999999999</v>
      </c>
      <c r="DX174">
        <v>0.16800000000000001</v>
      </c>
      <c r="DY174">
        <v>0.41699999999999998</v>
      </c>
      <c r="DZ174">
        <v>0.47099999999999997</v>
      </c>
      <c r="EA174">
        <v>0.23200000000000001</v>
      </c>
      <c r="EB174">
        <v>0.214</v>
      </c>
      <c r="EC174">
        <v>0.28299999999999997</v>
      </c>
      <c r="ED174">
        <v>0.13500000000000001</v>
      </c>
      <c r="EE174">
        <v>0.30099999999999999</v>
      </c>
      <c r="EF174">
        <v>0.20899999999999999</v>
      </c>
      <c r="EG174">
        <v>0.19500000000000001</v>
      </c>
      <c r="EH174">
        <v>0.32</v>
      </c>
      <c r="EI174">
        <v>0.20499999999999999</v>
      </c>
      <c r="EJ174">
        <v>0.23300000000000001</v>
      </c>
      <c r="EK174">
        <v>0.218</v>
      </c>
      <c r="EL174">
        <v>0.214</v>
      </c>
      <c r="EM174">
        <v>0.312</v>
      </c>
      <c r="EN174">
        <v>0.247</v>
      </c>
      <c r="EO174">
        <v>0.29699999999999999</v>
      </c>
      <c r="EP174">
        <v>0.32800000000000001</v>
      </c>
      <c r="EQ174">
        <v>0.185</v>
      </c>
      <c r="ER174">
        <v>0.192</v>
      </c>
      <c r="ES174">
        <v>0.25900000000000001</v>
      </c>
      <c r="ET174"/>
      <c r="EU174">
        <v>0.25700000000000001</v>
      </c>
      <c r="EV174">
        <v>0.41099999999999998</v>
      </c>
      <c r="EW174">
        <v>0.27800000000000002</v>
      </c>
      <c r="EX174">
        <v>0.21299999999999999</v>
      </c>
      <c r="EY174">
        <v>0.54700000000000004</v>
      </c>
      <c r="EZ174">
        <v>0.16800000000000001</v>
      </c>
      <c r="FA174">
        <v>0.247</v>
      </c>
      <c r="FB174">
        <v>0.217</v>
      </c>
      <c r="FC174">
        <v>0.33700000000000002</v>
      </c>
      <c r="FD174">
        <v>0.308</v>
      </c>
      <c r="FE174">
        <v>0.29299999999999998</v>
      </c>
      <c r="FF174">
        <v>0.30599999999999999</v>
      </c>
      <c r="FG174">
        <v>0.20699999999999999</v>
      </c>
      <c r="FH174">
        <v>0.19500000000000001</v>
      </c>
      <c r="FI174"/>
      <c r="FJ174">
        <v>0.26700000000000002</v>
      </c>
      <c r="FK174">
        <v>0.23</v>
      </c>
      <c r="FL174">
        <v>0.32500000000000001</v>
      </c>
      <c r="FM174">
        <v>0.23699999999999999</v>
      </c>
      <c r="FN174">
        <v>0.222</v>
      </c>
      <c r="FO174">
        <v>0.34</v>
      </c>
      <c r="FP174">
        <v>0.24199999999999999</v>
      </c>
      <c r="FQ174">
        <v>0.29899999999999999</v>
      </c>
      <c r="FR174">
        <v>0.19</v>
      </c>
      <c r="FS174">
        <v>0.33200000000000002</v>
      </c>
      <c r="FT174">
        <v>0.433</v>
      </c>
      <c r="FU174">
        <v>0.26500000000000001</v>
      </c>
      <c r="FV174">
        <v>0.251</v>
      </c>
      <c r="FW174">
        <v>0.28299999999999997</v>
      </c>
      <c r="FX174">
        <v>0.32300000000000001</v>
      </c>
      <c r="FY174">
        <v>0.27400000000000002</v>
      </c>
      <c r="FZ174">
        <v>0.313</v>
      </c>
      <c r="GA174">
        <v>0.251</v>
      </c>
      <c r="GB174">
        <v>0.23200000000000001</v>
      </c>
      <c r="GC174">
        <v>0.191</v>
      </c>
      <c r="GD174">
        <v>0.317</v>
      </c>
      <c r="GE174">
        <v>0.20200000000000001</v>
      </c>
      <c r="GF174">
        <v>0.22700000000000001</v>
      </c>
      <c r="GG174">
        <v>0.219</v>
      </c>
      <c r="GH174">
        <v>0.32800000000000001</v>
      </c>
      <c r="GI174">
        <v>0.214</v>
      </c>
      <c r="GJ174">
        <v>0.17199999999999999</v>
      </c>
      <c r="GK174">
        <v>0.34300000000000003</v>
      </c>
      <c r="GL174">
        <v>0.30499999999999999</v>
      </c>
      <c r="GM174">
        <v>0.29799999999999999</v>
      </c>
    </row>
    <row r="175" spans="8:195" ht="14.4" x14ac:dyDescent="0.3">
      <c r="H175" t="s">
        <v>898</v>
      </c>
      <c r="I175">
        <v>0.47899999999999998</v>
      </c>
      <c r="J175">
        <v>0.46300000000000002</v>
      </c>
      <c r="K175">
        <v>0.28199999999999997</v>
      </c>
      <c r="L175">
        <v>0.439</v>
      </c>
      <c r="M175">
        <v>0.41499999999999998</v>
      </c>
      <c r="N175">
        <v>0.33300000000000002</v>
      </c>
      <c r="O175">
        <v>0.36299999999999999</v>
      </c>
      <c r="P175">
        <v>0.317</v>
      </c>
      <c r="Q175">
        <v>0.35</v>
      </c>
      <c r="R175">
        <v>0.35699999999999998</v>
      </c>
      <c r="S175">
        <v>0.34200000000000003</v>
      </c>
      <c r="T175">
        <v>0.38</v>
      </c>
      <c r="U175">
        <v>0.20100000000000001</v>
      </c>
      <c r="V175">
        <v>0.44400000000000001</v>
      </c>
      <c r="W175">
        <v>0.36</v>
      </c>
      <c r="X175">
        <v>0.36199999999999999</v>
      </c>
      <c r="Y175">
        <v>0.46899999999999997</v>
      </c>
      <c r="Z175">
        <v>0.54100000000000004</v>
      </c>
      <c r="AA175">
        <v>0.245</v>
      </c>
      <c r="AB175">
        <v>0.28699999999999998</v>
      </c>
      <c r="AC175">
        <v>0.32100000000000001</v>
      </c>
      <c r="AD175">
        <v>0.46500000000000002</v>
      </c>
      <c r="AE175">
        <v>0.34499999999999997</v>
      </c>
      <c r="AF175">
        <v>0.36799999999999999</v>
      </c>
      <c r="AG175">
        <v>0.40200000000000002</v>
      </c>
      <c r="AH175">
        <v>0.54600000000000004</v>
      </c>
      <c r="AI175">
        <v>0.45600000000000002</v>
      </c>
      <c r="AJ175">
        <v>0.46200000000000002</v>
      </c>
      <c r="AK175">
        <v>0.43</v>
      </c>
      <c r="AL175">
        <v>0.45200000000000001</v>
      </c>
      <c r="AM175">
        <v>0.317</v>
      </c>
      <c r="AN175">
        <v>0.46700000000000003</v>
      </c>
      <c r="AO175">
        <v>0.47899999999999998</v>
      </c>
      <c r="AP175">
        <v>0.23</v>
      </c>
      <c r="AQ175">
        <v>0.32600000000000001</v>
      </c>
      <c r="AR175">
        <v>0.27700000000000002</v>
      </c>
      <c r="AS175"/>
      <c r="AT175">
        <v>0.42799999999999999</v>
      </c>
      <c r="AU175">
        <v>0.26900000000000002</v>
      </c>
      <c r="AV175">
        <v>0.48599999999999999</v>
      </c>
      <c r="AW175">
        <v>0.316</v>
      </c>
      <c r="AX175">
        <v>0.252</v>
      </c>
      <c r="AY175"/>
      <c r="AZ175">
        <v>0.38600000000000001</v>
      </c>
      <c r="BA175">
        <v>0.28899999999999998</v>
      </c>
      <c r="BB175">
        <v>0.45300000000000001</v>
      </c>
      <c r="BC175">
        <v>0.45900000000000002</v>
      </c>
      <c r="BD175">
        <v>0.40600000000000003</v>
      </c>
      <c r="BE175">
        <v>0.443</v>
      </c>
      <c r="BF175">
        <v>0.17299999999999999</v>
      </c>
      <c r="BG175">
        <v>0.34100000000000003</v>
      </c>
      <c r="BH175">
        <v>0.40899999999999997</v>
      </c>
      <c r="BI175">
        <v>0.33</v>
      </c>
      <c r="BJ175">
        <v>0.44600000000000001</v>
      </c>
      <c r="BK175">
        <v>0.33600000000000002</v>
      </c>
      <c r="BL175">
        <v>0.40400000000000003</v>
      </c>
      <c r="BM175">
        <v>0.435</v>
      </c>
      <c r="BN175">
        <v>0.36499999999999999</v>
      </c>
      <c r="BO175">
        <v>0.35</v>
      </c>
      <c r="BP175">
        <v>0.32100000000000001</v>
      </c>
      <c r="BQ175">
        <v>0.41799999999999998</v>
      </c>
      <c r="BR175">
        <v>0.54900000000000004</v>
      </c>
      <c r="BS175">
        <v>0.36799999999999999</v>
      </c>
      <c r="BT175">
        <v>0.34499999999999997</v>
      </c>
      <c r="BU175">
        <v>0.54200000000000004</v>
      </c>
      <c r="BV175">
        <v>0.31900000000000001</v>
      </c>
      <c r="BW175">
        <v>0.33700000000000002</v>
      </c>
      <c r="BX175">
        <v>0.28899999999999998</v>
      </c>
      <c r="BY175">
        <v>0.46300000000000002</v>
      </c>
      <c r="BZ175">
        <v>0.58099999999999996</v>
      </c>
      <c r="CA175">
        <v>0.47399999999999998</v>
      </c>
      <c r="CB175">
        <v>0.437</v>
      </c>
      <c r="CC175">
        <v>0.27900000000000003</v>
      </c>
      <c r="CD175">
        <v>0.316</v>
      </c>
      <c r="CE175">
        <v>0.33600000000000002</v>
      </c>
      <c r="CF175">
        <v>0.29099999999999998</v>
      </c>
      <c r="CG175">
        <v>0.47699999999999998</v>
      </c>
      <c r="CH175">
        <v>0.40799999999999997</v>
      </c>
      <c r="CI175">
        <v>0.45900000000000002</v>
      </c>
      <c r="CJ175">
        <v>0.32300000000000001</v>
      </c>
      <c r="CK175">
        <v>0.224</v>
      </c>
      <c r="CL175">
        <v>0.27800000000000002</v>
      </c>
      <c r="CM175">
        <v>0.29299999999999998</v>
      </c>
      <c r="CN175">
        <v>0.316</v>
      </c>
      <c r="CO175">
        <v>0.44400000000000001</v>
      </c>
      <c r="CP175">
        <v>0.48399999999999999</v>
      </c>
      <c r="CQ175">
        <v>0.434</v>
      </c>
      <c r="CR175">
        <v>0.48</v>
      </c>
      <c r="CS175">
        <v>0.53700000000000003</v>
      </c>
      <c r="CT175">
        <v>0.60899999999999999</v>
      </c>
      <c r="CU175">
        <v>0.47699999999999998</v>
      </c>
      <c r="CV175">
        <v>0.40300000000000002</v>
      </c>
      <c r="CW175">
        <v>0.432</v>
      </c>
      <c r="CX175">
        <v>0.47099999999999997</v>
      </c>
      <c r="CY175">
        <v>0.60099999999999998</v>
      </c>
      <c r="CZ175">
        <v>0.46400000000000002</v>
      </c>
      <c r="DA175">
        <v>0.44700000000000001</v>
      </c>
      <c r="DB175">
        <v>0.312</v>
      </c>
      <c r="DC175">
        <v>0.36899999999999999</v>
      </c>
      <c r="DD175">
        <v>0.56699999999999995</v>
      </c>
      <c r="DE175">
        <v>0.32900000000000001</v>
      </c>
      <c r="DF175">
        <v>0.26100000000000001</v>
      </c>
      <c r="DG175">
        <v>0.51400000000000001</v>
      </c>
      <c r="DH175">
        <v>0.34</v>
      </c>
      <c r="DI175"/>
      <c r="DJ175">
        <v>0.53200000000000003</v>
      </c>
      <c r="DK175">
        <v>0.32100000000000001</v>
      </c>
      <c r="DL175">
        <v>0.25900000000000001</v>
      </c>
      <c r="DM175"/>
      <c r="DN175">
        <v>0.57799999999999996</v>
      </c>
      <c r="DO175">
        <v>0.39</v>
      </c>
      <c r="DP175">
        <v>0.379</v>
      </c>
      <c r="DQ175">
        <v>0.44900000000000001</v>
      </c>
      <c r="DR175">
        <v>0.47799999999999998</v>
      </c>
      <c r="DS175">
        <v>0.46700000000000003</v>
      </c>
      <c r="DT175">
        <v>0.47099999999999997</v>
      </c>
      <c r="DU175">
        <v>0.36</v>
      </c>
      <c r="DV175"/>
      <c r="DW175">
        <v>0.33</v>
      </c>
      <c r="DX175">
        <v>0.22800000000000001</v>
      </c>
      <c r="DY175">
        <v>0.53400000000000003</v>
      </c>
      <c r="DZ175">
        <v>0.58299999999999996</v>
      </c>
      <c r="EA175">
        <v>0.38800000000000001</v>
      </c>
      <c r="EB175">
        <v>0.29899999999999999</v>
      </c>
      <c r="EC175">
        <v>0.39800000000000002</v>
      </c>
      <c r="ED175">
        <v>0.19900000000000001</v>
      </c>
      <c r="EE175">
        <v>0.41</v>
      </c>
      <c r="EF175">
        <v>0.28199999999999997</v>
      </c>
      <c r="EG175">
        <v>0.26</v>
      </c>
      <c r="EH175">
        <v>0.44400000000000001</v>
      </c>
      <c r="EI175">
        <v>0.308</v>
      </c>
      <c r="EJ175">
        <v>0.35299999999999998</v>
      </c>
      <c r="EK175">
        <v>0.317</v>
      </c>
      <c r="EL175">
        <v>0.30599999999999999</v>
      </c>
      <c r="EM175">
        <v>0.43</v>
      </c>
      <c r="EN175">
        <v>0.33800000000000002</v>
      </c>
      <c r="EO175">
        <v>0.40699999999999997</v>
      </c>
      <c r="EP175">
        <v>0.45400000000000001</v>
      </c>
      <c r="EQ175">
        <v>0.25600000000000001</v>
      </c>
      <c r="ER175">
        <v>0.26300000000000001</v>
      </c>
      <c r="ES175">
        <v>0.37</v>
      </c>
      <c r="ET175"/>
      <c r="EU175">
        <v>0.34799999999999998</v>
      </c>
      <c r="EV175">
        <v>0.52900000000000003</v>
      </c>
      <c r="EW175">
        <v>0.39900000000000002</v>
      </c>
      <c r="EX175">
        <v>0.308</v>
      </c>
      <c r="EY175">
        <v>0.67100000000000004</v>
      </c>
      <c r="EZ175">
        <v>0.24299999999999999</v>
      </c>
      <c r="FA175">
        <v>0.33300000000000002</v>
      </c>
      <c r="FB175">
        <v>0.32800000000000001</v>
      </c>
      <c r="FC175">
        <v>0.47399999999999998</v>
      </c>
      <c r="FD175">
        <v>0.41699999999999998</v>
      </c>
      <c r="FE175">
        <v>0.39600000000000002</v>
      </c>
      <c r="FF175">
        <v>0.41199999999999998</v>
      </c>
      <c r="FG175">
        <v>0.32900000000000001</v>
      </c>
      <c r="FH175">
        <v>0.26800000000000002</v>
      </c>
      <c r="FI175"/>
      <c r="FJ175">
        <v>0.36</v>
      </c>
      <c r="FK175">
        <v>0.314</v>
      </c>
      <c r="FL175">
        <v>0.438</v>
      </c>
      <c r="FM175">
        <v>0.38400000000000001</v>
      </c>
      <c r="FN175">
        <v>0.374</v>
      </c>
      <c r="FO175">
        <v>0.45200000000000001</v>
      </c>
      <c r="FP175">
        <v>0.311</v>
      </c>
      <c r="FQ175">
        <v>0.433</v>
      </c>
      <c r="FR175">
        <v>0.27</v>
      </c>
      <c r="FS175">
        <v>0.45200000000000001</v>
      </c>
      <c r="FT175">
        <v>0.54700000000000004</v>
      </c>
      <c r="FU175">
        <v>0.378</v>
      </c>
      <c r="FV175">
        <v>0.33600000000000002</v>
      </c>
      <c r="FW175">
        <v>0.38400000000000001</v>
      </c>
      <c r="FX175">
        <v>0.46400000000000002</v>
      </c>
      <c r="FY175">
        <v>0.36799999999999999</v>
      </c>
      <c r="FZ175">
        <v>0.438</v>
      </c>
      <c r="GA175">
        <v>0.34499999999999997</v>
      </c>
      <c r="GB175">
        <v>0.33500000000000002</v>
      </c>
      <c r="GC175">
        <v>0.311</v>
      </c>
      <c r="GD175">
        <v>0.442</v>
      </c>
      <c r="GE175">
        <v>0.30199999999999999</v>
      </c>
      <c r="GF175">
        <v>0.33700000000000002</v>
      </c>
      <c r="GG175">
        <v>0.28199999999999997</v>
      </c>
      <c r="GH175">
        <v>0.46700000000000003</v>
      </c>
      <c r="GI175">
        <v>0.28699999999999998</v>
      </c>
      <c r="GJ175">
        <v>0.23499999999999999</v>
      </c>
      <c r="GK175">
        <v>0.441</v>
      </c>
      <c r="GL175">
        <v>0.43099999999999999</v>
      </c>
      <c r="GM175">
        <v>0.42499999999999999</v>
      </c>
    </row>
    <row r="176" spans="8:195" ht="14.4" x14ac:dyDescent="0.3">
      <c r="H176" t="s">
        <v>899</v>
      </c>
      <c r="I176">
        <v>0.59499999999999997</v>
      </c>
      <c r="J176">
        <v>0.59699999999999998</v>
      </c>
      <c r="K176">
        <v>0.39400000000000002</v>
      </c>
      <c r="L176">
        <v>0.56299999999999994</v>
      </c>
      <c r="M176">
        <v>0.55800000000000005</v>
      </c>
      <c r="N176">
        <v>0.40200000000000002</v>
      </c>
      <c r="O176">
        <v>0.48</v>
      </c>
      <c r="P176">
        <v>0.47</v>
      </c>
      <c r="Q176">
        <v>0.45800000000000002</v>
      </c>
      <c r="R176">
        <v>0.441</v>
      </c>
      <c r="S176">
        <v>0.48099999999999998</v>
      </c>
      <c r="T176">
        <v>0.50600000000000001</v>
      </c>
      <c r="U176">
        <v>0.27400000000000002</v>
      </c>
      <c r="V176">
        <v>0.58199999999999996</v>
      </c>
      <c r="W176">
        <v>0.47099999999999997</v>
      </c>
      <c r="X176">
        <v>0.48299999999999998</v>
      </c>
      <c r="Y176">
        <v>0.57399999999999995</v>
      </c>
      <c r="Z176">
        <v>0.66700000000000004</v>
      </c>
      <c r="AA176">
        <v>0.34599999999999997</v>
      </c>
      <c r="AB176">
        <v>0.57099999999999995</v>
      </c>
      <c r="AC176">
        <v>0.43</v>
      </c>
      <c r="AD176">
        <v>0.60599999999999998</v>
      </c>
      <c r="AE176">
        <v>0.47699999999999998</v>
      </c>
      <c r="AF176">
        <v>0.50800000000000001</v>
      </c>
      <c r="AG176">
        <v>0.53500000000000003</v>
      </c>
      <c r="AH176">
        <v>0.67100000000000004</v>
      </c>
      <c r="AI176">
        <v>0.59199999999999997</v>
      </c>
      <c r="AJ176">
        <v>0.60899999999999999</v>
      </c>
      <c r="AK176">
        <v>0.52300000000000002</v>
      </c>
      <c r="AL176">
        <v>0.58799999999999997</v>
      </c>
      <c r="AM176">
        <v>0.47099999999999997</v>
      </c>
      <c r="AN176">
        <v>0.60199999999999998</v>
      </c>
      <c r="AO176">
        <v>0.61399999999999999</v>
      </c>
      <c r="AP176">
        <v>0.34300000000000003</v>
      </c>
      <c r="AQ176">
        <v>0.42199999999999999</v>
      </c>
      <c r="AR176">
        <v>0.38900000000000001</v>
      </c>
      <c r="AS176"/>
      <c r="AT176">
        <v>0.56899999999999995</v>
      </c>
      <c r="AU176">
        <v>0.437</v>
      </c>
      <c r="AV176">
        <v>0.6</v>
      </c>
      <c r="AW176">
        <v>0.41499999999999998</v>
      </c>
      <c r="AX176">
        <v>0.40899999999999997</v>
      </c>
      <c r="AY176"/>
      <c r="AZ176">
        <v>0.52500000000000002</v>
      </c>
      <c r="BA176">
        <v>0.40400000000000003</v>
      </c>
      <c r="BB176">
        <v>0.56899999999999995</v>
      </c>
      <c r="BC176">
        <v>0.59699999999999998</v>
      </c>
      <c r="BD176">
        <v>0.57799999999999996</v>
      </c>
      <c r="BE176">
        <v>0.58399999999999996</v>
      </c>
      <c r="BF176">
        <v>0.23200000000000001</v>
      </c>
      <c r="BG176">
        <v>0.41499999999999998</v>
      </c>
      <c r="BH176">
        <v>0.51800000000000002</v>
      </c>
      <c r="BI176">
        <v>0.46200000000000002</v>
      </c>
      <c r="BJ176">
        <v>0.58299999999999996</v>
      </c>
      <c r="BK176">
        <v>0.41699999999999998</v>
      </c>
      <c r="BL176">
        <v>0.56999999999999995</v>
      </c>
      <c r="BM176">
        <v>0.57399999999999995</v>
      </c>
      <c r="BN176">
        <v>0.47499999999999998</v>
      </c>
      <c r="BO176">
        <v>0.502</v>
      </c>
      <c r="BP176">
        <v>0.503</v>
      </c>
      <c r="BQ176">
        <v>0.56100000000000005</v>
      </c>
      <c r="BR176">
        <v>0</v>
      </c>
      <c r="BS176">
        <v>0.48599999999999999</v>
      </c>
      <c r="BT176">
        <v>0.5</v>
      </c>
      <c r="BU176">
        <v>0.67</v>
      </c>
      <c r="BV176">
        <v>0.41799999999999998</v>
      </c>
      <c r="BW176">
        <v>0.44500000000000001</v>
      </c>
      <c r="BX176">
        <v>0.377</v>
      </c>
      <c r="BY176">
        <v>0.60799999999999998</v>
      </c>
      <c r="BZ176">
        <v>0</v>
      </c>
      <c r="CA176">
        <v>0.57999999999999996</v>
      </c>
      <c r="CB176">
        <v>0.57599999999999996</v>
      </c>
      <c r="CC176">
        <v>0.39400000000000002</v>
      </c>
      <c r="CD176">
        <v>0.42899999999999999</v>
      </c>
      <c r="CE176">
        <v>0.52800000000000002</v>
      </c>
      <c r="CF176">
        <v>0.38500000000000001</v>
      </c>
      <c r="CG176">
        <v>0.61199999999999999</v>
      </c>
      <c r="CH176">
        <v>0.53100000000000003</v>
      </c>
      <c r="CI176">
        <v>0.56499999999999995</v>
      </c>
      <c r="CJ176">
        <v>0.45200000000000001</v>
      </c>
      <c r="CK176">
        <v>0.31</v>
      </c>
      <c r="CL176">
        <v>0.41199999999999998</v>
      </c>
      <c r="CM176">
        <v>0.40699999999999997</v>
      </c>
      <c r="CN176">
        <v>0.47</v>
      </c>
      <c r="CO176">
        <v>0.55500000000000005</v>
      </c>
      <c r="CP176">
        <v>0.58699999999999997</v>
      </c>
      <c r="CQ176">
        <v>0.57299999999999995</v>
      </c>
      <c r="CR176">
        <v>0.78900000000000003</v>
      </c>
      <c r="CS176">
        <v>0.67</v>
      </c>
      <c r="CT176">
        <v>0.75700000000000001</v>
      </c>
      <c r="CU176">
        <v>0.61599999999999999</v>
      </c>
      <c r="CV176">
        <v>0.55200000000000005</v>
      </c>
      <c r="CW176">
        <v>0.58099999999999996</v>
      </c>
      <c r="CX176">
        <v>0.60699999999999998</v>
      </c>
      <c r="CY176">
        <v>0</v>
      </c>
      <c r="CZ176">
        <v>0.57799999999999996</v>
      </c>
      <c r="DA176">
        <v>0.57799999999999996</v>
      </c>
      <c r="DB176">
        <v>0.438</v>
      </c>
      <c r="DC176">
        <v>0.46300000000000002</v>
      </c>
      <c r="DD176">
        <v>0.71099999999999997</v>
      </c>
      <c r="DE176">
        <v>0.44700000000000001</v>
      </c>
      <c r="DF176">
        <v>0.35699999999999998</v>
      </c>
      <c r="DG176">
        <v>0.64500000000000002</v>
      </c>
      <c r="DH176">
        <v>0.45500000000000002</v>
      </c>
      <c r="DI176"/>
      <c r="DJ176">
        <v>0.66200000000000003</v>
      </c>
      <c r="DK176">
        <v>0.436</v>
      </c>
      <c r="DL176">
        <v>0.42399999999999999</v>
      </c>
      <c r="DM176"/>
      <c r="DN176">
        <v>0.72899999999999998</v>
      </c>
      <c r="DO176">
        <v>0.502</v>
      </c>
      <c r="DP176">
        <v>0.49299999999999999</v>
      </c>
      <c r="DQ176">
        <v>0.58599999999999997</v>
      </c>
      <c r="DR176">
        <v>0.61599999999999999</v>
      </c>
      <c r="DS176">
        <v>0.60599999999999998</v>
      </c>
      <c r="DT176">
        <v>0.61399999999999999</v>
      </c>
      <c r="DU176">
        <v>0.48199999999999998</v>
      </c>
      <c r="DV176"/>
      <c r="DW176">
        <v>0.48699999999999999</v>
      </c>
      <c r="DX176">
        <v>0.314</v>
      </c>
      <c r="DY176">
        <v>0.66400000000000003</v>
      </c>
      <c r="DZ176">
        <v>0.69899999999999995</v>
      </c>
      <c r="EA176">
        <v>0.57099999999999995</v>
      </c>
      <c r="EB176">
        <v>0.41</v>
      </c>
      <c r="EC176">
        <v>0.52200000000000002</v>
      </c>
      <c r="ED176">
        <v>0.4</v>
      </c>
      <c r="EE176">
        <v>0.51900000000000002</v>
      </c>
      <c r="EF176">
        <v>0.373</v>
      </c>
      <c r="EG176">
        <v>0.34</v>
      </c>
      <c r="EH176">
        <v>0.57499999999999996</v>
      </c>
      <c r="EI176">
        <v>0.42</v>
      </c>
      <c r="EJ176">
        <v>0.52200000000000002</v>
      </c>
      <c r="EK176">
        <v>0.44</v>
      </c>
      <c r="EL176">
        <v>0.443</v>
      </c>
      <c r="EM176">
        <v>0.55400000000000005</v>
      </c>
      <c r="EN176">
        <v>0.443</v>
      </c>
      <c r="EO176">
        <v>0.53400000000000003</v>
      </c>
      <c r="EP176">
        <v>0.59</v>
      </c>
      <c r="EQ176">
        <v>0.35499999999999998</v>
      </c>
      <c r="ER176">
        <v>0.35699999999999998</v>
      </c>
      <c r="ES176">
        <v>0.49099999999999999</v>
      </c>
      <c r="ET176"/>
      <c r="EU176">
        <v>0.45500000000000002</v>
      </c>
      <c r="EV176">
        <v>0.66</v>
      </c>
      <c r="EW176">
        <v>0.496</v>
      </c>
      <c r="EX176">
        <v>0.42599999999999999</v>
      </c>
      <c r="EY176">
        <v>0</v>
      </c>
      <c r="EZ176">
        <v>0.35</v>
      </c>
      <c r="FA176">
        <v>0.435</v>
      </c>
      <c r="FB176">
        <v>0.45</v>
      </c>
      <c r="FC176">
        <v>0.61499999999999999</v>
      </c>
      <c r="FD176">
        <v>0.51800000000000002</v>
      </c>
      <c r="FE176">
        <v>0.51500000000000001</v>
      </c>
      <c r="FF176">
        <v>0.53800000000000003</v>
      </c>
      <c r="FG176">
        <v>0.505</v>
      </c>
      <c r="FH176">
        <v>0.36699999999999999</v>
      </c>
      <c r="FI176"/>
      <c r="FJ176">
        <v>0.47099999999999997</v>
      </c>
      <c r="FK176">
        <v>0.4</v>
      </c>
      <c r="FL176">
        <v>0.56299999999999994</v>
      </c>
      <c r="FM176">
        <v>0.60099999999999998</v>
      </c>
      <c r="FN176">
        <v>0.48699999999999999</v>
      </c>
      <c r="FO176">
        <v>0.59599999999999997</v>
      </c>
      <c r="FP176">
        <v>0.40799999999999997</v>
      </c>
      <c r="FQ176">
        <v>0.54300000000000004</v>
      </c>
      <c r="FR176">
        <v>0.38</v>
      </c>
      <c r="FS176">
        <v>0.58799999999999997</v>
      </c>
      <c r="FT176">
        <v>0</v>
      </c>
      <c r="FU176">
        <v>0.499</v>
      </c>
      <c r="FV176">
        <v>0.432</v>
      </c>
      <c r="FW176">
        <v>0.50800000000000001</v>
      </c>
      <c r="FX176">
        <v>0.57699999999999996</v>
      </c>
      <c r="FY176">
        <v>0.47699999999999998</v>
      </c>
      <c r="FZ176">
        <v>0.57699999999999996</v>
      </c>
      <c r="GA176">
        <v>0.45200000000000001</v>
      </c>
      <c r="GB176">
        <v>0.45800000000000002</v>
      </c>
      <c r="GC176">
        <v>0.44500000000000001</v>
      </c>
      <c r="GD176">
        <v>0.57999999999999996</v>
      </c>
      <c r="GE176">
        <v>0.443</v>
      </c>
      <c r="GF176">
        <v>0.40600000000000003</v>
      </c>
      <c r="GG176">
        <v>0.374</v>
      </c>
      <c r="GH176">
        <v>0.61199999999999999</v>
      </c>
      <c r="GI176">
        <v>0.38200000000000001</v>
      </c>
      <c r="GJ176">
        <v>0.32600000000000001</v>
      </c>
      <c r="GK176">
        <v>0.56000000000000005</v>
      </c>
      <c r="GL176">
        <v>0.57099999999999995</v>
      </c>
      <c r="GM176">
        <v>0.56699999999999995</v>
      </c>
    </row>
    <row r="177" spans="7:195" ht="14.4" x14ac:dyDescent="0.3">
      <c r="H177"/>
      <c r="I177" s="20"/>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20"/>
      <c r="BG177" s="20"/>
      <c r="BH177" s="20"/>
      <c r="BI177" s="20"/>
      <c r="BJ177" s="20"/>
      <c r="BK177" s="20"/>
      <c r="BL177" s="20"/>
      <c r="BM177" s="20"/>
      <c r="BN177" s="20"/>
      <c r="BO177" s="20"/>
      <c r="BP177" s="20"/>
      <c r="BQ177" s="20"/>
      <c r="BR177" s="20"/>
      <c r="BS177" s="20"/>
      <c r="BT177" s="20"/>
      <c r="BU177" s="20"/>
      <c r="BV177" s="20"/>
      <c r="BW177" s="20"/>
      <c r="BX177" s="20"/>
      <c r="BY177" s="20"/>
      <c r="BZ177" s="20"/>
      <c r="CA177" s="20"/>
      <c r="CB177" s="20"/>
      <c r="CC177" s="20"/>
      <c r="CD177" s="20"/>
      <c r="CE177" s="20"/>
      <c r="CF177" s="20"/>
      <c r="CG177" s="20"/>
      <c r="CH177" s="20"/>
      <c r="CI177" s="20"/>
      <c r="CJ177" s="20"/>
      <c r="CK177" s="20"/>
      <c r="CL177" s="20"/>
      <c r="CM177" s="20"/>
      <c r="CN177" s="20"/>
      <c r="CO177" s="20"/>
      <c r="CP177" s="20"/>
      <c r="CQ177" s="20"/>
      <c r="CR177" s="20"/>
      <c r="CS177" s="20"/>
      <c r="CT177" s="20"/>
      <c r="CU177" s="20"/>
      <c r="CV177" s="20"/>
      <c r="CW177" s="20"/>
      <c r="CX177" s="20"/>
      <c r="CY177" s="20"/>
      <c r="CZ177" s="20"/>
      <c r="DA177" s="20"/>
      <c r="DB177" s="20"/>
      <c r="DC177" s="20"/>
      <c r="DD177" s="20"/>
      <c r="DE177" s="20"/>
      <c r="DF177" s="20"/>
      <c r="DG177" s="20"/>
      <c r="DH177" s="20"/>
      <c r="DI177" s="20"/>
      <c r="DJ177" s="20"/>
      <c r="DK177" s="20"/>
      <c r="DL177" s="20"/>
      <c r="DM177" s="20"/>
      <c r="DN177" s="20"/>
      <c r="DO177" s="20"/>
      <c r="DP177" s="20"/>
      <c r="DQ177" s="20"/>
      <c r="DR177" s="20"/>
      <c r="DS177" s="20"/>
      <c r="DT177" s="20"/>
      <c r="DU177" s="20"/>
      <c r="DV177" s="20"/>
      <c r="DW177" s="20"/>
      <c r="DX177" s="20"/>
      <c r="DY177" s="20"/>
      <c r="DZ177" s="20"/>
      <c r="EA177" s="20"/>
      <c r="EB177" s="20"/>
      <c r="EC177" s="20"/>
      <c r="ED177" s="20"/>
      <c r="EE177" s="20"/>
      <c r="EF177" s="20"/>
      <c r="EG177" s="20"/>
      <c r="EH177" s="20"/>
      <c r="EI177" s="20"/>
      <c r="EJ177" s="20"/>
      <c r="EK177" s="20"/>
      <c r="EL177" s="20"/>
      <c r="EM177" s="20"/>
      <c r="EN177" s="20"/>
      <c r="EO177" s="20"/>
      <c r="EP177" s="20"/>
      <c r="EQ177" s="20"/>
      <c r="ER177" s="20"/>
      <c r="ES177" s="20"/>
      <c r="ET177" s="20"/>
      <c r="EU177" s="20"/>
      <c r="EV177" s="20"/>
      <c r="EW177" s="20"/>
      <c r="EX177" s="20"/>
      <c r="EY177" s="20"/>
      <c r="EZ177" s="20"/>
      <c r="FA177" s="20"/>
      <c r="FB177" s="20"/>
      <c r="FC177" s="20"/>
      <c r="FD177" s="20"/>
      <c r="FE177" s="20"/>
      <c r="FF177" s="20"/>
      <c r="FG177" s="20"/>
      <c r="FH177" s="20"/>
      <c r="FI177" s="20"/>
      <c r="FJ177" s="20"/>
      <c r="FK177" s="20"/>
      <c r="FL177" s="20"/>
      <c r="FM177" s="20"/>
      <c r="FN177" s="20"/>
      <c r="FO177" s="20"/>
      <c r="FP177" s="20"/>
      <c r="FQ177" s="20"/>
      <c r="FR177" s="20"/>
      <c r="FS177" s="20"/>
      <c r="FT177" s="20"/>
      <c r="FU177" s="20"/>
      <c r="FV177" s="20"/>
      <c r="FW177" s="20"/>
      <c r="FX177" s="20"/>
      <c r="FY177" s="20"/>
      <c r="FZ177" s="20"/>
      <c r="GA177" s="20"/>
      <c r="GB177" s="20"/>
      <c r="GC177" s="20"/>
      <c r="GD177" s="20"/>
      <c r="GE177" s="20"/>
      <c r="GF177" s="20"/>
      <c r="GG177" s="20"/>
      <c r="GH177" s="20"/>
      <c r="GI177" s="20"/>
      <c r="GJ177" s="20"/>
      <c r="GK177" s="20"/>
      <c r="GL177" s="20"/>
      <c r="GM177" s="20"/>
    </row>
    <row r="178" spans="7:195" ht="14.4" x14ac:dyDescent="0.3">
      <c r="G178" t="s">
        <v>590</v>
      </c>
      <c r="H178" s="23" t="s">
        <v>618</v>
      </c>
      <c r="I178" s="20" t="s">
        <v>98</v>
      </c>
      <c r="J178" s="20" t="s">
        <v>156</v>
      </c>
      <c r="K178" s="20" t="s">
        <v>61</v>
      </c>
      <c r="L178" s="20" t="s">
        <v>52</v>
      </c>
      <c r="M178" s="20" t="s">
        <v>175</v>
      </c>
      <c r="N178" s="20" t="s">
        <v>198</v>
      </c>
      <c r="O178" s="20" t="s">
        <v>118</v>
      </c>
      <c r="P178" s="20" t="s">
        <v>212</v>
      </c>
      <c r="Q178" s="20" t="s">
        <v>168</v>
      </c>
      <c r="R178" s="20" t="s">
        <v>119</v>
      </c>
      <c r="S178" s="20" t="s">
        <v>177</v>
      </c>
      <c r="T178" s="20" t="s">
        <v>120</v>
      </c>
      <c r="U178" s="20" t="s">
        <v>99</v>
      </c>
      <c r="V178" s="20" t="s">
        <v>178</v>
      </c>
      <c r="W178" s="20" t="s">
        <v>136</v>
      </c>
      <c r="X178" s="20" t="s">
        <v>169</v>
      </c>
      <c r="Y178" s="20" t="s">
        <v>190</v>
      </c>
      <c r="Z178" s="20" t="s">
        <v>72</v>
      </c>
      <c r="AA178" s="20" t="s">
        <v>100</v>
      </c>
      <c r="AB178" s="20" t="s">
        <v>199</v>
      </c>
      <c r="AC178" s="20" t="s">
        <v>157</v>
      </c>
      <c r="AD178" s="20" t="s">
        <v>67</v>
      </c>
      <c r="AE178" s="20" t="s">
        <v>200</v>
      </c>
      <c r="AF178" s="20" t="s">
        <v>107</v>
      </c>
      <c r="AG178" s="20" t="s">
        <v>137</v>
      </c>
      <c r="AH178" s="20" t="s">
        <v>73</v>
      </c>
      <c r="AI178" s="20" t="s">
        <v>34</v>
      </c>
      <c r="AJ178" s="20" t="s">
        <v>74</v>
      </c>
      <c r="AK178" s="20" t="s">
        <v>108</v>
      </c>
      <c r="AL178" s="20" t="s">
        <v>53</v>
      </c>
      <c r="AM178" s="20" t="s">
        <v>210</v>
      </c>
      <c r="AN178" s="20" t="s">
        <v>54</v>
      </c>
      <c r="AO178" s="20" t="s">
        <v>55</v>
      </c>
      <c r="AP178" s="20" t="s">
        <v>201</v>
      </c>
      <c r="AQ178" s="20" t="s">
        <v>88</v>
      </c>
      <c r="AR178" s="20" t="s">
        <v>202</v>
      </c>
      <c r="AS178" s="20" t="s">
        <v>35</v>
      </c>
      <c r="AT178" s="20" t="s">
        <v>56</v>
      </c>
      <c r="AU178" s="20" t="s">
        <v>191</v>
      </c>
      <c r="AV178" s="20" t="s">
        <v>75</v>
      </c>
      <c r="AW178" s="20" t="s">
        <v>158</v>
      </c>
      <c r="AX178" s="20" t="s">
        <v>179</v>
      </c>
      <c r="AY178" s="20" t="s">
        <v>180</v>
      </c>
      <c r="AZ178" s="20" t="s">
        <v>121</v>
      </c>
      <c r="BA178" s="20" t="s">
        <v>138</v>
      </c>
      <c r="BB178" s="20" t="s">
        <v>89</v>
      </c>
      <c r="BC178" s="20" t="s">
        <v>57</v>
      </c>
      <c r="BD178" s="20" t="s">
        <v>146</v>
      </c>
      <c r="BE178" s="20" t="s">
        <v>36</v>
      </c>
      <c r="BF178" s="20" t="s">
        <v>181</v>
      </c>
      <c r="BG178" s="20" t="s">
        <v>203</v>
      </c>
      <c r="BH178" s="20" t="s">
        <v>62</v>
      </c>
      <c r="BI178" s="20" t="s">
        <v>192</v>
      </c>
      <c r="BJ178" s="20" t="s">
        <v>58</v>
      </c>
      <c r="BK178" s="20" t="s">
        <v>37</v>
      </c>
      <c r="BL178" s="20" t="s">
        <v>147</v>
      </c>
      <c r="BM178" s="20" t="s">
        <v>38</v>
      </c>
      <c r="BN178" s="20" t="s">
        <v>214</v>
      </c>
      <c r="BO178" s="20" t="s">
        <v>148</v>
      </c>
      <c r="BP178" s="20" t="s">
        <v>170</v>
      </c>
      <c r="BQ178" s="20" t="s">
        <v>59</v>
      </c>
      <c r="BR178" s="20" t="s">
        <v>76</v>
      </c>
      <c r="BS178" s="20" t="s">
        <v>122</v>
      </c>
      <c r="BT178" s="20" t="s">
        <v>171</v>
      </c>
      <c r="BU178" s="20" t="s">
        <v>77</v>
      </c>
      <c r="BV178" s="20" t="s">
        <v>159</v>
      </c>
      <c r="BW178" s="20" t="s">
        <v>182</v>
      </c>
      <c r="BX178" s="20" t="s">
        <v>193</v>
      </c>
      <c r="BY178" s="20" t="s">
        <v>78</v>
      </c>
      <c r="BZ178" s="20" t="s">
        <v>79</v>
      </c>
      <c r="CA178" s="20" t="s">
        <v>204</v>
      </c>
      <c r="CB178" s="20" t="s">
        <v>183</v>
      </c>
      <c r="CC178" s="20" t="s">
        <v>194</v>
      </c>
      <c r="CD178" s="20" t="s">
        <v>139</v>
      </c>
      <c r="CE178" s="20" t="s">
        <v>149</v>
      </c>
      <c r="CF178" s="20" t="s">
        <v>101</v>
      </c>
      <c r="CG178" s="20" t="s">
        <v>109</v>
      </c>
      <c r="CH178" s="20" t="s">
        <v>102</v>
      </c>
      <c r="CI178" s="20" t="s">
        <v>123</v>
      </c>
      <c r="CJ178" s="20" t="s">
        <v>150</v>
      </c>
      <c r="CK178" s="20" t="s">
        <v>124</v>
      </c>
      <c r="CL178" s="20" t="s">
        <v>160</v>
      </c>
      <c r="CM178" s="20" t="s">
        <v>184</v>
      </c>
      <c r="CN178" s="20" t="s">
        <v>90</v>
      </c>
      <c r="CO178" s="20" t="s">
        <v>125</v>
      </c>
      <c r="CP178" s="20" t="s">
        <v>93</v>
      </c>
      <c r="CQ178" s="20" t="s">
        <v>39</v>
      </c>
      <c r="CR178" s="20" t="s">
        <v>219</v>
      </c>
      <c r="CS178" s="20" t="s">
        <v>126</v>
      </c>
      <c r="CT178" s="20" t="s">
        <v>94</v>
      </c>
      <c r="CU178" s="20" t="s">
        <v>110</v>
      </c>
      <c r="CV178" s="20" t="s">
        <v>151</v>
      </c>
      <c r="CW178" s="20" t="s">
        <v>127</v>
      </c>
      <c r="CX178" s="20" t="s">
        <v>68</v>
      </c>
      <c r="CY178" s="20" t="s">
        <v>80</v>
      </c>
      <c r="CZ178" s="20" t="s">
        <v>63</v>
      </c>
      <c r="DA178" s="20" t="s">
        <v>152</v>
      </c>
      <c r="DB178" s="20" t="s">
        <v>172</v>
      </c>
      <c r="DC178" s="20" t="s">
        <v>40</v>
      </c>
      <c r="DD178" s="20" t="s">
        <v>41</v>
      </c>
      <c r="DE178" s="20" t="s">
        <v>111</v>
      </c>
      <c r="DF178" s="20" t="s">
        <v>103</v>
      </c>
      <c r="DG178" s="20" t="s">
        <v>81</v>
      </c>
      <c r="DH178" s="20" t="s">
        <v>161</v>
      </c>
      <c r="DI178" s="20" t="s">
        <v>185</v>
      </c>
      <c r="DJ178" s="20" t="s">
        <v>82</v>
      </c>
      <c r="DK178" s="20" t="s">
        <v>42</v>
      </c>
      <c r="DL178" s="20" t="s">
        <v>195</v>
      </c>
      <c r="DM178" s="20" t="s">
        <v>220</v>
      </c>
      <c r="DN178" s="20" t="s">
        <v>91</v>
      </c>
      <c r="DO178" s="20" t="s">
        <v>162</v>
      </c>
      <c r="DP178" s="20" t="s">
        <v>64</v>
      </c>
      <c r="DQ178" s="20" t="s">
        <v>43</v>
      </c>
      <c r="DR178" s="20" t="s">
        <v>112</v>
      </c>
      <c r="DS178" s="20" t="s">
        <v>69</v>
      </c>
      <c r="DT178" s="20" t="s">
        <v>104</v>
      </c>
      <c r="DU178" s="20" t="s">
        <v>173</v>
      </c>
      <c r="DV178" s="20" t="s">
        <v>215</v>
      </c>
      <c r="DW178" s="20" t="s">
        <v>213</v>
      </c>
      <c r="DX178" s="20" t="s">
        <v>196</v>
      </c>
      <c r="DY178" s="20" t="s">
        <v>83</v>
      </c>
      <c r="DZ178" s="20" t="s">
        <v>84</v>
      </c>
      <c r="EA178" s="20" t="s">
        <v>153</v>
      </c>
      <c r="EB178" s="20" t="s">
        <v>128</v>
      </c>
      <c r="EC178" s="20" t="s">
        <v>105</v>
      </c>
      <c r="ED178" s="20" t="s">
        <v>197</v>
      </c>
      <c r="EE178" s="20" t="s">
        <v>216</v>
      </c>
      <c r="EF178" s="20" t="s">
        <v>205</v>
      </c>
      <c r="EG178" s="20" t="s">
        <v>206</v>
      </c>
      <c r="EH178" s="20" t="s">
        <v>113</v>
      </c>
      <c r="EI178" s="20" t="s">
        <v>140</v>
      </c>
      <c r="EJ178" s="20" t="s">
        <v>163</v>
      </c>
      <c r="EK178" s="20" t="s">
        <v>129</v>
      </c>
      <c r="EL178" s="20" t="s">
        <v>92</v>
      </c>
      <c r="EM178" s="20" t="s">
        <v>141</v>
      </c>
      <c r="EN178" s="20" t="s">
        <v>142</v>
      </c>
      <c r="EO178" s="20" t="s">
        <v>143</v>
      </c>
      <c r="EP178" s="20" t="s">
        <v>44</v>
      </c>
      <c r="EQ178" s="20" t="s">
        <v>186</v>
      </c>
      <c r="ER178" s="20" t="s">
        <v>187</v>
      </c>
      <c r="ES178" s="20" t="s">
        <v>221</v>
      </c>
      <c r="ET178" s="20" t="s">
        <v>60</v>
      </c>
      <c r="EU178" s="20" t="s">
        <v>130</v>
      </c>
      <c r="EV178" s="20" t="s">
        <v>85</v>
      </c>
      <c r="EW178" s="20" t="s">
        <v>164</v>
      </c>
      <c r="EX178" s="20" t="s">
        <v>45</v>
      </c>
      <c r="EY178" s="20" t="s">
        <v>86</v>
      </c>
      <c r="EZ178" s="20" t="s">
        <v>114</v>
      </c>
      <c r="FA178" s="20" t="s">
        <v>144</v>
      </c>
      <c r="FB178" s="20" t="s">
        <v>165</v>
      </c>
      <c r="FC178" s="20" t="s">
        <v>217</v>
      </c>
      <c r="FD178" s="20" t="s">
        <v>46</v>
      </c>
      <c r="FE178" s="20" t="s">
        <v>70</v>
      </c>
      <c r="FF178" s="20" t="s">
        <v>47</v>
      </c>
      <c r="FG178" s="20" t="s">
        <v>166</v>
      </c>
      <c r="FH178" s="20" t="s">
        <v>106</v>
      </c>
      <c r="FI178" s="20" t="s">
        <v>131</v>
      </c>
      <c r="FJ178" s="20" t="s">
        <v>65</v>
      </c>
      <c r="FK178" s="20" t="s">
        <v>207</v>
      </c>
      <c r="FL178" s="20" t="s">
        <v>71</v>
      </c>
      <c r="FM178" s="20" t="s">
        <v>154</v>
      </c>
      <c r="FN178" s="20" t="s">
        <v>174</v>
      </c>
      <c r="FO178" s="20" t="s">
        <v>132</v>
      </c>
      <c r="FP178" s="20" t="s">
        <v>95</v>
      </c>
      <c r="FQ178" s="20" t="s">
        <v>167</v>
      </c>
      <c r="FR178" s="20" t="s">
        <v>115</v>
      </c>
      <c r="FS178" s="20" t="s">
        <v>116</v>
      </c>
      <c r="FT178" s="20" t="s">
        <v>87</v>
      </c>
      <c r="FU178" s="20" t="s">
        <v>222</v>
      </c>
      <c r="FV178" s="20" t="s">
        <v>188</v>
      </c>
      <c r="FW178" s="20" t="s">
        <v>66</v>
      </c>
      <c r="FX178" s="20" t="s">
        <v>133</v>
      </c>
      <c r="FY178" s="20" t="s">
        <v>96</v>
      </c>
      <c r="FZ178" s="20" t="s">
        <v>48</v>
      </c>
      <c r="GA178" s="20" t="s">
        <v>145</v>
      </c>
      <c r="GB178" s="20" t="s">
        <v>134</v>
      </c>
      <c r="GC178" s="20" t="s">
        <v>155</v>
      </c>
      <c r="GD178" s="20" t="s">
        <v>49</v>
      </c>
      <c r="GE178" s="20" t="s">
        <v>211</v>
      </c>
      <c r="GF178" s="20" t="s">
        <v>208</v>
      </c>
      <c r="GG178" s="20" t="s">
        <v>97</v>
      </c>
      <c r="GH178" s="20" t="s">
        <v>218</v>
      </c>
      <c r="GI178" s="20" t="s">
        <v>209</v>
      </c>
      <c r="GJ178" s="20" t="s">
        <v>117</v>
      </c>
      <c r="GK178" s="20" t="s">
        <v>135</v>
      </c>
      <c r="GL178" s="20" t="s">
        <v>50</v>
      </c>
      <c r="GM178" s="20" t="s">
        <v>51</v>
      </c>
    </row>
    <row r="179" spans="7:195" ht="14.4" x14ac:dyDescent="0.3">
      <c r="G179">
        <v>2</v>
      </c>
      <c r="H179" t="s">
        <v>588</v>
      </c>
      <c r="I179">
        <f t="shared" ref="I179:AN179" si="40">AVERAGE(I131,I155)</f>
        <v>6.9500000000000006E-2</v>
      </c>
      <c r="J179">
        <f t="shared" si="40"/>
        <v>1.2500000000000001E-2</v>
      </c>
      <c r="K179">
        <f t="shared" si="40"/>
        <v>2.2499999999999999E-2</v>
      </c>
      <c r="L179">
        <f t="shared" si="40"/>
        <v>0.10300000000000001</v>
      </c>
      <c r="M179">
        <f t="shared" si="40"/>
        <v>5.4999999999999997E-3</v>
      </c>
      <c r="N179">
        <f t="shared" si="40"/>
        <v>1.0999999999999999E-2</v>
      </c>
      <c r="O179">
        <f t="shared" si="40"/>
        <v>1.2500000000000001E-2</v>
      </c>
      <c r="P179">
        <f t="shared" si="40"/>
        <v>3.0000000000000001E-3</v>
      </c>
      <c r="Q179">
        <f t="shared" si="40"/>
        <v>3.0000000000000001E-3</v>
      </c>
      <c r="R179">
        <f t="shared" si="40"/>
        <v>2.8499999999999998E-2</v>
      </c>
      <c r="S179">
        <f t="shared" si="40"/>
        <v>9.9999999999999985E-3</v>
      </c>
      <c r="T179">
        <f t="shared" si="40"/>
        <v>5.0000000000000001E-3</v>
      </c>
      <c r="U179">
        <f t="shared" si="40"/>
        <v>3.15E-2</v>
      </c>
      <c r="V179">
        <f t="shared" si="40"/>
        <v>1.2E-2</v>
      </c>
      <c r="W179">
        <f t="shared" si="40"/>
        <v>3.5000000000000001E-3</v>
      </c>
      <c r="X179">
        <f t="shared" si="40"/>
        <v>3.5000000000000001E-3</v>
      </c>
      <c r="Y179">
        <f t="shared" si="40"/>
        <v>1.4499999999999999E-2</v>
      </c>
      <c r="Z179">
        <f t="shared" si="40"/>
        <v>6.7500000000000004E-2</v>
      </c>
      <c r="AA179">
        <f t="shared" si="40"/>
        <v>2.8000000000000001E-2</v>
      </c>
      <c r="AB179">
        <f t="shared" si="40"/>
        <v>3.15E-2</v>
      </c>
      <c r="AC179">
        <f t="shared" si="40"/>
        <v>5.4999999999999997E-3</v>
      </c>
      <c r="AD179">
        <f t="shared" si="40"/>
        <v>3.5500000000000004E-2</v>
      </c>
      <c r="AE179">
        <f t="shared" si="40"/>
        <v>1.4499999999999999E-2</v>
      </c>
      <c r="AF179">
        <f t="shared" si="40"/>
        <v>8.5000000000000006E-3</v>
      </c>
      <c r="AG179">
        <f t="shared" si="40"/>
        <v>9.0000000000000011E-3</v>
      </c>
      <c r="AH179">
        <f t="shared" si="40"/>
        <v>6.3500000000000001E-2</v>
      </c>
      <c r="AI179">
        <f t="shared" si="40"/>
        <v>5.6500000000000002E-2</v>
      </c>
      <c r="AJ179">
        <f t="shared" si="40"/>
        <v>2.0999999999999998E-2</v>
      </c>
      <c r="AK179">
        <f t="shared" si="40"/>
        <v>2.5000000000000001E-2</v>
      </c>
      <c r="AL179">
        <f t="shared" si="40"/>
        <v>5.8999999999999997E-2</v>
      </c>
      <c r="AM179">
        <f t="shared" si="40"/>
        <v>4.5000000000000005E-3</v>
      </c>
      <c r="AN179">
        <f t="shared" si="40"/>
        <v>9.8000000000000004E-2</v>
      </c>
      <c r="AO179">
        <f t="shared" ref="AO179:BT179" si="41">AVERAGE(AO131,AO155)</f>
        <v>9.0499999999999997E-2</v>
      </c>
      <c r="AP179">
        <f t="shared" si="41"/>
        <v>7.0000000000000001E-3</v>
      </c>
      <c r="AQ179">
        <f t="shared" si="41"/>
        <v>9.4999999999999998E-3</v>
      </c>
      <c r="AR179">
        <f t="shared" si="41"/>
        <v>1.35E-2</v>
      </c>
      <c r="AS179" t="e">
        <f t="shared" si="41"/>
        <v>#DIV/0!</v>
      </c>
      <c r="AT179">
        <f t="shared" si="41"/>
        <v>3.4000000000000002E-2</v>
      </c>
      <c r="AU179">
        <f t="shared" si="41"/>
        <v>8.5000000000000006E-3</v>
      </c>
      <c r="AV179">
        <f t="shared" si="41"/>
        <v>6.9500000000000006E-2</v>
      </c>
      <c r="AW179">
        <f t="shared" si="41"/>
        <v>3.5000000000000001E-3</v>
      </c>
      <c r="AX179">
        <f t="shared" si="41"/>
        <v>4.0000000000000001E-3</v>
      </c>
      <c r="AY179" t="e">
        <f t="shared" si="41"/>
        <v>#DIV/0!</v>
      </c>
      <c r="AZ179">
        <f t="shared" si="41"/>
        <v>2.5000000000000001E-3</v>
      </c>
      <c r="BA179">
        <f t="shared" si="41"/>
        <v>3.0000000000000001E-3</v>
      </c>
      <c r="BB179">
        <f t="shared" si="41"/>
        <v>1.9999999999999997E-2</v>
      </c>
      <c r="BC179">
        <f t="shared" si="41"/>
        <v>7.8999999999999987E-2</v>
      </c>
      <c r="BD179">
        <f t="shared" si="41"/>
        <v>3.0000000000000001E-3</v>
      </c>
      <c r="BE179">
        <f t="shared" si="41"/>
        <v>5.6499999999999995E-2</v>
      </c>
      <c r="BF179">
        <f t="shared" si="41"/>
        <v>2.6500000000000003E-2</v>
      </c>
      <c r="BG179">
        <f t="shared" si="41"/>
        <v>1.8500000000000003E-2</v>
      </c>
      <c r="BH179">
        <f t="shared" si="41"/>
        <v>2.0499999999999997E-2</v>
      </c>
      <c r="BI179">
        <f t="shared" si="41"/>
        <v>1.4499999999999999E-2</v>
      </c>
      <c r="BJ179">
        <f t="shared" si="41"/>
        <v>7.2000000000000008E-2</v>
      </c>
      <c r="BK179">
        <f t="shared" si="41"/>
        <v>3.5000000000000003E-2</v>
      </c>
      <c r="BL179">
        <f t="shared" si="41"/>
        <v>2.5000000000000001E-3</v>
      </c>
      <c r="BM179">
        <f t="shared" si="41"/>
        <v>4.2499999999999996E-2</v>
      </c>
      <c r="BN179">
        <f t="shared" si="41"/>
        <v>1.95E-2</v>
      </c>
      <c r="BO179">
        <f t="shared" si="41"/>
        <v>2E-3</v>
      </c>
      <c r="BP179">
        <f t="shared" si="41"/>
        <v>3.5000000000000001E-3</v>
      </c>
      <c r="BQ179">
        <f t="shared" si="41"/>
        <v>3.7000000000000005E-2</v>
      </c>
      <c r="BR179">
        <f t="shared" si="41"/>
        <v>0.05</v>
      </c>
      <c r="BS179">
        <f t="shared" si="41"/>
        <v>1.0499999999999999E-2</v>
      </c>
      <c r="BT179">
        <f t="shared" si="41"/>
        <v>3.0000000000000001E-3</v>
      </c>
      <c r="BU179">
        <f t="shared" ref="BU179:CZ179" si="42">AVERAGE(BU131,BU155)</f>
        <v>4.3999999999999997E-2</v>
      </c>
      <c r="BV179">
        <f t="shared" si="42"/>
        <v>3.5000000000000001E-3</v>
      </c>
      <c r="BW179">
        <f t="shared" si="42"/>
        <v>1.0999999999999999E-2</v>
      </c>
      <c r="BX179">
        <f t="shared" si="42"/>
        <v>2.5000000000000001E-2</v>
      </c>
      <c r="BY179">
        <f t="shared" si="42"/>
        <v>6.4000000000000001E-2</v>
      </c>
      <c r="BZ179">
        <f t="shared" si="42"/>
        <v>6.25E-2</v>
      </c>
      <c r="CA179">
        <f t="shared" si="42"/>
        <v>3.2500000000000001E-2</v>
      </c>
      <c r="CB179">
        <f t="shared" si="42"/>
        <v>5.45E-2</v>
      </c>
      <c r="CC179">
        <f t="shared" si="42"/>
        <v>1.8000000000000002E-2</v>
      </c>
      <c r="CD179">
        <f t="shared" si="42"/>
        <v>5.4999999999999997E-3</v>
      </c>
      <c r="CE179">
        <f t="shared" si="42"/>
        <v>1.5E-3</v>
      </c>
      <c r="CF179">
        <f t="shared" si="42"/>
        <v>3.9E-2</v>
      </c>
      <c r="CG179">
        <f t="shared" si="42"/>
        <v>2.3E-2</v>
      </c>
      <c r="CH179">
        <f t="shared" si="42"/>
        <v>1.35E-2</v>
      </c>
      <c r="CI179">
        <f t="shared" si="42"/>
        <v>2.7E-2</v>
      </c>
      <c r="CJ179">
        <f t="shared" si="42"/>
        <v>3.0000000000000001E-3</v>
      </c>
      <c r="CK179">
        <f t="shared" si="42"/>
        <v>3.0000000000000001E-3</v>
      </c>
      <c r="CL179">
        <f t="shared" si="42"/>
        <v>3.0000000000000001E-3</v>
      </c>
      <c r="CM179">
        <f t="shared" si="42"/>
        <v>1.35E-2</v>
      </c>
      <c r="CN179">
        <f t="shared" si="42"/>
        <v>2E-3</v>
      </c>
      <c r="CO179">
        <f t="shared" si="42"/>
        <v>1.55E-2</v>
      </c>
      <c r="CP179">
        <f t="shared" si="42"/>
        <v>1.2999999999999999E-2</v>
      </c>
      <c r="CQ179">
        <f t="shared" si="42"/>
        <v>3.6500000000000005E-2</v>
      </c>
      <c r="CR179">
        <f t="shared" si="42"/>
        <v>4.4999999999999998E-2</v>
      </c>
      <c r="CS179">
        <f t="shared" si="42"/>
        <v>7.4999999999999997E-3</v>
      </c>
      <c r="CT179">
        <f t="shared" si="42"/>
        <v>1.95E-2</v>
      </c>
      <c r="CU179">
        <f t="shared" si="42"/>
        <v>5.2999999999999999E-2</v>
      </c>
      <c r="CV179">
        <f t="shared" si="42"/>
        <v>7.0000000000000001E-3</v>
      </c>
      <c r="CW179">
        <f t="shared" si="42"/>
        <v>7.0000000000000001E-3</v>
      </c>
      <c r="CX179">
        <f t="shared" si="42"/>
        <v>7.3000000000000009E-2</v>
      </c>
      <c r="CY179">
        <f t="shared" si="42"/>
        <v>5.5E-2</v>
      </c>
      <c r="CZ179">
        <f t="shared" si="42"/>
        <v>1.15E-2</v>
      </c>
      <c r="DA179">
        <f t="shared" ref="DA179:DH179" si="43">AVERAGE(DA131,DA155)</f>
        <v>3.5000000000000001E-3</v>
      </c>
      <c r="DB179">
        <f t="shared" si="43"/>
        <v>1.5E-3</v>
      </c>
      <c r="DC179">
        <f t="shared" si="43"/>
        <v>3.7000000000000005E-2</v>
      </c>
      <c r="DD179">
        <f t="shared" si="43"/>
        <v>4.4999999999999998E-2</v>
      </c>
      <c r="DE179">
        <f t="shared" si="43"/>
        <v>6.0000000000000001E-3</v>
      </c>
      <c r="DF179">
        <f t="shared" si="43"/>
        <v>7.4999999999999997E-3</v>
      </c>
      <c r="DG179">
        <f t="shared" si="43"/>
        <v>7.8999999999999987E-2</v>
      </c>
      <c r="DH179">
        <f t="shared" si="43"/>
        <v>5.4999999999999997E-3</v>
      </c>
      <c r="DI179"/>
      <c r="DJ179">
        <f t="shared" ref="DJ179:EO179" si="44">AVERAGE(DJ131,DJ155)</f>
        <v>7.0000000000000007E-2</v>
      </c>
      <c r="DK179">
        <f t="shared" si="44"/>
        <v>1.2E-2</v>
      </c>
      <c r="DL179">
        <f t="shared" si="44"/>
        <v>1.15E-2</v>
      </c>
      <c r="DM179" t="e">
        <f t="shared" si="44"/>
        <v>#DIV/0!</v>
      </c>
      <c r="DN179">
        <f t="shared" si="44"/>
        <v>1.9E-2</v>
      </c>
      <c r="DO179">
        <f t="shared" si="44"/>
        <v>4.5000000000000005E-3</v>
      </c>
      <c r="DP179">
        <f t="shared" si="44"/>
        <v>2.4E-2</v>
      </c>
      <c r="DQ179">
        <f t="shared" si="44"/>
        <v>5.8999999999999997E-2</v>
      </c>
      <c r="DR179">
        <f t="shared" si="44"/>
        <v>4.0499999999999994E-2</v>
      </c>
      <c r="DS179">
        <f t="shared" si="44"/>
        <v>3.3500000000000002E-2</v>
      </c>
      <c r="DT179">
        <f t="shared" si="44"/>
        <v>3.0499999999999999E-2</v>
      </c>
      <c r="DU179">
        <f t="shared" si="44"/>
        <v>3.5000000000000001E-3</v>
      </c>
      <c r="DV179" t="e">
        <f t="shared" si="44"/>
        <v>#DIV/0!</v>
      </c>
      <c r="DW179">
        <f t="shared" si="44"/>
        <v>4.5000000000000005E-3</v>
      </c>
      <c r="DX179">
        <f t="shared" si="44"/>
        <v>1.9000000000000003E-2</v>
      </c>
      <c r="DY179">
        <f t="shared" si="44"/>
        <v>5.9499999999999997E-2</v>
      </c>
      <c r="DZ179">
        <f t="shared" si="44"/>
        <v>7.3000000000000009E-2</v>
      </c>
      <c r="EA179">
        <f t="shared" si="44"/>
        <v>2E-3</v>
      </c>
      <c r="EB179">
        <f t="shared" si="44"/>
        <v>9.9999999999999985E-3</v>
      </c>
      <c r="EC179">
        <f t="shared" si="44"/>
        <v>6.9000000000000006E-2</v>
      </c>
      <c r="ED179">
        <f t="shared" si="44"/>
        <v>1.4499999999999999E-2</v>
      </c>
      <c r="EE179">
        <f t="shared" si="44"/>
        <v>4.5999999999999999E-2</v>
      </c>
      <c r="EF179">
        <f t="shared" si="44"/>
        <v>1.8000000000000002E-2</v>
      </c>
      <c r="EG179">
        <f t="shared" si="44"/>
        <v>1.35E-2</v>
      </c>
      <c r="EH179">
        <f t="shared" si="44"/>
        <v>2.2499999999999999E-2</v>
      </c>
      <c r="EI179">
        <f t="shared" si="44"/>
        <v>4.5000000000000005E-3</v>
      </c>
      <c r="EJ179">
        <f t="shared" si="44"/>
        <v>3.0000000000000001E-3</v>
      </c>
      <c r="EK179">
        <f t="shared" si="44"/>
        <v>6.5000000000000006E-3</v>
      </c>
      <c r="EL179">
        <f t="shared" si="44"/>
        <v>3.0000000000000001E-3</v>
      </c>
      <c r="EM179">
        <f t="shared" si="44"/>
        <v>1.35E-2</v>
      </c>
      <c r="EN179">
        <f t="shared" si="44"/>
        <v>9.9999999999999985E-3</v>
      </c>
      <c r="EO179">
        <f t="shared" si="44"/>
        <v>8.0000000000000002E-3</v>
      </c>
      <c r="EP179">
        <f t="shared" ref="EP179:FU179" si="45">AVERAGE(EP131,EP155)</f>
        <v>3.15E-2</v>
      </c>
      <c r="EQ179">
        <f t="shared" si="45"/>
        <v>1.3000000000000001E-2</v>
      </c>
      <c r="ER179">
        <f t="shared" si="45"/>
        <v>1.6500000000000001E-2</v>
      </c>
      <c r="ES179">
        <f t="shared" si="45"/>
        <v>1.55E-2</v>
      </c>
      <c r="ET179" t="e">
        <f t="shared" si="45"/>
        <v>#DIV/0!</v>
      </c>
      <c r="EU179">
        <f t="shared" si="45"/>
        <v>1.3000000000000001E-2</v>
      </c>
      <c r="EV179">
        <f t="shared" si="45"/>
        <v>4.3499999999999997E-2</v>
      </c>
      <c r="EW179">
        <f t="shared" si="45"/>
        <v>6.0000000000000001E-3</v>
      </c>
      <c r="EX179">
        <f t="shared" si="45"/>
        <v>1.2E-2</v>
      </c>
      <c r="EY179">
        <f t="shared" si="45"/>
        <v>9.2499999999999999E-2</v>
      </c>
      <c r="EZ179">
        <f t="shared" si="45"/>
        <v>2E-3</v>
      </c>
      <c r="FA179">
        <f t="shared" si="45"/>
        <v>5.4999999999999997E-3</v>
      </c>
      <c r="FB179">
        <f t="shared" si="45"/>
        <v>2E-3</v>
      </c>
      <c r="FC179">
        <f t="shared" si="45"/>
        <v>2.4E-2</v>
      </c>
      <c r="FD179">
        <f t="shared" si="45"/>
        <v>9.0499999999999997E-2</v>
      </c>
      <c r="FE179">
        <f t="shared" si="45"/>
        <v>3.3500000000000002E-2</v>
      </c>
      <c r="FF179">
        <f t="shared" si="45"/>
        <v>6.3E-2</v>
      </c>
      <c r="FG179">
        <f t="shared" si="45"/>
        <v>3.5000000000000001E-3</v>
      </c>
      <c r="FH179">
        <f t="shared" si="45"/>
        <v>8.5000000000000006E-3</v>
      </c>
      <c r="FI179" t="e">
        <f t="shared" si="45"/>
        <v>#DIV/0!</v>
      </c>
      <c r="FJ179">
        <f t="shared" si="45"/>
        <v>4.9000000000000002E-2</v>
      </c>
      <c r="FK179">
        <f t="shared" si="45"/>
        <v>1.95E-2</v>
      </c>
      <c r="FL179">
        <f t="shared" si="45"/>
        <v>4.5999999999999999E-2</v>
      </c>
      <c r="FM179">
        <f t="shared" si="45"/>
        <v>2.5000000000000001E-3</v>
      </c>
      <c r="FN179">
        <f t="shared" si="45"/>
        <v>3.5000000000000001E-3</v>
      </c>
      <c r="FO179">
        <f t="shared" si="45"/>
        <v>1.15E-2</v>
      </c>
      <c r="FP179">
        <f t="shared" si="45"/>
        <v>3.95E-2</v>
      </c>
      <c r="FQ179">
        <f t="shared" si="45"/>
        <v>5.0000000000000001E-3</v>
      </c>
      <c r="FR179">
        <f t="shared" si="45"/>
        <v>1.0499999999999999E-2</v>
      </c>
      <c r="FS179">
        <f t="shared" si="45"/>
        <v>4.5999999999999999E-2</v>
      </c>
      <c r="FT179">
        <f t="shared" si="45"/>
        <v>5.3999999999999999E-2</v>
      </c>
      <c r="FU179">
        <f t="shared" si="45"/>
        <v>1.4999999999999999E-2</v>
      </c>
      <c r="FV179">
        <f t="shared" ref="FV179:GM179" si="46">AVERAGE(FV131,FV155)</f>
        <v>1.8000000000000002E-2</v>
      </c>
      <c r="FW179">
        <f t="shared" si="46"/>
        <v>1.2E-2</v>
      </c>
      <c r="FX179">
        <f t="shared" si="46"/>
        <v>1.2E-2</v>
      </c>
      <c r="FY179">
        <f t="shared" si="46"/>
        <v>4.4999999999999998E-2</v>
      </c>
      <c r="FZ179">
        <f t="shared" si="46"/>
        <v>3.9E-2</v>
      </c>
      <c r="GA179">
        <f t="shared" si="46"/>
        <v>8.0000000000000002E-3</v>
      </c>
      <c r="GB179">
        <f t="shared" si="46"/>
        <v>5.4999999999999997E-3</v>
      </c>
      <c r="GC179">
        <f t="shared" si="46"/>
        <v>3.5000000000000001E-3</v>
      </c>
      <c r="GD179">
        <f t="shared" si="46"/>
        <v>3.6000000000000004E-2</v>
      </c>
      <c r="GE179">
        <f t="shared" si="46"/>
        <v>5.4999999999999997E-3</v>
      </c>
      <c r="GF179">
        <f t="shared" si="46"/>
        <v>9.0000000000000011E-3</v>
      </c>
      <c r="GG179">
        <f t="shared" si="46"/>
        <v>3.5000000000000003E-2</v>
      </c>
      <c r="GH179">
        <f t="shared" si="46"/>
        <v>2.4E-2</v>
      </c>
      <c r="GI179">
        <f t="shared" si="46"/>
        <v>1.2999999999999999E-2</v>
      </c>
      <c r="GJ179">
        <f t="shared" si="46"/>
        <v>1.7500000000000002E-2</v>
      </c>
      <c r="GK179">
        <f t="shared" si="46"/>
        <v>3.4500000000000003E-2</v>
      </c>
      <c r="GL179">
        <f t="shared" si="46"/>
        <v>4.4999999999999998E-2</v>
      </c>
      <c r="GM179">
        <f t="shared" si="46"/>
        <v>4.8500000000000001E-2</v>
      </c>
    </row>
    <row r="180" spans="7:195" ht="14.4" x14ac:dyDescent="0.3">
      <c r="G180">
        <v>3</v>
      </c>
      <c r="H180" t="s">
        <v>879</v>
      </c>
      <c r="I180">
        <f t="shared" ref="I180:AN180" si="47">AVERAGE(I132,I156)</f>
        <v>7.0000000000000001E-3</v>
      </c>
      <c r="J180">
        <f t="shared" si="47"/>
        <v>0</v>
      </c>
      <c r="K180">
        <f t="shared" si="47"/>
        <v>1E-3</v>
      </c>
      <c r="L180">
        <f t="shared" si="47"/>
        <v>1.7500000000000002E-2</v>
      </c>
      <c r="M180">
        <f t="shared" si="47"/>
        <v>1E-3</v>
      </c>
      <c r="N180">
        <f t="shared" si="47"/>
        <v>0</v>
      </c>
      <c r="O180">
        <f t="shared" si="47"/>
        <v>0</v>
      </c>
      <c r="P180">
        <f t="shared" si="47"/>
        <v>0</v>
      </c>
      <c r="Q180">
        <f t="shared" si="47"/>
        <v>0</v>
      </c>
      <c r="R180">
        <f t="shared" si="47"/>
        <v>1E-3</v>
      </c>
      <c r="S180">
        <f t="shared" si="47"/>
        <v>1E-3</v>
      </c>
      <c r="T180">
        <f t="shared" si="47"/>
        <v>0</v>
      </c>
      <c r="U180">
        <f t="shared" si="47"/>
        <v>2E-3</v>
      </c>
      <c r="V180">
        <f t="shared" si="47"/>
        <v>0</v>
      </c>
      <c r="W180">
        <f t="shared" si="47"/>
        <v>0</v>
      </c>
      <c r="X180">
        <f t="shared" si="47"/>
        <v>0</v>
      </c>
      <c r="Y180">
        <f t="shared" si="47"/>
        <v>1E-3</v>
      </c>
      <c r="Z180">
        <f t="shared" si="47"/>
        <v>0.01</v>
      </c>
      <c r="AA180">
        <f t="shared" si="47"/>
        <v>1.5E-3</v>
      </c>
      <c r="AB180">
        <f t="shared" si="47"/>
        <v>2E-3</v>
      </c>
      <c r="AC180">
        <f t="shared" si="47"/>
        <v>0</v>
      </c>
      <c r="AD180">
        <f t="shared" si="47"/>
        <v>2E-3</v>
      </c>
      <c r="AE180">
        <f t="shared" si="47"/>
        <v>0</v>
      </c>
      <c r="AF180">
        <f t="shared" si="47"/>
        <v>0</v>
      </c>
      <c r="AG180">
        <f t="shared" si="47"/>
        <v>0</v>
      </c>
      <c r="AH180">
        <f t="shared" si="47"/>
        <v>7.4999999999999997E-3</v>
      </c>
      <c r="AI180">
        <f t="shared" si="47"/>
        <v>7.0000000000000001E-3</v>
      </c>
      <c r="AJ180">
        <f t="shared" si="47"/>
        <v>1E-3</v>
      </c>
      <c r="AK180">
        <f t="shared" si="47"/>
        <v>1E-3</v>
      </c>
      <c r="AL180">
        <f t="shared" si="47"/>
        <v>8.0000000000000002E-3</v>
      </c>
      <c r="AM180">
        <f t="shared" si="47"/>
        <v>0</v>
      </c>
      <c r="AN180">
        <f t="shared" si="47"/>
        <v>1.0999999999999999E-2</v>
      </c>
      <c r="AO180">
        <f t="shared" ref="AO180:BT180" si="48">AVERAGE(AO132,AO156)</f>
        <v>1.4999999999999999E-2</v>
      </c>
      <c r="AP180">
        <f t="shared" si="48"/>
        <v>0</v>
      </c>
      <c r="AQ180">
        <f t="shared" si="48"/>
        <v>0</v>
      </c>
      <c r="AR180">
        <f t="shared" si="48"/>
        <v>1E-3</v>
      </c>
      <c r="AS180" t="e">
        <f t="shared" si="48"/>
        <v>#DIV/0!</v>
      </c>
      <c r="AT180">
        <f t="shared" si="48"/>
        <v>3.0000000000000001E-3</v>
      </c>
      <c r="AU180">
        <f t="shared" si="48"/>
        <v>0</v>
      </c>
      <c r="AV180">
        <f t="shared" si="48"/>
        <v>7.0000000000000001E-3</v>
      </c>
      <c r="AW180">
        <f t="shared" si="48"/>
        <v>0</v>
      </c>
      <c r="AX180">
        <f t="shared" si="48"/>
        <v>0</v>
      </c>
      <c r="AY180" t="e">
        <f t="shared" si="48"/>
        <v>#DIV/0!</v>
      </c>
      <c r="AZ180">
        <f t="shared" si="48"/>
        <v>0</v>
      </c>
      <c r="BA180">
        <f t="shared" si="48"/>
        <v>0</v>
      </c>
      <c r="BB180">
        <f t="shared" si="48"/>
        <v>1E-3</v>
      </c>
      <c r="BC180">
        <f t="shared" si="48"/>
        <v>6.5000000000000006E-3</v>
      </c>
      <c r="BD180">
        <f t="shared" si="48"/>
        <v>0</v>
      </c>
      <c r="BE180">
        <f t="shared" si="48"/>
        <v>3.0000000000000001E-3</v>
      </c>
      <c r="BF180">
        <f t="shared" si="48"/>
        <v>1E-3</v>
      </c>
      <c r="BG180">
        <f t="shared" si="48"/>
        <v>1E-3</v>
      </c>
      <c r="BH180">
        <f t="shared" si="48"/>
        <v>1E-3</v>
      </c>
      <c r="BI180">
        <f t="shared" si="48"/>
        <v>1E-3</v>
      </c>
      <c r="BJ180">
        <f t="shared" si="48"/>
        <v>7.0000000000000001E-3</v>
      </c>
      <c r="BK180">
        <f t="shared" si="48"/>
        <v>3.0000000000000001E-3</v>
      </c>
      <c r="BL180">
        <f t="shared" si="48"/>
        <v>0</v>
      </c>
      <c r="BM180">
        <f t="shared" si="48"/>
        <v>5.0000000000000001E-3</v>
      </c>
      <c r="BN180">
        <f t="shared" si="48"/>
        <v>1E-3</v>
      </c>
      <c r="BO180">
        <f t="shared" si="48"/>
        <v>0</v>
      </c>
      <c r="BP180">
        <f t="shared" si="48"/>
        <v>0</v>
      </c>
      <c r="BQ180">
        <f t="shared" si="48"/>
        <v>4.0000000000000001E-3</v>
      </c>
      <c r="BR180">
        <f t="shared" si="48"/>
        <v>6.0000000000000001E-3</v>
      </c>
      <c r="BS180">
        <f t="shared" si="48"/>
        <v>0</v>
      </c>
      <c r="BT180">
        <f t="shared" si="48"/>
        <v>0</v>
      </c>
      <c r="BU180">
        <f t="shared" ref="BU180:CZ180" si="49">AVERAGE(BU132,BU156)</f>
        <v>5.0000000000000001E-3</v>
      </c>
      <c r="BV180">
        <f t="shared" si="49"/>
        <v>0</v>
      </c>
      <c r="BW180">
        <f t="shared" si="49"/>
        <v>0</v>
      </c>
      <c r="BX180">
        <f t="shared" si="49"/>
        <v>1E-3</v>
      </c>
      <c r="BY180">
        <f t="shared" si="49"/>
        <v>0.01</v>
      </c>
      <c r="BZ180">
        <f t="shared" si="49"/>
        <v>8.5000000000000006E-3</v>
      </c>
      <c r="CA180">
        <f t="shared" si="49"/>
        <v>2E-3</v>
      </c>
      <c r="CB180">
        <f t="shared" si="49"/>
        <v>4.5000000000000005E-3</v>
      </c>
      <c r="CC180">
        <f t="shared" si="49"/>
        <v>1E-3</v>
      </c>
      <c r="CD180">
        <f t="shared" si="49"/>
        <v>0</v>
      </c>
      <c r="CE180">
        <f t="shared" si="49"/>
        <v>0</v>
      </c>
      <c r="CF180">
        <f t="shared" si="49"/>
        <v>2.5000000000000001E-3</v>
      </c>
      <c r="CG180">
        <f t="shared" si="49"/>
        <v>1E-3</v>
      </c>
      <c r="CH180">
        <f t="shared" si="49"/>
        <v>1E-3</v>
      </c>
      <c r="CI180">
        <f t="shared" si="49"/>
        <v>1.5E-3</v>
      </c>
      <c r="CJ180">
        <f t="shared" si="49"/>
        <v>0</v>
      </c>
      <c r="CK180">
        <f t="shared" si="49"/>
        <v>0</v>
      </c>
      <c r="CL180">
        <f t="shared" si="49"/>
        <v>0</v>
      </c>
      <c r="CM180">
        <f t="shared" si="49"/>
        <v>5.0000000000000001E-4</v>
      </c>
      <c r="CN180">
        <f t="shared" si="49"/>
        <v>0</v>
      </c>
      <c r="CO180">
        <f t="shared" si="49"/>
        <v>1E-3</v>
      </c>
      <c r="CP180">
        <f t="shared" si="49"/>
        <v>0</v>
      </c>
      <c r="CQ180">
        <f t="shared" si="49"/>
        <v>3.5000000000000001E-3</v>
      </c>
      <c r="CR180">
        <f t="shared" si="49"/>
        <v>3.0000000000000001E-3</v>
      </c>
      <c r="CS180">
        <f t="shared" si="49"/>
        <v>0</v>
      </c>
      <c r="CT180">
        <f t="shared" si="49"/>
        <v>1E-3</v>
      </c>
      <c r="CU180">
        <f t="shared" si="49"/>
        <v>4.0000000000000001E-3</v>
      </c>
      <c r="CV180">
        <f t="shared" si="49"/>
        <v>0</v>
      </c>
      <c r="CW180">
        <f t="shared" si="49"/>
        <v>0</v>
      </c>
      <c r="CX180">
        <f t="shared" si="49"/>
        <v>6.0000000000000001E-3</v>
      </c>
      <c r="CY180">
        <f t="shared" si="49"/>
        <v>5.0000000000000001E-3</v>
      </c>
      <c r="CZ180">
        <f t="shared" si="49"/>
        <v>5.0000000000000001E-4</v>
      </c>
      <c r="DA180">
        <f t="shared" ref="DA180:DH180" si="50">AVERAGE(DA132,DA156)</f>
        <v>5.0000000000000001E-4</v>
      </c>
      <c r="DB180">
        <f t="shared" si="50"/>
        <v>0</v>
      </c>
      <c r="DC180">
        <f t="shared" si="50"/>
        <v>3.5000000000000001E-3</v>
      </c>
      <c r="DD180">
        <f t="shared" si="50"/>
        <v>5.4999999999999997E-3</v>
      </c>
      <c r="DE180">
        <f t="shared" si="50"/>
        <v>0</v>
      </c>
      <c r="DF180">
        <f t="shared" si="50"/>
        <v>0</v>
      </c>
      <c r="DG180">
        <f t="shared" si="50"/>
        <v>1.0999999999999999E-2</v>
      </c>
      <c r="DH180">
        <f t="shared" si="50"/>
        <v>0</v>
      </c>
      <c r="DI180"/>
      <c r="DJ180">
        <f t="shared" ref="DJ180:EO180" si="51">AVERAGE(DJ132,DJ156)</f>
        <v>6.0000000000000001E-3</v>
      </c>
      <c r="DK180">
        <f t="shared" si="51"/>
        <v>0</v>
      </c>
      <c r="DL180">
        <f t="shared" si="51"/>
        <v>5.0000000000000001E-4</v>
      </c>
      <c r="DM180" t="e">
        <f t="shared" si="51"/>
        <v>#DIV/0!</v>
      </c>
      <c r="DN180">
        <f t="shared" si="51"/>
        <v>1E-3</v>
      </c>
      <c r="DO180">
        <f t="shared" si="51"/>
        <v>0</v>
      </c>
      <c r="DP180">
        <f t="shared" si="51"/>
        <v>1E-3</v>
      </c>
      <c r="DQ180">
        <f t="shared" si="51"/>
        <v>6.0000000000000001E-3</v>
      </c>
      <c r="DR180">
        <f t="shared" si="51"/>
        <v>3.0000000000000001E-3</v>
      </c>
      <c r="DS180">
        <f t="shared" si="51"/>
        <v>3.0000000000000001E-3</v>
      </c>
      <c r="DT180">
        <f t="shared" si="51"/>
        <v>2E-3</v>
      </c>
      <c r="DU180">
        <f t="shared" si="51"/>
        <v>0</v>
      </c>
      <c r="DV180" t="e">
        <f t="shared" si="51"/>
        <v>#DIV/0!</v>
      </c>
      <c r="DW180">
        <f t="shared" si="51"/>
        <v>0</v>
      </c>
      <c r="DX180">
        <f t="shared" si="51"/>
        <v>1E-3</v>
      </c>
      <c r="DY180">
        <f t="shared" si="51"/>
        <v>1.0499999999999999E-2</v>
      </c>
      <c r="DZ180">
        <f t="shared" si="51"/>
        <v>1.0999999999999999E-2</v>
      </c>
      <c r="EA180">
        <f t="shared" si="51"/>
        <v>0</v>
      </c>
      <c r="EB180">
        <f t="shared" si="51"/>
        <v>0</v>
      </c>
      <c r="EC180">
        <f t="shared" si="51"/>
        <v>4.0000000000000001E-3</v>
      </c>
      <c r="ED180">
        <f t="shared" si="51"/>
        <v>1E-3</v>
      </c>
      <c r="EE180">
        <f t="shared" si="51"/>
        <v>3.5000000000000001E-3</v>
      </c>
      <c r="EF180">
        <f t="shared" si="51"/>
        <v>1E-3</v>
      </c>
      <c r="EG180">
        <f t="shared" si="51"/>
        <v>1E-3</v>
      </c>
      <c r="EH180">
        <f t="shared" si="51"/>
        <v>1.5E-3</v>
      </c>
      <c r="EI180">
        <f t="shared" si="51"/>
        <v>0</v>
      </c>
      <c r="EJ180">
        <f t="shared" si="51"/>
        <v>0</v>
      </c>
      <c r="EK180">
        <f t="shared" si="51"/>
        <v>0</v>
      </c>
      <c r="EL180">
        <f t="shared" si="51"/>
        <v>0</v>
      </c>
      <c r="EM180">
        <f t="shared" si="51"/>
        <v>1E-3</v>
      </c>
      <c r="EN180">
        <f t="shared" si="51"/>
        <v>0</v>
      </c>
      <c r="EO180">
        <f t="shared" si="51"/>
        <v>0</v>
      </c>
      <c r="EP180">
        <f t="shared" ref="EP180:FU180" si="52">AVERAGE(EP132,EP156)</f>
        <v>3.0000000000000001E-3</v>
      </c>
      <c r="EQ180">
        <f t="shared" si="52"/>
        <v>0</v>
      </c>
      <c r="ER180">
        <f t="shared" si="52"/>
        <v>0</v>
      </c>
      <c r="ES180">
        <f t="shared" si="52"/>
        <v>1E-3</v>
      </c>
      <c r="ET180" t="e">
        <f t="shared" si="52"/>
        <v>#DIV/0!</v>
      </c>
      <c r="EU180">
        <f t="shared" si="52"/>
        <v>1E-3</v>
      </c>
      <c r="EV180">
        <f t="shared" si="52"/>
        <v>2E-3</v>
      </c>
      <c r="EW180">
        <f t="shared" si="52"/>
        <v>0</v>
      </c>
      <c r="EX180">
        <f t="shared" si="52"/>
        <v>5.0000000000000001E-4</v>
      </c>
      <c r="EY180">
        <f t="shared" si="52"/>
        <v>1.4E-2</v>
      </c>
      <c r="EZ180">
        <f t="shared" si="52"/>
        <v>0</v>
      </c>
      <c r="FA180">
        <f t="shared" si="52"/>
        <v>0</v>
      </c>
      <c r="FB180">
        <f t="shared" si="52"/>
        <v>0</v>
      </c>
      <c r="FC180">
        <f t="shared" si="52"/>
        <v>1E-3</v>
      </c>
      <c r="FD180">
        <f t="shared" si="52"/>
        <v>1.4999999999999999E-2</v>
      </c>
      <c r="FE180">
        <f t="shared" si="52"/>
        <v>2.5000000000000001E-3</v>
      </c>
      <c r="FF180">
        <f t="shared" si="52"/>
        <v>8.9999999999999993E-3</v>
      </c>
      <c r="FG180">
        <f t="shared" si="52"/>
        <v>0</v>
      </c>
      <c r="FH180">
        <f t="shared" si="52"/>
        <v>0</v>
      </c>
      <c r="FI180" t="e">
        <f t="shared" si="52"/>
        <v>#DIV/0!</v>
      </c>
      <c r="FJ180">
        <f t="shared" si="52"/>
        <v>6.0000000000000001E-3</v>
      </c>
      <c r="FK180">
        <f t="shared" si="52"/>
        <v>1E-3</v>
      </c>
      <c r="FL180">
        <f t="shared" si="52"/>
        <v>4.0000000000000001E-3</v>
      </c>
      <c r="FM180">
        <f t="shared" si="52"/>
        <v>0</v>
      </c>
      <c r="FN180">
        <f t="shared" si="52"/>
        <v>0</v>
      </c>
      <c r="FO180">
        <f t="shared" si="52"/>
        <v>1E-3</v>
      </c>
      <c r="FP180">
        <f t="shared" si="52"/>
        <v>2E-3</v>
      </c>
      <c r="FQ180">
        <f t="shared" si="52"/>
        <v>0</v>
      </c>
      <c r="FR180">
        <f t="shared" si="52"/>
        <v>0</v>
      </c>
      <c r="FS180">
        <f t="shared" si="52"/>
        <v>2E-3</v>
      </c>
      <c r="FT180">
        <f t="shared" si="52"/>
        <v>7.0000000000000001E-3</v>
      </c>
      <c r="FU180">
        <f t="shared" si="52"/>
        <v>1E-3</v>
      </c>
      <c r="FV180">
        <f t="shared" ref="FV180:GM180" si="53">AVERAGE(FV132,FV156)</f>
        <v>1E-3</v>
      </c>
      <c r="FW180">
        <f t="shared" si="53"/>
        <v>5.0000000000000001E-4</v>
      </c>
      <c r="FX180">
        <f t="shared" si="53"/>
        <v>5.0000000000000001E-4</v>
      </c>
      <c r="FY180">
        <f t="shared" si="53"/>
        <v>2E-3</v>
      </c>
      <c r="FZ180">
        <f t="shared" si="53"/>
        <v>4.5000000000000005E-3</v>
      </c>
      <c r="GA180">
        <f t="shared" si="53"/>
        <v>0</v>
      </c>
      <c r="GB180">
        <f t="shared" si="53"/>
        <v>0</v>
      </c>
      <c r="GC180">
        <f t="shared" si="53"/>
        <v>0</v>
      </c>
      <c r="GD180">
        <f t="shared" si="53"/>
        <v>3.5000000000000001E-3</v>
      </c>
      <c r="GE180">
        <f t="shared" si="53"/>
        <v>0</v>
      </c>
      <c r="GF180">
        <f t="shared" si="53"/>
        <v>0</v>
      </c>
      <c r="GG180">
        <f t="shared" si="53"/>
        <v>1E-3</v>
      </c>
      <c r="GH180">
        <f t="shared" si="53"/>
        <v>1E-3</v>
      </c>
      <c r="GI180">
        <f t="shared" si="53"/>
        <v>1E-3</v>
      </c>
      <c r="GJ180">
        <f t="shared" si="53"/>
        <v>1E-3</v>
      </c>
      <c r="GK180">
        <f t="shared" si="53"/>
        <v>2E-3</v>
      </c>
      <c r="GL180">
        <f t="shared" si="53"/>
        <v>5.4999999999999997E-3</v>
      </c>
      <c r="GM180">
        <f t="shared" si="53"/>
        <v>6.5000000000000006E-3</v>
      </c>
    </row>
    <row r="181" spans="7:195" ht="14.4" x14ac:dyDescent="0.3">
      <c r="G181">
        <v>4</v>
      </c>
      <c r="H181" t="s">
        <v>880</v>
      </c>
      <c r="I181">
        <f t="shared" ref="I181:AN181" si="54">AVERAGE(I133,I157)</f>
        <v>2E-3</v>
      </c>
      <c r="J181">
        <f t="shared" si="54"/>
        <v>0</v>
      </c>
      <c r="K181">
        <f t="shared" si="54"/>
        <v>5.0000000000000001E-4</v>
      </c>
      <c r="L181">
        <f t="shared" si="54"/>
        <v>6.0000000000000001E-3</v>
      </c>
      <c r="M181">
        <f t="shared" si="54"/>
        <v>0</v>
      </c>
      <c r="N181">
        <f t="shared" si="54"/>
        <v>0</v>
      </c>
      <c r="O181">
        <f t="shared" si="54"/>
        <v>0</v>
      </c>
      <c r="P181">
        <f t="shared" si="54"/>
        <v>0</v>
      </c>
      <c r="Q181">
        <f t="shared" si="54"/>
        <v>0</v>
      </c>
      <c r="R181">
        <f t="shared" si="54"/>
        <v>0</v>
      </c>
      <c r="S181">
        <f t="shared" si="54"/>
        <v>0</v>
      </c>
      <c r="T181">
        <f t="shared" si="54"/>
        <v>0</v>
      </c>
      <c r="U181">
        <f t="shared" si="54"/>
        <v>1E-3</v>
      </c>
      <c r="V181">
        <f t="shared" si="54"/>
        <v>0</v>
      </c>
      <c r="W181">
        <f t="shared" si="54"/>
        <v>0</v>
      </c>
      <c r="X181">
        <f t="shared" si="54"/>
        <v>0</v>
      </c>
      <c r="Y181">
        <f t="shared" si="54"/>
        <v>1E-3</v>
      </c>
      <c r="Z181">
        <f t="shared" si="54"/>
        <v>3.0000000000000001E-3</v>
      </c>
      <c r="AA181">
        <f t="shared" si="54"/>
        <v>1.5E-3</v>
      </c>
      <c r="AB181">
        <f t="shared" si="54"/>
        <v>2E-3</v>
      </c>
      <c r="AC181">
        <f t="shared" si="54"/>
        <v>0</v>
      </c>
      <c r="AD181">
        <f t="shared" si="54"/>
        <v>1E-3</v>
      </c>
      <c r="AE181">
        <f t="shared" si="54"/>
        <v>0</v>
      </c>
      <c r="AF181">
        <f t="shared" si="54"/>
        <v>0</v>
      </c>
      <c r="AG181">
        <f t="shared" si="54"/>
        <v>0</v>
      </c>
      <c r="AH181">
        <f t="shared" si="54"/>
        <v>3.5000000000000001E-3</v>
      </c>
      <c r="AI181">
        <f t="shared" si="54"/>
        <v>4.5000000000000005E-3</v>
      </c>
      <c r="AJ181">
        <f t="shared" si="54"/>
        <v>0</v>
      </c>
      <c r="AK181">
        <f t="shared" si="54"/>
        <v>2E-3</v>
      </c>
      <c r="AL181">
        <f t="shared" si="54"/>
        <v>4.0000000000000001E-3</v>
      </c>
      <c r="AM181">
        <f t="shared" si="54"/>
        <v>0</v>
      </c>
      <c r="AN181">
        <f t="shared" si="54"/>
        <v>5.4999999999999997E-3</v>
      </c>
      <c r="AO181">
        <f t="shared" ref="AO181:BT181" si="55">AVERAGE(AO133,AO157)</f>
        <v>5.4999999999999997E-3</v>
      </c>
      <c r="AP181">
        <f t="shared" si="55"/>
        <v>0</v>
      </c>
      <c r="AQ181">
        <f t="shared" si="55"/>
        <v>0</v>
      </c>
      <c r="AR181">
        <f t="shared" si="55"/>
        <v>0</v>
      </c>
      <c r="AS181" t="e">
        <f t="shared" si="55"/>
        <v>#DIV/0!</v>
      </c>
      <c r="AT181">
        <f t="shared" si="55"/>
        <v>2E-3</v>
      </c>
      <c r="AU181">
        <f t="shared" si="55"/>
        <v>0</v>
      </c>
      <c r="AV181">
        <f t="shared" si="55"/>
        <v>7.0000000000000001E-3</v>
      </c>
      <c r="AW181">
        <f t="shared" si="55"/>
        <v>0</v>
      </c>
      <c r="AX181">
        <f t="shared" si="55"/>
        <v>0</v>
      </c>
      <c r="AY181" t="e">
        <f t="shared" si="55"/>
        <v>#DIV/0!</v>
      </c>
      <c r="AZ181">
        <f t="shared" si="55"/>
        <v>0</v>
      </c>
      <c r="BA181">
        <f t="shared" si="55"/>
        <v>0</v>
      </c>
      <c r="BB181">
        <f t="shared" si="55"/>
        <v>1E-3</v>
      </c>
      <c r="BC181">
        <f t="shared" si="55"/>
        <v>4.0000000000000001E-3</v>
      </c>
      <c r="BD181">
        <f t="shared" si="55"/>
        <v>0</v>
      </c>
      <c r="BE181">
        <f t="shared" si="55"/>
        <v>2.5000000000000001E-3</v>
      </c>
      <c r="BF181">
        <f t="shared" si="55"/>
        <v>0</v>
      </c>
      <c r="BG181">
        <f t="shared" si="55"/>
        <v>0</v>
      </c>
      <c r="BH181">
        <f t="shared" si="55"/>
        <v>5.0000000000000001E-4</v>
      </c>
      <c r="BI181">
        <f t="shared" si="55"/>
        <v>0</v>
      </c>
      <c r="BJ181">
        <f t="shared" si="55"/>
        <v>4.0000000000000001E-3</v>
      </c>
      <c r="BK181">
        <f t="shared" si="55"/>
        <v>1E-3</v>
      </c>
      <c r="BL181">
        <f t="shared" si="55"/>
        <v>0</v>
      </c>
      <c r="BM181">
        <f t="shared" si="55"/>
        <v>2.5000000000000001E-3</v>
      </c>
      <c r="BN181">
        <f t="shared" si="55"/>
        <v>5.0000000000000001E-4</v>
      </c>
      <c r="BO181">
        <f t="shared" si="55"/>
        <v>0</v>
      </c>
      <c r="BP181">
        <f t="shared" si="55"/>
        <v>0</v>
      </c>
      <c r="BQ181">
        <f t="shared" si="55"/>
        <v>2E-3</v>
      </c>
      <c r="BR181">
        <f t="shared" si="55"/>
        <v>3.0000000000000001E-3</v>
      </c>
      <c r="BS181">
        <f t="shared" si="55"/>
        <v>0</v>
      </c>
      <c r="BT181">
        <f t="shared" si="55"/>
        <v>0</v>
      </c>
      <c r="BU181">
        <f t="shared" ref="BU181:CZ181" si="56">AVERAGE(BU133,BU157)</f>
        <v>3.0000000000000001E-3</v>
      </c>
      <c r="BV181">
        <f t="shared" si="56"/>
        <v>0</v>
      </c>
      <c r="BW181">
        <f t="shared" si="56"/>
        <v>0</v>
      </c>
      <c r="BX181">
        <f t="shared" si="56"/>
        <v>1E-3</v>
      </c>
      <c r="BY181">
        <f t="shared" si="56"/>
        <v>4.0000000000000001E-3</v>
      </c>
      <c r="BZ181">
        <f t="shared" si="56"/>
        <v>3.5000000000000001E-3</v>
      </c>
      <c r="CA181">
        <f t="shared" si="56"/>
        <v>1E-3</v>
      </c>
      <c r="CB181">
        <f t="shared" si="56"/>
        <v>2.5000000000000001E-3</v>
      </c>
      <c r="CC181">
        <f t="shared" si="56"/>
        <v>1E-3</v>
      </c>
      <c r="CD181">
        <f t="shared" si="56"/>
        <v>0</v>
      </c>
      <c r="CE181">
        <f t="shared" si="56"/>
        <v>0</v>
      </c>
      <c r="CF181">
        <f t="shared" si="56"/>
        <v>1E-3</v>
      </c>
      <c r="CG181">
        <f t="shared" si="56"/>
        <v>1E-3</v>
      </c>
      <c r="CH181">
        <f t="shared" si="56"/>
        <v>0</v>
      </c>
      <c r="CI181">
        <f t="shared" si="56"/>
        <v>1E-3</v>
      </c>
      <c r="CJ181">
        <f t="shared" si="56"/>
        <v>0</v>
      </c>
      <c r="CK181">
        <f t="shared" si="56"/>
        <v>0</v>
      </c>
      <c r="CL181">
        <f t="shared" si="56"/>
        <v>0</v>
      </c>
      <c r="CM181">
        <f t="shared" si="56"/>
        <v>0</v>
      </c>
      <c r="CN181">
        <f t="shared" si="56"/>
        <v>0</v>
      </c>
      <c r="CO181">
        <f t="shared" si="56"/>
        <v>0</v>
      </c>
      <c r="CP181">
        <f t="shared" si="56"/>
        <v>0</v>
      </c>
      <c r="CQ181">
        <f t="shared" si="56"/>
        <v>2.5000000000000001E-3</v>
      </c>
      <c r="CR181">
        <f t="shared" si="56"/>
        <v>1E-3</v>
      </c>
      <c r="CS181">
        <f t="shared" si="56"/>
        <v>0</v>
      </c>
      <c r="CT181">
        <f t="shared" si="56"/>
        <v>5.0000000000000001E-4</v>
      </c>
      <c r="CU181">
        <f t="shared" si="56"/>
        <v>1E-3</v>
      </c>
      <c r="CV181">
        <f t="shared" si="56"/>
        <v>0</v>
      </c>
      <c r="CW181">
        <f t="shared" si="56"/>
        <v>0</v>
      </c>
      <c r="CX181">
        <f t="shared" si="56"/>
        <v>2E-3</v>
      </c>
      <c r="CY181">
        <f t="shared" si="56"/>
        <v>3.0000000000000001E-3</v>
      </c>
      <c r="CZ181">
        <f t="shared" si="56"/>
        <v>5.0000000000000001E-4</v>
      </c>
      <c r="DA181">
        <f t="shared" ref="DA181:DH181" si="57">AVERAGE(DA133,DA157)</f>
        <v>0</v>
      </c>
      <c r="DB181">
        <f t="shared" si="57"/>
        <v>0</v>
      </c>
      <c r="DC181">
        <f t="shared" si="57"/>
        <v>2E-3</v>
      </c>
      <c r="DD181">
        <f t="shared" si="57"/>
        <v>2E-3</v>
      </c>
      <c r="DE181">
        <f t="shared" si="57"/>
        <v>0</v>
      </c>
      <c r="DF181">
        <f t="shared" si="57"/>
        <v>0</v>
      </c>
      <c r="DG181">
        <f t="shared" si="57"/>
        <v>3.5000000000000001E-3</v>
      </c>
      <c r="DH181">
        <f t="shared" si="57"/>
        <v>0</v>
      </c>
      <c r="DI181"/>
      <c r="DJ181">
        <f t="shared" ref="DJ181:EO181" si="58">AVERAGE(DJ133,DJ157)</f>
        <v>2E-3</v>
      </c>
      <c r="DK181">
        <f t="shared" si="58"/>
        <v>0</v>
      </c>
      <c r="DL181">
        <f t="shared" si="58"/>
        <v>0</v>
      </c>
      <c r="DM181" t="e">
        <f t="shared" si="58"/>
        <v>#DIV/0!</v>
      </c>
      <c r="DN181">
        <f t="shared" si="58"/>
        <v>5.0000000000000001E-4</v>
      </c>
      <c r="DO181">
        <f t="shared" si="58"/>
        <v>0</v>
      </c>
      <c r="DP181">
        <f t="shared" si="58"/>
        <v>0</v>
      </c>
      <c r="DQ181">
        <f t="shared" si="58"/>
        <v>4.0000000000000001E-3</v>
      </c>
      <c r="DR181">
        <f t="shared" si="58"/>
        <v>1E-3</v>
      </c>
      <c r="DS181">
        <f t="shared" si="58"/>
        <v>1E-3</v>
      </c>
      <c r="DT181">
        <f t="shared" si="58"/>
        <v>1E-3</v>
      </c>
      <c r="DU181">
        <f t="shared" si="58"/>
        <v>0</v>
      </c>
      <c r="DV181" t="e">
        <f t="shared" si="58"/>
        <v>#DIV/0!</v>
      </c>
      <c r="DW181">
        <f t="shared" si="58"/>
        <v>0</v>
      </c>
      <c r="DX181">
        <f t="shared" si="58"/>
        <v>0</v>
      </c>
      <c r="DY181">
        <f t="shared" si="58"/>
        <v>2E-3</v>
      </c>
      <c r="DZ181">
        <f t="shared" si="58"/>
        <v>5.0000000000000001E-3</v>
      </c>
      <c r="EA181">
        <f t="shared" si="58"/>
        <v>0</v>
      </c>
      <c r="EB181">
        <f t="shared" si="58"/>
        <v>0</v>
      </c>
      <c r="EC181">
        <f t="shared" si="58"/>
        <v>1E-3</v>
      </c>
      <c r="ED181">
        <f t="shared" si="58"/>
        <v>0</v>
      </c>
      <c r="EE181">
        <f t="shared" si="58"/>
        <v>1E-3</v>
      </c>
      <c r="EF181">
        <f t="shared" si="58"/>
        <v>1E-3</v>
      </c>
      <c r="EG181">
        <f t="shared" si="58"/>
        <v>1E-3</v>
      </c>
      <c r="EH181">
        <f t="shared" si="58"/>
        <v>5.0000000000000001E-4</v>
      </c>
      <c r="EI181">
        <f t="shared" si="58"/>
        <v>0</v>
      </c>
      <c r="EJ181">
        <f t="shared" si="58"/>
        <v>0</v>
      </c>
      <c r="EK181">
        <f t="shared" si="58"/>
        <v>0</v>
      </c>
      <c r="EL181">
        <f t="shared" si="58"/>
        <v>0</v>
      </c>
      <c r="EM181">
        <f t="shared" si="58"/>
        <v>0</v>
      </c>
      <c r="EN181">
        <f t="shared" si="58"/>
        <v>0</v>
      </c>
      <c r="EO181">
        <f t="shared" si="58"/>
        <v>0</v>
      </c>
      <c r="EP181">
        <f t="shared" ref="EP181:FU181" si="59">AVERAGE(EP133,EP157)</f>
        <v>2.5000000000000001E-3</v>
      </c>
      <c r="EQ181">
        <f t="shared" si="59"/>
        <v>0</v>
      </c>
      <c r="ER181">
        <f t="shared" si="59"/>
        <v>5.0000000000000001E-4</v>
      </c>
      <c r="ES181">
        <f t="shared" si="59"/>
        <v>0</v>
      </c>
      <c r="ET181" t="e">
        <f t="shared" si="59"/>
        <v>#DIV/0!</v>
      </c>
      <c r="EU181">
        <f t="shared" si="59"/>
        <v>1E-3</v>
      </c>
      <c r="EV181">
        <f t="shared" si="59"/>
        <v>1E-3</v>
      </c>
      <c r="EW181">
        <f t="shared" si="59"/>
        <v>0</v>
      </c>
      <c r="EX181">
        <f t="shared" si="59"/>
        <v>0</v>
      </c>
      <c r="EY181">
        <f t="shared" si="59"/>
        <v>6.0000000000000001E-3</v>
      </c>
      <c r="EZ181">
        <f t="shared" si="59"/>
        <v>0</v>
      </c>
      <c r="FA181">
        <f t="shared" si="59"/>
        <v>0</v>
      </c>
      <c r="FB181">
        <f t="shared" si="59"/>
        <v>0</v>
      </c>
      <c r="FC181">
        <f t="shared" si="59"/>
        <v>1E-3</v>
      </c>
      <c r="FD181">
        <f t="shared" si="59"/>
        <v>4.0000000000000001E-3</v>
      </c>
      <c r="FE181">
        <f t="shared" si="59"/>
        <v>1E-3</v>
      </c>
      <c r="FF181">
        <f t="shared" si="59"/>
        <v>4.0000000000000001E-3</v>
      </c>
      <c r="FG181">
        <f t="shared" si="59"/>
        <v>0</v>
      </c>
      <c r="FH181">
        <f t="shared" si="59"/>
        <v>0</v>
      </c>
      <c r="FI181" t="e">
        <f t="shared" si="59"/>
        <v>#DIV/0!</v>
      </c>
      <c r="FJ181">
        <f t="shared" si="59"/>
        <v>2E-3</v>
      </c>
      <c r="FK181">
        <f t="shared" si="59"/>
        <v>1E-3</v>
      </c>
      <c r="FL181">
        <f t="shared" si="59"/>
        <v>2E-3</v>
      </c>
      <c r="FM181">
        <f t="shared" si="59"/>
        <v>0</v>
      </c>
      <c r="FN181">
        <f t="shared" si="59"/>
        <v>0</v>
      </c>
      <c r="FO181">
        <f t="shared" si="59"/>
        <v>2E-3</v>
      </c>
      <c r="FP181">
        <f t="shared" si="59"/>
        <v>1E-3</v>
      </c>
      <c r="FQ181">
        <f t="shared" si="59"/>
        <v>0</v>
      </c>
      <c r="FR181">
        <f t="shared" si="59"/>
        <v>0</v>
      </c>
      <c r="FS181">
        <f t="shared" si="59"/>
        <v>1E-3</v>
      </c>
      <c r="FT181">
        <f t="shared" si="59"/>
        <v>3.0000000000000001E-3</v>
      </c>
      <c r="FU181">
        <f t="shared" si="59"/>
        <v>0</v>
      </c>
      <c r="FV181">
        <f t="shared" ref="FV181:GM181" si="60">AVERAGE(FV133,FV157)</f>
        <v>5.0000000000000001E-4</v>
      </c>
      <c r="FW181">
        <f t="shared" si="60"/>
        <v>0</v>
      </c>
      <c r="FX181">
        <f t="shared" si="60"/>
        <v>1E-3</v>
      </c>
      <c r="FY181">
        <f t="shared" si="60"/>
        <v>1E-3</v>
      </c>
      <c r="FZ181">
        <f t="shared" si="60"/>
        <v>3.0000000000000001E-3</v>
      </c>
      <c r="GA181">
        <f t="shared" si="60"/>
        <v>0</v>
      </c>
      <c r="GB181">
        <f t="shared" si="60"/>
        <v>0</v>
      </c>
      <c r="GC181">
        <f t="shared" si="60"/>
        <v>0</v>
      </c>
      <c r="GD181">
        <f t="shared" si="60"/>
        <v>3.0000000000000001E-3</v>
      </c>
      <c r="GE181">
        <f t="shared" si="60"/>
        <v>0</v>
      </c>
      <c r="GF181">
        <f t="shared" si="60"/>
        <v>0</v>
      </c>
      <c r="GG181">
        <f t="shared" si="60"/>
        <v>1E-3</v>
      </c>
      <c r="GH181">
        <f t="shared" si="60"/>
        <v>5.0000000000000001E-4</v>
      </c>
      <c r="GI181">
        <f t="shared" si="60"/>
        <v>0</v>
      </c>
      <c r="GJ181">
        <f t="shared" si="60"/>
        <v>5.0000000000000001E-4</v>
      </c>
      <c r="GK181">
        <f t="shared" si="60"/>
        <v>1E-3</v>
      </c>
      <c r="GL181">
        <f t="shared" si="60"/>
        <v>2.5000000000000001E-3</v>
      </c>
      <c r="GM181">
        <f t="shared" si="60"/>
        <v>2.5000000000000001E-3</v>
      </c>
    </row>
    <row r="182" spans="7:195" ht="14.4" x14ac:dyDescent="0.3">
      <c r="G182">
        <v>5</v>
      </c>
      <c r="H182" t="s">
        <v>881</v>
      </c>
      <c r="I182">
        <f t="shared" ref="I182:AN182" si="61">AVERAGE(I134,I158)</f>
        <v>2E-3</v>
      </c>
      <c r="J182">
        <f t="shared" si="61"/>
        <v>0</v>
      </c>
      <c r="K182">
        <f t="shared" si="61"/>
        <v>5.0000000000000001E-4</v>
      </c>
      <c r="L182">
        <f t="shared" si="61"/>
        <v>3.0000000000000001E-3</v>
      </c>
      <c r="M182">
        <f t="shared" si="61"/>
        <v>0</v>
      </c>
      <c r="N182">
        <f t="shared" si="61"/>
        <v>0</v>
      </c>
      <c r="O182">
        <f t="shared" si="61"/>
        <v>0</v>
      </c>
      <c r="P182">
        <f t="shared" si="61"/>
        <v>0</v>
      </c>
      <c r="Q182">
        <f t="shared" si="61"/>
        <v>0</v>
      </c>
      <c r="R182">
        <f t="shared" si="61"/>
        <v>0</v>
      </c>
      <c r="S182">
        <f t="shared" si="61"/>
        <v>0</v>
      </c>
      <c r="T182">
        <f t="shared" si="61"/>
        <v>0</v>
      </c>
      <c r="U182">
        <f t="shared" si="61"/>
        <v>5.0000000000000001E-4</v>
      </c>
      <c r="V182">
        <f t="shared" si="61"/>
        <v>0</v>
      </c>
      <c r="W182">
        <f t="shared" si="61"/>
        <v>0</v>
      </c>
      <c r="X182">
        <f t="shared" si="61"/>
        <v>0</v>
      </c>
      <c r="Y182">
        <f t="shared" si="61"/>
        <v>5.0000000000000001E-4</v>
      </c>
      <c r="Z182">
        <f t="shared" si="61"/>
        <v>2E-3</v>
      </c>
      <c r="AA182">
        <f t="shared" si="61"/>
        <v>1E-3</v>
      </c>
      <c r="AB182">
        <f t="shared" si="61"/>
        <v>1E-3</v>
      </c>
      <c r="AC182">
        <f t="shared" si="61"/>
        <v>0</v>
      </c>
      <c r="AD182">
        <f t="shared" si="61"/>
        <v>1E-3</v>
      </c>
      <c r="AE182">
        <f t="shared" si="61"/>
        <v>0</v>
      </c>
      <c r="AF182">
        <f t="shared" si="61"/>
        <v>0</v>
      </c>
      <c r="AG182">
        <f t="shared" si="61"/>
        <v>0</v>
      </c>
      <c r="AH182">
        <f t="shared" si="61"/>
        <v>2E-3</v>
      </c>
      <c r="AI182">
        <f t="shared" si="61"/>
        <v>2.5000000000000001E-3</v>
      </c>
      <c r="AJ182">
        <f t="shared" si="61"/>
        <v>0</v>
      </c>
      <c r="AK182">
        <f t="shared" si="61"/>
        <v>1.5E-3</v>
      </c>
      <c r="AL182">
        <f t="shared" si="61"/>
        <v>2E-3</v>
      </c>
      <c r="AM182">
        <f t="shared" si="61"/>
        <v>0</v>
      </c>
      <c r="AN182">
        <f t="shared" si="61"/>
        <v>3.0000000000000001E-3</v>
      </c>
      <c r="AO182">
        <f t="shared" ref="AO182:BT182" si="62">AVERAGE(AO134,AO158)</f>
        <v>3.0000000000000001E-3</v>
      </c>
      <c r="AP182">
        <f t="shared" si="62"/>
        <v>0</v>
      </c>
      <c r="AQ182">
        <f t="shared" si="62"/>
        <v>0</v>
      </c>
      <c r="AR182">
        <f t="shared" si="62"/>
        <v>5.0000000000000001E-4</v>
      </c>
      <c r="AS182" t="e">
        <f t="shared" si="62"/>
        <v>#DIV/0!</v>
      </c>
      <c r="AT182">
        <f t="shared" si="62"/>
        <v>1.5E-3</v>
      </c>
      <c r="AU182">
        <f t="shared" si="62"/>
        <v>0</v>
      </c>
      <c r="AV182">
        <f t="shared" si="62"/>
        <v>4.0000000000000001E-3</v>
      </c>
      <c r="AW182">
        <f t="shared" si="62"/>
        <v>0</v>
      </c>
      <c r="AX182">
        <f t="shared" si="62"/>
        <v>0</v>
      </c>
      <c r="AY182" t="e">
        <f t="shared" si="62"/>
        <v>#DIV/0!</v>
      </c>
      <c r="AZ182">
        <f t="shared" si="62"/>
        <v>0</v>
      </c>
      <c r="BA182">
        <f t="shared" si="62"/>
        <v>0</v>
      </c>
      <c r="BB182">
        <f t="shared" si="62"/>
        <v>1E-3</v>
      </c>
      <c r="BC182">
        <f t="shared" si="62"/>
        <v>2E-3</v>
      </c>
      <c r="BD182">
        <f t="shared" si="62"/>
        <v>0</v>
      </c>
      <c r="BE182">
        <f t="shared" si="62"/>
        <v>2E-3</v>
      </c>
      <c r="BF182">
        <f t="shared" si="62"/>
        <v>0</v>
      </c>
      <c r="BG182">
        <f t="shared" si="62"/>
        <v>5.0000000000000001E-4</v>
      </c>
      <c r="BH182">
        <f t="shared" si="62"/>
        <v>5.0000000000000001E-4</v>
      </c>
      <c r="BI182">
        <f t="shared" si="62"/>
        <v>5.0000000000000001E-4</v>
      </c>
      <c r="BJ182">
        <f t="shared" si="62"/>
        <v>2E-3</v>
      </c>
      <c r="BK182">
        <f t="shared" si="62"/>
        <v>1E-3</v>
      </c>
      <c r="BL182">
        <f t="shared" si="62"/>
        <v>0</v>
      </c>
      <c r="BM182">
        <f t="shared" si="62"/>
        <v>1.5E-3</v>
      </c>
      <c r="BN182">
        <f t="shared" si="62"/>
        <v>0</v>
      </c>
      <c r="BO182">
        <f t="shared" si="62"/>
        <v>0</v>
      </c>
      <c r="BP182">
        <f t="shared" si="62"/>
        <v>0</v>
      </c>
      <c r="BQ182">
        <f t="shared" si="62"/>
        <v>1E-3</v>
      </c>
      <c r="BR182">
        <f t="shared" si="62"/>
        <v>2E-3</v>
      </c>
      <c r="BS182">
        <f t="shared" si="62"/>
        <v>0</v>
      </c>
      <c r="BT182">
        <f t="shared" si="62"/>
        <v>0</v>
      </c>
      <c r="BU182">
        <f t="shared" ref="BU182:CZ182" si="63">AVERAGE(BU134,BU158)</f>
        <v>2E-3</v>
      </c>
      <c r="BV182">
        <f t="shared" si="63"/>
        <v>0</v>
      </c>
      <c r="BW182">
        <f t="shared" si="63"/>
        <v>0</v>
      </c>
      <c r="BX182">
        <f t="shared" si="63"/>
        <v>5.0000000000000001E-4</v>
      </c>
      <c r="BY182">
        <f t="shared" si="63"/>
        <v>2E-3</v>
      </c>
      <c r="BZ182">
        <f t="shared" si="63"/>
        <v>2E-3</v>
      </c>
      <c r="CA182">
        <f t="shared" si="63"/>
        <v>1E-3</v>
      </c>
      <c r="CB182">
        <f t="shared" si="63"/>
        <v>1.5E-3</v>
      </c>
      <c r="CC182">
        <f t="shared" si="63"/>
        <v>1E-3</v>
      </c>
      <c r="CD182">
        <f t="shared" si="63"/>
        <v>0</v>
      </c>
      <c r="CE182">
        <f t="shared" si="63"/>
        <v>0</v>
      </c>
      <c r="CF182">
        <f t="shared" si="63"/>
        <v>1E-3</v>
      </c>
      <c r="CG182">
        <f t="shared" si="63"/>
        <v>1E-3</v>
      </c>
      <c r="CH182">
        <f t="shared" si="63"/>
        <v>0</v>
      </c>
      <c r="CI182">
        <f t="shared" si="63"/>
        <v>1E-3</v>
      </c>
      <c r="CJ182">
        <f t="shared" si="63"/>
        <v>0</v>
      </c>
      <c r="CK182">
        <f t="shared" si="63"/>
        <v>0</v>
      </c>
      <c r="CL182">
        <f t="shared" si="63"/>
        <v>0</v>
      </c>
      <c r="CM182">
        <f t="shared" si="63"/>
        <v>0</v>
      </c>
      <c r="CN182">
        <f t="shared" si="63"/>
        <v>0</v>
      </c>
      <c r="CO182">
        <f t="shared" si="63"/>
        <v>0</v>
      </c>
      <c r="CP182">
        <f t="shared" si="63"/>
        <v>0</v>
      </c>
      <c r="CQ182">
        <f t="shared" si="63"/>
        <v>2E-3</v>
      </c>
      <c r="CR182">
        <f t="shared" si="63"/>
        <v>1E-3</v>
      </c>
      <c r="CS182">
        <f t="shared" si="63"/>
        <v>0</v>
      </c>
      <c r="CT182">
        <f t="shared" si="63"/>
        <v>0</v>
      </c>
      <c r="CU182">
        <f t="shared" si="63"/>
        <v>1E-3</v>
      </c>
      <c r="CV182">
        <f t="shared" si="63"/>
        <v>0</v>
      </c>
      <c r="CW182">
        <f t="shared" si="63"/>
        <v>0</v>
      </c>
      <c r="CX182">
        <f t="shared" si="63"/>
        <v>1.5E-3</v>
      </c>
      <c r="CY182">
        <f t="shared" si="63"/>
        <v>2E-3</v>
      </c>
      <c r="CZ182">
        <f t="shared" si="63"/>
        <v>5.0000000000000001E-4</v>
      </c>
      <c r="DA182">
        <f t="shared" ref="DA182:DH182" si="64">AVERAGE(DA134,DA158)</f>
        <v>0</v>
      </c>
      <c r="DB182">
        <f t="shared" si="64"/>
        <v>0</v>
      </c>
      <c r="DC182">
        <f t="shared" si="64"/>
        <v>1.5E-3</v>
      </c>
      <c r="DD182">
        <f t="shared" si="64"/>
        <v>2E-3</v>
      </c>
      <c r="DE182">
        <f t="shared" si="64"/>
        <v>0</v>
      </c>
      <c r="DF182">
        <f t="shared" si="64"/>
        <v>0</v>
      </c>
      <c r="DG182">
        <f t="shared" si="64"/>
        <v>2E-3</v>
      </c>
      <c r="DH182">
        <f t="shared" si="64"/>
        <v>0</v>
      </c>
      <c r="DI182"/>
      <c r="DJ182">
        <f t="shared" ref="DJ182:EO182" si="65">AVERAGE(DJ134,DJ158)</f>
        <v>1E-3</v>
      </c>
      <c r="DK182">
        <f t="shared" si="65"/>
        <v>0</v>
      </c>
      <c r="DL182">
        <f t="shared" si="65"/>
        <v>0</v>
      </c>
      <c r="DM182" t="e">
        <f t="shared" si="65"/>
        <v>#DIV/0!</v>
      </c>
      <c r="DN182">
        <f t="shared" si="65"/>
        <v>5.0000000000000001E-4</v>
      </c>
      <c r="DO182">
        <f t="shared" si="65"/>
        <v>0</v>
      </c>
      <c r="DP182">
        <f t="shared" si="65"/>
        <v>0</v>
      </c>
      <c r="DQ182">
        <f t="shared" si="65"/>
        <v>2.5000000000000001E-3</v>
      </c>
      <c r="DR182">
        <f t="shared" si="65"/>
        <v>1E-3</v>
      </c>
      <c r="DS182">
        <f t="shared" si="65"/>
        <v>1E-3</v>
      </c>
      <c r="DT182">
        <f t="shared" si="65"/>
        <v>1E-3</v>
      </c>
      <c r="DU182">
        <f t="shared" si="65"/>
        <v>0</v>
      </c>
      <c r="DV182" t="e">
        <f t="shared" si="65"/>
        <v>#DIV/0!</v>
      </c>
      <c r="DW182">
        <f t="shared" si="65"/>
        <v>0</v>
      </c>
      <c r="DX182">
        <f t="shared" si="65"/>
        <v>0</v>
      </c>
      <c r="DY182">
        <f t="shared" si="65"/>
        <v>1E-3</v>
      </c>
      <c r="DZ182">
        <f t="shared" si="65"/>
        <v>3.0000000000000001E-3</v>
      </c>
      <c r="EA182">
        <f t="shared" si="65"/>
        <v>0</v>
      </c>
      <c r="EB182">
        <f t="shared" si="65"/>
        <v>0</v>
      </c>
      <c r="EC182">
        <f t="shared" si="65"/>
        <v>1E-3</v>
      </c>
      <c r="ED182">
        <f t="shared" si="65"/>
        <v>5.0000000000000001E-4</v>
      </c>
      <c r="EE182">
        <f t="shared" si="65"/>
        <v>1E-3</v>
      </c>
      <c r="EF182">
        <f t="shared" si="65"/>
        <v>0</v>
      </c>
      <c r="EG182">
        <f t="shared" si="65"/>
        <v>5.0000000000000001E-4</v>
      </c>
      <c r="EH182">
        <f t="shared" si="65"/>
        <v>5.0000000000000001E-4</v>
      </c>
      <c r="EI182">
        <f t="shared" si="65"/>
        <v>0</v>
      </c>
      <c r="EJ182">
        <f t="shared" si="65"/>
        <v>0</v>
      </c>
      <c r="EK182">
        <f t="shared" si="65"/>
        <v>0</v>
      </c>
      <c r="EL182">
        <f t="shared" si="65"/>
        <v>0</v>
      </c>
      <c r="EM182">
        <f t="shared" si="65"/>
        <v>0</v>
      </c>
      <c r="EN182">
        <f t="shared" si="65"/>
        <v>0</v>
      </c>
      <c r="EO182">
        <f t="shared" si="65"/>
        <v>0</v>
      </c>
      <c r="EP182">
        <f t="shared" ref="EP182:FU182" si="66">AVERAGE(EP134,EP158)</f>
        <v>1.5E-3</v>
      </c>
      <c r="EQ182">
        <f t="shared" si="66"/>
        <v>5.0000000000000001E-4</v>
      </c>
      <c r="ER182">
        <f t="shared" si="66"/>
        <v>0</v>
      </c>
      <c r="ES182">
        <f t="shared" si="66"/>
        <v>0</v>
      </c>
      <c r="ET182" t="e">
        <f t="shared" si="66"/>
        <v>#DIV/0!</v>
      </c>
      <c r="EU182">
        <f t="shared" si="66"/>
        <v>5.0000000000000001E-4</v>
      </c>
      <c r="EV182">
        <f t="shared" si="66"/>
        <v>1E-3</v>
      </c>
      <c r="EW182">
        <f t="shared" si="66"/>
        <v>0</v>
      </c>
      <c r="EX182">
        <f t="shared" si="66"/>
        <v>0</v>
      </c>
      <c r="EY182">
        <f t="shared" si="66"/>
        <v>3.0000000000000001E-3</v>
      </c>
      <c r="EZ182">
        <f t="shared" si="66"/>
        <v>0</v>
      </c>
      <c r="FA182">
        <f t="shared" si="66"/>
        <v>0</v>
      </c>
      <c r="FB182">
        <f t="shared" si="66"/>
        <v>0</v>
      </c>
      <c r="FC182">
        <f t="shared" si="66"/>
        <v>1E-3</v>
      </c>
      <c r="FD182">
        <f t="shared" si="66"/>
        <v>3.0000000000000001E-3</v>
      </c>
      <c r="FE182">
        <f t="shared" si="66"/>
        <v>1E-3</v>
      </c>
      <c r="FF182">
        <f t="shared" si="66"/>
        <v>3.0000000000000001E-3</v>
      </c>
      <c r="FG182">
        <f t="shared" si="66"/>
        <v>0</v>
      </c>
      <c r="FH182">
        <f t="shared" si="66"/>
        <v>0</v>
      </c>
      <c r="FI182" t="e">
        <f t="shared" si="66"/>
        <v>#DIV/0!</v>
      </c>
      <c r="FJ182">
        <f t="shared" si="66"/>
        <v>2E-3</v>
      </c>
      <c r="FK182">
        <f t="shared" si="66"/>
        <v>0</v>
      </c>
      <c r="FL182">
        <f t="shared" si="66"/>
        <v>1.5E-3</v>
      </c>
      <c r="FM182">
        <f t="shared" si="66"/>
        <v>0</v>
      </c>
      <c r="FN182">
        <f t="shared" si="66"/>
        <v>0</v>
      </c>
      <c r="FO182">
        <f t="shared" si="66"/>
        <v>2.5000000000000001E-3</v>
      </c>
      <c r="FP182">
        <f t="shared" si="66"/>
        <v>5.0000000000000001E-4</v>
      </c>
      <c r="FQ182">
        <f t="shared" si="66"/>
        <v>0</v>
      </c>
      <c r="FR182">
        <f t="shared" si="66"/>
        <v>0</v>
      </c>
      <c r="FS182">
        <f t="shared" si="66"/>
        <v>1E-3</v>
      </c>
      <c r="FT182">
        <f t="shared" si="66"/>
        <v>2E-3</v>
      </c>
      <c r="FU182">
        <f t="shared" si="66"/>
        <v>0</v>
      </c>
      <c r="FV182">
        <f t="shared" ref="FV182:GM182" si="67">AVERAGE(FV134,FV158)</f>
        <v>5.0000000000000001E-4</v>
      </c>
      <c r="FW182">
        <f t="shared" si="67"/>
        <v>0</v>
      </c>
      <c r="FX182">
        <f t="shared" si="67"/>
        <v>1E-3</v>
      </c>
      <c r="FY182">
        <f t="shared" si="67"/>
        <v>5.0000000000000001E-4</v>
      </c>
      <c r="FZ182">
        <f t="shared" si="67"/>
        <v>2E-3</v>
      </c>
      <c r="GA182">
        <f t="shared" si="67"/>
        <v>0</v>
      </c>
      <c r="GB182">
        <f t="shared" si="67"/>
        <v>0</v>
      </c>
      <c r="GC182">
        <f t="shared" si="67"/>
        <v>0</v>
      </c>
      <c r="GD182">
        <f t="shared" si="67"/>
        <v>2E-3</v>
      </c>
      <c r="GE182">
        <f t="shared" si="67"/>
        <v>0</v>
      </c>
      <c r="GF182">
        <f t="shared" si="67"/>
        <v>0</v>
      </c>
      <c r="GG182">
        <f t="shared" si="67"/>
        <v>5.0000000000000001E-4</v>
      </c>
      <c r="GH182">
        <f t="shared" si="67"/>
        <v>0</v>
      </c>
      <c r="GI182">
        <f t="shared" si="67"/>
        <v>0</v>
      </c>
      <c r="GJ182">
        <f t="shared" si="67"/>
        <v>5.0000000000000001E-4</v>
      </c>
      <c r="GK182">
        <f t="shared" si="67"/>
        <v>1E-3</v>
      </c>
      <c r="GL182">
        <f t="shared" si="67"/>
        <v>2E-3</v>
      </c>
      <c r="GM182">
        <f t="shared" si="67"/>
        <v>2E-3</v>
      </c>
    </row>
    <row r="183" spans="7:195" ht="14.4" x14ac:dyDescent="0.3">
      <c r="G183">
        <v>6</v>
      </c>
      <c r="H183" t="s">
        <v>882</v>
      </c>
      <c r="I183">
        <f t="shared" ref="I183:AN183" si="68">AVERAGE(I135,I159)</f>
        <v>2.5000000000000001E-3</v>
      </c>
      <c r="J183">
        <f t="shared" si="68"/>
        <v>0</v>
      </c>
      <c r="K183">
        <f t="shared" si="68"/>
        <v>5.0000000000000001E-4</v>
      </c>
      <c r="L183">
        <f t="shared" si="68"/>
        <v>3.5000000000000001E-3</v>
      </c>
      <c r="M183">
        <f t="shared" si="68"/>
        <v>5.0000000000000001E-4</v>
      </c>
      <c r="N183">
        <f t="shared" si="68"/>
        <v>5.0000000000000001E-4</v>
      </c>
      <c r="O183">
        <f t="shared" si="68"/>
        <v>5.0000000000000001E-4</v>
      </c>
      <c r="P183">
        <f t="shared" si="68"/>
        <v>0</v>
      </c>
      <c r="Q183">
        <f t="shared" si="68"/>
        <v>0</v>
      </c>
      <c r="R183">
        <f t="shared" si="68"/>
        <v>5.0000000000000001E-4</v>
      </c>
      <c r="S183">
        <f t="shared" si="68"/>
        <v>5.0000000000000001E-4</v>
      </c>
      <c r="T183">
        <f t="shared" si="68"/>
        <v>5.0000000000000001E-4</v>
      </c>
      <c r="U183">
        <f t="shared" si="68"/>
        <v>1E-3</v>
      </c>
      <c r="V183">
        <f t="shared" si="68"/>
        <v>5.0000000000000001E-4</v>
      </c>
      <c r="W183">
        <f t="shared" si="68"/>
        <v>5.0000000000000001E-4</v>
      </c>
      <c r="X183">
        <f t="shared" si="68"/>
        <v>0</v>
      </c>
      <c r="Y183">
        <f t="shared" si="68"/>
        <v>1.5E-3</v>
      </c>
      <c r="Z183">
        <f t="shared" si="68"/>
        <v>2E-3</v>
      </c>
      <c r="AA183">
        <f t="shared" si="68"/>
        <v>1E-3</v>
      </c>
      <c r="AB183">
        <f t="shared" si="68"/>
        <v>1.5E-3</v>
      </c>
      <c r="AC183">
        <f t="shared" si="68"/>
        <v>0</v>
      </c>
      <c r="AD183">
        <f t="shared" si="68"/>
        <v>1.5E-3</v>
      </c>
      <c r="AE183">
        <f t="shared" si="68"/>
        <v>1.5E-3</v>
      </c>
      <c r="AF183">
        <f t="shared" si="68"/>
        <v>0</v>
      </c>
      <c r="AG183">
        <f t="shared" si="68"/>
        <v>5.0000000000000001E-4</v>
      </c>
      <c r="AH183">
        <f t="shared" si="68"/>
        <v>2.5000000000000001E-3</v>
      </c>
      <c r="AI183">
        <f t="shared" si="68"/>
        <v>3.0000000000000001E-3</v>
      </c>
      <c r="AJ183">
        <f t="shared" si="68"/>
        <v>5.0000000000000001E-4</v>
      </c>
      <c r="AK183">
        <f t="shared" si="68"/>
        <v>1E-3</v>
      </c>
      <c r="AL183">
        <f t="shared" si="68"/>
        <v>3.0000000000000001E-3</v>
      </c>
      <c r="AM183">
        <f t="shared" si="68"/>
        <v>0</v>
      </c>
      <c r="AN183">
        <f t="shared" si="68"/>
        <v>3.5000000000000001E-3</v>
      </c>
      <c r="AO183">
        <f t="shared" ref="AO183:BT183" si="69">AVERAGE(AO135,AO159)</f>
        <v>4.0000000000000001E-3</v>
      </c>
      <c r="AP183">
        <f t="shared" si="69"/>
        <v>5.0000000000000001E-4</v>
      </c>
      <c r="AQ183">
        <f t="shared" si="69"/>
        <v>0</v>
      </c>
      <c r="AR183">
        <f t="shared" si="69"/>
        <v>2E-3</v>
      </c>
      <c r="AS183" t="e">
        <f t="shared" si="69"/>
        <v>#DIV/0!</v>
      </c>
      <c r="AT183">
        <f t="shared" si="69"/>
        <v>2.5000000000000001E-3</v>
      </c>
      <c r="AU183">
        <f t="shared" si="69"/>
        <v>5.0000000000000001E-4</v>
      </c>
      <c r="AV183">
        <f t="shared" si="69"/>
        <v>5.0000000000000001E-3</v>
      </c>
      <c r="AW183">
        <f t="shared" si="69"/>
        <v>0</v>
      </c>
      <c r="AX183">
        <f t="shared" si="69"/>
        <v>0</v>
      </c>
      <c r="AY183" t="e">
        <f t="shared" si="69"/>
        <v>#DIV/0!</v>
      </c>
      <c r="AZ183">
        <f t="shared" si="69"/>
        <v>0</v>
      </c>
      <c r="BA183">
        <f t="shared" si="69"/>
        <v>0</v>
      </c>
      <c r="BB183">
        <f t="shared" si="69"/>
        <v>1E-3</v>
      </c>
      <c r="BC183">
        <f t="shared" si="69"/>
        <v>3.0000000000000001E-3</v>
      </c>
      <c r="BD183">
        <f t="shared" si="69"/>
        <v>0</v>
      </c>
      <c r="BE183">
        <f t="shared" si="69"/>
        <v>2.5000000000000001E-3</v>
      </c>
      <c r="BF183">
        <f t="shared" si="69"/>
        <v>1E-3</v>
      </c>
      <c r="BG183">
        <f t="shared" si="69"/>
        <v>1.5E-3</v>
      </c>
      <c r="BH183">
        <f t="shared" si="69"/>
        <v>5.0000000000000001E-4</v>
      </c>
      <c r="BI183">
        <f t="shared" si="69"/>
        <v>2E-3</v>
      </c>
      <c r="BJ183">
        <f t="shared" si="69"/>
        <v>2.5000000000000001E-3</v>
      </c>
      <c r="BK183">
        <f t="shared" si="69"/>
        <v>1E-3</v>
      </c>
      <c r="BL183">
        <f t="shared" si="69"/>
        <v>0</v>
      </c>
      <c r="BM183">
        <f t="shared" si="69"/>
        <v>2.5000000000000001E-3</v>
      </c>
      <c r="BN183">
        <f t="shared" si="69"/>
        <v>1E-3</v>
      </c>
      <c r="BO183">
        <f t="shared" si="69"/>
        <v>0</v>
      </c>
      <c r="BP183">
        <f t="shared" si="69"/>
        <v>0</v>
      </c>
      <c r="BQ183">
        <f t="shared" si="69"/>
        <v>1.5E-3</v>
      </c>
      <c r="BR183">
        <f t="shared" si="69"/>
        <v>3.0000000000000001E-3</v>
      </c>
      <c r="BS183">
        <f t="shared" si="69"/>
        <v>5.0000000000000001E-4</v>
      </c>
      <c r="BT183">
        <f t="shared" si="69"/>
        <v>0</v>
      </c>
      <c r="BU183">
        <f t="shared" ref="BU183:CZ183" si="70">AVERAGE(BU135,BU159)</f>
        <v>2.5000000000000001E-3</v>
      </c>
      <c r="BV183">
        <f t="shared" si="70"/>
        <v>0</v>
      </c>
      <c r="BW183">
        <f t="shared" si="70"/>
        <v>0</v>
      </c>
      <c r="BX183">
        <f t="shared" si="70"/>
        <v>1.5E-3</v>
      </c>
      <c r="BY183">
        <f t="shared" si="70"/>
        <v>3.0000000000000001E-3</v>
      </c>
      <c r="BZ183">
        <f t="shared" si="70"/>
        <v>3.0000000000000001E-3</v>
      </c>
      <c r="CA183">
        <f t="shared" si="70"/>
        <v>1E-3</v>
      </c>
      <c r="CB183">
        <f t="shared" si="70"/>
        <v>2.5000000000000001E-3</v>
      </c>
      <c r="CC183">
        <f t="shared" si="70"/>
        <v>1E-3</v>
      </c>
      <c r="CD183">
        <f t="shared" si="70"/>
        <v>0</v>
      </c>
      <c r="CE183">
        <f t="shared" si="70"/>
        <v>0</v>
      </c>
      <c r="CF183">
        <f t="shared" si="70"/>
        <v>1E-3</v>
      </c>
      <c r="CG183">
        <f t="shared" si="70"/>
        <v>1E-3</v>
      </c>
      <c r="CH183">
        <f t="shared" si="70"/>
        <v>5.0000000000000001E-4</v>
      </c>
      <c r="CI183">
        <f t="shared" si="70"/>
        <v>1.5E-3</v>
      </c>
      <c r="CJ183">
        <f t="shared" si="70"/>
        <v>0</v>
      </c>
      <c r="CK183">
        <f t="shared" si="70"/>
        <v>0</v>
      </c>
      <c r="CL183">
        <f t="shared" si="70"/>
        <v>0</v>
      </c>
      <c r="CM183">
        <f t="shared" si="70"/>
        <v>5.0000000000000001E-4</v>
      </c>
      <c r="CN183">
        <f t="shared" si="70"/>
        <v>0</v>
      </c>
      <c r="CO183">
        <f t="shared" si="70"/>
        <v>5.0000000000000001E-4</v>
      </c>
      <c r="CP183">
        <f t="shared" si="70"/>
        <v>5.0000000000000001E-4</v>
      </c>
      <c r="CQ183">
        <f t="shared" si="70"/>
        <v>2.5000000000000001E-3</v>
      </c>
      <c r="CR183">
        <f t="shared" si="70"/>
        <v>1.5E-3</v>
      </c>
      <c r="CS183">
        <f t="shared" si="70"/>
        <v>5.0000000000000001E-4</v>
      </c>
      <c r="CT183">
        <f t="shared" si="70"/>
        <v>5.0000000000000001E-4</v>
      </c>
      <c r="CU183">
        <f t="shared" si="70"/>
        <v>1E-3</v>
      </c>
      <c r="CV183">
        <f t="shared" si="70"/>
        <v>5.0000000000000001E-4</v>
      </c>
      <c r="CW183">
        <f t="shared" si="70"/>
        <v>5.0000000000000001E-4</v>
      </c>
      <c r="CX183">
        <f t="shared" si="70"/>
        <v>2.5000000000000001E-3</v>
      </c>
      <c r="CY183">
        <f t="shared" si="70"/>
        <v>2.5000000000000001E-3</v>
      </c>
      <c r="CZ183">
        <f t="shared" si="70"/>
        <v>5.0000000000000001E-4</v>
      </c>
      <c r="DA183">
        <f t="shared" ref="DA183:DH183" si="71">AVERAGE(DA135,DA159)</f>
        <v>5.0000000000000001E-4</v>
      </c>
      <c r="DB183">
        <f t="shared" si="71"/>
        <v>0</v>
      </c>
      <c r="DC183">
        <f t="shared" si="71"/>
        <v>2E-3</v>
      </c>
      <c r="DD183">
        <f t="shared" si="71"/>
        <v>2E-3</v>
      </c>
      <c r="DE183">
        <f t="shared" si="71"/>
        <v>5.0000000000000001E-4</v>
      </c>
      <c r="DF183">
        <f t="shared" si="71"/>
        <v>0</v>
      </c>
      <c r="DG183">
        <f t="shared" si="71"/>
        <v>3.0000000000000001E-3</v>
      </c>
      <c r="DH183">
        <f t="shared" si="71"/>
        <v>0</v>
      </c>
      <c r="DI183"/>
      <c r="DJ183">
        <f t="shared" ref="DJ183:EO183" si="72">AVERAGE(DJ135,DJ159)</f>
        <v>2E-3</v>
      </c>
      <c r="DK183">
        <f t="shared" si="72"/>
        <v>5.0000000000000001E-4</v>
      </c>
      <c r="DL183">
        <f t="shared" si="72"/>
        <v>5.0000000000000001E-4</v>
      </c>
      <c r="DM183" t="e">
        <f t="shared" si="72"/>
        <v>#DIV/0!</v>
      </c>
      <c r="DN183">
        <f t="shared" si="72"/>
        <v>5.0000000000000001E-4</v>
      </c>
      <c r="DO183">
        <f t="shared" si="72"/>
        <v>0</v>
      </c>
      <c r="DP183">
        <f t="shared" si="72"/>
        <v>0</v>
      </c>
      <c r="DQ183">
        <f t="shared" si="72"/>
        <v>3.0000000000000001E-3</v>
      </c>
      <c r="DR183">
        <f t="shared" si="72"/>
        <v>1.5E-3</v>
      </c>
      <c r="DS183">
        <f t="shared" si="72"/>
        <v>1E-3</v>
      </c>
      <c r="DT183">
        <f t="shared" si="72"/>
        <v>1E-3</v>
      </c>
      <c r="DU183">
        <f t="shared" si="72"/>
        <v>0</v>
      </c>
      <c r="DV183" t="e">
        <f t="shared" si="72"/>
        <v>#DIV/0!</v>
      </c>
      <c r="DW183">
        <f t="shared" si="72"/>
        <v>5.0000000000000001E-4</v>
      </c>
      <c r="DX183">
        <f t="shared" si="72"/>
        <v>1E-3</v>
      </c>
      <c r="DY183">
        <f t="shared" si="72"/>
        <v>2E-3</v>
      </c>
      <c r="DZ183">
        <f t="shared" si="72"/>
        <v>4.0000000000000001E-3</v>
      </c>
      <c r="EA183">
        <f t="shared" si="72"/>
        <v>0</v>
      </c>
      <c r="EB183">
        <f t="shared" si="72"/>
        <v>5.0000000000000001E-4</v>
      </c>
      <c r="EC183">
        <f t="shared" si="72"/>
        <v>1E-3</v>
      </c>
      <c r="ED183">
        <f t="shared" si="72"/>
        <v>1.5E-3</v>
      </c>
      <c r="EE183">
        <f t="shared" si="72"/>
        <v>1.5E-3</v>
      </c>
      <c r="EF183">
        <f t="shared" si="72"/>
        <v>1E-3</v>
      </c>
      <c r="EG183">
        <f t="shared" si="72"/>
        <v>1E-3</v>
      </c>
      <c r="EH183">
        <f t="shared" si="72"/>
        <v>1E-3</v>
      </c>
      <c r="EI183">
        <f t="shared" si="72"/>
        <v>5.0000000000000001E-4</v>
      </c>
      <c r="EJ183">
        <f t="shared" si="72"/>
        <v>0</v>
      </c>
      <c r="EK183">
        <f t="shared" si="72"/>
        <v>5.0000000000000001E-4</v>
      </c>
      <c r="EL183">
        <f t="shared" si="72"/>
        <v>0</v>
      </c>
      <c r="EM183">
        <f t="shared" si="72"/>
        <v>5.0000000000000001E-4</v>
      </c>
      <c r="EN183">
        <f t="shared" si="72"/>
        <v>5.0000000000000001E-4</v>
      </c>
      <c r="EO183">
        <f t="shared" si="72"/>
        <v>5.0000000000000001E-4</v>
      </c>
      <c r="EP183">
        <f t="shared" ref="EP183:FU183" si="73">AVERAGE(EP135,EP159)</f>
        <v>2E-3</v>
      </c>
      <c r="EQ183">
        <f t="shared" si="73"/>
        <v>1E-3</v>
      </c>
      <c r="ER183">
        <f t="shared" si="73"/>
        <v>5.0000000000000001E-4</v>
      </c>
      <c r="ES183">
        <f t="shared" si="73"/>
        <v>0</v>
      </c>
      <c r="ET183" t="e">
        <f t="shared" si="73"/>
        <v>#DIV/0!</v>
      </c>
      <c r="EU183">
        <f t="shared" si="73"/>
        <v>5.0000000000000001E-4</v>
      </c>
      <c r="EV183">
        <f t="shared" si="73"/>
        <v>1.5E-3</v>
      </c>
      <c r="EW183">
        <f t="shared" si="73"/>
        <v>0</v>
      </c>
      <c r="EX183">
        <f t="shared" si="73"/>
        <v>0</v>
      </c>
      <c r="EY183">
        <f t="shared" si="73"/>
        <v>5.0000000000000001E-3</v>
      </c>
      <c r="EZ183">
        <f t="shared" si="73"/>
        <v>0</v>
      </c>
      <c r="FA183">
        <f t="shared" si="73"/>
        <v>0</v>
      </c>
      <c r="FB183">
        <f t="shared" si="73"/>
        <v>0</v>
      </c>
      <c r="FC183">
        <f t="shared" si="73"/>
        <v>1E-3</v>
      </c>
      <c r="FD183">
        <f t="shared" si="73"/>
        <v>3.5000000000000001E-3</v>
      </c>
      <c r="FE183">
        <f t="shared" si="73"/>
        <v>1.5E-3</v>
      </c>
      <c r="FF183">
        <f t="shared" si="73"/>
        <v>3.5000000000000001E-3</v>
      </c>
      <c r="FG183">
        <f t="shared" si="73"/>
        <v>0</v>
      </c>
      <c r="FH183">
        <f t="shared" si="73"/>
        <v>1E-3</v>
      </c>
      <c r="FI183" t="e">
        <f t="shared" si="73"/>
        <v>#DIV/0!</v>
      </c>
      <c r="FJ183">
        <f t="shared" si="73"/>
        <v>2E-3</v>
      </c>
      <c r="FK183">
        <f t="shared" si="73"/>
        <v>1E-3</v>
      </c>
      <c r="FL183">
        <f t="shared" si="73"/>
        <v>2E-3</v>
      </c>
      <c r="FM183">
        <f t="shared" si="73"/>
        <v>0</v>
      </c>
      <c r="FN183">
        <f t="shared" si="73"/>
        <v>0</v>
      </c>
      <c r="FO183">
        <f t="shared" si="73"/>
        <v>4.0000000000000001E-3</v>
      </c>
      <c r="FP183">
        <f t="shared" si="73"/>
        <v>5.0000000000000001E-4</v>
      </c>
      <c r="FQ183">
        <f t="shared" si="73"/>
        <v>0</v>
      </c>
      <c r="FR183">
        <f t="shared" si="73"/>
        <v>1E-3</v>
      </c>
      <c r="FS183">
        <f t="shared" si="73"/>
        <v>1E-3</v>
      </c>
      <c r="FT183">
        <f t="shared" si="73"/>
        <v>2.5000000000000001E-3</v>
      </c>
      <c r="FU183">
        <f t="shared" si="73"/>
        <v>5.0000000000000001E-4</v>
      </c>
      <c r="FV183">
        <f t="shared" ref="FV183:GM183" si="74">AVERAGE(FV135,FV159)</f>
        <v>5.0000000000000001E-4</v>
      </c>
      <c r="FW183">
        <f t="shared" si="74"/>
        <v>5.0000000000000001E-4</v>
      </c>
      <c r="FX183">
        <f t="shared" si="74"/>
        <v>1E-3</v>
      </c>
      <c r="FY183">
        <f t="shared" si="74"/>
        <v>1E-3</v>
      </c>
      <c r="FZ183">
        <f t="shared" si="74"/>
        <v>2.5000000000000001E-3</v>
      </c>
      <c r="GA183">
        <f t="shared" si="74"/>
        <v>5.0000000000000001E-4</v>
      </c>
      <c r="GB183">
        <f t="shared" si="74"/>
        <v>5.0000000000000001E-4</v>
      </c>
      <c r="GC183">
        <f t="shared" si="74"/>
        <v>0</v>
      </c>
      <c r="GD183">
        <f t="shared" si="74"/>
        <v>2.5000000000000001E-3</v>
      </c>
      <c r="GE183">
        <f t="shared" si="74"/>
        <v>5.0000000000000001E-4</v>
      </c>
      <c r="GF183">
        <f t="shared" si="74"/>
        <v>5.0000000000000001E-4</v>
      </c>
      <c r="GG183">
        <f t="shared" si="74"/>
        <v>1E-3</v>
      </c>
      <c r="GH183">
        <f t="shared" si="74"/>
        <v>5.0000000000000001E-4</v>
      </c>
      <c r="GI183">
        <f t="shared" si="74"/>
        <v>2E-3</v>
      </c>
      <c r="GJ183">
        <f t="shared" si="74"/>
        <v>5.0000000000000001E-4</v>
      </c>
      <c r="GK183">
        <f t="shared" si="74"/>
        <v>2E-3</v>
      </c>
      <c r="GL183">
        <f t="shared" si="74"/>
        <v>2.5000000000000001E-3</v>
      </c>
      <c r="GM183">
        <f t="shared" si="74"/>
        <v>2.5000000000000001E-3</v>
      </c>
    </row>
    <row r="184" spans="7:195" ht="14.4" x14ac:dyDescent="0.3">
      <c r="G184">
        <v>7</v>
      </c>
      <c r="H184" t="s">
        <v>883</v>
      </c>
      <c r="I184">
        <f t="shared" ref="I184:AN184" si="75">AVERAGE(I136,I160)</f>
        <v>3.5000000000000001E-3</v>
      </c>
      <c r="J184">
        <f t="shared" si="75"/>
        <v>5.0000000000000001E-4</v>
      </c>
      <c r="K184">
        <f t="shared" si="75"/>
        <v>5.0000000000000001E-4</v>
      </c>
      <c r="L184">
        <f t="shared" si="75"/>
        <v>5.0000000000000001E-3</v>
      </c>
      <c r="M184">
        <f t="shared" si="75"/>
        <v>1E-3</v>
      </c>
      <c r="N184">
        <f t="shared" si="75"/>
        <v>1.5E-3</v>
      </c>
      <c r="O184">
        <f t="shared" si="75"/>
        <v>5.0000000000000001E-4</v>
      </c>
      <c r="P184">
        <f t="shared" si="75"/>
        <v>5.0000000000000001E-4</v>
      </c>
      <c r="Q184">
        <f t="shared" si="75"/>
        <v>5.0000000000000001E-4</v>
      </c>
      <c r="R184">
        <f t="shared" si="75"/>
        <v>5.0000000000000001E-4</v>
      </c>
      <c r="S184">
        <f t="shared" si="75"/>
        <v>1.5E-3</v>
      </c>
      <c r="T184">
        <f t="shared" si="75"/>
        <v>5.0000000000000001E-4</v>
      </c>
      <c r="U184">
        <f t="shared" si="75"/>
        <v>1E-3</v>
      </c>
      <c r="V184">
        <f t="shared" si="75"/>
        <v>5.0000000000000001E-4</v>
      </c>
      <c r="W184">
        <f t="shared" si="75"/>
        <v>5.0000000000000001E-4</v>
      </c>
      <c r="X184">
        <f t="shared" si="75"/>
        <v>5.0000000000000001E-4</v>
      </c>
      <c r="Y184">
        <f t="shared" si="75"/>
        <v>1.5E-3</v>
      </c>
      <c r="Z184">
        <f t="shared" si="75"/>
        <v>3.5000000000000001E-3</v>
      </c>
      <c r="AA184">
        <f t="shared" si="75"/>
        <v>2E-3</v>
      </c>
      <c r="AB184">
        <f t="shared" si="75"/>
        <v>2E-3</v>
      </c>
      <c r="AC184">
        <f t="shared" si="75"/>
        <v>5.0000000000000001E-4</v>
      </c>
      <c r="AD184">
        <f t="shared" si="75"/>
        <v>2E-3</v>
      </c>
      <c r="AE184">
        <f t="shared" si="75"/>
        <v>2E-3</v>
      </c>
      <c r="AF184">
        <f t="shared" si="75"/>
        <v>5.0000000000000001E-4</v>
      </c>
      <c r="AG184">
        <f t="shared" si="75"/>
        <v>5.0000000000000001E-4</v>
      </c>
      <c r="AH184">
        <f t="shared" si="75"/>
        <v>3.5000000000000001E-3</v>
      </c>
      <c r="AI184">
        <f t="shared" si="75"/>
        <v>4.0000000000000001E-3</v>
      </c>
      <c r="AJ184">
        <f t="shared" si="75"/>
        <v>1E-3</v>
      </c>
      <c r="AK184">
        <f t="shared" si="75"/>
        <v>1.5E-3</v>
      </c>
      <c r="AL184">
        <f t="shared" si="75"/>
        <v>4.5000000000000005E-3</v>
      </c>
      <c r="AM184">
        <f t="shared" si="75"/>
        <v>5.0000000000000001E-4</v>
      </c>
      <c r="AN184">
        <f t="shared" si="75"/>
        <v>5.0000000000000001E-3</v>
      </c>
      <c r="AO184">
        <f t="shared" ref="AO184:BT184" si="76">AVERAGE(AO136,AO160)</f>
        <v>5.0000000000000001E-3</v>
      </c>
      <c r="AP184">
        <f t="shared" si="76"/>
        <v>5.0000000000000001E-4</v>
      </c>
      <c r="AQ184">
        <f t="shared" si="76"/>
        <v>5.0000000000000001E-4</v>
      </c>
      <c r="AR184">
        <f t="shared" si="76"/>
        <v>2.5000000000000001E-3</v>
      </c>
      <c r="AS184" t="e">
        <f t="shared" si="76"/>
        <v>#DIV/0!</v>
      </c>
      <c r="AT184">
        <f t="shared" si="76"/>
        <v>3.0000000000000001E-3</v>
      </c>
      <c r="AU184">
        <f t="shared" si="76"/>
        <v>5.0000000000000001E-4</v>
      </c>
      <c r="AV184">
        <f t="shared" si="76"/>
        <v>6.0000000000000001E-3</v>
      </c>
      <c r="AW184">
        <f t="shared" si="76"/>
        <v>5.0000000000000001E-4</v>
      </c>
      <c r="AX184">
        <f t="shared" si="76"/>
        <v>5.0000000000000001E-4</v>
      </c>
      <c r="AY184" t="e">
        <f t="shared" si="76"/>
        <v>#DIV/0!</v>
      </c>
      <c r="AZ184">
        <f t="shared" si="76"/>
        <v>0</v>
      </c>
      <c r="BA184">
        <f t="shared" si="76"/>
        <v>5.0000000000000001E-4</v>
      </c>
      <c r="BB184">
        <f t="shared" si="76"/>
        <v>1.5E-3</v>
      </c>
      <c r="BC184">
        <f t="shared" si="76"/>
        <v>4.0000000000000001E-3</v>
      </c>
      <c r="BD184">
        <f t="shared" si="76"/>
        <v>0</v>
      </c>
      <c r="BE184">
        <f t="shared" si="76"/>
        <v>3.5000000000000001E-3</v>
      </c>
      <c r="BF184">
        <f t="shared" si="76"/>
        <v>2E-3</v>
      </c>
      <c r="BG184">
        <f t="shared" si="76"/>
        <v>1.5E-3</v>
      </c>
      <c r="BH184">
        <f t="shared" si="76"/>
        <v>5.0000000000000001E-4</v>
      </c>
      <c r="BI184">
        <f t="shared" si="76"/>
        <v>2E-3</v>
      </c>
      <c r="BJ184">
        <f t="shared" si="76"/>
        <v>4.0000000000000001E-3</v>
      </c>
      <c r="BK184">
        <f t="shared" si="76"/>
        <v>2E-3</v>
      </c>
      <c r="BL184">
        <f t="shared" si="76"/>
        <v>5.0000000000000001E-4</v>
      </c>
      <c r="BM184">
        <f t="shared" si="76"/>
        <v>3.0000000000000001E-3</v>
      </c>
      <c r="BN184">
        <f t="shared" si="76"/>
        <v>1.5E-3</v>
      </c>
      <c r="BO184">
        <f t="shared" si="76"/>
        <v>5.0000000000000001E-4</v>
      </c>
      <c r="BP184">
        <f t="shared" si="76"/>
        <v>5.0000000000000001E-4</v>
      </c>
      <c r="BQ184">
        <f t="shared" si="76"/>
        <v>2.5000000000000001E-3</v>
      </c>
      <c r="BR184">
        <f t="shared" si="76"/>
        <v>4.0000000000000001E-3</v>
      </c>
      <c r="BS184">
        <f t="shared" si="76"/>
        <v>5.0000000000000001E-4</v>
      </c>
      <c r="BT184">
        <f t="shared" si="76"/>
        <v>0</v>
      </c>
      <c r="BU184">
        <f t="shared" ref="BU184:CZ184" si="77">AVERAGE(BU136,BU160)</f>
        <v>3.5000000000000001E-3</v>
      </c>
      <c r="BV184">
        <f t="shared" si="77"/>
        <v>5.0000000000000001E-4</v>
      </c>
      <c r="BW184">
        <f t="shared" si="77"/>
        <v>5.0000000000000001E-4</v>
      </c>
      <c r="BX184">
        <f t="shared" si="77"/>
        <v>2E-3</v>
      </c>
      <c r="BY184">
        <f t="shared" si="77"/>
        <v>4.0000000000000001E-3</v>
      </c>
      <c r="BZ184">
        <f t="shared" si="77"/>
        <v>4.5000000000000005E-3</v>
      </c>
      <c r="CA184">
        <f t="shared" si="77"/>
        <v>2.5000000000000001E-3</v>
      </c>
      <c r="CB184">
        <f t="shared" si="77"/>
        <v>3.0000000000000001E-3</v>
      </c>
      <c r="CC184">
        <f t="shared" si="77"/>
        <v>1.5E-3</v>
      </c>
      <c r="CD184">
        <f t="shared" si="77"/>
        <v>5.0000000000000001E-4</v>
      </c>
      <c r="CE184">
        <f t="shared" si="77"/>
        <v>0</v>
      </c>
      <c r="CF184">
        <f t="shared" si="77"/>
        <v>2E-3</v>
      </c>
      <c r="CG184">
        <f t="shared" si="77"/>
        <v>1.5E-3</v>
      </c>
      <c r="CH184">
        <f t="shared" si="77"/>
        <v>1E-3</v>
      </c>
      <c r="CI184">
        <f t="shared" si="77"/>
        <v>3.0000000000000001E-3</v>
      </c>
      <c r="CJ184">
        <f t="shared" si="77"/>
        <v>5.0000000000000001E-4</v>
      </c>
      <c r="CK184">
        <f t="shared" si="77"/>
        <v>5.0000000000000001E-4</v>
      </c>
      <c r="CL184">
        <f t="shared" si="77"/>
        <v>5.0000000000000001E-4</v>
      </c>
      <c r="CM184">
        <f t="shared" si="77"/>
        <v>1E-3</v>
      </c>
      <c r="CN184">
        <f t="shared" si="77"/>
        <v>5.0000000000000001E-4</v>
      </c>
      <c r="CO184">
        <f t="shared" si="77"/>
        <v>1E-3</v>
      </c>
      <c r="CP184">
        <f t="shared" si="77"/>
        <v>1.5E-3</v>
      </c>
      <c r="CQ184">
        <f t="shared" si="77"/>
        <v>3.5000000000000001E-3</v>
      </c>
      <c r="CR184">
        <f t="shared" si="77"/>
        <v>2E-3</v>
      </c>
      <c r="CS184">
        <f t="shared" si="77"/>
        <v>5.0000000000000001E-4</v>
      </c>
      <c r="CT184">
        <f t="shared" si="77"/>
        <v>1E-3</v>
      </c>
      <c r="CU184">
        <f t="shared" si="77"/>
        <v>2E-3</v>
      </c>
      <c r="CV184">
        <f t="shared" si="77"/>
        <v>5.0000000000000001E-4</v>
      </c>
      <c r="CW184">
        <f t="shared" si="77"/>
        <v>1E-3</v>
      </c>
      <c r="CX184">
        <f t="shared" si="77"/>
        <v>4.0000000000000001E-3</v>
      </c>
      <c r="CY184">
        <f t="shared" si="77"/>
        <v>3.5000000000000001E-3</v>
      </c>
      <c r="CZ184">
        <f t="shared" si="77"/>
        <v>1.5E-3</v>
      </c>
      <c r="DA184">
        <f t="shared" ref="DA184:DH184" si="78">AVERAGE(DA136,DA160)</f>
        <v>5.0000000000000001E-4</v>
      </c>
      <c r="DB184">
        <f t="shared" si="78"/>
        <v>0</v>
      </c>
      <c r="DC184">
        <f t="shared" si="78"/>
        <v>2E-3</v>
      </c>
      <c r="DD184">
        <f t="shared" si="78"/>
        <v>3.0000000000000001E-3</v>
      </c>
      <c r="DE184">
        <f t="shared" si="78"/>
        <v>5.0000000000000001E-4</v>
      </c>
      <c r="DF184">
        <f t="shared" si="78"/>
        <v>5.0000000000000001E-4</v>
      </c>
      <c r="DG184">
        <f t="shared" si="78"/>
        <v>4.0000000000000001E-3</v>
      </c>
      <c r="DH184">
        <f t="shared" si="78"/>
        <v>0</v>
      </c>
      <c r="DI184"/>
      <c r="DJ184">
        <f t="shared" ref="DJ184:EO184" si="79">AVERAGE(DJ136,DJ160)</f>
        <v>2.5000000000000001E-3</v>
      </c>
      <c r="DK184">
        <f t="shared" si="79"/>
        <v>5.0000000000000001E-4</v>
      </c>
      <c r="DL184">
        <f t="shared" si="79"/>
        <v>1.5E-3</v>
      </c>
      <c r="DM184" t="e">
        <f t="shared" si="79"/>
        <v>#DIV/0!</v>
      </c>
      <c r="DN184">
        <f t="shared" si="79"/>
        <v>1.5E-3</v>
      </c>
      <c r="DO184">
        <f t="shared" si="79"/>
        <v>5.0000000000000001E-4</v>
      </c>
      <c r="DP184">
        <f t="shared" si="79"/>
        <v>5.0000000000000001E-4</v>
      </c>
      <c r="DQ184">
        <f t="shared" si="79"/>
        <v>4.5000000000000005E-3</v>
      </c>
      <c r="DR184">
        <f t="shared" si="79"/>
        <v>2E-3</v>
      </c>
      <c r="DS184">
        <f t="shared" si="79"/>
        <v>2E-3</v>
      </c>
      <c r="DT184">
        <f t="shared" si="79"/>
        <v>1.5E-3</v>
      </c>
      <c r="DU184">
        <f t="shared" si="79"/>
        <v>0</v>
      </c>
      <c r="DV184" t="e">
        <f t="shared" si="79"/>
        <v>#DIV/0!</v>
      </c>
      <c r="DW184">
        <f t="shared" si="79"/>
        <v>5.0000000000000001E-4</v>
      </c>
      <c r="DX184">
        <f t="shared" si="79"/>
        <v>1E-3</v>
      </c>
      <c r="DY184">
        <f t="shared" si="79"/>
        <v>3.0000000000000001E-3</v>
      </c>
      <c r="DZ184">
        <f t="shared" si="79"/>
        <v>5.0000000000000001E-3</v>
      </c>
      <c r="EA184">
        <f t="shared" si="79"/>
        <v>5.0000000000000001E-4</v>
      </c>
      <c r="EB184">
        <f t="shared" si="79"/>
        <v>5.0000000000000001E-4</v>
      </c>
      <c r="EC184">
        <f t="shared" si="79"/>
        <v>1E-3</v>
      </c>
      <c r="ED184">
        <f t="shared" si="79"/>
        <v>2E-3</v>
      </c>
      <c r="EE184">
        <f t="shared" si="79"/>
        <v>2E-3</v>
      </c>
      <c r="EF184">
        <f t="shared" si="79"/>
        <v>1.5E-3</v>
      </c>
      <c r="EG184">
        <f t="shared" si="79"/>
        <v>1.5E-3</v>
      </c>
      <c r="EH184">
        <f t="shared" si="79"/>
        <v>1.5E-3</v>
      </c>
      <c r="EI184">
        <f t="shared" si="79"/>
        <v>5.0000000000000001E-4</v>
      </c>
      <c r="EJ184">
        <f t="shared" si="79"/>
        <v>0</v>
      </c>
      <c r="EK184">
        <f t="shared" si="79"/>
        <v>5.0000000000000001E-4</v>
      </c>
      <c r="EL184">
        <f t="shared" si="79"/>
        <v>0</v>
      </c>
      <c r="EM184">
        <f t="shared" si="79"/>
        <v>5.0000000000000001E-4</v>
      </c>
      <c r="EN184">
        <f t="shared" si="79"/>
        <v>5.0000000000000001E-4</v>
      </c>
      <c r="EO184">
        <f t="shared" si="79"/>
        <v>1.5E-3</v>
      </c>
      <c r="EP184">
        <f t="shared" ref="EP184:FU184" si="80">AVERAGE(EP136,EP160)</f>
        <v>3.5000000000000001E-3</v>
      </c>
      <c r="EQ184">
        <f t="shared" si="80"/>
        <v>1E-3</v>
      </c>
      <c r="ER184">
        <f t="shared" si="80"/>
        <v>1E-3</v>
      </c>
      <c r="ES184">
        <f t="shared" si="80"/>
        <v>5.0000000000000001E-4</v>
      </c>
      <c r="ET184" t="e">
        <f t="shared" si="80"/>
        <v>#DIV/0!</v>
      </c>
      <c r="EU184">
        <f t="shared" si="80"/>
        <v>1E-3</v>
      </c>
      <c r="EV184">
        <f t="shared" si="80"/>
        <v>2.5000000000000001E-3</v>
      </c>
      <c r="EW184">
        <f t="shared" si="80"/>
        <v>5.0000000000000001E-4</v>
      </c>
      <c r="EX184">
        <f t="shared" si="80"/>
        <v>5.0000000000000001E-4</v>
      </c>
      <c r="EY184">
        <f t="shared" si="80"/>
        <v>8.0000000000000002E-3</v>
      </c>
      <c r="EZ184">
        <f t="shared" si="80"/>
        <v>5.0000000000000001E-4</v>
      </c>
      <c r="FA184">
        <f t="shared" si="80"/>
        <v>5.0000000000000001E-4</v>
      </c>
      <c r="FB184">
        <f t="shared" si="80"/>
        <v>5.0000000000000001E-4</v>
      </c>
      <c r="FC184">
        <f t="shared" si="80"/>
        <v>1.5E-3</v>
      </c>
      <c r="FD184">
        <f t="shared" si="80"/>
        <v>4.5000000000000005E-3</v>
      </c>
      <c r="FE184">
        <f t="shared" si="80"/>
        <v>2E-3</v>
      </c>
      <c r="FF184">
        <f t="shared" si="80"/>
        <v>4.5000000000000005E-3</v>
      </c>
      <c r="FG184">
        <f t="shared" si="80"/>
        <v>0</v>
      </c>
      <c r="FH184">
        <f t="shared" si="80"/>
        <v>1.5E-3</v>
      </c>
      <c r="FI184" t="e">
        <f t="shared" si="80"/>
        <v>#DIV/0!</v>
      </c>
      <c r="FJ184">
        <f t="shared" si="80"/>
        <v>2.5000000000000001E-3</v>
      </c>
      <c r="FK184">
        <f t="shared" si="80"/>
        <v>1.5E-3</v>
      </c>
      <c r="FL184">
        <f t="shared" si="80"/>
        <v>4.0000000000000001E-3</v>
      </c>
      <c r="FM184">
        <f t="shared" si="80"/>
        <v>5.0000000000000001E-4</v>
      </c>
      <c r="FN184">
        <f t="shared" si="80"/>
        <v>0</v>
      </c>
      <c r="FO184">
        <f t="shared" si="80"/>
        <v>6.5000000000000006E-3</v>
      </c>
      <c r="FP184">
        <f t="shared" si="80"/>
        <v>1E-3</v>
      </c>
      <c r="FQ184">
        <f t="shared" si="80"/>
        <v>5.0000000000000001E-4</v>
      </c>
      <c r="FR184">
        <f t="shared" si="80"/>
        <v>1E-3</v>
      </c>
      <c r="FS184">
        <f t="shared" si="80"/>
        <v>1.5E-3</v>
      </c>
      <c r="FT184">
        <f t="shared" si="80"/>
        <v>3.5000000000000001E-3</v>
      </c>
      <c r="FU184">
        <f t="shared" si="80"/>
        <v>5.0000000000000001E-4</v>
      </c>
      <c r="FV184">
        <f t="shared" ref="FV184:GM184" si="81">AVERAGE(FV136,FV160)</f>
        <v>1.5E-3</v>
      </c>
      <c r="FW184">
        <f t="shared" si="81"/>
        <v>5.0000000000000001E-4</v>
      </c>
      <c r="FX184">
        <f t="shared" si="81"/>
        <v>1.5E-3</v>
      </c>
      <c r="FY184">
        <f t="shared" si="81"/>
        <v>1.5E-3</v>
      </c>
      <c r="FZ184">
        <f t="shared" si="81"/>
        <v>3.5000000000000001E-3</v>
      </c>
      <c r="GA184">
        <f t="shared" si="81"/>
        <v>1.5E-3</v>
      </c>
      <c r="GB184">
        <f t="shared" si="81"/>
        <v>5.0000000000000001E-4</v>
      </c>
      <c r="GC184">
        <f t="shared" si="81"/>
        <v>0</v>
      </c>
      <c r="GD184">
        <f t="shared" si="81"/>
        <v>3.5000000000000001E-3</v>
      </c>
      <c r="GE184">
        <f t="shared" si="81"/>
        <v>5.0000000000000001E-4</v>
      </c>
      <c r="GF184">
        <f t="shared" si="81"/>
        <v>1E-3</v>
      </c>
      <c r="GG184">
        <f t="shared" si="81"/>
        <v>1.5E-3</v>
      </c>
      <c r="GH184">
        <f t="shared" si="81"/>
        <v>1E-3</v>
      </c>
      <c r="GI184">
        <f t="shared" si="81"/>
        <v>3.0000000000000001E-3</v>
      </c>
      <c r="GJ184">
        <f t="shared" si="81"/>
        <v>1E-3</v>
      </c>
      <c r="GK184">
        <f t="shared" si="81"/>
        <v>2.5000000000000001E-3</v>
      </c>
      <c r="GL184">
        <f t="shared" si="81"/>
        <v>3.5000000000000001E-3</v>
      </c>
      <c r="GM184">
        <f t="shared" si="81"/>
        <v>3.5000000000000001E-3</v>
      </c>
    </row>
    <row r="185" spans="7:195" ht="14.4" x14ac:dyDescent="0.3">
      <c r="G185">
        <v>8</v>
      </c>
      <c r="H185" t="s">
        <v>884</v>
      </c>
      <c r="I185">
        <f t="shared" ref="I185:AN185" si="82">AVERAGE(I137,I161)</f>
        <v>3.5000000000000001E-3</v>
      </c>
      <c r="J185">
        <f t="shared" si="82"/>
        <v>5.0000000000000001E-4</v>
      </c>
      <c r="K185">
        <f t="shared" si="82"/>
        <v>1.5E-3</v>
      </c>
      <c r="L185">
        <f t="shared" si="82"/>
        <v>5.4999999999999997E-3</v>
      </c>
      <c r="M185">
        <f t="shared" si="82"/>
        <v>1.5E-3</v>
      </c>
      <c r="N185">
        <f t="shared" si="82"/>
        <v>1.5E-3</v>
      </c>
      <c r="O185">
        <f t="shared" si="82"/>
        <v>5.0000000000000001E-4</v>
      </c>
      <c r="P185">
        <f t="shared" si="82"/>
        <v>5.0000000000000001E-4</v>
      </c>
      <c r="Q185">
        <f t="shared" si="82"/>
        <v>5.0000000000000001E-4</v>
      </c>
      <c r="R185">
        <f t="shared" si="82"/>
        <v>5.0000000000000001E-4</v>
      </c>
      <c r="S185">
        <f t="shared" si="82"/>
        <v>1.5E-3</v>
      </c>
      <c r="T185">
        <f t="shared" si="82"/>
        <v>5.0000000000000001E-4</v>
      </c>
      <c r="U185">
        <f t="shared" si="82"/>
        <v>1E-3</v>
      </c>
      <c r="V185">
        <f t="shared" si="82"/>
        <v>1E-3</v>
      </c>
      <c r="W185">
        <f t="shared" si="82"/>
        <v>1.5E-3</v>
      </c>
      <c r="X185">
        <f t="shared" si="82"/>
        <v>5.0000000000000001E-4</v>
      </c>
      <c r="Y185">
        <f t="shared" si="82"/>
        <v>1.5E-3</v>
      </c>
      <c r="Z185">
        <f t="shared" si="82"/>
        <v>4.0000000000000001E-3</v>
      </c>
      <c r="AA185">
        <f t="shared" si="82"/>
        <v>2E-3</v>
      </c>
      <c r="AB185">
        <f t="shared" si="82"/>
        <v>2.5000000000000001E-3</v>
      </c>
      <c r="AC185">
        <f t="shared" si="82"/>
        <v>5.0000000000000001E-4</v>
      </c>
      <c r="AD185">
        <f t="shared" si="82"/>
        <v>2E-3</v>
      </c>
      <c r="AE185">
        <f t="shared" si="82"/>
        <v>2E-3</v>
      </c>
      <c r="AF185">
        <f t="shared" si="82"/>
        <v>5.0000000000000001E-4</v>
      </c>
      <c r="AG185">
        <f t="shared" si="82"/>
        <v>5.0000000000000001E-4</v>
      </c>
      <c r="AH185">
        <f t="shared" si="82"/>
        <v>4.0000000000000001E-3</v>
      </c>
      <c r="AI185">
        <f t="shared" si="82"/>
        <v>4.5000000000000005E-3</v>
      </c>
      <c r="AJ185">
        <f t="shared" si="82"/>
        <v>1E-3</v>
      </c>
      <c r="AK185">
        <f t="shared" si="82"/>
        <v>2E-3</v>
      </c>
      <c r="AL185">
        <f t="shared" si="82"/>
        <v>5.4999999999999997E-3</v>
      </c>
      <c r="AM185">
        <f t="shared" si="82"/>
        <v>5.0000000000000001E-4</v>
      </c>
      <c r="AN185">
        <f t="shared" si="82"/>
        <v>6.5000000000000006E-3</v>
      </c>
      <c r="AO185">
        <f t="shared" ref="AO185:BT185" si="83">AVERAGE(AO137,AO161)</f>
        <v>6.0000000000000001E-3</v>
      </c>
      <c r="AP185">
        <f t="shared" si="83"/>
        <v>5.0000000000000001E-4</v>
      </c>
      <c r="AQ185">
        <f t="shared" si="83"/>
        <v>1E-3</v>
      </c>
      <c r="AR185">
        <f t="shared" si="83"/>
        <v>2.5000000000000001E-3</v>
      </c>
      <c r="AS185" t="e">
        <f t="shared" si="83"/>
        <v>#DIV/0!</v>
      </c>
      <c r="AT185">
        <f t="shared" si="83"/>
        <v>3.5000000000000001E-3</v>
      </c>
      <c r="AU185">
        <f t="shared" si="83"/>
        <v>1.5E-3</v>
      </c>
      <c r="AV185">
        <f t="shared" si="83"/>
        <v>7.0000000000000001E-3</v>
      </c>
      <c r="AW185">
        <f t="shared" si="83"/>
        <v>5.0000000000000001E-4</v>
      </c>
      <c r="AX185">
        <f t="shared" si="83"/>
        <v>5.0000000000000001E-4</v>
      </c>
      <c r="AY185" t="e">
        <f t="shared" si="83"/>
        <v>#DIV/0!</v>
      </c>
      <c r="AZ185">
        <f t="shared" si="83"/>
        <v>0</v>
      </c>
      <c r="BA185">
        <f t="shared" si="83"/>
        <v>5.0000000000000001E-4</v>
      </c>
      <c r="BB185">
        <f t="shared" si="83"/>
        <v>1.5E-3</v>
      </c>
      <c r="BC185">
        <f t="shared" si="83"/>
        <v>4.5000000000000005E-3</v>
      </c>
      <c r="BD185">
        <f t="shared" si="83"/>
        <v>0</v>
      </c>
      <c r="BE185">
        <f t="shared" si="83"/>
        <v>3.5000000000000001E-3</v>
      </c>
      <c r="BF185">
        <f t="shared" si="83"/>
        <v>1.5E-3</v>
      </c>
      <c r="BG185">
        <f t="shared" si="83"/>
        <v>2E-3</v>
      </c>
      <c r="BH185">
        <f t="shared" si="83"/>
        <v>1E-3</v>
      </c>
      <c r="BI185">
        <f t="shared" si="83"/>
        <v>2.5000000000000001E-3</v>
      </c>
      <c r="BJ185">
        <f t="shared" si="83"/>
        <v>5.4999999999999997E-3</v>
      </c>
      <c r="BK185">
        <f t="shared" si="83"/>
        <v>2E-3</v>
      </c>
      <c r="BL185">
        <f t="shared" si="83"/>
        <v>1E-3</v>
      </c>
      <c r="BM185">
        <f t="shared" si="83"/>
        <v>3.5000000000000001E-3</v>
      </c>
      <c r="BN185">
        <f t="shared" si="83"/>
        <v>1.5E-3</v>
      </c>
      <c r="BO185">
        <f t="shared" si="83"/>
        <v>5.0000000000000001E-4</v>
      </c>
      <c r="BP185">
        <f t="shared" si="83"/>
        <v>5.0000000000000001E-4</v>
      </c>
      <c r="BQ185">
        <f t="shared" si="83"/>
        <v>3.0000000000000001E-3</v>
      </c>
      <c r="BR185">
        <f t="shared" si="83"/>
        <v>4.0000000000000001E-3</v>
      </c>
      <c r="BS185">
        <f t="shared" si="83"/>
        <v>5.0000000000000001E-4</v>
      </c>
      <c r="BT185">
        <f t="shared" si="83"/>
        <v>0</v>
      </c>
      <c r="BU185">
        <f t="shared" ref="BU185:CZ185" si="84">AVERAGE(BU137,BU161)</f>
        <v>3.5000000000000001E-3</v>
      </c>
      <c r="BV185">
        <f t="shared" si="84"/>
        <v>5.0000000000000001E-4</v>
      </c>
      <c r="BW185">
        <f t="shared" si="84"/>
        <v>1E-3</v>
      </c>
      <c r="BX185">
        <f t="shared" si="84"/>
        <v>2E-3</v>
      </c>
      <c r="BY185">
        <f t="shared" si="84"/>
        <v>4.5000000000000005E-3</v>
      </c>
      <c r="BZ185">
        <f t="shared" si="84"/>
        <v>4.5000000000000005E-3</v>
      </c>
      <c r="CA185">
        <f t="shared" si="84"/>
        <v>2.5000000000000001E-3</v>
      </c>
      <c r="CB185">
        <f t="shared" si="84"/>
        <v>3.5000000000000001E-3</v>
      </c>
      <c r="CC185">
        <f t="shared" si="84"/>
        <v>2E-3</v>
      </c>
      <c r="CD185">
        <f t="shared" si="84"/>
        <v>5.0000000000000001E-4</v>
      </c>
      <c r="CE185">
        <f t="shared" si="84"/>
        <v>5.0000000000000001E-4</v>
      </c>
      <c r="CF185">
        <f t="shared" si="84"/>
        <v>2E-3</v>
      </c>
      <c r="CG185">
        <f t="shared" si="84"/>
        <v>1.5E-3</v>
      </c>
      <c r="CH185">
        <f t="shared" si="84"/>
        <v>5.0000000000000001E-4</v>
      </c>
      <c r="CI185">
        <f t="shared" si="84"/>
        <v>3.0000000000000001E-3</v>
      </c>
      <c r="CJ185">
        <f t="shared" si="84"/>
        <v>5.0000000000000001E-4</v>
      </c>
      <c r="CK185">
        <f t="shared" si="84"/>
        <v>5.0000000000000001E-4</v>
      </c>
      <c r="CL185">
        <f t="shared" si="84"/>
        <v>5.0000000000000001E-4</v>
      </c>
      <c r="CM185">
        <f t="shared" si="84"/>
        <v>1.5E-3</v>
      </c>
      <c r="CN185">
        <f t="shared" si="84"/>
        <v>5.0000000000000001E-4</v>
      </c>
      <c r="CO185">
        <f t="shared" si="84"/>
        <v>1E-3</v>
      </c>
      <c r="CP185">
        <f t="shared" si="84"/>
        <v>2E-3</v>
      </c>
      <c r="CQ185">
        <f t="shared" si="84"/>
        <v>4.0000000000000001E-3</v>
      </c>
      <c r="CR185">
        <f t="shared" si="84"/>
        <v>2.5000000000000001E-3</v>
      </c>
      <c r="CS185">
        <f t="shared" si="84"/>
        <v>5.0000000000000001E-4</v>
      </c>
      <c r="CT185">
        <f t="shared" si="84"/>
        <v>1.5E-3</v>
      </c>
      <c r="CU185">
        <f t="shared" si="84"/>
        <v>2E-3</v>
      </c>
      <c r="CV185">
        <f t="shared" si="84"/>
        <v>1E-3</v>
      </c>
      <c r="CW185">
        <f t="shared" si="84"/>
        <v>1E-3</v>
      </c>
      <c r="CX185">
        <f t="shared" si="84"/>
        <v>6.5000000000000006E-3</v>
      </c>
      <c r="CY185">
        <f t="shared" si="84"/>
        <v>3.5000000000000001E-3</v>
      </c>
      <c r="CZ185">
        <f t="shared" si="84"/>
        <v>1.5E-3</v>
      </c>
      <c r="DA185">
        <f t="shared" ref="DA185:DH185" si="85">AVERAGE(DA137,DA161)</f>
        <v>1.5E-3</v>
      </c>
      <c r="DB185">
        <f t="shared" si="85"/>
        <v>0</v>
      </c>
      <c r="DC185">
        <f t="shared" si="85"/>
        <v>2.5000000000000001E-3</v>
      </c>
      <c r="DD185">
        <f t="shared" si="85"/>
        <v>4.0000000000000001E-3</v>
      </c>
      <c r="DE185">
        <f t="shared" si="85"/>
        <v>5.0000000000000001E-4</v>
      </c>
      <c r="DF185">
        <f t="shared" si="85"/>
        <v>5.0000000000000001E-4</v>
      </c>
      <c r="DG185">
        <f t="shared" si="85"/>
        <v>4.0000000000000001E-3</v>
      </c>
      <c r="DH185">
        <f t="shared" si="85"/>
        <v>0</v>
      </c>
      <c r="DI185"/>
      <c r="DJ185">
        <f t="shared" ref="DJ185:EO185" si="86">AVERAGE(DJ137,DJ161)</f>
        <v>3.0000000000000001E-3</v>
      </c>
      <c r="DK185">
        <f t="shared" si="86"/>
        <v>1.5E-3</v>
      </c>
      <c r="DL185">
        <f t="shared" si="86"/>
        <v>1.5E-3</v>
      </c>
      <c r="DM185" t="e">
        <f t="shared" si="86"/>
        <v>#DIV/0!</v>
      </c>
      <c r="DN185">
        <f t="shared" si="86"/>
        <v>1.5E-3</v>
      </c>
      <c r="DO185">
        <f t="shared" si="86"/>
        <v>5.0000000000000001E-4</v>
      </c>
      <c r="DP185">
        <f t="shared" si="86"/>
        <v>1E-3</v>
      </c>
      <c r="DQ185">
        <f t="shared" si="86"/>
        <v>6.0000000000000001E-3</v>
      </c>
      <c r="DR185">
        <f t="shared" si="86"/>
        <v>2E-3</v>
      </c>
      <c r="DS185">
        <f t="shared" si="86"/>
        <v>2.5000000000000001E-3</v>
      </c>
      <c r="DT185">
        <f t="shared" si="86"/>
        <v>1.5E-3</v>
      </c>
      <c r="DU185">
        <f t="shared" si="86"/>
        <v>0</v>
      </c>
      <c r="DV185" t="e">
        <f t="shared" si="86"/>
        <v>#DIV/0!</v>
      </c>
      <c r="DW185">
        <f t="shared" si="86"/>
        <v>5.0000000000000001E-4</v>
      </c>
      <c r="DX185">
        <f t="shared" si="86"/>
        <v>1.5E-3</v>
      </c>
      <c r="DY185">
        <f t="shared" si="86"/>
        <v>3.0000000000000001E-3</v>
      </c>
      <c r="DZ185">
        <f t="shared" si="86"/>
        <v>6.0000000000000001E-3</v>
      </c>
      <c r="EA185">
        <f t="shared" si="86"/>
        <v>5.0000000000000001E-4</v>
      </c>
      <c r="EB185">
        <f t="shared" si="86"/>
        <v>5.0000000000000001E-4</v>
      </c>
      <c r="EC185">
        <f t="shared" si="86"/>
        <v>1.5E-3</v>
      </c>
      <c r="ED185">
        <f t="shared" si="86"/>
        <v>1.5E-3</v>
      </c>
      <c r="EE185">
        <f t="shared" si="86"/>
        <v>2.5000000000000001E-3</v>
      </c>
      <c r="EF185">
        <f t="shared" si="86"/>
        <v>2E-3</v>
      </c>
      <c r="EG185">
        <f t="shared" si="86"/>
        <v>1.5E-3</v>
      </c>
      <c r="EH185">
        <f t="shared" si="86"/>
        <v>2E-3</v>
      </c>
      <c r="EI185">
        <f t="shared" si="86"/>
        <v>5.0000000000000001E-4</v>
      </c>
      <c r="EJ185">
        <f t="shared" si="86"/>
        <v>5.0000000000000001E-4</v>
      </c>
      <c r="EK185">
        <f t="shared" si="86"/>
        <v>5.0000000000000001E-4</v>
      </c>
      <c r="EL185">
        <f t="shared" si="86"/>
        <v>5.0000000000000001E-4</v>
      </c>
      <c r="EM185">
        <f t="shared" si="86"/>
        <v>5.0000000000000001E-4</v>
      </c>
      <c r="EN185">
        <f t="shared" si="86"/>
        <v>5.0000000000000001E-4</v>
      </c>
      <c r="EO185">
        <f t="shared" si="86"/>
        <v>2.5000000000000001E-3</v>
      </c>
      <c r="EP185">
        <f t="shared" ref="EP185:FU185" si="87">AVERAGE(EP137,EP161)</f>
        <v>3.5000000000000001E-3</v>
      </c>
      <c r="EQ185">
        <f t="shared" si="87"/>
        <v>1E-3</v>
      </c>
      <c r="ER185">
        <f t="shared" si="87"/>
        <v>1.5E-3</v>
      </c>
      <c r="ES185">
        <f t="shared" si="87"/>
        <v>1E-3</v>
      </c>
      <c r="ET185" t="e">
        <f t="shared" si="87"/>
        <v>#DIV/0!</v>
      </c>
      <c r="EU185">
        <f t="shared" si="87"/>
        <v>1E-3</v>
      </c>
      <c r="EV185">
        <f t="shared" si="87"/>
        <v>2.5000000000000001E-3</v>
      </c>
      <c r="EW185">
        <f t="shared" si="87"/>
        <v>5.0000000000000001E-4</v>
      </c>
      <c r="EX185">
        <f t="shared" si="87"/>
        <v>1.5E-3</v>
      </c>
      <c r="EY185">
        <f t="shared" si="87"/>
        <v>8.0000000000000002E-3</v>
      </c>
      <c r="EZ185">
        <f t="shared" si="87"/>
        <v>5.0000000000000001E-4</v>
      </c>
      <c r="FA185">
        <f t="shared" si="87"/>
        <v>5.0000000000000001E-4</v>
      </c>
      <c r="FB185">
        <f t="shared" si="87"/>
        <v>5.0000000000000001E-4</v>
      </c>
      <c r="FC185">
        <f t="shared" si="87"/>
        <v>2E-3</v>
      </c>
      <c r="FD185">
        <f t="shared" si="87"/>
        <v>5.4999999999999997E-3</v>
      </c>
      <c r="FE185">
        <f t="shared" si="87"/>
        <v>3.5000000000000001E-3</v>
      </c>
      <c r="FF185">
        <f t="shared" si="87"/>
        <v>6.0000000000000001E-3</v>
      </c>
      <c r="FG185">
        <f t="shared" si="87"/>
        <v>0</v>
      </c>
      <c r="FH185">
        <f t="shared" si="87"/>
        <v>2E-3</v>
      </c>
      <c r="FI185" t="e">
        <f t="shared" si="87"/>
        <v>#DIV/0!</v>
      </c>
      <c r="FJ185">
        <f t="shared" si="87"/>
        <v>3.5000000000000001E-3</v>
      </c>
      <c r="FK185">
        <f t="shared" si="87"/>
        <v>2E-3</v>
      </c>
      <c r="FL185">
        <f t="shared" si="87"/>
        <v>6.0000000000000001E-3</v>
      </c>
      <c r="FM185">
        <f t="shared" si="87"/>
        <v>5.0000000000000001E-4</v>
      </c>
      <c r="FN185">
        <f t="shared" si="87"/>
        <v>0</v>
      </c>
      <c r="FO185">
        <f t="shared" si="87"/>
        <v>7.4999999999999997E-3</v>
      </c>
      <c r="FP185">
        <f t="shared" si="87"/>
        <v>1E-3</v>
      </c>
      <c r="FQ185">
        <f t="shared" si="87"/>
        <v>5.0000000000000001E-4</v>
      </c>
      <c r="FR185">
        <f t="shared" si="87"/>
        <v>1E-3</v>
      </c>
      <c r="FS185">
        <f t="shared" si="87"/>
        <v>1.5E-3</v>
      </c>
      <c r="FT185">
        <f t="shared" si="87"/>
        <v>4.0000000000000001E-3</v>
      </c>
      <c r="FU185">
        <f t="shared" si="87"/>
        <v>1E-3</v>
      </c>
      <c r="FV185">
        <f t="shared" ref="FV185:GM185" si="88">AVERAGE(FV137,FV161)</f>
        <v>1.5E-3</v>
      </c>
      <c r="FW185">
        <f t="shared" si="88"/>
        <v>5.0000000000000001E-4</v>
      </c>
      <c r="FX185">
        <f t="shared" si="88"/>
        <v>1.5E-3</v>
      </c>
      <c r="FY185">
        <f t="shared" si="88"/>
        <v>1.5E-3</v>
      </c>
      <c r="FZ185">
        <f t="shared" si="88"/>
        <v>4.5000000000000005E-3</v>
      </c>
      <c r="GA185">
        <f t="shared" si="88"/>
        <v>2E-3</v>
      </c>
      <c r="GB185">
        <f t="shared" si="88"/>
        <v>5.0000000000000001E-4</v>
      </c>
      <c r="GC185">
        <f t="shared" si="88"/>
        <v>5.0000000000000001E-4</v>
      </c>
      <c r="GD185">
        <f t="shared" si="88"/>
        <v>4.5000000000000005E-3</v>
      </c>
      <c r="GE185">
        <f t="shared" si="88"/>
        <v>1E-3</v>
      </c>
      <c r="GF185">
        <f t="shared" si="88"/>
        <v>1.5E-3</v>
      </c>
      <c r="GG185">
        <f t="shared" si="88"/>
        <v>1.5E-3</v>
      </c>
      <c r="GH185">
        <f t="shared" si="88"/>
        <v>1E-3</v>
      </c>
      <c r="GI185">
        <f t="shared" si="88"/>
        <v>2.5000000000000001E-3</v>
      </c>
      <c r="GJ185">
        <f t="shared" si="88"/>
        <v>1.5E-3</v>
      </c>
      <c r="GK185">
        <f t="shared" si="88"/>
        <v>3.0000000000000001E-3</v>
      </c>
      <c r="GL185">
        <f t="shared" si="88"/>
        <v>4.5000000000000005E-3</v>
      </c>
      <c r="GM185">
        <f t="shared" si="88"/>
        <v>4.5000000000000005E-3</v>
      </c>
    </row>
    <row r="186" spans="7:195" ht="14.4" x14ac:dyDescent="0.3">
      <c r="G186">
        <v>9</v>
      </c>
      <c r="H186" t="s">
        <v>885</v>
      </c>
      <c r="I186">
        <f t="shared" ref="I186:AN186" si="89">AVERAGE(I138,I162)</f>
        <v>4.0000000000000001E-3</v>
      </c>
      <c r="J186">
        <f t="shared" si="89"/>
        <v>1E-3</v>
      </c>
      <c r="K186">
        <f t="shared" si="89"/>
        <v>1.5E-3</v>
      </c>
      <c r="L186">
        <f t="shared" si="89"/>
        <v>7.0000000000000001E-3</v>
      </c>
      <c r="M186">
        <f t="shared" si="89"/>
        <v>1.5E-3</v>
      </c>
      <c r="N186">
        <f t="shared" si="89"/>
        <v>1.5E-3</v>
      </c>
      <c r="O186">
        <f t="shared" si="89"/>
        <v>1E-3</v>
      </c>
      <c r="P186">
        <f t="shared" si="89"/>
        <v>5.0000000000000001E-4</v>
      </c>
      <c r="Q186">
        <f t="shared" si="89"/>
        <v>5.0000000000000001E-4</v>
      </c>
      <c r="R186">
        <f t="shared" si="89"/>
        <v>1E-3</v>
      </c>
      <c r="S186">
        <f t="shared" si="89"/>
        <v>2E-3</v>
      </c>
      <c r="T186">
        <f t="shared" si="89"/>
        <v>5.0000000000000001E-4</v>
      </c>
      <c r="U186">
        <f t="shared" si="89"/>
        <v>1E-3</v>
      </c>
      <c r="V186">
        <f t="shared" si="89"/>
        <v>1E-3</v>
      </c>
      <c r="W186">
        <f t="shared" si="89"/>
        <v>2.5000000000000001E-3</v>
      </c>
      <c r="X186">
        <f t="shared" si="89"/>
        <v>5.0000000000000001E-4</v>
      </c>
      <c r="Y186">
        <f t="shared" si="89"/>
        <v>2E-3</v>
      </c>
      <c r="Z186">
        <f t="shared" si="89"/>
        <v>4.0000000000000001E-3</v>
      </c>
      <c r="AA186">
        <f t="shared" si="89"/>
        <v>3.0000000000000001E-3</v>
      </c>
      <c r="AB186">
        <f t="shared" si="89"/>
        <v>3.0000000000000001E-3</v>
      </c>
      <c r="AC186">
        <f t="shared" si="89"/>
        <v>5.0000000000000001E-4</v>
      </c>
      <c r="AD186">
        <f t="shared" si="89"/>
        <v>3.5000000000000001E-3</v>
      </c>
      <c r="AE186">
        <f t="shared" si="89"/>
        <v>2E-3</v>
      </c>
      <c r="AF186">
        <f t="shared" si="89"/>
        <v>1E-3</v>
      </c>
      <c r="AG186">
        <f t="shared" si="89"/>
        <v>1E-3</v>
      </c>
      <c r="AH186">
        <f t="shared" si="89"/>
        <v>4.0000000000000001E-3</v>
      </c>
      <c r="AI186">
        <f t="shared" si="89"/>
        <v>5.4999999999999997E-3</v>
      </c>
      <c r="AJ186">
        <f t="shared" si="89"/>
        <v>1E-3</v>
      </c>
      <c r="AK186">
        <f t="shared" si="89"/>
        <v>2.5000000000000001E-3</v>
      </c>
      <c r="AL186">
        <f t="shared" si="89"/>
        <v>7.0000000000000001E-3</v>
      </c>
      <c r="AM186">
        <f t="shared" si="89"/>
        <v>5.0000000000000001E-4</v>
      </c>
      <c r="AN186">
        <f t="shared" si="89"/>
        <v>8.0000000000000002E-3</v>
      </c>
      <c r="AO186">
        <f t="shared" ref="AO186:BT186" si="90">AVERAGE(AO138,AO162)</f>
        <v>7.0000000000000001E-3</v>
      </c>
      <c r="AP186">
        <f t="shared" si="90"/>
        <v>5.0000000000000001E-4</v>
      </c>
      <c r="AQ186">
        <f t="shared" si="90"/>
        <v>1E-3</v>
      </c>
      <c r="AR186">
        <f t="shared" si="90"/>
        <v>2.5000000000000001E-3</v>
      </c>
      <c r="AS186" t="e">
        <f t="shared" si="90"/>
        <v>#DIV/0!</v>
      </c>
      <c r="AT186">
        <f t="shared" si="90"/>
        <v>4.5000000000000005E-3</v>
      </c>
      <c r="AU186">
        <f t="shared" si="90"/>
        <v>1.5E-3</v>
      </c>
      <c r="AV186">
        <f t="shared" si="90"/>
        <v>8.0000000000000002E-3</v>
      </c>
      <c r="AW186">
        <f t="shared" si="90"/>
        <v>5.0000000000000001E-4</v>
      </c>
      <c r="AX186">
        <f t="shared" si="90"/>
        <v>1E-3</v>
      </c>
      <c r="AY186" t="e">
        <f t="shared" si="90"/>
        <v>#DIV/0!</v>
      </c>
      <c r="AZ186">
        <f t="shared" si="90"/>
        <v>5.0000000000000001E-4</v>
      </c>
      <c r="BA186">
        <f t="shared" si="90"/>
        <v>5.0000000000000001E-4</v>
      </c>
      <c r="BB186">
        <f t="shared" si="90"/>
        <v>1.5E-3</v>
      </c>
      <c r="BC186">
        <f t="shared" si="90"/>
        <v>4.5000000000000005E-3</v>
      </c>
      <c r="BD186">
        <f t="shared" si="90"/>
        <v>5.0000000000000001E-4</v>
      </c>
      <c r="BE186">
        <f t="shared" si="90"/>
        <v>4.5000000000000005E-3</v>
      </c>
      <c r="BF186">
        <f t="shared" si="90"/>
        <v>2E-3</v>
      </c>
      <c r="BG186">
        <f t="shared" si="90"/>
        <v>2E-3</v>
      </c>
      <c r="BH186">
        <f t="shared" si="90"/>
        <v>1E-3</v>
      </c>
      <c r="BI186">
        <f t="shared" si="90"/>
        <v>3.5000000000000001E-3</v>
      </c>
      <c r="BJ186">
        <f t="shared" si="90"/>
        <v>6.5000000000000006E-3</v>
      </c>
      <c r="BK186">
        <f t="shared" si="90"/>
        <v>3.0000000000000001E-3</v>
      </c>
      <c r="BL186">
        <f t="shared" si="90"/>
        <v>2E-3</v>
      </c>
      <c r="BM186">
        <f t="shared" si="90"/>
        <v>3.5000000000000001E-3</v>
      </c>
      <c r="BN186">
        <f t="shared" si="90"/>
        <v>1.5E-3</v>
      </c>
      <c r="BO186">
        <f t="shared" si="90"/>
        <v>5.0000000000000001E-4</v>
      </c>
      <c r="BP186">
        <f t="shared" si="90"/>
        <v>5.0000000000000001E-4</v>
      </c>
      <c r="BQ186">
        <f t="shared" si="90"/>
        <v>4.0000000000000001E-3</v>
      </c>
      <c r="BR186">
        <f t="shared" si="90"/>
        <v>4.5000000000000005E-3</v>
      </c>
      <c r="BS186">
        <f t="shared" si="90"/>
        <v>1.5E-3</v>
      </c>
      <c r="BT186">
        <f t="shared" si="90"/>
        <v>5.0000000000000001E-4</v>
      </c>
      <c r="BU186">
        <f t="shared" ref="BU186:CZ186" si="91">AVERAGE(BU138,BU162)</f>
        <v>4.5000000000000005E-3</v>
      </c>
      <c r="BV186">
        <f t="shared" si="91"/>
        <v>5.0000000000000001E-4</v>
      </c>
      <c r="BW186">
        <f t="shared" si="91"/>
        <v>1.5E-3</v>
      </c>
      <c r="BX186">
        <f t="shared" si="91"/>
        <v>2.5000000000000001E-3</v>
      </c>
      <c r="BY186">
        <f t="shared" si="91"/>
        <v>5.0000000000000001E-3</v>
      </c>
      <c r="BZ186">
        <f t="shared" si="91"/>
        <v>4.5000000000000005E-3</v>
      </c>
      <c r="CA186">
        <f t="shared" si="91"/>
        <v>4.0000000000000001E-3</v>
      </c>
      <c r="CB186">
        <f t="shared" si="91"/>
        <v>4.5000000000000005E-3</v>
      </c>
      <c r="CC186">
        <f t="shared" si="91"/>
        <v>2.5000000000000001E-3</v>
      </c>
      <c r="CD186">
        <f t="shared" si="91"/>
        <v>5.0000000000000001E-4</v>
      </c>
      <c r="CE186">
        <f t="shared" si="91"/>
        <v>5.0000000000000001E-4</v>
      </c>
      <c r="CF186">
        <f t="shared" si="91"/>
        <v>2.5000000000000001E-3</v>
      </c>
      <c r="CG186">
        <f t="shared" si="91"/>
        <v>2E-3</v>
      </c>
      <c r="CH186">
        <f t="shared" si="91"/>
        <v>5.0000000000000001E-4</v>
      </c>
      <c r="CI186">
        <f t="shared" si="91"/>
        <v>3.0000000000000001E-3</v>
      </c>
      <c r="CJ186">
        <f t="shared" si="91"/>
        <v>5.0000000000000001E-4</v>
      </c>
      <c r="CK186">
        <f t="shared" si="91"/>
        <v>5.0000000000000001E-4</v>
      </c>
      <c r="CL186">
        <f t="shared" si="91"/>
        <v>5.0000000000000001E-4</v>
      </c>
      <c r="CM186">
        <f t="shared" si="91"/>
        <v>2.5000000000000001E-3</v>
      </c>
      <c r="CN186">
        <f t="shared" si="91"/>
        <v>5.0000000000000001E-4</v>
      </c>
      <c r="CO186">
        <f t="shared" si="91"/>
        <v>1E-3</v>
      </c>
      <c r="CP186">
        <f t="shared" si="91"/>
        <v>2.5000000000000001E-3</v>
      </c>
      <c r="CQ186">
        <f t="shared" si="91"/>
        <v>4.5000000000000005E-3</v>
      </c>
      <c r="CR186">
        <f t="shared" si="91"/>
        <v>2.5000000000000001E-3</v>
      </c>
      <c r="CS186">
        <f t="shared" si="91"/>
        <v>5.0000000000000001E-4</v>
      </c>
      <c r="CT186">
        <f t="shared" si="91"/>
        <v>2E-3</v>
      </c>
      <c r="CU186">
        <f t="shared" si="91"/>
        <v>2E-3</v>
      </c>
      <c r="CV186">
        <f t="shared" si="91"/>
        <v>1.5E-3</v>
      </c>
      <c r="CW186">
        <f t="shared" si="91"/>
        <v>1E-3</v>
      </c>
      <c r="CX186">
        <f t="shared" si="91"/>
        <v>1.0999999999999999E-2</v>
      </c>
      <c r="CY186">
        <f t="shared" si="91"/>
        <v>4.5000000000000005E-3</v>
      </c>
      <c r="CZ186">
        <f t="shared" si="91"/>
        <v>1.5E-3</v>
      </c>
      <c r="DA186">
        <f t="shared" ref="DA186:DH186" si="92">AVERAGE(DA138,DA162)</f>
        <v>2E-3</v>
      </c>
      <c r="DB186">
        <f t="shared" si="92"/>
        <v>0</v>
      </c>
      <c r="DC186">
        <f t="shared" si="92"/>
        <v>3.0000000000000001E-3</v>
      </c>
      <c r="DD186">
        <f t="shared" si="92"/>
        <v>6.0000000000000001E-3</v>
      </c>
      <c r="DE186">
        <f t="shared" si="92"/>
        <v>1.5E-3</v>
      </c>
      <c r="DF186">
        <f t="shared" si="92"/>
        <v>5.0000000000000001E-4</v>
      </c>
      <c r="DG186">
        <f t="shared" si="92"/>
        <v>5.0000000000000001E-3</v>
      </c>
      <c r="DH186">
        <f t="shared" si="92"/>
        <v>5.0000000000000001E-4</v>
      </c>
      <c r="DI186"/>
      <c r="DJ186">
        <f t="shared" ref="DJ186:EO186" si="93">AVERAGE(DJ138,DJ162)</f>
        <v>3.0000000000000001E-3</v>
      </c>
      <c r="DK186">
        <f t="shared" si="93"/>
        <v>1.5E-3</v>
      </c>
      <c r="DL186">
        <f t="shared" si="93"/>
        <v>1.5E-3</v>
      </c>
      <c r="DM186" t="e">
        <f t="shared" si="93"/>
        <v>#DIV/0!</v>
      </c>
      <c r="DN186">
        <f t="shared" si="93"/>
        <v>2.5000000000000001E-3</v>
      </c>
      <c r="DO186">
        <f t="shared" si="93"/>
        <v>1E-3</v>
      </c>
      <c r="DP186">
        <f t="shared" si="93"/>
        <v>1E-3</v>
      </c>
      <c r="DQ186">
        <f t="shared" si="93"/>
        <v>8.0000000000000002E-3</v>
      </c>
      <c r="DR186">
        <f t="shared" si="93"/>
        <v>2.5000000000000001E-3</v>
      </c>
      <c r="DS186">
        <f t="shared" si="93"/>
        <v>3.5000000000000001E-3</v>
      </c>
      <c r="DT186">
        <f t="shared" si="93"/>
        <v>2E-3</v>
      </c>
      <c r="DU186">
        <f t="shared" si="93"/>
        <v>5.0000000000000001E-4</v>
      </c>
      <c r="DV186" t="e">
        <f t="shared" si="93"/>
        <v>#DIV/0!</v>
      </c>
      <c r="DW186">
        <f t="shared" si="93"/>
        <v>1E-3</v>
      </c>
      <c r="DX186">
        <f t="shared" si="93"/>
        <v>2E-3</v>
      </c>
      <c r="DY186">
        <f t="shared" si="93"/>
        <v>3.0000000000000001E-3</v>
      </c>
      <c r="DZ186">
        <f t="shared" si="93"/>
        <v>7.0000000000000001E-3</v>
      </c>
      <c r="EA186">
        <f t="shared" si="93"/>
        <v>5.0000000000000001E-4</v>
      </c>
      <c r="EB186">
        <f t="shared" si="93"/>
        <v>1E-3</v>
      </c>
      <c r="EC186">
        <f t="shared" si="93"/>
        <v>2E-3</v>
      </c>
      <c r="ED186">
        <f t="shared" si="93"/>
        <v>2E-3</v>
      </c>
      <c r="EE186">
        <f t="shared" si="93"/>
        <v>3.0000000000000001E-3</v>
      </c>
      <c r="EF186">
        <f t="shared" si="93"/>
        <v>2E-3</v>
      </c>
      <c r="EG186">
        <f t="shared" si="93"/>
        <v>1.5E-3</v>
      </c>
      <c r="EH186">
        <f t="shared" si="93"/>
        <v>2.5000000000000001E-3</v>
      </c>
      <c r="EI186">
        <f t="shared" si="93"/>
        <v>5.0000000000000001E-4</v>
      </c>
      <c r="EJ186">
        <f t="shared" si="93"/>
        <v>5.0000000000000001E-4</v>
      </c>
      <c r="EK186">
        <f t="shared" si="93"/>
        <v>5.0000000000000001E-4</v>
      </c>
      <c r="EL186">
        <f t="shared" si="93"/>
        <v>1E-3</v>
      </c>
      <c r="EM186">
        <f t="shared" si="93"/>
        <v>1.5E-3</v>
      </c>
      <c r="EN186">
        <f t="shared" si="93"/>
        <v>1E-3</v>
      </c>
      <c r="EO186">
        <f t="shared" si="93"/>
        <v>4.0000000000000001E-3</v>
      </c>
      <c r="EP186">
        <f t="shared" ref="EP186:FU186" si="94">AVERAGE(EP138,EP162)</f>
        <v>4.0000000000000001E-3</v>
      </c>
      <c r="EQ186">
        <f t="shared" si="94"/>
        <v>1.5E-3</v>
      </c>
      <c r="ER186">
        <f t="shared" si="94"/>
        <v>2E-3</v>
      </c>
      <c r="ES186">
        <f t="shared" si="94"/>
        <v>1E-3</v>
      </c>
      <c r="ET186" t="e">
        <f t="shared" si="94"/>
        <v>#DIV/0!</v>
      </c>
      <c r="EU186">
        <f t="shared" si="94"/>
        <v>1E-3</v>
      </c>
      <c r="EV186">
        <f t="shared" si="94"/>
        <v>2.5000000000000001E-3</v>
      </c>
      <c r="EW186">
        <f t="shared" si="94"/>
        <v>1E-3</v>
      </c>
      <c r="EX186">
        <f t="shared" si="94"/>
        <v>1.5E-3</v>
      </c>
      <c r="EY186">
        <f t="shared" si="94"/>
        <v>8.0000000000000002E-3</v>
      </c>
      <c r="EZ186">
        <f t="shared" si="94"/>
        <v>5.0000000000000001E-4</v>
      </c>
      <c r="FA186">
        <f t="shared" si="94"/>
        <v>5.0000000000000001E-4</v>
      </c>
      <c r="FB186">
        <f t="shared" si="94"/>
        <v>5.0000000000000001E-4</v>
      </c>
      <c r="FC186">
        <f t="shared" si="94"/>
        <v>2E-3</v>
      </c>
      <c r="FD186">
        <f t="shared" si="94"/>
        <v>6.5000000000000006E-3</v>
      </c>
      <c r="FE186">
        <f t="shared" si="94"/>
        <v>6.0000000000000001E-3</v>
      </c>
      <c r="FF186">
        <f t="shared" si="94"/>
        <v>7.4999999999999997E-3</v>
      </c>
      <c r="FG186">
        <f t="shared" si="94"/>
        <v>0</v>
      </c>
      <c r="FH186">
        <f t="shared" si="94"/>
        <v>1.5E-3</v>
      </c>
      <c r="FI186" t="e">
        <f t="shared" si="94"/>
        <v>#DIV/0!</v>
      </c>
      <c r="FJ186">
        <f t="shared" si="94"/>
        <v>3.5000000000000001E-3</v>
      </c>
      <c r="FK186">
        <f t="shared" si="94"/>
        <v>2.5000000000000001E-3</v>
      </c>
      <c r="FL186">
        <f t="shared" si="94"/>
        <v>8.5000000000000006E-3</v>
      </c>
      <c r="FM186">
        <f t="shared" si="94"/>
        <v>5.0000000000000001E-4</v>
      </c>
      <c r="FN186">
        <f t="shared" si="94"/>
        <v>0</v>
      </c>
      <c r="FO186">
        <f t="shared" si="94"/>
        <v>7.0000000000000001E-3</v>
      </c>
      <c r="FP186">
        <f t="shared" si="94"/>
        <v>1.5E-3</v>
      </c>
      <c r="FQ186">
        <f t="shared" si="94"/>
        <v>5.0000000000000001E-4</v>
      </c>
      <c r="FR186">
        <f t="shared" si="94"/>
        <v>1.5E-3</v>
      </c>
      <c r="FS186">
        <f t="shared" si="94"/>
        <v>1.5E-3</v>
      </c>
      <c r="FT186">
        <f t="shared" si="94"/>
        <v>5.0000000000000001E-3</v>
      </c>
      <c r="FU186">
        <f t="shared" si="94"/>
        <v>1E-3</v>
      </c>
      <c r="FV186">
        <f t="shared" ref="FV186:GM186" si="95">AVERAGE(FV138,FV162)</f>
        <v>2E-3</v>
      </c>
      <c r="FW186">
        <f t="shared" si="95"/>
        <v>1E-3</v>
      </c>
      <c r="FX186">
        <f t="shared" si="95"/>
        <v>1.5E-3</v>
      </c>
      <c r="FY186">
        <f t="shared" si="95"/>
        <v>2.5000000000000001E-3</v>
      </c>
      <c r="FZ186">
        <f t="shared" si="95"/>
        <v>5.4999999999999997E-3</v>
      </c>
      <c r="GA186">
        <f t="shared" si="95"/>
        <v>2.5000000000000001E-3</v>
      </c>
      <c r="GB186">
        <f t="shared" si="95"/>
        <v>5.0000000000000001E-4</v>
      </c>
      <c r="GC186">
        <f t="shared" si="95"/>
        <v>5.0000000000000001E-4</v>
      </c>
      <c r="GD186">
        <f t="shared" si="95"/>
        <v>5.4999999999999997E-3</v>
      </c>
      <c r="GE186">
        <f t="shared" si="95"/>
        <v>1.5E-3</v>
      </c>
      <c r="GF186">
        <f t="shared" si="95"/>
        <v>1.5E-3</v>
      </c>
      <c r="GG186">
        <f t="shared" si="95"/>
        <v>2E-3</v>
      </c>
      <c r="GH186">
        <f t="shared" si="95"/>
        <v>1E-3</v>
      </c>
      <c r="GI186">
        <f t="shared" si="95"/>
        <v>2.5000000000000001E-3</v>
      </c>
      <c r="GJ186">
        <f t="shared" si="95"/>
        <v>1.5E-3</v>
      </c>
      <c r="GK186">
        <f t="shared" si="95"/>
        <v>3.0000000000000001E-3</v>
      </c>
      <c r="GL186">
        <f t="shared" si="95"/>
        <v>6.0000000000000001E-3</v>
      </c>
      <c r="GM186">
        <f t="shared" si="95"/>
        <v>5.4999999999999997E-3</v>
      </c>
    </row>
    <row r="187" spans="7:195" ht="14.4" x14ac:dyDescent="0.3">
      <c r="G187">
        <v>10</v>
      </c>
      <c r="H187" t="s">
        <v>886</v>
      </c>
      <c r="I187">
        <f t="shared" ref="I187:AN187" si="96">AVERAGE(I139,I163)</f>
        <v>5.0000000000000001E-3</v>
      </c>
      <c r="J187">
        <f t="shared" si="96"/>
        <v>1E-3</v>
      </c>
      <c r="K187">
        <f t="shared" si="96"/>
        <v>1.5E-3</v>
      </c>
      <c r="L187">
        <f t="shared" si="96"/>
        <v>8.5000000000000006E-3</v>
      </c>
      <c r="M187">
        <f t="shared" si="96"/>
        <v>2.5000000000000001E-3</v>
      </c>
      <c r="N187">
        <f t="shared" si="96"/>
        <v>1.5E-3</v>
      </c>
      <c r="O187">
        <f t="shared" si="96"/>
        <v>1.5E-3</v>
      </c>
      <c r="P187">
        <f t="shared" si="96"/>
        <v>1E-3</v>
      </c>
      <c r="Q187">
        <f t="shared" si="96"/>
        <v>5.0000000000000001E-4</v>
      </c>
      <c r="R187">
        <f t="shared" si="96"/>
        <v>1.5E-3</v>
      </c>
      <c r="S187">
        <f t="shared" si="96"/>
        <v>3.0000000000000001E-3</v>
      </c>
      <c r="T187">
        <f t="shared" si="96"/>
        <v>1E-3</v>
      </c>
      <c r="U187">
        <f t="shared" si="96"/>
        <v>1.5E-3</v>
      </c>
      <c r="V187">
        <f t="shared" si="96"/>
        <v>1E-3</v>
      </c>
      <c r="W187">
        <f t="shared" si="96"/>
        <v>3.5000000000000001E-3</v>
      </c>
      <c r="X187">
        <f t="shared" si="96"/>
        <v>1E-3</v>
      </c>
      <c r="Y187">
        <f t="shared" si="96"/>
        <v>2.5000000000000001E-3</v>
      </c>
      <c r="Z187">
        <f t="shared" si="96"/>
        <v>5.0000000000000001E-3</v>
      </c>
      <c r="AA187">
        <f t="shared" si="96"/>
        <v>4.0000000000000001E-3</v>
      </c>
      <c r="AB187">
        <f t="shared" si="96"/>
        <v>3.5000000000000001E-3</v>
      </c>
      <c r="AC187">
        <f t="shared" si="96"/>
        <v>1E-3</v>
      </c>
      <c r="AD187">
        <f t="shared" si="96"/>
        <v>6.0000000000000001E-3</v>
      </c>
      <c r="AE187">
        <f t="shared" si="96"/>
        <v>2E-3</v>
      </c>
      <c r="AF187">
        <f t="shared" si="96"/>
        <v>1E-3</v>
      </c>
      <c r="AG187">
        <f t="shared" si="96"/>
        <v>1.5E-3</v>
      </c>
      <c r="AH187">
        <f t="shared" si="96"/>
        <v>5.0000000000000001E-3</v>
      </c>
      <c r="AI187">
        <f t="shared" si="96"/>
        <v>6.5000000000000006E-3</v>
      </c>
      <c r="AJ187">
        <f t="shared" si="96"/>
        <v>1E-3</v>
      </c>
      <c r="AK187">
        <f t="shared" si="96"/>
        <v>3.5000000000000001E-3</v>
      </c>
      <c r="AL187">
        <f t="shared" si="96"/>
        <v>0.01</v>
      </c>
      <c r="AM187">
        <f t="shared" si="96"/>
        <v>1E-3</v>
      </c>
      <c r="AN187">
        <f t="shared" si="96"/>
        <v>1.15E-2</v>
      </c>
      <c r="AO187">
        <f t="shared" ref="AO187:BT187" si="97">AVERAGE(AO139,AO163)</f>
        <v>0.01</v>
      </c>
      <c r="AP187">
        <f t="shared" si="97"/>
        <v>1.5E-3</v>
      </c>
      <c r="AQ187">
        <f t="shared" si="97"/>
        <v>1E-3</v>
      </c>
      <c r="AR187">
        <f t="shared" si="97"/>
        <v>2.5000000000000001E-3</v>
      </c>
      <c r="AS187" t="e">
        <f t="shared" si="97"/>
        <v>#DIV/0!</v>
      </c>
      <c r="AT187">
        <f t="shared" si="97"/>
        <v>6.5000000000000006E-3</v>
      </c>
      <c r="AU187">
        <f t="shared" si="97"/>
        <v>1.5E-3</v>
      </c>
      <c r="AV187">
        <f t="shared" si="97"/>
        <v>1.0499999999999999E-2</v>
      </c>
      <c r="AW187">
        <f t="shared" si="97"/>
        <v>1E-3</v>
      </c>
      <c r="AX187">
        <f t="shared" si="97"/>
        <v>1E-3</v>
      </c>
      <c r="AY187" t="e">
        <f t="shared" si="97"/>
        <v>#DIV/0!</v>
      </c>
      <c r="AZ187">
        <f t="shared" si="97"/>
        <v>5.0000000000000001E-4</v>
      </c>
      <c r="BA187">
        <f t="shared" si="97"/>
        <v>1E-3</v>
      </c>
      <c r="BB187">
        <f t="shared" si="97"/>
        <v>2.5000000000000001E-3</v>
      </c>
      <c r="BC187">
        <f t="shared" si="97"/>
        <v>5.4999999999999997E-3</v>
      </c>
      <c r="BD187">
        <f t="shared" si="97"/>
        <v>5.0000000000000001E-4</v>
      </c>
      <c r="BE187">
        <f t="shared" si="97"/>
        <v>5.4999999999999997E-3</v>
      </c>
      <c r="BF187">
        <f t="shared" si="97"/>
        <v>2.5000000000000001E-3</v>
      </c>
      <c r="BG187">
        <f t="shared" si="97"/>
        <v>2E-3</v>
      </c>
      <c r="BH187">
        <f t="shared" si="97"/>
        <v>1.5E-3</v>
      </c>
      <c r="BI187">
        <f t="shared" si="97"/>
        <v>4.0000000000000001E-3</v>
      </c>
      <c r="BJ187">
        <f t="shared" si="97"/>
        <v>8.5000000000000006E-3</v>
      </c>
      <c r="BK187">
        <f t="shared" si="97"/>
        <v>4.5000000000000005E-3</v>
      </c>
      <c r="BL187">
        <f t="shared" si="97"/>
        <v>1.5E-3</v>
      </c>
      <c r="BM187">
        <f t="shared" si="97"/>
        <v>4.5000000000000005E-3</v>
      </c>
      <c r="BN187">
        <f t="shared" si="97"/>
        <v>2.5000000000000001E-3</v>
      </c>
      <c r="BO187">
        <f t="shared" si="97"/>
        <v>1E-3</v>
      </c>
      <c r="BP187">
        <f t="shared" si="97"/>
        <v>1E-3</v>
      </c>
      <c r="BQ187">
        <f t="shared" si="97"/>
        <v>5.4999999999999997E-3</v>
      </c>
      <c r="BR187">
        <f t="shared" si="97"/>
        <v>5.0000000000000001E-3</v>
      </c>
      <c r="BS187">
        <f t="shared" si="97"/>
        <v>1.5E-3</v>
      </c>
      <c r="BT187">
        <f t="shared" si="97"/>
        <v>5.0000000000000001E-4</v>
      </c>
      <c r="BU187">
        <f t="shared" ref="BU187:CZ187" si="98">AVERAGE(BU139,BU163)</f>
        <v>5.0000000000000001E-3</v>
      </c>
      <c r="BV187">
        <f t="shared" si="98"/>
        <v>1E-3</v>
      </c>
      <c r="BW187">
        <f t="shared" si="98"/>
        <v>2E-3</v>
      </c>
      <c r="BX187">
        <f t="shared" si="98"/>
        <v>3.5000000000000001E-3</v>
      </c>
      <c r="BY187">
        <f t="shared" si="98"/>
        <v>6.0000000000000001E-3</v>
      </c>
      <c r="BZ187">
        <f t="shared" si="98"/>
        <v>5.4999999999999997E-3</v>
      </c>
      <c r="CA187">
        <f t="shared" si="98"/>
        <v>4.5000000000000005E-3</v>
      </c>
      <c r="CB187">
        <f t="shared" si="98"/>
        <v>5.0000000000000001E-3</v>
      </c>
      <c r="CC187">
        <f t="shared" si="98"/>
        <v>3.0000000000000001E-3</v>
      </c>
      <c r="CD187">
        <f t="shared" si="98"/>
        <v>1E-3</v>
      </c>
      <c r="CE187">
        <f t="shared" si="98"/>
        <v>5.0000000000000001E-4</v>
      </c>
      <c r="CF187">
        <f t="shared" si="98"/>
        <v>3.0000000000000001E-3</v>
      </c>
      <c r="CG187">
        <f t="shared" si="98"/>
        <v>2.5000000000000001E-3</v>
      </c>
      <c r="CH187">
        <f t="shared" si="98"/>
        <v>1E-3</v>
      </c>
      <c r="CI187">
        <f t="shared" si="98"/>
        <v>3.0000000000000001E-3</v>
      </c>
      <c r="CJ187">
        <f t="shared" si="98"/>
        <v>1E-3</v>
      </c>
      <c r="CK187">
        <f t="shared" si="98"/>
        <v>5.0000000000000001E-4</v>
      </c>
      <c r="CL187">
        <f t="shared" si="98"/>
        <v>5.0000000000000001E-4</v>
      </c>
      <c r="CM187">
        <f t="shared" si="98"/>
        <v>3.0000000000000001E-3</v>
      </c>
      <c r="CN187">
        <f t="shared" si="98"/>
        <v>1E-3</v>
      </c>
      <c r="CO187">
        <f t="shared" si="98"/>
        <v>1E-3</v>
      </c>
      <c r="CP187">
        <f t="shared" si="98"/>
        <v>4.0000000000000001E-3</v>
      </c>
      <c r="CQ187">
        <f t="shared" si="98"/>
        <v>6.0000000000000001E-3</v>
      </c>
      <c r="CR187">
        <f t="shared" si="98"/>
        <v>3.0000000000000001E-3</v>
      </c>
      <c r="CS187">
        <f t="shared" si="98"/>
        <v>1E-3</v>
      </c>
      <c r="CT187">
        <f t="shared" si="98"/>
        <v>3.0000000000000001E-3</v>
      </c>
      <c r="CU187">
        <f t="shared" si="98"/>
        <v>3.0000000000000001E-3</v>
      </c>
      <c r="CV187">
        <f t="shared" si="98"/>
        <v>2E-3</v>
      </c>
      <c r="CW187">
        <f t="shared" si="98"/>
        <v>1E-3</v>
      </c>
      <c r="CX187">
        <f t="shared" si="98"/>
        <v>1.8499999999999999E-2</v>
      </c>
      <c r="CY187">
        <f t="shared" si="98"/>
        <v>5.4999999999999997E-3</v>
      </c>
      <c r="CZ187">
        <f t="shared" si="98"/>
        <v>1.5E-3</v>
      </c>
      <c r="DA187">
        <f t="shared" ref="DA187:DH187" si="99">AVERAGE(DA139,DA163)</f>
        <v>2.5000000000000001E-3</v>
      </c>
      <c r="DB187">
        <f t="shared" si="99"/>
        <v>5.0000000000000001E-4</v>
      </c>
      <c r="DC187">
        <f t="shared" si="99"/>
        <v>4.5000000000000005E-3</v>
      </c>
      <c r="DD187">
        <f t="shared" si="99"/>
        <v>0.01</v>
      </c>
      <c r="DE187">
        <f t="shared" si="99"/>
        <v>1.5E-3</v>
      </c>
      <c r="DF187">
        <f t="shared" si="99"/>
        <v>0</v>
      </c>
      <c r="DG187">
        <f t="shared" si="99"/>
        <v>5.4999999999999997E-3</v>
      </c>
      <c r="DH187">
        <f t="shared" si="99"/>
        <v>5.0000000000000001E-4</v>
      </c>
      <c r="DI187"/>
      <c r="DJ187">
        <f t="shared" ref="DJ187:EO187" si="100">AVERAGE(DJ139,DJ163)</f>
        <v>3.5000000000000001E-3</v>
      </c>
      <c r="DK187">
        <f t="shared" si="100"/>
        <v>2E-3</v>
      </c>
      <c r="DL187">
        <f t="shared" si="100"/>
        <v>2E-3</v>
      </c>
      <c r="DM187" t="e">
        <f t="shared" si="100"/>
        <v>#DIV/0!</v>
      </c>
      <c r="DN187">
        <f t="shared" si="100"/>
        <v>3.5000000000000001E-3</v>
      </c>
      <c r="DO187">
        <f t="shared" si="100"/>
        <v>1E-3</v>
      </c>
      <c r="DP187">
        <f t="shared" si="100"/>
        <v>1E-3</v>
      </c>
      <c r="DQ187">
        <f t="shared" si="100"/>
        <v>1.0999999999999999E-2</v>
      </c>
      <c r="DR187">
        <f t="shared" si="100"/>
        <v>3.0000000000000001E-3</v>
      </c>
      <c r="DS187">
        <f t="shared" si="100"/>
        <v>6.0000000000000001E-3</v>
      </c>
      <c r="DT187">
        <f t="shared" si="100"/>
        <v>2E-3</v>
      </c>
      <c r="DU187">
        <f t="shared" si="100"/>
        <v>5.0000000000000001E-4</v>
      </c>
      <c r="DV187" t="e">
        <f t="shared" si="100"/>
        <v>#DIV/0!</v>
      </c>
      <c r="DW187">
        <f t="shared" si="100"/>
        <v>1E-3</v>
      </c>
      <c r="DX187">
        <f t="shared" si="100"/>
        <v>2.5000000000000001E-3</v>
      </c>
      <c r="DY187">
        <f t="shared" si="100"/>
        <v>4.0000000000000001E-3</v>
      </c>
      <c r="DZ187">
        <f t="shared" si="100"/>
        <v>8.5000000000000006E-3</v>
      </c>
      <c r="EA187">
        <f t="shared" si="100"/>
        <v>5.0000000000000001E-4</v>
      </c>
      <c r="EB187">
        <f t="shared" si="100"/>
        <v>1E-3</v>
      </c>
      <c r="EC187">
        <f t="shared" si="100"/>
        <v>2.5000000000000001E-3</v>
      </c>
      <c r="ED187">
        <f t="shared" si="100"/>
        <v>2E-3</v>
      </c>
      <c r="EE187">
        <f t="shared" si="100"/>
        <v>4.5000000000000005E-3</v>
      </c>
      <c r="EF187">
        <f t="shared" si="100"/>
        <v>2.5000000000000001E-3</v>
      </c>
      <c r="EG187">
        <f t="shared" si="100"/>
        <v>2E-3</v>
      </c>
      <c r="EH187">
        <f t="shared" si="100"/>
        <v>3.0000000000000001E-3</v>
      </c>
      <c r="EI187">
        <f t="shared" si="100"/>
        <v>1.5E-3</v>
      </c>
      <c r="EJ187">
        <f t="shared" si="100"/>
        <v>1E-3</v>
      </c>
      <c r="EK187">
        <f t="shared" si="100"/>
        <v>5.0000000000000001E-4</v>
      </c>
      <c r="EL187">
        <f t="shared" si="100"/>
        <v>1E-3</v>
      </c>
      <c r="EM187">
        <f t="shared" si="100"/>
        <v>2E-3</v>
      </c>
      <c r="EN187">
        <f t="shared" si="100"/>
        <v>1.5E-3</v>
      </c>
      <c r="EO187">
        <f t="shared" si="100"/>
        <v>4.5000000000000005E-3</v>
      </c>
      <c r="EP187">
        <f t="shared" ref="EP187:FU187" si="101">AVERAGE(EP139,EP163)</f>
        <v>5.0000000000000001E-3</v>
      </c>
      <c r="EQ187">
        <f t="shared" si="101"/>
        <v>2E-3</v>
      </c>
      <c r="ER187">
        <f t="shared" si="101"/>
        <v>3.0000000000000001E-3</v>
      </c>
      <c r="ES187">
        <f t="shared" si="101"/>
        <v>1.5E-3</v>
      </c>
      <c r="ET187" t="e">
        <f t="shared" si="101"/>
        <v>#DIV/0!</v>
      </c>
      <c r="EU187">
        <f t="shared" si="101"/>
        <v>1E-3</v>
      </c>
      <c r="EV187">
        <f t="shared" si="101"/>
        <v>3.5000000000000001E-3</v>
      </c>
      <c r="EW187">
        <f t="shared" si="101"/>
        <v>1E-3</v>
      </c>
      <c r="EX187">
        <f t="shared" si="101"/>
        <v>2E-3</v>
      </c>
      <c r="EY187">
        <f t="shared" si="101"/>
        <v>9.4999999999999998E-3</v>
      </c>
      <c r="EZ187">
        <f t="shared" si="101"/>
        <v>5.0000000000000001E-4</v>
      </c>
      <c r="FA187">
        <f t="shared" si="101"/>
        <v>1.5E-3</v>
      </c>
      <c r="FB187">
        <f t="shared" si="101"/>
        <v>5.0000000000000001E-4</v>
      </c>
      <c r="FC187">
        <f t="shared" si="101"/>
        <v>2.5000000000000001E-3</v>
      </c>
      <c r="FD187">
        <f t="shared" si="101"/>
        <v>7.4999999999999997E-3</v>
      </c>
      <c r="FE187">
        <f t="shared" si="101"/>
        <v>9.4999999999999998E-3</v>
      </c>
      <c r="FF187">
        <f t="shared" si="101"/>
        <v>8.9999999999999993E-3</v>
      </c>
      <c r="FG187">
        <f t="shared" si="101"/>
        <v>5.0000000000000001E-4</v>
      </c>
      <c r="FH187">
        <f t="shared" si="101"/>
        <v>2E-3</v>
      </c>
      <c r="FI187" t="e">
        <f t="shared" si="101"/>
        <v>#DIV/0!</v>
      </c>
      <c r="FJ187">
        <f t="shared" si="101"/>
        <v>5.0000000000000001E-3</v>
      </c>
      <c r="FK187">
        <f t="shared" si="101"/>
        <v>3.0000000000000001E-3</v>
      </c>
      <c r="FL187">
        <f t="shared" si="101"/>
        <v>1.15E-2</v>
      </c>
      <c r="FM187">
        <f t="shared" si="101"/>
        <v>5.0000000000000001E-4</v>
      </c>
      <c r="FN187">
        <f t="shared" si="101"/>
        <v>5.0000000000000001E-4</v>
      </c>
      <c r="FO187">
        <f t="shared" si="101"/>
        <v>7.0000000000000001E-3</v>
      </c>
      <c r="FP187">
        <f t="shared" si="101"/>
        <v>2.5000000000000001E-3</v>
      </c>
      <c r="FQ187">
        <f t="shared" si="101"/>
        <v>1E-3</v>
      </c>
      <c r="FR187">
        <f t="shared" si="101"/>
        <v>2.5000000000000001E-3</v>
      </c>
      <c r="FS187">
        <f t="shared" si="101"/>
        <v>1.5E-3</v>
      </c>
      <c r="FT187">
        <f t="shared" si="101"/>
        <v>7.0000000000000001E-3</v>
      </c>
      <c r="FU187">
        <f t="shared" si="101"/>
        <v>1.5E-3</v>
      </c>
      <c r="FV187">
        <f t="shared" ref="FV187:GM187" si="102">AVERAGE(FV139,FV163)</f>
        <v>2.5000000000000001E-3</v>
      </c>
      <c r="FW187">
        <f t="shared" si="102"/>
        <v>1E-3</v>
      </c>
      <c r="FX187">
        <f t="shared" si="102"/>
        <v>2E-3</v>
      </c>
      <c r="FY187">
        <f t="shared" si="102"/>
        <v>3.5000000000000001E-3</v>
      </c>
      <c r="FZ187">
        <f t="shared" si="102"/>
        <v>7.0000000000000001E-3</v>
      </c>
      <c r="GA187">
        <f t="shared" si="102"/>
        <v>4.0000000000000001E-3</v>
      </c>
      <c r="GB187">
        <f t="shared" si="102"/>
        <v>5.0000000000000001E-4</v>
      </c>
      <c r="GC187">
        <f t="shared" si="102"/>
        <v>1E-3</v>
      </c>
      <c r="GD187">
        <f t="shared" si="102"/>
        <v>6.5000000000000006E-3</v>
      </c>
      <c r="GE187">
        <f t="shared" si="102"/>
        <v>1.5E-3</v>
      </c>
      <c r="GF187">
        <f t="shared" si="102"/>
        <v>1.5E-3</v>
      </c>
      <c r="GG187">
        <f t="shared" si="102"/>
        <v>3.0000000000000001E-3</v>
      </c>
      <c r="GH187">
        <f t="shared" si="102"/>
        <v>1.5E-3</v>
      </c>
      <c r="GI187">
        <f t="shared" si="102"/>
        <v>3.0000000000000001E-3</v>
      </c>
      <c r="GJ187">
        <f t="shared" si="102"/>
        <v>2E-3</v>
      </c>
      <c r="GK187">
        <f t="shared" si="102"/>
        <v>4.0000000000000001E-3</v>
      </c>
      <c r="GL187">
        <f t="shared" si="102"/>
        <v>8.0000000000000002E-3</v>
      </c>
      <c r="GM187">
        <f t="shared" si="102"/>
        <v>8.9999999999999993E-3</v>
      </c>
    </row>
    <row r="188" spans="7:195" ht="14.4" x14ac:dyDescent="0.3">
      <c r="G188">
        <v>11</v>
      </c>
      <c r="H188" t="s">
        <v>887</v>
      </c>
      <c r="I188">
        <f t="shared" ref="I188:AN188" si="103">AVERAGE(I140,I164)</f>
        <v>6.0000000000000001E-3</v>
      </c>
      <c r="J188">
        <f t="shared" si="103"/>
        <v>1.5E-3</v>
      </c>
      <c r="K188">
        <f t="shared" si="103"/>
        <v>2.5000000000000001E-3</v>
      </c>
      <c r="L188">
        <f t="shared" si="103"/>
        <v>9.4999999999999998E-3</v>
      </c>
      <c r="M188">
        <f t="shared" si="103"/>
        <v>3.5000000000000001E-3</v>
      </c>
      <c r="N188">
        <f t="shared" si="103"/>
        <v>2.5000000000000001E-3</v>
      </c>
      <c r="O188">
        <f t="shared" si="103"/>
        <v>2.5000000000000001E-3</v>
      </c>
      <c r="P188">
        <f t="shared" si="103"/>
        <v>1.5E-3</v>
      </c>
      <c r="Q188">
        <f t="shared" si="103"/>
        <v>1E-3</v>
      </c>
      <c r="R188">
        <f t="shared" si="103"/>
        <v>2E-3</v>
      </c>
      <c r="S188">
        <f t="shared" si="103"/>
        <v>3.5000000000000001E-3</v>
      </c>
      <c r="T188">
        <f t="shared" si="103"/>
        <v>1E-3</v>
      </c>
      <c r="U188">
        <f t="shared" si="103"/>
        <v>2.5000000000000001E-3</v>
      </c>
      <c r="V188">
        <f t="shared" si="103"/>
        <v>1.5E-3</v>
      </c>
      <c r="W188">
        <f t="shared" si="103"/>
        <v>5.0000000000000001E-3</v>
      </c>
      <c r="X188">
        <f t="shared" si="103"/>
        <v>1.5E-3</v>
      </c>
      <c r="Y188">
        <f t="shared" si="103"/>
        <v>4.0000000000000001E-3</v>
      </c>
      <c r="Z188">
        <f t="shared" si="103"/>
        <v>6.0000000000000001E-3</v>
      </c>
      <c r="AA188">
        <f t="shared" si="103"/>
        <v>5.4999999999999997E-3</v>
      </c>
      <c r="AB188">
        <f t="shared" si="103"/>
        <v>4.0000000000000001E-3</v>
      </c>
      <c r="AC188">
        <f t="shared" si="103"/>
        <v>1.5E-3</v>
      </c>
      <c r="AD188">
        <f t="shared" si="103"/>
        <v>8.5000000000000006E-3</v>
      </c>
      <c r="AE188">
        <f t="shared" si="103"/>
        <v>3.0000000000000001E-3</v>
      </c>
      <c r="AF188">
        <f t="shared" si="103"/>
        <v>1.5E-3</v>
      </c>
      <c r="AG188">
        <f t="shared" si="103"/>
        <v>2.5000000000000001E-3</v>
      </c>
      <c r="AH188">
        <f t="shared" si="103"/>
        <v>6.0000000000000001E-3</v>
      </c>
      <c r="AI188">
        <f t="shared" si="103"/>
        <v>8.0000000000000002E-3</v>
      </c>
      <c r="AJ188">
        <f t="shared" si="103"/>
        <v>2E-3</v>
      </c>
      <c r="AK188">
        <f t="shared" si="103"/>
        <v>4.0000000000000001E-3</v>
      </c>
      <c r="AL188">
        <f t="shared" si="103"/>
        <v>1.2E-2</v>
      </c>
      <c r="AM188">
        <f t="shared" si="103"/>
        <v>1E-3</v>
      </c>
      <c r="AN188">
        <f t="shared" si="103"/>
        <v>1.4499999999999999E-2</v>
      </c>
      <c r="AO188">
        <f t="shared" ref="AO188:BT188" si="104">AVERAGE(AO140,AO164)</f>
        <v>1.15E-2</v>
      </c>
      <c r="AP188">
        <f t="shared" si="104"/>
        <v>1.5E-3</v>
      </c>
      <c r="AQ188">
        <f t="shared" si="104"/>
        <v>1.5E-3</v>
      </c>
      <c r="AR188">
        <f t="shared" si="104"/>
        <v>3.0000000000000001E-3</v>
      </c>
      <c r="AS188" t="e">
        <f t="shared" si="104"/>
        <v>#DIV/0!</v>
      </c>
      <c r="AT188">
        <f t="shared" si="104"/>
        <v>8.0000000000000002E-3</v>
      </c>
      <c r="AU188">
        <f t="shared" si="104"/>
        <v>2E-3</v>
      </c>
      <c r="AV188">
        <f t="shared" si="104"/>
        <v>1.2500000000000001E-2</v>
      </c>
      <c r="AW188">
        <f t="shared" si="104"/>
        <v>1.5E-3</v>
      </c>
      <c r="AX188">
        <f t="shared" si="104"/>
        <v>1.5E-3</v>
      </c>
      <c r="AY188" t="e">
        <f t="shared" si="104"/>
        <v>#DIV/0!</v>
      </c>
      <c r="AZ188">
        <f t="shared" si="104"/>
        <v>1E-3</v>
      </c>
      <c r="BA188">
        <f t="shared" si="104"/>
        <v>1.5E-3</v>
      </c>
      <c r="BB188">
        <f t="shared" si="104"/>
        <v>2.5000000000000001E-3</v>
      </c>
      <c r="BC188">
        <f t="shared" si="104"/>
        <v>6.5000000000000006E-3</v>
      </c>
      <c r="BD188">
        <f t="shared" si="104"/>
        <v>1E-3</v>
      </c>
      <c r="BE188">
        <f t="shared" si="104"/>
        <v>6.5000000000000006E-3</v>
      </c>
      <c r="BF188">
        <f t="shared" si="104"/>
        <v>3.0000000000000001E-3</v>
      </c>
      <c r="BG188">
        <f t="shared" si="104"/>
        <v>2.5000000000000001E-3</v>
      </c>
      <c r="BH188">
        <f t="shared" si="104"/>
        <v>2.5000000000000001E-3</v>
      </c>
      <c r="BI188">
        <f t="shared" si="104"/>
        <v>4.5000000000000005E-3</v>
      </c>
      <c r="BJ188">
        <f t="shared" si="104"/>
        <v>9.9999999999999985E-3</v>
      </c>
      <c r="BK188">
        <f t="shared" si="104"/>
        <v>6.0000000000000001E-3</v>
      </c>
      <c r="BL188">
        <f t="shared" si="104"/>
        <v>2E-3</v>
      </c>
      <c r="BM188">
        <f t="shared" si="104"/>
        <v>5.4999999999999997E-3</v>
      </c>
      <c r="BN188">
        <f t="shared" si="104"/>
        <v>4.0000000000000001E-3</v>
      </c>
      <c r="BO188">
        <f t="shared" si="104"/>
        <v>1.5E-3</v>
      </c>
      <c r="BP188">
        <f t="shared" si="104"/>
        <v>1.5E-3</v>
      </c>
      <c r="BQ188">
        <f t="shared" si="104"/>
        <v>6.5000000000000006E-3</v>
      </c>
      <c r="BR188">
        <f t="shared" si="104"/>
        <v>6.5000000000000006E-3</v>
      </c>
      <c r="BS188">
        <f t="shared" si="104"/>
        <v>2.5000000000000001E-3</v>
      </c>
      <c r="BT188">
        <f t="shared" si="104"/>
        <v>1E-3</v>
      </c>
      <c r="BU188">
        <f t="shared" ref="BU188:CZ188" si="105">AVERAGE(BU140,BU164)</f>
        <v>6.5000000000000006E-3</v>
      </c>
      <c r="BV188">
        <f t="shared" si="105"/>
        <v>1.5E-3</v>
      </c>
      <c r="BW188">
        <f t="shared" si="105"/>
        <v>3.0000000000000001E-3</v>
      </c>
      <c r="BX188">
        <f t="shared" si="105"/>
        <v>4.0000000000000001E-3</v>
      </c>
      <c r="BY188">
        <f t="shared" si="105"/>
        <v>8.0000000000000002E-3</v>
      </c>
      <c r="BZ188">
        <f t="shared" si="105"/>
        <v>7.0000000000000001E-3</v>
      </c>
      <c r="CA188">
        <f t="shared" si="105"/>
        <v>4.5000000000000005E-3</v>
      </c>
      <c r="CB188">
        <f t="shared" si="105"/>
        <v>6.5000000000000006E-3</v>
      </c>
      <c r="CC188">
        <f t="shared" si="105"/>
        <v>3.5000000000000001E-3</v>
      </c>
      <c r="CD188">
        <f t="shared" si="105"/>
        <v>1.5E-3</v>
      </c>
      <c r="CE188">
        <f t="shared" si="105"/>
        <v>1E-3</v>
      </c>
      <c r="CF188">
        <f t="shared" si="105"/>
        <v>4.0000000000000001E-3</v>
      </c>
      <c r="CG188">
        <f t="shared" si="105"/>
        <v>3.5000000000000001E-3</v>
      </c>
      <c r="CH188">
        <f t="shared" si="105"/>
        <v>1.5E-3</v>
      </c>
      <c r="CI188">
        <f t="shared" si="105"/>
        <v>3.5000000000000001E-3</v>
      </c>
      <c r="CJ188">
        <f t="shared" si="105"/>
        <v>1.5E-3</v>
      </c>
      <c r="CK188">
        <f t="shared" si="105"/>
        <v>1E-3</v>
      </c>
      <c r="CL188">
        <f t="shared" si="105"/>
        <v>1E-3</v>
      </c>
      <c r="CM188">
        <f t="shared" si="105"/>
        <v>3.0000000000000001E-3</v>
      </c>
      <c r="CN188">
        <f t="shared" si="105"/>
        <v>1E-3</v>
      </c>
      <c r="CO188">
        <f t="shared" si="105"/>
        <v>2E-3</v>
      </c>
      <c r="CP188">
        <f t="shared" si="105"/>
        <v>5.0000000000000001E-3</v>
      </c>
      <c r="CQ188">
        <f t="shared" si="105"/>
        <v>7.4999999999999997E-3</v>
      </c>
      <c r="CR188">
        <f t="shared" si="105"/>
        <v>4.0000000000000001E-3</v>
      </c>
      <c r="CS188">
        <f t="shared" si="105"/>
        <v>1.5E-3</v>
      </c>
      <c r="CT188">
        <f t="shared" si="105"/>
        <v>4.0000000000000001E-3</v>
      </c>
      <c r="CU188">
        <f t="shared" si="105"/>
        <v>4.0000000000000001E-3</v>
      </c>
      <c r="CV188">
        <f t="shared" si="105"/>
        <v>3.5000000000000001E-3</v>
      </c>
      <c r="CW188">
        <f t="shared" si="105"/>
        <v>2E-3</v>
      </c>
      <c r="CX188">
        <f t="shared" si="105"/>
        <v>2.1999999999999999E-2</v>
      </c>
      <c r="CY188">
        <f t="shared" si="105"/>
        <v>6.5000000000000006E-3</v>
      </c>
      <c r="CZ188">
        <f t="shared" si="105"/>
        <v>2.5000000000000001E-3</v>
      </c>
      <c r="DA188">
        <f t="shared" ref="DA188:DH188" si="106">AVERAGE(DA140,DA164)</f>
        <v>4.0000000000000001E-3</v>
      </c>
      <c r="DB188">
        <f t="shared" si="106"/>
        <v>1E-3</v>
      </c>
      <c r="DC188">
        <f t="shared" si="106"/>
        <v>5.4999999999999997E-3</v>
      </c>
      <c r="DD188">
        <f t="shared" si="106"/>
        <v>1.3999999999999999E-2</v>
      </c>
      <c r="DE188">
        <f t="shared" si="106"/>
        <v>2E-3</v>
      </c>
      <c r="DF188">
        <f t="shared" si="106"/>
        <v>1E-3</v>
      </c>
      <c r="DG188">
        <f t="shared" si="106"/>
        <v>7.0000000000000001E-3</v>
      </c>
      <c r="DH188">
        <f t="shared" si="106"/>
        <v>1E-3</v>
      </c>
      <c r="DI188"/>
      <c r="DJ188">
        <f t="shared" ref="DJ188:EO188" si="107">AVERAGE(DJ140,DJ164)</f>
        <v>4.5000000000000005E-3</v>
      </c>
      <c r="DK188">
        <f t="shared" si="107"/>
        <v>3.0000000000000001E-3</v>
      </c>
      <c r="DL188">
        <f t="shared" si="107"/>
        <v>2E-3</v>
      </c>
      <c r="DM188" t="e">
        <f t="shared" si="107"/>
        <v>#DIV/0!</v>
      </c>
      <c r="DN188">
        <f t="shared" si="107"/>
        <v>5.4999999999999997E-3</v>
      </c>
      <c r="DO188">
        <f t="shared" si="107"/>
        <v>1.5E-3</v>
      </c>
      <c r="DP188">
        <f t="shared" si="107"/>
        <v>2E-3</v>
      </c>
      <c r="DQ188">
        <f t="shared" si="107"/>
        <v>1.2500000000000001E-2</v>
      </c>
      <c r="DR188">
        <f t="shared" si="107"/>
        <v>4.5000000000000005E-3</v>
      </c>
      <c r="DS188">
        <f t="shared" si="107"/>
        <v>7.4999999999999997E-3</v>
      </c>
      <c r="DT188">
        <f t="shared" si="107"/>
        <v>3.5000000000000001E-3</v>
      </c>
      <c r="DU188">
        <f t="shared" si="107"/>
        <v>1E-3</v>
      </c>
      <c r="DV188" t="e">
        <f t="shared" si="107"/>
        <v>#DIV/0!</v>
      </c>
      <c r="DW188">
        <f t="shared" si="107"/>
        <v>1.5E-3</v>
      </c>
      <c r="DX188">
        <f t="shared" si="107"/>
        <v>3.5000000000000001E-3</v>
      </c>
      <c r="DY188">
        <f t="shared" si="107"/>
        <v>5.0000000000000001E-3</v>
      </c>
      <c r="DZ188">
        <f t="shared" si="107"/>
        <v>9.9999999999999985E-3</v>
      </c>
      <c r="EA188">
        <f t="shared" si="107"/>
        <v>1E-3</v>
      </c>
      <c r="EB188">
        <f t="shared" si="107"/>
        <v>1.5E-3</v>
      </c>
      <c r="EC188">
        <f t="shared" si="107"/>
        <v>3.5000000000000001E-3</v>
      </c>
      <c r="ED188">
        <f t="shared" si="107"/>
        <v>2.5000000000000001E-3</v>
      </c>
      <c r="EE188">
        <f t="shared" si="107"/>
        <v>6.0000000000000001E-3</v>
      </c>
      <c r="EF188">
        <f t="shared" si="107"/>
        <v>3.0000000000000001E-3</v>
      </c>
      <c r="EG188">
        <f t="shared" si="107"/>
        <v>2.5000000000000001E-3</v>
      </c>
      <c r="EH188">
        <f t="shared" si="107"/>
        <v>4.5000000000000005E-3</v>
      </c>
      <c r="EI188">
        <f t="shared" si="107"/>
        <v>2E-3</v>
      </c>
      <c r="EJ188">
        <f t="shared" si="107"/>
        <v>1.5E-3</v>
      </c>
      <c r="EK188">
        <f t="shared" si="107"/>
        <v>1E-3</v>
      </c>
      <c r="EL188">
        <f t="shared" si="107"/>
        <v>1.5E-3</v>
      </c>
      <c r="EM188">
        <f t="shared" si="107"/>
        <v>3.5000000000000001E-3</v>
      </c>
      <c r="EN188">
        <f t="shared" si="107"/>
        <v>2E-3</v>
      </c>
      <c r="EO188">
        <f t="shared" si="107"/>
        <v>6.0000000000000001E-3</v>
      </c>
      <c r="EP188">
        <f t="shared" ref="EP188:FU188" si="108">AVERAGE(EP140,EP164)</f>
        <v>6.0000000000000001E-3</v>
      </c>
      <c r="EQ188">
        <f t="shared" si="108"/>
        <v>2.5000000000000001E-3</v>
      </c>
      <c r="ER188">
        <f t="shared" si="108"/>
        <v>4.0000000000000001E-3</v>
      </c>
      <c r="ES188">
        <f t="shared" si="108"/>
        <v>2.5000000000000001E-3</v>
      </c>
      <c r="ET188" t="e">
        <f t="shared" si="108"/>
        <v>#DIV/0!</v>
      </c>
      <c r="EU188">
        <f t="shared" si="108"/>
        <v>1.5E-3</v>
      </c>
      <c r="EV188">
        <f t="shared" si="108"/>
        <v>4.0000000000000001E-3</v>
      </c>
      <c r="EW188">
        <f t="shared" si="108"/>
        <v>1.5E-3</v>
      </c>
      <c r="EX188">
        <f t="shared" si="108"/>
        <v>4.0000000000000001E-3</v>
      </c>
      <c r="EY188">
        <f t="shared" si="108"/>
        <v>1.15E-2</v>
      </c>
      <c r="EZ188">
        <f t="shared" si="108"/>
        <v>1E-3</v>
      </c>
      <c r="FA188">
        <f t="shared" si="108"/>
        <v>2E-3</v>
      </c>
      <c r="FB188">
        <f t="shared" si="108"/>
        <v>1.5E-3</v>
      </c>
      <c r="FC188">
        <f t="shared" si="108"/>
        <v>3.5000000000000001E-3</v>
      </c>
      <c r="FD188">
        <f t="shared" si="108"/>
        <v>9.0000000000000011E-3</v>
      </c>
      <c r="FE188">
        <f t="shared" si="108"/>
        <v>1.0499999999999999E-2</v>
      </c>
      <c r="FF188">
        <f t="shared" si="108"/>
        <v>0.01</v>
      </c>
      <c r="FG188">
        <f t="shared" si="108"/>
        <v>1E-3</v>
      </c>
      <c r="FH188">
        <f t="shared" si="108"/>
        <v>3.0000000000000001E-3</v>
      </c>
      <c r="FI188" t="e">
        <f t="shared" si="108"/>
        <v>#DIV/0!</v>
      </c>
      <c r="FJ188">
        <f t="shared" si="108"/>
        <v>6.0000000000000001E-3</v>
      </c>
      <c r="FK188">
        <f t="shared" si="108"/>
        <v>4.0000000000000001E-3</v>
      </c>
      <c r="FL188">
        <f t="shared" si="108"/>
        <v>1.2500000000000001E-2</v>
      </c>
      <c r="FM188">
        <f t="shared" si="108"/>
        <v>1E-3</v>
      </c>
      <c r="FN188">
        <f t="shared" si="108"/>
        <v>1E-3</v>
      </c>
      <c r="FO188">
        <f t="shared" si="108"/>
        <v>6.4999999999999997E-3</v>
      </c>
      <c r="FP188">
        <f t="shared" si="108"/>
        <v>3.5000000000000001E-3</v>
      </c>
      <c r="FQ188">
        <f t="shared" si="108"/>
        <v>1.5E-3</v>
      </c>
      <c r="FR188">
        <f t="shared" si="108"/>
        <v>3.5000000000000001E-3</v>
      </c>
      <c r="FS188">
        <f t="shared" si="108"/>
        <v>2.5000000000000001E-3</v>
      </c>
      <c r="FT188">
        <f t="shared" si="108"/>
        <v>8.5000000000000006E-3</v>
      </c>
      <c r="FU188">
        <f t="shared" si="108"/>
        <v>2.5000000000000001E-3</v>
      </c>
      <c r="FV188">
        <f t="shared" ref="FV188:GM188" si="109">AVERAGE(FV140,FV164)</f>
        <v>3.0000000000000001E-3</v>
      </c>
      <c r="FW188">
        <f t="shared" si="109"/>
        <v>1.5E-3</v>
      </c>
      <c r="FX188">
        <f t="shared" si="109"/>
        <v>2E-3</v>
      </c>
      <c r="FY188">
        <f t="shared" si="109"/>
        <v>5.0000000000000001E-3</v>
      </c>
      <c r="FZ188">
        <f t="shared" si="109"/>
        <v>8.0000000000000002E-3</v>
      </c>
      <c r="GA188">
        <f t="shared" si="109"/>
        <v>5.4999999999999997E-3</v>
      </c>
      <c r="GB188">
        <f t="shared" si="109"/>
        <v>1E-3</v>
      </c>
      <c r="GC188">
        <f t="shared" si="109"/>
        <v>1.5E-3</v>
      </c>
      <c r="GD188">
        <f t="shared" si="109"/>
        <v>8.0000000000000002E-3</v>
      </c>
      <c r="GE188">
        <f t="shared" si="109"/>
        <v>2E-3</v>
      </c>
      <c r="GF188">
        <f t="shared" si="109"/>
        <v>2.5000000000000001E-3</v>
      </c>
      <c r="GG188">
        <f t="shared" si="109"/>
        <v>4.0000000000000001E-3</v>
      </c>
      <c r="GH188">
        <f t="shared" si="109"/>
        <v>2.5000000000000001E-3</v>
      </c>
      <c r="GI188">
        <f t="shared" si="109"/>
        <v>3.0000000000000001E-3</v>
      </c>
      <c r="GJ188">
        <f t="shared" si="109"/>
        <v>2.5000000000000001E-3</v>
      </c>
      <c r="GK188">
        <f t="shared" si="109"/>
        <v>5.0000000000000001E-3</v>
      </c>
      <c r="GL188">
        <f t="shared" si="109"/>
        <v>9.4999999999999998E-3</v>
      </c>
      <c r="GM188">
        <f t="shared" si="109"/>
        <v>1.2E-2</v>
      </c>
    </row>
    <row r="189" spans="7:195" ht="14.4" x14ac:dyDescent="0.3">
      <c r="G189">
        <v>12</v>
      </c>
      <c r="H189" t="s">
        <v>888</v>
      </c>
      <c r="I189">
        <f t="shared" ref="I189:AN189" si="110">AVERAGE(I141,I165)</f>
        <v>8.0000000000000002E-3</v>
      </c>
      <c r="J189">
        <f t="shared" si="110"/>
        <v>2.5000000000000001E-3</v>
      </c>
      <c r="K189">
        <f t="shared" si="110"/>
        <v>3.5000000000000001E-3</v>
      </c>
      <c r="L189">
        <f t="shared" si="110"/>
        <v>1.0999999999999999E-2</v>
      </c>
      <c r="M189">
        <f t="shared" si="110"/>
        <v>4.5000000000000005E-3</v>
      </c>
      <c r="N189">
        <f t="shared" si="110"/>
        <v>3.0000000000000001E-3</v>
      </c>
      <c r="O189">
        <f t="shared" si="110"/>
        <v>3.5000000000000001E-3</v>
      </c>
      <c r="P189">
        <f t="shared" si="110"/>
        <v>1.5E-3</v>
      </c>
      <c r="Q189">
        <f t="shared" si="110"/>
        <v>1.5E-3</v>
      </c>
      <c r="R189">
        <f t="shared" si="110"/>
        <v>3.5000000000000001E-3</v>
      </c>
      <c r="S189">
        <f t="shared" si="110"/>
        <v>5.0000000000000001E-3</v>
      </c>
      <c r="T189">
        <f t="shared" si="110"/>
        <v>1.5E-3</v>
      </c>
      <c r="U189">
        <f t="shared" si="110"/>
        <v>4.0000000000000001E-3</v>
      </c>
      <c r="V189">
        <f t="shared" si="110"/>
        <v>3.0000000000000001E-3</v>
      </c>
      <c r="W189">
        <f t="shared" si="110"/>
        <v>6.9999999999999993E-3</v>
      </c>
      <c r="X189">
        <f t="shared" si="110"/>
        <v>2E-3</v>
      </c>
      <c r="Y189">
        <f t="shared" si="110"/>
        <v>5.4999999999999997E-3</v>
      </c>
      <c r="Z189">
        <f t="shared" si="110"/>
        <v>7.4999999999999997E-3</v>
      </c>
      <c r="AA189">
        <f t="shared" si="110"/>
        <v>7.0000000000000001E-3</v>
      </c>
      <c r="AB189">
        <f t="shared" si="110"/>
        <v>6.0000000000000001E-3</v>
      </c>
      <c r="AC189">
        <f t="shared" si="110"/>
        <v>2.5000000000000001E-3</v>
      </c>
      <c r="AD189">
        <f t="shared" si="110"/>
        <v>0.01</v>
      </c>
      <c r="AE189">
        <f t="shared" si="110"/>
        <v>4.0000000000000001E-3</v>
      </c>
      <c r="AF189">
        <f t="shared" si="110"/>
        <v>2.5000000000000001E-3</v>
      </c>
      <c r="AG189">
        <f t="shared" si="110"/>
        <v>4.5000000000000005E-3</v>
      </c>
      <c r="AH189">
        <f t="shared" si="110"/>
        <v>7.4999999999999997E-3</v>
      </c>
      <c r="AI189">
        <f t="shared" si="110"/>
        <v>9.4999999999999998E-3</v>
      </c>
      <c r="AJ189">
        <f t="shared" si="110"/>
        <v>3.5000000000000001E-3</v>
      </c>
      <c r="AK189">
        <f t="shared" si="110"/>
        <v>5.4999999999999997E-3</v>
      </c>
      <c r="AL189">
        <f t="shared" si="110"/>
        <v>1.3000000000000001E-2</v>
      </c>
      <c r="AM189">
        <f t="shared" si="110"/>
        <v>2E-3</v>
      </c>
      <c r="AN189">
        <f t="shared" si="110"/>
        <v>1.6E-2</v>
      </c>
      <c r="AO189">
        <f t="shared" ref="AO189:BT189" si="111">AVERAGE(AO141,AO165)</f>
        <v>1.2E-2</v>
      </c>
      <c r="AP189">
        <f t="shared" si="111"/>
        <v>2.5000000000000001E-3</v>
      </c>
      <c r="AQ189">
        <f t="shared" si="111"/>
        <v>2.5000000000000001E-3</v>
      </c>
      <c r="AR189">
        <f t="shared" si="111"/>
        <v>4.0000000000000001E-3</v>
      </c>
      <c r="AS189" t="e">
        <f t="shared" si="111"/>
        <v>#DIV/0!</v>
      </c>
      <c r="AT189">
        <f t="shared" si="111"/>
        <v>9.4999999999999998E-3</v>
      </c>
      <c r="AU189">
        <f t="shared" si="111"/>
        <v>2.5000000000000001E-3</v>
      </c>
      <c r="AV189">
        <f t="shared" si="111"/>
        <v>1.3999999999999999E-2</v>
      </c>
      <c r="AW189">
        <f t="shared" si="111"/>
        <v>3.0000000000000001E-3</v>
      </c>
      <c r="AX189">
        <f t="shared" si="111"/>
        <v>2.5000000000000001E-3</v>
      </c>
      <c r="AY189" t="e">
        <f t="shared" si="111"/>
        <v>#DIV/0!</v>
      </c>
      <c r="AZ189">
        <f t="shared" si="111"/>
        <v>1.5E-3</v>
      </c>
      <c r="BA189">
        <f t="shared" si="111"/>
        <v>2.5000000000000001E-3</v>
      </c>
      <c r="BB189">
        <f t="shared" si="111"/>
        <v>3.5000000000000001E-3</v>
      </c>
      <c r="BC189">
        <f t="shared" si="111"/>
        <v>7.4999999999999997E-3</v>
      </c>
      <c r="BD189">
        <f t="shared" si="111"/>
        <v>2E-3</v>
      </c>
      <c r="BE189">
        <f t="shared" si="111"/>
        <v>7.4999999999999997E-3</v>
      </c>
      <c r="BF189">
        <f t="shared" si="111"/>
        <v>4.5000000000000005E-3</v>
      </c>
      <c r="BG189">
        <f t="shared" si="111"/>
        <v>3.0000000000000001E-3</v>
      </c>
      <c r="BH189">
        <f t="shared" si="111"/>
        <v>4.5000000000000005E-3</v>
      </c>
      <c r="BI189">
        <f t="shared" si="111"/>
        <v>5.4999999999999997E-3</v>
      </c>
      <c r="BJ189">
        <f t="shared" si="111"/>
        <v>1.0499999999999999E-2</v>
      </c>
      <c r="BK189">
        <f t="shared" si="111"/>
        <v>8.5000000000000006E-3</v>
      </c>
      <c r="BL189">
        <f t="shared" si="111"/>
        <v>3.5000000000000001E-3</v>
      </c>
      <c r="BM189">
        <f t="shared" si="111"/>
        <v>7.0000000000000001E-3</v>
      </c>
      <c r="BN189">
        <f t="shared" si="111"/>
        <v>6.0000000000000001E-3</v>
      </c>
      <c r="BO189">
        <f t="shared" si="111"/>
        <v>2E-3</v>
      </c>
      <c r="BP189">
        <f t="shared" si="111"/>
        <v>2.5000000000000001E-3</v>
      </c>
      <c r="BQ189">
        <f t="shared" si="111"/>
        <v>8.0000000000000002E-3</v>
      </c>
      <c r="BR189">
        <f t="shared" si="111"/>
        <v>7.4999999999999997E-3</v>
      </c>
      <c r="BS189">
        <f t="shared" si="111"/>
        <v>4.5000000000000005E-3</v>
      </c>
      <c r="BT189">
        <f t="shared" si="111"/>
        <v>1.5E-3</v>
      </c>
      <c r="BU189">
        <f t="shared" ref="BU189:CZ189" si="112">AVERAGE(BU141,BU165)</f>
        <v>7.4999999999999997E-3</v>
      </c>
      <c r="BV189">
        <f t="shared" si="112"/>
        <v>2E-3</v>
      </c>
      <c r="BW189">
        <f t="shared" si="112"/>
        <v>4.5000000000000005E-3</v>
      </c>
      <c r="BX189">
        <f t="shared" si="112"/>
        <v>6.0000000000000001E-3</v>
      </c>
      <c r="BY189">
        <f t="shared" si="112"/>
        <v>9.4999999999999998E-3</v>
      </c>
      <c r="BZ189">
        <f t="shared" si="112"/>
        <v>8.5000000000000006E-3</v>
      </c>
      <c r="CA189">
        <f t="shared" si="112"/>
        <v>6.5000000000000006E-3</v>
      </c>
      <c r="CB189">
        <f t="shared" si="112"/>
        <v>8.0000000000000002E-3</v>
      </c>
      <c r="CC189">
        <f t="shared" si="112"/>
        <v>4.5000000000000005E-3</v>
      </c>
      <c r="CD189">
        <f t="shared" si="112"/>
        <v>4.0000000000000001E-3</v>
      </c>
      <c r="CE189">
        <f t="shared" si="112"/>
        <v>1.5E-3</v>
      </c>
      <c r="CF189">
        <f t="shared" si="112"/>
        <v>5.4999999999999997E-3</v>
      </c>
      <c r="CG189">
        <f t="shared" si="112"/>
        <v>5.4999999999999997E-3</v>
      </c>
      <c r="CH189">
        <f t="shared" si="112"/>
        <v>2.5000000000000001E-3</v>
      </c>
      <c r="CI189">
        <f t="shared" si="112"/>
        <v>5.0000000000000001E-3</v>
      </c>
      <c r="CJ189">
        <f t="shared" si="112"/>
        <v>2E-3</v>
      </c>
      <c r="CK189">
        <f t="shared" si="112"/>
        <v>1.5E-3</v>
      </c>
      <c r="CL189">
        <f t="shared" si="112"/>
        <v>1.5E-3</v>
      </c>
      <c r="CM189">
        <f t="shared" si="112"/>
        <v>4.0000000000000001E-3</v>
      </c>
      <c r="CN189">
        <f t="shared" si="112"/>
        <v>1.5E-3</v>
      </c>
      <c r="CO189">
        <f t="shared" si="112"/>
        <v>3.5000000000000001E-3</v>
      </c>
      <c r="CP189">
        <f t="shared" si="112"/>
        <v>6.0000000000000001E-3</v>
      </c>
      <c r="CQ189">
        <f t="shared" si="112"/>
        <v>8.0000000000000002E-3</v>
      </c>
      <c r="CR189">
        <f t="shared" si="112"/>
        <v>6.0000000000000001E-3</v>
      </c>
      <c r="CS189">
        <f t="shared" si="112"/>
        <v>2E-3</v>
      </c>
      <c r="CT189">
        <f t="shared" si="112"/>
        <v>5.4999999999999997E-3</v>
      </c>
      <c r="CU189">
        <f t="shared" si="112"/>
        <v>6.0000000000000001E-3</v>
      </c>
      <c r="CV189">
        <f t="shared" si="112"/>
        <v>5.4999999999999997E-3</v>
      </c>
      <c r="CW189">
        <f t="shared" si="112"/>
        <v>2.5000000000000001E-3</v>
      </c>
      <c r="CX189">
        <f t="shared" si="112"/>
        <v>2.3E-2</v>
      </c>
      <c r="CY189">
        <f t="shared" si="112"/>
        <v>8.0000000000000002E-3</v>
      </c>
      <c r="CZ189">
        <f t="shared" si="112"/>
        <v>4.0000000000000001E-3</v>
      </c>
      <c r="DA189">
        <f t="shared" ref="DA189:DH189" si="113">AVERAGE(DA141,DA165)</f>
        <v>5.4999999999999997E-3</v>
      </c>
      <c r="DB189">
        <f t="shared" si="113"/>
        <v>2E-3</v>
      </c>
      <c r="DC189">
        <f t="shared" si="113"/>
        <v>7.0000000000000001E-3</v>
      </c>
      <c r="DD189">
        <f t="shared" si="113"/>
        <v>1.7000000000000001E-2</v>
      </c>
      <c r="DE189">
        <f t="shared" si="113"/>
        <v>3.5000000000000001E-3</v>
      </c>
      <c r="DF189">
        <f t="shared" si="113"/>
        <v>1.5E-3</v>
      </c>
      <c r="DG189">
        <f t="shared" si="113"/>
        <v>8.0000000000000002E-3</v>
      </c>
      <c r="DH189">
        <f t="shared" si="113"/>
        <v>1.5E-3</v>
      </c>
      <c r="DI189"/>
      <c r="DJ189">
        <f t="shared" ref="DJ189:EO189" si="114">AVERAGE(DJ141,DJ165)</f>
        <v>6.0000000000000001E-3</v>
      </c>
      <c r="DK189">
        <f t="shared" si="114"/>
        <v>5.0000000000000001E-3</v>
      </c>
      <c r="DL189">
        <f t="shared" si="114"/>
        <v>3.5000000000000001E-3</v>
      </c>
      <c r="DM189" t="e">
        <f t="shared" si="114"/>
        <v>#DIV/0!</v>
      </c>
      <c r="DN189">
        <f t="shared" si="114"/>
        <v>7.4999999999999997E-3</v>
      </c>
      <c r="DO189">
        <f t="shared" si="114"/>
        <v>3.5000000000000001E-3</v>
      </c>
      <c r="DP189">
        <f t="shared" si="114"/>
        <v>3.0000000000000001E-3</v>
      </c>
      <c r="DQ189">
        <f t="shared" si="114"/>
        <v>1.2500000000000001E-2</v>
      </c>
      <c r="DR189">
        <f t="shared" si="114"/>
        <v>6.0000000000000001E-3</v>
      </c>
      <c r="DS189">
        <f t="shared" si="114"/>
        <v>8.9999999999999993E-3</v>
      </c>
      <c r="DT189">
        <f t="shared" si="114"/>
        <v>5.0000000000000001E-3</v>
      </c>
      <c r="DU189">
        <f t="shared" si="114"/>
        <v>1.5E-3</v>
      </c>
      <c r="DV189" t="e">
        <f t="shared" si="114"/>
        <v>#DIV/0!</v>
      </c>
      <c r="DW189">
        <f t="shared" si="114"/>
        <v>2E-3</v>
      </c>
      <c r="DX189">
        <f t="shared" si="114"/>
        <v>5.0000000000000001E-3</v>
      </c>
      <c r="DY189">
        <f t="shared" si="114"/>
        <v>6.5000000000000006E-3</v>
      </c>
      <c r="DZ189">
        <f t="shared" si="114"/>
        <v>1.0999999999999999E-2</v>
      </c>
      <c r="EA189">
        <f t="shared" si="114"/>
        <v>1.5E-3</v>
      </c>
      <c r="EB189">
        <f t="shared" si="114"/>
        <v>2.5000000000000001E-3</v>
      </c>
      <c r="EC189">
        <f t="shared" si="114"/>
        <v>5.0000000000000001E-3</v>
      </c>
      <c r="ED189">
        <f t="shared" si="114"/>
        <v>3.0000000000000001E-3</v>
      </c>
      <c r="EE189">
        <f t="shared" si="114"/>
        <v>9.4999999999999998E-3</v>
      </c>
      <c r="EF189">
        <f t="shared" si="114"/>
        <v>4.5000000000000005E-3</v>
      </c>
      <c r="EG189">
        <f t="shared" si="114"/>
        <v>3.5000000000000001E-3</v>
      </c>
      <c r="EH189">
        <f t="shared" si="114"/>
        <v>6.9999999999999993E-3</v>
      </c>
      <c r="EI189">
        <f t="shared" si="114"/>
        <v>3.5000000000000001E-3</v>
      </c>
      <c r="EJ189">
        <f t="shared" si="114"/>
        <v>3.0000000000000001E-3</v>
      </c>
      <c r="EK189">
        <f t="shared" si="114"/>
        <v>1E-3</v>
      </c>
      <c r="EL189">
        <f t="shared" si="114"/>
        <v>2E-3</v>
      </c>
      <c r="EM189">
        <f t="shared" si="114"/>
        <v>5.4999999999999997E-3</v>
      </c>
      <c r="EN189">
        <f t="shared" si="114"/>
        <v>4.0000000000000001E-3</v>
      </c>
      <c r="EO189">
        <f t="shared" si="114"/>
        <v>6.9999999999999993E-3</v>
      </c>
      <c r="EP189">
        <f t="shared" ref="EP189:FU189" si="115">AVERAGE(EP141,EP165)</f>
        <v>7.4999999999999997E-3</v>
      </c>
      <c r="EQ189">
        <f t="shared" si="115"/>
        <v>4.5000000000000005E-3</v>
      </c>
      <c r="ER189">
        <f t="shared" si="115"/>
        <v>6.0000000000000001E-3</v>
      </c>
      <c r="ES189">
        <f t="shared" si="115"/>
        <v>4.0000000000000001E-3</v>
      </c>
      <c r="ET189" t="e">
        <f t="shared" si="115"/>
        <v>#DIV/0!</v>
      </c>
      <c r="EU189">
        <f t="shared" si="115"/>
        <v>2E-3</v>
      </c>
      <c r="EV189">
        <f t="shared" si="115"/>
        <v>5.4999999999999997E-3</v>
      </c>
      <c r="EW189">
        <f t="shared" si="115"/>
        <v>3.0000000000000001E-3</v>
      </c>
      <c r="EX189">
        <f t="shared" si="115"/>
        <v>5.4999999999999997E-3</v>
      </c>
      <c r="EY189">
        <f t="shared" si="115"/>
        <v>1.35E-2</v>
      </c>
      <c r="EZ189">
        <f t="shared" si="115"/>
        <v>1.5E-3</v>
      </c>
      <c r="FA189">
        <f t="shared" si="115"/>
        <v>3.5000000000000001E-3</v>
      </c>
      <c r="FB189">
        <f t="shared" si="115"/>
        <v>2E-3</v>
      </c>
      <c r="FC189">
        <f t="shared" si="115"/>
        <v>5.4999999999999997E-3</v>
      </c>
      <c r="FD189">
        <f t="shared" si="115"/>
        <v>9.9999999999999985E-3</v>
      </c>
      <c r="FE189">
        <f t="shared" si="115"/>
        <v>1.2E-2</v>
      </c>
      <c r="FF189">
        <f t="shared" si="115"/>
        <v>1.0999999999999999E-2</v>
      </c>
      <c r="FG189">
        <f t="shared" si="115"/>
        <v>1.5E-3</v>
      </c>
      <c r="FH189">
        <f t="shared" si="115"/>
        <v>4.5000000000000005E-3</v>
      </c>
      <c r="FI189" t="e">
        <f t="shared" si="115"/>
        <v>#DIV/0!</v>
      </c>
      <c r="FJ189">
        <f t="shared" si="115"/>
        <v>7.0000000000000001E-3</v>
      </c>
      <c r="FK189">
        <f t="shared" si="115"/>
        <v>5.4999999999999997E-3</v>
      </c>
      <c r="FL189">
        <f t="shared" si="115"/>
        <v>1.4E-2</v>
      </c>
      <c r="FM189">
        <f t="shared" si="115"/>
        <v>1.5E-3</v>
      </c>
      <c r="FN189">
        <f t="shared" si="115"/>
        <v>1.5E-3</v>
      </c>
      <c r="FO189">
        <f t="shared" si="115"/>
        <v>7.4999999999999997E-3</v>
      </c>
      <c r="FP189">
        <f t="shared" si="115"/>
        <v>5.4999999999999997E-3</v>
      </c>
      <c r="FQ189">
        <f t="shared" si="115"/>
        <v>3.0000000000000001E-3</v>
      </c>
      <c r="FR189">
        <f t="shared" si="115"/>
        <v>5.0000000000000001E-3</v>
      </c>
      <c r="FS189">
        <f t="shared" si="115"/>
        <v>4.0000000000000001E-3</v>
      </c>
      <c r="FT189">
        <f t="shared" si="115"/>
        <v>9.9999999999999985E-3</v>
      </c>
      <c r="FU189">
        <f t="shared" si="115"/>
        <v>4.0000000000000001E-3</v>
      </c>
      <c r="FV189">
        <f t="shared" ref="FV189:GM189" si="116">AVERAGE(FV141,FV165)</f>
        <v>5.4999999999999997E-3</v>
      </c>
      <c r="FW189">
        <f t="shared" si="116"/>
        <v>3.0000000000000001E-3</v>
      </c>
      <c r="FX189">
        <f t="shared" si="116"/>
        <v>3.0000000000000001E-3</v>
      </c>
      <c r="FY189">
        <f t="shared" si="116"/>
        <v>7.0000000000000001E-3</v>
      </c>
      <c r="FZ189">
        <f t="shared" si="116"/>
        <v>9.4999999999999998E-3</v>
      </c>
      <c r="GA189">
        <f t="shared" si="116"/>
        <v>6.5000000000000006E-3</v>
      </c>
      <c r="GB189">
        <f t="shared" si="116"/>
        <v>1.5E-3</v>
      </c>
      <c r="GC189">
        <f t="shared" si="116"/>
        <v>2E-3</v>
      </c>
      <c r="GD189">
        <f t="shared" si="116"/>
        <v>9.4999999999999998E-3</v>
      </c>
      <c r="GE189">
        <f t="shared" si="116"/>
        <v>3.0000000000000001E-3</v>
      </c>
      <c r="GF189">
        <f t="shared" si="116"/>
        <v>3.5000000000000001E-3</v>
      </c>
      <c r="GG189">
        <f t="shared" si="116"/>
        <v>6.0000000000000001E-3</v>
      </c>
      <c r="GH189">
        <f t="shared" si="116"/>
        <v>3.5000000000000001E-3</v>
      </c>
      <c r="GI189">
        <f t="shared" si="116"/>
        <v>3.5000000000000001E-3</v>
      </c>
      <c r="GJ189">
        <f t="shared" si="116"/>
        <v>4.0000000000000001E-3</v>
      </c>
      <c r="GK189">
        <f t="shared" si="116"/>
        <v>7.0000000000000001E-3</v>
      </c>
      <c r="GL189">
        <f t="shared" si="116"/>
        <v>1.0999999999999999E-2</v>
      </c>
      <c r="GM189">
        <f t="shared" si="116"/>
        <v>1.3999999999999999E-2</v>
      </c>
    </row>
    <row r="190" spans="7:195" ht="14.4" x14ac:dyDescent="0.3">
      <c r="G190">
        <v>13</v>
      </c>
      <c r="H190" t="s">
        <v>889</v>
      </c>
      <c r="I190">
        <f t="shared" ref="I190:AN190" si="117">AVERAGE(I142,I166)</f>
        <v>1.15E-2</v>
      </c>
      <c r="J190">
        <f t="shared" si="117"/>
        <v>3.0000000000000001E-3</v>
      </c>
      <c r="K190">
        <f t="shared" si="117"/>
        <v>5.0000000000000001E-3</v>
      </c>
      <c r="L190">
        <f t="shared" si="117"/>
        <v>1.4E-2</v>
      </c>
      <c r="M190">
        <f t="shared" si="117"/>
        <v>6.0000000000000001E-3</v>
      </c>
      <c r="N190">
        <f t="shared" si="117"/>
        <v>5.4999999999999997E-3</v>
      </c>
      <c r="O190">
        <f t="shared" si="117"/>
        <v>6.0000000000000001E-3</v>
      </c>
      <c r="P190">
        <f t="shared" si="117"/>
        <v>2.5000000000000001E-3</v>
      </c>
      <c r="Q190">
        <f t="shared" si="117"/>
        <v>3.0000000000000001E-3</v>
      </c>
      <c r="R190">
        <f t="shared" si="117"/>
        <v>6.0000000000000001E-3</v>
      </c>
      <c r="S190">
        <f t="shared" si="117"/>
        <v>6.9999999999999993E-3</v>
      </c>
      <c r="T190">
        <f t="shared" si="117"/>
        <v>2.5000000000000001E-3</v>
      </c>
      <c r="U190">
        <f t="shared" si="117"/>
        <v>6.0000000000000001E-3</v>
      </c>
      <c r="V190">
        <f t="shared" si="117"/>
        <v>4.5000000000000005E-3</v>
      </c>
      <c r="W190">
        <f t="shared" si="117"/>
        <v>0.01</v>
      </c>
      <c r="X190">
        <f t="shared" si="117"/>
        <v>3.5000000000000001E-3</v>
      </c>
      <c r="Y190">
        <f t="shared" si="117"/>
        <v>8.0000000000000002E-3</v>
      </c>
      <c r="Z190">
        <f t="shared" si="117"/>
        <v>1.0499999999999999E-2</v>
      </c>
      <c r="AA190">
        <f t="shared" si="117"/>
        <v>9.4999999999999998E-3</v>
      </c>
      <c r="AB190">
        <f t="shared" si="117"/>
        <v>8.0000000000000002E-3</v>
      </c>
      <c r="AC190">
        <f t="shared" si="117"/>
        <v>4.5000000000000005E-3</v>
      </c>
      <c r="AD190">
        <f t="shared" si="117"/>
        <v>1.15E-2</v>
      </c>
      <c r="AE190">
        <f t="shared" si="117"/>
        <v>6.0000000000000001E-3</v>
      </c>
      <c r="AF190">
        <f t="shared" si="117"/>
        <v>4.0000000000000001E-3</v>
      </c>
      <c r="AG190">
        <f t="shared" si="117"/>
        <v>7.0000000000000001E-3</v>
      </c>
      <c r="AH190">
        <f t="shared" si="117"/>
        <v>1.0999999999999999E-2</v>
      </c>
      <c r="AI190">
        <f t="shared" si="117"/>
        <v>1.2E-2</v>
      </c>
      <c r="AJ190">
        <f t="shared" si="117"/>
        <v>6.0000000000000001E-3</v>
      </c>
      <c r="AK190">
        <f t="shared" si="117"/>
        <v>7.0000000000000001E-3</v>
      </c>
      <c r="AL190">
        <f t="shared" si="117"/>
        <v>1.55E-2</v>
      </c>
      <c r="AM190">
        <f t="shared" si="117"/>
        <v>3.0000000000000001E-3</v>
      </c>
      <c r="AN190">
        <f t="shared" si="117"/>
        <v>1.7000000000000001E-2</v>
      </c>
      <c r="AO190">
        <f t="shared" ref="AO190:BT190" si="118">AVERAGE(AO142,AO166)</f>
        <v>1.4499999999999999E-2</v>
      </c>
      <c r="AP190">
        <f t="shared" si="118"/>
        <v>4.0000000000000001E-3</v>
      </c>
      <c r="AQ190">
        <f t="shared" si="118"/>
        <v>4.0000000000000001E-3</v>
      </c>
      <c r="AR190">
        <f t="shared" si="118"/>
        <v>5.4999999999999997E-3</v>
      </c>
      <c r="AS190" t="e">
        <f t="shared" si="118"/>
        <v>#DIV/0!</v>
      </c>
      <c r="AT190">
        <f t="shared" si="118"/>
        <v>1.15E-2</v>
      </c>
      <c r="AU190">
        <f t="shared" si="118"/>
        <v>4.0000000000000001E-3</v>
      </c>
      <c r="AV190">
        <f t="shared" si="118"/>
        <v>1.6500000000000001E-2</v>
      </c>
      <c r="AW190">
        <f t="shared" si="118"/>
        <v>5.0000000000000001E-3</v>
      </c>
      <c r="AX190">
        <f t="shared" si="118"/>
        <v>4.0000000000000001E-3</v>
      </c>
      <c r="AY190" t="e">
        <f t="shared" si="118"/>
        <v>#DIV/0!</v>
      </c>
      <c r="AZ190">
        <f t="shared" si="118"/>
        <v>2.5000000000000001E-3</v>
      </c>
      <c r="BA190">
        <f t="shared" si="118"/>
        <v>4.0000000000000001E-3</v>
      </c>
      <c r="BB190">
        <f t="shared" si="118"/>
        <v>5.0000000000000001E-3</v>
      </c>
      <c r="BC190">
        <f t="shared" si="118"/>
        <v>1.0499999999999999E-2</v>
      </c>
      <c r="BD190">
        <f t="shared" si="118"/>
        <v>3.5000000000000001E-3</v>
      </c>
      <c r="BE190">
        <f t="shared" si="118"/>
        <v>9.4999999999999998E-3</v>
      </c>
      <c r="BF190">
        <f t="shared" si="118"/>
        <v>6.0000000000000001E-3</v>
      </c>
      <c r="BG190">
        <f t="shared" si="118"/>
        <v>5.0000000000000001E-3</v>
      </c>
      <c r="BH190">
        <f t="shared" si="118"/>
        <v>8.0000000000000002E-3</v>
      </c>
      <c r="BI190">
        <f t="shared" si="118"/>
        <v>7.4999999999999997E-3</v>
      </c>
      <c r="BJ190">
        <f t="shared" si="118"/>
        <v>1.2999999999999999E-2</v>
      </c>
      <c r="BK190">
        <f t="shared" si="118"/>
        <v>1.2500000000000001E-2</v>
      </c>
      <c r="BL190">
        <f t="shared" si="118"/>
        <v>5.4999999999999997E-3</v>
      </c>
      <c r="BM190">
        <f t="shared" si="118"/>
        <v>9.4999999999999998E-3</v>
      </c>
      <c r="BN190">
        <f t="shared" si="118"/>
        <v>9.4999999999999998E-3</v>
      </c>
      <c r="BO190">
        <f t="shared" si="118"/>
        <v>3.0000000000000001E-3</v>
      </c>
      <c r="BP190">
        <f t="shared" si="118"/>
        <v>4.0000000000000001E-3</v>
      </c>
      <c r="BQ190">
        <f t="shared" si="118"/>
        <v>9.4999999999999998E-3</v>
      </c>
      <c r="BR190">
        <f t="shared" si="118"/>
        <v>1.0999999999999999E-2</v>
      </c>
      <c r="BS190">
        <f t="shared" si="118"/>
        <v>6.5000000000000006E-3</v>
      </c>
      <c r="BT190">
        <f t="shared" si="118"/>
        <v>3.0000000000000001E-3</v>
      </c>
      <c r="BU190">
        <f t="shared" ref="BU190:CZ190" si="119">AVERAGE(BU142,BU166)</f>
        <v>1.0499999999999999E-2</v>
      </c>
      <c r="BV190">
        <f t="shared" si="119"/>
        <v>3.5000000000000001E-3</v>
      </c>
      <c r="BW190">
        <f t="shared" si="119"/>
        <v>6.4999999999999997E-3</v>
      </c>
      <c r="BX190">
        <f t="shared" si="119"/>
        <v>8.5000000000000006E-3</v>
      </c>
      <c r="BY190">
        <f t="shared" si="119"/>
        <v>1.2E-2</v>
      </c>
      <c r="BZ190">
        <f t="shared" si="119"/>
        <v>1.15E-2</v>
      </c>
      <c r="CA190">
        <f t="shared" si="119"/>
        <v>8.5000000000000006E-3</v>
      </c>
      <c r="CB190">
        <f t="shared" si="119"/>
        <v>1.0499999999999999E-2</v>
      </c>
      <c r="CC190">
        <f t="shared" si="119"/>
        <v>6.0000000000000001E-3</v>
      </c>
      <c r="CD190">
        <f t="shared" si="119"/>
        <v>8.0000000000000002E-3</v>
      </c>
      <c r="CE190">
        <f t="shared" si="119"/>
        <v>1.5E-3</v>
      </c>
      <c r="CF190">
        <f t="shared" si="119"/>
        <v>8.0000000000000002E-3</v>
      </c>
      <c r="CG190">
        <f t="shared" si="119"/>
        <v>8.5000000000000006E-3</v>
      </c>
      <c r="CH190">
        <f t="shared" si="119"/>
        <v>4.0000000000000001E-3</v>
      </c>
      <c r="CI190">
        <f t="shared" si="119"/>
        <v>7.4999999999999997E-3</v>
      </c>
      <c r="CJ190">
        <f t="shared" si="119"/>
        <v>3.0000000000000001E-3</v>
      </c>
      <c r="CK190">
        <f t="shared" si="119"/>
        <v>3.0000000000000001E-3</v>
      </c>
      <c r="CL190">
        <f t="shared" si="119"/>
        <v>2.5000000000000001E-3</v>
      </c>
      <c r="CM190">
        <f t="shared" si="119"/>
        <v>5.0000000000000001E-3</v>
      </c>
      <c r="CN190">
        <f t="shared" si="119"/>
        <v>2.5000000000000001E-3</v>
      </c>
      <c r="CO190">
        <f t="shared" si="119"/>
        <v>5.0000000000000001E-3</v>
      </c>
      <c r="CP190">
        <f t="shared" si="119"/>
        <v>9.4999999999999998E-3</v>
      </c>
      <c r="CQ190">
        <f t="shared" si="119"/>
        <v>0.01</v>
      </c>
      <c r="CR190">
        <f t="shared" si="119"/>
        <v>8.9999999999999993E-3</v>
      </c>
      <c r="CS190">
        <f t="shared" si="119"/>
        <v>3.5000000000000001E-3</v>
      </c>
      <c r="CT190">
        <f t="shared" si="119"/>
        <v>8.5000000000000006E-3</v>
      </c>
      <c r="CU190">
        <f t="shared" si="119"/>
        <v>9.0000000000000011E-3</v>
      </c>
      <c r="CV190">
        <f t="shared" si="119"/>
        <v>8.0000000000000002E-3</v>
      </c>
      <c r="CW190">
        <f t="shared" si="119"/>
        <v>4.5000000000000005E-3</v>
      </c>
      <c r="CX190">
        <f t="shared" si="119"/>
        <v>2.35E-2</v>
      </c>
      <c r="CY190">
        <f t="shared" si="119"/>
        <v>1.0499999999999999E-2</v>
      </c>
      <c r="CZ190">
        <f t="shared" si="119"/>
        <v>6.5000000000000006E-3</v>
      </c>
      <c r="DA190">
        <f t="shared" ref="DA190:DH190" si="120">AVERAGE(DA142,DA166)</f>
        <v>8.0000000000000002E-3</v>
      </c>
      <c r="DB190">
        <f t="shared" si="120"/>
        <v>3.5000000000000001E-3</v>
      </c>
      <c r="DC190">
        <f t="shared" si="120"/>
        <v>9.4999999999999998E-3</v>
      </c>
      <c r="DD190">
        <f t="shared" si="120"/>
        <v>1.8499999999999999E-2</v>
      </c>
      <c r="DE190">
        <f t="shared" si="120"/>
        <v>6.0000000000000001E-3</v>
      </c>
      <c r="DF190">
        <f t="shared" si="120"/>
        <v>3.0000000000000001E-3</v>
      </c>
      <c r="DG190">
        <f t="shared" si="120"/>
        <v>1.0999999999999999E-2</v>
      </c>
      <c r="DH190">
        <f t="shared" si="120"/>
        <v>2.5000000000000001E-3</v>
      </c>
      <c r="DI190"/>
      <c r="DJ190">
        <f t="shared" ref="DJ190:EO190" si="121">AVERAGE(DJ142,DJ166)</f>
        <v>8.5000000000000006E-3</v>
      </c>
      <c r="DK190">
        <f t="shared" si="121"/>
        <v>6.9999999999999993E-3</v>
      </c>
      <c r="DL190">
        <f t="shared" si="121"/>
        <v>5.4999999999999997E-3</v>
      </c>
      <c r="DM190" t="e">
        <f t="shared" si="121"/>
        <v>#DIV/0!</v>
      </c>
      <c r="DN190">
        <f t="shared" si="121"/>
        <v>1.2499999999999999E-2</v>
      </c>
      <c r="DO190">
        <f t="shared" si="121"/>
        <v>5.4999999999999997E-3</v>
      </c>
      <c r="DP190">
        <f t="shared" si="121"/>
        <v>4.5000000000000005E-3</v>
      </c>
      <c r="DQ190">
        <f t="shared" si="121"/>
        <v>1.4500000000000001E-2</v>
      </c>
      <c r="DR190">
        <f t="shared" si="121"/>
        <v>9.4999999999999998E-3</v>
      </c>
      <c r="DS190">
        <f t="shared" si="121"/>
        <v>1.0999999999999999E-2</v>
      </c>
      <c r="DT190">
        <f t="shared" si="121"/>
        <v>8.0000000000000002E-3</v>
      </c>
      <c r="DU190">
        <f t="shared" si="121"/>
        <v>2.5000000000000001E-3</v>
      </c>
      <c r="DV190" t="e">
        <f t="shared" si="121"/>
        <v>#DIV/0!</v>
      </c>
      <c r="DW190">
        <f t="shared" si="121"/>
        <v>2.5000000000000001E-3</v>
      </c>
      <c r="DX190">
        <f t="shared" si="121"/>
        <v>6.9999999999999993E-3</v>
      </c>
      <c r="DY190">
        <f t="shared" si="121"/>
        <v>9.4999999999999998E-3</v>
      </c>
      <c r="DZ190">
        <f t="shared" si="121"/>
        <v>1.4E-2</v>
      </c>
      <c r="EA190">
        <f t="shared" si="121"/>
        <v>2.5000000000000001E-3</v>
      </c>
      <c r="EB190">
        <f t="shared" si="121"/>
        <v>4.0000000000000001E-3</v>
      </c>
      <c r="EC190">
        <f t="shared" si="121"/>
        <v>7.0000000000000001E-3</v>
      </c>
      <c r="ED190">
        <f t="shared" si="121"/>
        <v>5.0000000000000001E-3</v>
      </c>
      <c r="EE190">
        <f t="shared" si="121"/>
        <v>1.4E-2</v>
      </c>
      <c r="EF190">
        <f t="shared" si="121"/>
        <v>6.5000000000000006E-3</v>
      </c>
      <c r="EG190">
        <f t="shared" si="121"/>
        <v>5.4999999999999997E-3</v>
      </c>
      <c r="EH190">
        <f t="shared" si="121"/>
        <v>1.0500000000000001E-2</v>
      </c>
      <c r="EI190">
        <f t="shared" si="121"/>
        <v>6.0000000000000001E-3</v>
      </c>
      <c r="EJ190">
        <f t="shared" si="121"/>
        <v>4.0000000000000001E-3</v>
      </c>
      <c r="EK190">
        <f t="shared" si="121"/>
        <v>2E-3</v>
      </c>
      <c r="EL190">
        <f t="shared" si="121"/>
        <v>3.5000000000000001E-3</v>
      </c>
      <c r="EM190">
        <f t="shared" si="121"/>
        <v>8.5000000000000006E-3</v>
      </c>
      <c r="EN190">
        <f t="shared" si="121"/>
        <v>7.4999999999999997E-3</v>
      </c>
      <c r="EO190">
        <f t="shared" si="121"/>
        <v>1.0500000000000001E-2</v>
      </c>
      <c r="EP190">
        <f t="shared" ref="EP190:FU190" si="122">AVERAGE(EP142,EP166)</f>
        <v>9.4999999999999998E-3</v>
      </c>
      <c r="EQ190">
        <f t="shared" si="122"/>
        <v>6.5000000000000006E-3</v>
      </c>
      <c r="ER190">
        <f t="shared" si="122"/>
        <v>7.0000000000000001E-3</v>
      </c>
      <c r="ES190">
        <f t="shared" si="122"/>
        <v>6.0000000000000001E-3</v>
      </c>
      <c r="ET190" t="e">
        <f t="shared" si="122"/>
        <v>#DIV/0!</v>
      </c>
      <c r="EU190">
        <f t="shared" si="122"/>
        <v>4.0000000000000001E-3</v>
      </c>
      <c r="EV190">
        <f t="shared" si="122"/>
        <v>8.0000000000000002E-3</v>
      </c>
      <c r="EW190">
        <f t="shared" si="122"/>
        <v>6.9999999999999993E-3</v>
      </c>
      <c r="EX190">
        <f t="shared" si="122"/>
        <v>8.0000000000000002E-3</v>
      </c>
      <c r="EY190">
        <f t="shared" si="122"/>
        <v>1.8499999999999999E-2</v>
      </c>
      <c r="EZ190">
        <f t="shared" si="122"/>
        <v>2.5000000000000001E-3</v>
      </c>
      <c r="FA190">
        <f t="shared" si="122"/>
        <v>5.4999999999999997E-3</v>
      </c>
      <c r="FB190">
        <f t="shared" si="122"/>
        <v>3.5000000000000001E-3</v>
      </c>
      <c r="FC190">
        <f t="shared" si="122"/>
        <v>8.0000000000000002E-3</v>
      </c>
      <c r="FD190">
        <f t="shared" si="122"/>
        <v>1.2500000000000001E-2</v>
      </c>
      <c r="FE190">
        <f t="shared" si="122"/>
        <v>1.55E-2</v>
      </c>
      <c r="FF190">
        <f t="shared" si="122"/>
        <v>1.3000000000000001E-2</v>
      </c>
      <c r="FG190">
        <f t="shared" si="122"/>
        <v>3.0000000000000001E-3</v>
      </c>
      <c r="FH190">
        <f t="shared" si="122"/>
        <v>6.0000000000000001E-3</v>
      </c>
      <c r="FI190" t="e">
        <f t="shared" si="122"/>
        <v>#DIV/0!</v>
      </c>
      <c r="FJ190">
        <f t="shared" si="122"/>
        <v>9.0000000000000011E-3</v>
      </c>
      <c r="FK190">
        <f t="shared" si="122"/>
        <v>7.4999999999999997E-3</v>
      </c>
      <c r="FL190">
        <f t="shared" si="122"/>
        <v>1.6E-2</v>
      </c>
      <c r="FM190">
        <f t="shared" si="122"/>
        <v>2.5000000000000001E-3</v>
      </c>
      <c r="FN190">
        <f t="shared" si="122"/>
        <v>2.5000000000000001E-3</v>
      </c>
      <c r="FO190">
        <f t="shared" si="122"/>
        <v>0.01</v>
      </c>
      <c r="FP190">
        <f t="shared" si="122"/>
        <v>8.0000000000000002E-3</v>
      </c>
      <c r="FQ190">
        <f t="shared" si="122"/>
        <v>5.4999999999999997E-3</v>
      </c>
      <c r="FR190">
        <f t="shared" si="122"/>
        <v>7.4999999999999997E-3</v>
      </c>
      <c r="FS190">
        <f t="shared" si="122"/>
        <v>6.5000000000000006E-3</v>
      </c>
      <c r="FT190">
        <f t="shared" si="122"/>
        <v>1.15E-2</v>
      </c>
      <c r="FU190">
        <f t="shared" si="122"/>
        <v>6.9999999999999993E-3</v>
      </c>
      <c r="FV190">
        <f t="shared" ref="FV190:GM190" si="123">AVERAGE(FV142,FV166)</f>
        <v>8.0000000000000002E-3</v>
      </c>
      <c r="FW190">
        <f t="shared" si="123"/>
        <v>4.5000000000000005E-3</v>
      </c>
      <c r="FX190">
        <f t="shared" si="123"/>
        <v>4.5000000000000005E-3</v>
      </c>
      <c r="FY190">
        <f t="shared" si="123"/>
        <v>1.0999999999999999E-2</v>
      </c>
      <c r="FZ190">
        <f t="shared" si="123"/>
        <v>1.2E-2</v>
      </c>
      <c r="GA190">
        <f t="shared" si="123"/>
        <v>0.01</v>
      </c>
      <c r="GB190">
        <f t="shared" si="123"/>
        <v>3.5000000000000001E-3</v>
      </c>
      <c r="GC190">
        <f t="shared" si="123"/>
        <v>3.5000000000000001E-3</v>
      </c>
      <c r="GD190">
        <f t="shared" si="123"/>
        <v>1.2E-2</v>
      </c>
      <c r="GE190">
        <f t="shared" si="123"/>
        <v>5.0000000000000001E-3</v>
      </c>
      <c r="GF190">
        <f t="shared" si="123"/>
        <v>5.0000000000000001E-3</v>
      </c>
      <c r="GG190">
        <f t="shared" si="123"/>
        <v>9.0000000000000011E-3</v>
      </c>
      <c r="GH190">
        <f t="shared" si="123"/>
        <v>6.0000000000000001E-3</v>
      </c>
      <c r="GI190">
        <f t="shared" si="123"/>
        <v>5.4999999999999997E-3</v>
      </c>
      <c r="GJ190">
        <f t="shared" si="123"/>
        <v>6.0000000000000001E-3</v>
      </c>
      <c r="GK190">
        <f t="shared" si="123"/>
        <v>9.9999999999999985E-3</v>
      </c>
      <c r="GL190">
        <f t="shared" si="123"/>
        <v>1.3000000000000001E-2</v>
      </c>
      <c r="GM190">
        <f t="shared" si="123"/>
        <v>1.55E-2</v>
      </c>
    </row>
    <row r="191" spans="7:195" ht="14.4" x14ac:dyDescent="0.3">
      <c r="G191">
        <v>14</v>
      </c>
      <c r="H191" t="s">
        <v>890</v>
      </c>
      <c r="I191">
        <f t="shared" ref="I191:AN191" si="124">AVERAGE(I143,I167)</f>
        <v>1.6500000000000001E-2</v>
      </c>
      <c r="J191">
        <f t="shared" si="124"/>
        <v>5.0000000000000001E-3</v>
      </c>
      <c r="K191">
        <f t="shared" si="124"/>
        <v>6.5000000000000006E-3</v>
      </c>
      <c r="L191">
        <f t="shared" si="124"/>
        <v>1.7500000000000002E-2</v>
      </c>
      <c r="M191">
        <f t="shared" si="124"/>
        <v>8.0000000000000002E-3</v>
      </c>
      <c r="N191">
        <f t="shared" si="124"/>
        <v>8.5000000000000006E-3</v>
      </c>
      <c r="O191">
        <f t="shared" si="124"/>
        <v>9.4999999999999998E-3</v>
      </c>
      <c r="P191">
        <f t="shared" si="124"/>
        <v>4.0000000000000001E-3</v>
      </c>
      <c r="Q191">
        <f t="shared" si="124"/>
        <v>5.4999999999999997E-3</v>
      </c>
      <c r="R191">
        <f t="shared" si="124"/>
        <v>9.4999999999999998E-3</v>
      </c>
      <c r="S191">
        <f t="shared" si="124"/>
        <v>8.5000000000000006E-3</v>
      </c>
      <c r="T191">
        <f t="shared" si="124"/>
        <v>6.0000000000000001E-3</v>
      </c>
      <c r="U191">
        <f t="shared" si="124"/>
        <v>9.9999999999999985E-3</v>
      </c>
      <c r="V191">
        <f t="shared" si="124"/>
        <v>7.4999999999999997E-3</v>
      </c>
      <c r="W191">
        <f t="shared" si="124"/>
        <v>1.4999999999999999E-2</v>
      </c>
      <c r="X191">
        <f t="shared" si="124"/>
        <v>5.4999999999999997E-3</v>
      </c>
      <c r="Y191">
        <f t="shared" si="124"/>
        <v>1.2500000000000001E-2</v>
      </c>
      <c r="Z191">
        <f t="shared" si="124"/>
        <v>1.4500000000000001E-2</v>
      </c>
      <c r="AA191">
        <f t="shared" si="124"/>
        <v>1.3000000000000001E-2</v>
      </c>
      <c r="AB191">
        <f t="shared" si="124"/>
        <v>1.0499999999999999E-2</v>
      </c>
      <c r="AC191">
        <f t="shared" si="124"/>
        <v>7.4999999999999997E-3</v>
      </c>
      <c r="AD191">
        <f t="shared" si="124"/>
        <v>1.4499999999999999E-2</v>
      </c>
      <c r="AE191">
        <f t="shared" si="124"/>
        <v>8.5000000000000006E-3</v>
      </c>
      <c r="AF191">
        <f t="shared" si="124"/>
        <v>5.4999999999999997E-3</v>
      </c>
      <c r="AG191">
        <f t="shared" si="124"/>
        <v>1.0999999999999999E-2</v>
      </c>
      <c r="AH191">
        <f t="shared" si="124"/>
        <v>1.6E-2</v>
      </c>
      <c r="AI191">
        <f t="shared" si="124"/>
        <v>1.4999999999999999E-2</v>
      </c>
      <c r="AJ191">
        <f t="shared" si="124"/>
        <v>8.9999999999999993E-3</v>
      </c>
      <c r="AK191">
        <f t="shared" si="124"/>
        <v>1.0999999999999999E-2</v>
      </c>
      <c r="AL191">
        <f t="shared" si="124"/>
        <v>1.8000000000000002E-2</v>
      </c>
      <c r="AM191">
        <f t="shared" si="124"/>
        <v>5.0000000000000001E-3</v>
      </c>
      <c r="AN191">
        <f t="shared" si="124"/>
        <v>1.9E-2</v>
      </c>
      <c r="AO191">
        <f t="shared" ref="AO191:BT191" si="125">AVERAGE(AO143,AO167)</f>
        <v>1.8000000000000002E-2</v>
      </c>
      <c r="AP191">
        <f t="shared" si="125"/>
        <v>5.4999999999999997E-3</v>
      </c>
      <c r="AQ191">
        <f t="shared" si="125"/>
        <v>6.5000000000000006E-3</v>
      </c>
      <c r="AR191">
        <f t="shared" si="125"/>
        <v>8.0000000000000002E-3</v>
      </c>
      <c r="AS191" t="e">
        <f t="shared" si="125"/>
        <v>#DIV/0!</v>
      </c>
      <c r="AT191">
        <f t="shared" si="125"/>
        <v>1.35E-2</v>
      </c>
      <c r="AU191">
        <f t="shared" si="125"/>
        <v>6.5000000000000006E-3</v>
      </c>
      <c r="AV191">
        <f t="shared" si="125"/>
        <v>2.1499999999999998E-2</v>
      </c>
      <c r="AW191">
        <f t="shared" si="125"/>
        <v>8.0000000000000002E-3</v>
      </c>
      <c r="AX191">
        <f t="shared" si="125"/>
        <v>6.9999999999999993E-3</v>
      </c>
      <c r="AY191" t="e">
        <f t="shared" si="125"/>
        <v>#DIV/0!</v>
      </c>
      <c r="AZ191">
        <f t="shared" si="125"/>
        <v>4.5000000000000005E-3</v>
      </c>
      <c r="BA191">
        <f t="shared" si="125"/>
        <v>7.4999999999999997E-3</v>
      </c>
      <c r="BB191">
        <f t="shared" si="125"/>
        <v>1.15E-2</v>
      </c>
      <c r="BC191">
        <f t="shared" si="125"/>
        <v>1.4499999999999999E-2</v>
      </c>
      <c r="BD191">
        <f t="shared" si="125"/>
        <v>6.0000000000000001E-3</v>
      </c>
      <c r="BE191">
        <f t="shared" si="125"/>
        <v>1.2500000000000001E-2</v>
      </c>
      <c r="BF191">
        <f t="shared" si="125"/>
        <v>0.01</v>
      </c>
      <c r="BG191">
        <f t="shared" si="125"/>
        <v>6.5000000000000006E-3</v>
      </c>
      <c r="BH191">
        <f t="shared" si="125"/>
        <v>1.4499999999999999E-2</v>
      </c>
      <c r="BI191">
        <f t="shared" si="125"/>
        <v>0.01</v>
      </c>
      <c r="BJ191">
        <f t="shared" si="125"/>
        <v>1.6E-2</v>
      </c>
      <c r="BK191">
        <f t="shared" si="125"/>
        <v>1.9E-2</v>
      </c>
      <c r="BL191">
        <f t="shared" si="125"/>
        <v>8.5000000000000006E-3</v>
      </c>
      <c r="BM191">
        <f t="shared" si="125"/>
        <v>1.2500000000000001E-2</v>
      </c>
      <c r="BN191">
        <f t="shared" si="125"/>
        <v>1.4499999999999999E-2</v>
      </c>
      <c r="BO191">
        <f t="shared" si="125"/>
        <v>6.0000000000000001E-3</v>
      </c>
      <c r="BP191">
        <f t="shared" si="125"/>
        <v>6.0000000000000001E-3</v>
      </c>
      <c r="BQ191">
        <f t="shared" si="125"/>
        <v>1.15E-2</v>
      </c>
      <c r="BR191">
        <f t="shared" si="125"/>
        <v>1.55E-2</v>
      </c>
      <c r="BS191">
        <f t="shared" si="125"/>
        <v>1.0499999999999999E-2</v>
      </c>
      <c r="BT191">
        <f t="shared" si="125"/>
        <v>5.4999999999999997E-3</v>
      </c>
      <c r="BU191">
        <f t="shared" ref="BU191:CZ191" si="126">AVERAGE(BU143,BU167)</f>
        <v>1.4E-2</v>
      </c>
      <c r="BV191">
        <f t="shared" si="126"/>
        <v>5.4999999999999997E-3</v>
      </c>
      <c r="BW191">
        <f t="shared" si="126"/>
        <v>1.0500000000000001E-2</v>
      </c>
      <c r="BX191">
        <f t="shared" si="126"/>
        <v>1.15E-2</v>
      </c>
      <c r="BY191">
        <f t="shared" si="126"/>
        <v>1.4999999999999999E-2</v>
      </c>
      <c r="BZ191">
        <f t="shared" si="126"/>
        <v>1.6500000000000001E-2</v>
      </c>
      <c r="CA191">
        <f t="shared" si="126"/>
        <v>1.4999999999999999E-2</v>
      </c>
      <c r="CB191">
        <f t="shared" si="126"/>
        <v>1.2999999999999999E-2</v>
      </c>
      <c r="CC191">
        <f t="shared" si="126"/>
        <v>8.5000000000000006E-3</v>
      </c>
      <c r="CD191">
        <f t="shared" si="126"/>
        <v>1.2999999999999999E-2</v>
      </c>
      <c r="CE191">
        <f t="shared" si="126"/>
        <v>3.5000000000000001E-3</v>
      </c>
      <c r="CF191">
        <f t="shared" si="126"/>
        <v>1.2500000000000001E-2</v>
      </c>
      <c r="CG191">
        <f t="shared" si="126"/>
        <v>1.3000000000000001E-2</v>
      </c>
      <c r="CH191">
        <f t="shared" si="126"/>
        <v>6.0000000000000001E-3</v>
      </c>
      <c r="CI191">
        <f t="shared" si="126"/>
        <v>1.0999999999999999E-2</v>
      </c>
      <c r="CJ191">
        <f t="shared" si="126"/>
        <v>4.5000000000000005E-3</v>
      </c>
      <c r="CK191">
        <f t="shared" si="126"/>
        <v>4.5000000000000005E-3</v>
      </c>
      <c r="CL191">
        <f t="shared" si="126"/>
        <v>4.0000000000000001E-3</v>
      </c>
      <c r="CM191">
        <f t="shared" si="126"/>
        <v>6.5000000000000006E-3</v>
      </c>
      <c r="CN191">
        <f t="shared" si="126"/>
        <v>4.0000000000000001E-3</v>
      </c>
      <c r="CO191">
        <f t="shared" si="126"/>
        <v>8.9999999999999993E-3</v>
      </c>
      <c r="CP191">
        <f t="shared" si="126"/>
        <v>1.4500000000000001E-2</v>
      </c>
      <c r="CQ191">
        <f t="shared" si="126"/>
        <v>1.2999999999999999E-2</v>
      </c>
      <c r="CR191">
        <f t="shared" si="126"/>
        <v>1.4E-2</v>
      </c>
      <c r="CS191">
        <f t="shared" si="126"/>
        <v>6.5000000000000006E-3</v>
      </c>
      <c r="CT191">
        <f t="shared" si="126"/>
        <v>1.2E-2</v>
      </c>
      <c r="CU191">
        <f t="shared" si="126"/>
        <v>1.35E-2</v>
      </c>
      <c r="CV191">
        <f t="shared" si="126"/>
        <v>1.2E-2</v>
      </c>
      <c r="CW191">
        <f t="shared" si="126"/>
        <v>7.4999999999999997E-3</v>
      </c>
      <c r="CX191">
        <f t="shared" si="126"/>
        <v>2.4500000000000001E-2</v>
      </c>
      <c r="CY191">
        <f t="shared" si="126"/>
        <v>1.4500000000000001E-2</v>
      </c>
      <c r="CZ191">
        <f t="shared" si="126"/>
        <v>0.01</v>
      </c>
      <c r="DA191">
        <f t="shared" ref="DA191:DH191" si="127">AVERAGE(DA143,DA167)</f>
        <v>1.2E-2</v>
      </c>
      <c r="DB191">
        <f t="shared" si="127"/>
        <v>5.0000000000000001E-3</v>
      </c>
      <c r="DC191">
        <f t="shared" si="127"/>
        <v>1.2999999999999999E-2</v>
      </c>
      <c r="DD191">
        <f t="shared" si="127"/>
        <v>1.9E-2</v>
      </c>
      <c r="DE191">
        <f t="shared" si="127"/>
        <v>9.0000000000000011E-3</v>
      </c>
      <c r="DF191">
        <f t="shared" si="127"/>
        <v>4.5000000000000005E-3</v>
      </c>
      <c r="DG191">
        <f t="shared" si="127"/>
        <v>1.4499999999999999E-2</v>
      </c>
      <c r="DH191">
        <f t="shared" si="127"/>
        <v>4.5000000000000005E-3</v>
      </c>
      <c r="DI191"/>
      <c r="DJ191">
        <f t="shared" ref="DJ191:EO191" si="128">AVERAGE(DJ143,DJ167)</f>
        <v>1.2500000000000001E-2</v>
      </c>
      <c r="DK191">
        <f t="shared" si="128"/>
        <v>0.01</v>
      </c>
      <c r="DL191">
        <f t="shared" si="128"/>
        <v>8.0000000000000002E-3</v>
      </c>
      <c r="DM191" t="e">
        <f t="shared" si="128"/>
        <v>#DIV/0!</v>
      </c>
      <c r="DN191">
        <f t="shared" si="128"/>
        <v>1.6500000000000001E-2</v>
      </c>
      <c r="DO191">
        <f t="shared" si="128"/>
        <v>8.0000000000000002E-3</v>
      </c>
      <c r="DP191">
        <f t="shared" si="128"/>
        <v>8.0000000000000002E-3</v>
      </c>
      <c r="DQ191">
        <f t="shared" si="128"/>
        <v>1.6500000000000001E-2</v>
      </c>
      <c r="DR191">
        <f t="shared" si="128"/>
        <v>1.4E-2</v>
      </c>
      <c r="DS191">
        <f t="shared" si="128"/>
        <v>1.4499999999999999E-2</v>
      </c>
      <c r="DT191">
        <f t="shared" si="128"/>
        <v>1.2E-2</v>
      </c>
      <c r="DU191">
        <f t="shared" si="128"/>
        <v>4.5000000000000005E-3</v>
      </c>
      <c r="DV191" t="e">
        <f t="shared" si="128"/>
        <v>#DIV/0!</v>
      </c>
      <c r="DW191">
        <f t="shared" si="128"/>
        <v>4.5000000000000005E-3</v>
      </c>
      <c r="DX191">
        <f t="shared" si="128"/>
        <v>9.4999999999999998E-3</v>
      </c>
      <c r="DY191">
        <f t="shared" si="128"/>
        <v>1.35E-2</v>
      </c>
      <c r="DZ191">
        <f t="shared" si="128"/>
        <v>1.9000000000000003E-2</v>
      </c>
      <c r="EA191">
        <f t="shared" si="128"/>
        <v>5.0000000000000001E-3</v>
      </c>
      <c r="EB191">
        <f t="shared" si="128"/>
        <v>7.0000000000000001E-3</v>
      </c>
      <c r="EC191">
        <f t="shared" si="128"/>
        <v>1.15E-2</v>
      </c>
      <c r="ED191">
        <f t="shared" si="128"/>
        <v>6.5000000000000006E-3</v>
      </c>
      <c r="EE191">
        <f t="shared" si="128"/>
        <v>2.1000000000000001E-2</v>
      </c>
      <c r="EF191">
        <f t="shared" si="128"/>
        <v>9.0000000000000011E-3</v>
      </c>
      <c r="EG191">
        <f t="shared" si="128"/>
        <v>8.0000000000000002E-3</v>
      </c>
      <c r="EH191">
        <f t="shared" si="128"/>
        <v>1.55E-2</v>
      </c>
      <c r="EI191">
        <f t="shared" si="128"/>
        <v>9.4999999999999998E-3</v>
      </c>
      <c r="EJ191">
        <f t="shared" si="128"/>
        <v>5.4999999999999997E-3</v>
      </c>
      <c r="EK191">
        <f t="shared" si="128"/>
        <v>6.0000000000000001E-3</v>
      </c>
      <c r="EL191">
        <f t="shared" si="128"/>
        <v>4.0000000000000001E-3</v>
      </c>
      <c r="EM191">
        <f t="shared" si="128"/>
        <v>1.2499999999999999E-2</v>
      </c>
      <c r="EN191">
        <f t="shared" si="128"/>
        <v>1.0999999999999999E-2</v>
      </c>
      <c r="EO191">
        <f t="shared" si="128"/>
        <v>1.55E-2</v>
      </c>
      <c r="EP191">
        <f t="shared" ref="EP191:FU191" si="129">AVERAGE(EP143,EP167)</f>
        <v>1.3499999999999998E-2</v>
      </c>
      <c r="EQ191">
        <f t="shared" si="129"/>
        <v>9.4999999999999998E-3</v>
      </c>
      <c r="ER191">
        <f t="shared" si="129"/>
        <v>8.5000000000000006E-3</v>
      </c>
      <c r="ES191">
        <f t="shared" si="129"/>
        <v>0.01</v>
      </c>
      <c r="ET191" t="e">
        <f t="shared" si="129"/>
        <v>#DIV/0!</v>
      </c>
      <c r="EU191">
        <f t="shared" si="129"/>
        <v>6.5000000000000006E-3</v>
      </c>
      <c r="EV191">
        <f t="shared" si="129"/>
        <v>1.2E-2</v>
      </c>
      <c r="EW191">
        <f t="shared" si="129"/>
        <v>1.0999999999999999E-2</v>
      </c>
      <c r="EX191">
        <f t="shared" si="129"/>
        <v>1.2500000000000001E-2</v>
      </c>
      <c r="EY191">
        <f t="shared" si="129"/>
        <v>2.4500000000000001E-2</v>
      </c>
      <c r="EZ191">
        <f t="shared" si="129"/>
        <v>4.0000000000000001E-3</v>
      </c>
      <c r="FA191">
        <f t="shared" si="129"/>
        <v>8.9999999999999993E-3</v>
      </c>
      <c r="FB191">
        <f t="shared" si="129"/>
        <v>6.4999999999999997E-3</v>
      </c>
      <c r="FC191">
        <f t="shared" si="129"/>
        <v>1.2999999999999999E-2</v>
      </c>
      <c r="FD191">
        <f t="shared" si="129"/>
        <v>1.6500000000000001E-2</v>
      </c>
      <c r="FE191">
        <f t="shared" si="129"/>
        <v>2.0500000000000001E-2</v>
      </c>
      <c r="FF191">
        <f t="shared" si="129"/>
        <v>1.6E-2</v>
      </c>
      <c r="FG191">
        <f t="shared" si="129"/>
        <v>4.5000000000000005E-3</v>
      </c>
      <c r="FH191">
        <f t="shared" si="129"/>
        <v>8.9999999999999993E-3</v>
      </c>
      <c r="FI191" t="e">
        <f t="shared" si="129"/>
        <v>#DIV/0!</v>
      </c>
      <c r="FJ191">
        <f t="shared" si="129"/>
        <v>1.2500000000000001E-2</v>
      </c>
      <c r="FK191">
        <f t="shared" si="129"/>
        <v>1.15E-2</v>
      </c>
      <c r="FL191">
        <f t="shared" si="129"/>
        <v>1.95E-2</v>
      </c>
      <c r="FM191">
        <f t="shared" si="129"/>
        <v>4.0000000000000001E-3</v>
      </c>
      <c r="FN191">
        <f t="shared" si="129"/>
        <v>4.0000000000000001E-3</v>
      </c>
      <c r="FO191">
        <f t="shared" si="129"/>
        <v>1.3999999999999999E-2</v>
      </c>
      <c r="FP191">
        <f t="shared" si="129"/>
        <v>1.2500000000000001E-2</v>
      </c>
      <c r="FQ191">
        <f t="shared" si="129"/>
        <v>8.5000000000000006E-3</v>
      </c>
      <c r="FR191">
        <f t="shared" si="129"/>
        <v>1.0500000000000001E-2</v>
      </c>
      <c r="FS191">
        <f t="shared" si="129"/>
        <v>1.2E-2</v>
      </c>
      <c r="FT191">
        <f t="shared" si="129"/>
        <v>1.55E-2</v>
      </c>
      <c r="FU191">
        <f t="shared" si="129"/>
        <v>1.0999999999999999E-2</v>
      </c>
      <c r="FV191">
        <f t="shared" ref="FV191:GM191" si="130">AVERAGE(FV143,FV167)</f>
        <v>1.2500000000000001E-2</v>
      </c>
      <c r="FW191">
        <f t="shared" si="130"/>
        <v>8.0000000000000002E-3</v>
      </c>
      <c r="FX191">
        <f t="shared" si="130"/>
        <v>6.0000000000000001E-3</v>
      </c>
      <c r="FY191">
        <f t="shared" si="130"/>
        <v>1.6500000000000001E-2</v>
      </c>
      <c r="FZ191">
        <f t="shared" si="130"/>
        <v>1.4999999999999999E-2</v>
      </c>
      <c r="GA191">
        <f t="shared" si="130"/>
        <v>1.2500000000000001E-2</v>
      </c>
      <c r="GB191">
        <f t="shared" si="130"/>
        <v>5.4999999999999997E-3</v>
      </c>
      <c r="GC191">
        <f t="shared" si="130"/>
        <v>5.0000000000000001E-3</v>
      </c>
      <c r="GD191">
        <f t="shared" si="130"/>
        <v>1.4500000000000001E-2</v>
      </c>
      <c r="GE191">
        <f t="shared" si="130"/>
        <v>6.9999999999999993E-3</v>
      </c>
      <c r="GF191">
        <f t="shared" si="130"/>
        <v>8.0000000000000002E-3</v>
      </c>
      <c r="GG191">
        <f t="shared" si="130"/>
        <v>1.3999999999999999E-2</v>
      </c>
      <c r="GH191">
        <f t="shared" si="130"/>
        <v>0.01</v>
      </c>
      <c r="GI191">
        <f t="shared" si="130"/>
        <v>0.01</v>
      </c>
      <c r="GJ191">
        <f t="shared" si="130"/>
        <v>8.9999999999999993E-3</v>
      </c>
      <c r="GK191">
        <f t="shared" si="130"/>
        <v>1.4999999999999999E-2</v>
      </c>
      <c r="GL191">
        <f t="shared" si="130"/>
        <v>1.4999999999999999E-2</v>
      </c>
      <c r="GM191">
        <f t="shared" si="130"/>
        <v>1.6E-2</v>
      </c>
    </row>
    <row r="192" spans="7:195" ht="14.4" x14ac:dyDescent="0.3">
      <c r="G192">
        <v>15</v>
      </c>
      <c r="H192" t="s">
        <v>891</v>
      </c>
      <c r="I192">
        <f t="shared" ref="I192:AN192" si="131">AVERAGE(I144,I168)</f>
        <v>2.5000000000000001E-2</v>
      </c>
      <c r="J192">
        <f t="shared" si="131"/>
        <v>8.0000000000000002E-3</v>
      </c>
      <c r="K192">
        <f t="shared" si="131"/>
        <v>1.0499999999999999E-2</v>
      </c>
      <c r="L192">
        <f t="shared" si="131"/>
        <v>2.5000000000000001E-2</v>
      </c>
      <c r="M192">
        <f t="shared" si="131"/>
        <v>1.0999999999999999E-2</v>
      </c>
      <c r="N192">
        <f t="shared" si="131"/>
        <v>1.3499999999999998E-2</v>
      </c>
      <c r="O192">
        <f t="shared" si="131"/>
        <v>1.6500000000000001E-2</v>
      </c>
      <c r="P192">
        <f t="shared" si="131"/>
        <v>5.4999999999999997E-3</v>
      </c>
      <c r="Q192">
        <f t="shared" si="131"/>
        <v>9.0000000000000011E-3</v>
      </c>
      <c r="R192">
        <f t="shared" si="131"/>
        <v>1.8000000000000002E-2</v>
      </c>
      <c r="S192">
        <f t="shared" si="131"/>
        <v>1.15E-2</v>
      </c>
      <c r="T192">
        <f t="shared" si="131"/>
        <v>1.15E-2</v>
      </c>
      <c r="U192">
        <f t="shared" si="131"/>
        <v>2.0999999999999998E-2</v>
      </c>
      <c r="V192">
        <f t="shared" si="131"/>
        <v>1.3000000000000001E-2</v>
      </c>
      <c r="W192">
        <f t="shared" si="131"/>
        <v>2.35E-2</v>
      </c>
      <c r="X192">
        <f t="shared" si="131"/>
        <v>8.5000000000000006E-3</v>
      </c>
      <c r="Y192">
        <f t="shared" si="131"/>
        <v>0.02</v>
      </c>
      <c r="Z192">
        <f t="shared" si="131"/>
        <v>2.35E-2</v>
      </c>
      <c r="AA192">
        <f t="shared" si="131"/>
        <v>1.7500000000000002E-2</v>
      </c>
      <c r="AB192">
        <f t="shared" si="131"/>
        <v>1.6E-2</v>
      </c>
      <c r="AC192">
        <f t="shared" si="131"/>
        <v>0.01</v>
      </c>
      <c r="AD192">
        <f t="shared" si="131"/>
        <v>0.02</v>
      </c>
      <c r="AE192">
        <f t="shared" si="131"/>
        <v>1.3500000000000002E-2</v>
      </c>
      <c r="AF192">
        <f t="shared" si="131"/>
        <v>8.0000000000000002E-3</v>
      </c>
      <c r="AG192">
        <f t="shared" si="131"/>
        <v>1.6500000000000001E-2</v>
      </c>
      <c r="AH192">
        <f t="shared" si="131"/>
        <v>2.4500000000000001E-2</v>
      </c>
      <c r="AI192">
        <f t="shared" si="131"/>
        <v>2.2499999999999999E-2</v>
      </c>
      <c r="AJ192">
        <f t="shared" si="131"/>
        <v>1.4499999999999999E-2</v>
      </c>
      <c r="AK192">
        <f t="shared" si="131"/>
        <v>2.0500000000000001E-2</v>
      </c>
      <c r="AL192">
        <f t="shared" si="131"/>
        <v>2.4500000000000001E-2</v>
      </c>
      <c r="AM192">
        <f t="shared" si="131"/>
        <v>6.9999999999999993E-3</v>
      </c>
      <c r="AN192">
        <f t="shared" si="131"/>
        <v>2.4500000000000001E-2</v>
      </c>
      <c r="AO192">
        <f t="shared" ref="AO192:BT192" si="132">AVERAGE(AO144,AO168)</f>
        <v>2.5500000000000002E-2</v>
      </c>
      <c r="AP192">
        <f t="shared" si="132"/>
        <v>9.0000000000000011E-3</v>
      </c>
      <c r="AQ192">
        <f t="shared" si="132"/>
        <v>1.2E-2</v>
      </c>
      <c r="AR192">
        <f t="shared" si="132"/>
        <v>1.2E-2</v>
      </c>
      <c r="AS192" t="e">
        <f t="shared" si="132"/>
        <v>#DIV/0!</v>
      </c>
      <c r="AT192">
        <f t="shared" si="132"/>
        <v>1.9000000000000003E-2</v>
      </c>
      <c r="AU192">
        <f t="shared" si="132"/>
        <v>8.5000000000000006E-3</v>
      </c>
      <c r="AV192">
        <f t="shared" si="132"/>
        <v>3.1E-2</v>
      </c>
      <c r="AW192">
        <f t="shared" si="132"/>
        <v>1.0999999999999999E-2</v>
      </c>
      <c r="AX192">
        <f t="shared" si="132"/>
        <v>1.15E-2</v>
      </c>
      <c r="AY192" t="e">
        <f t="shared" si="132"/>
        <v>#DIV/0!</v>
      </c>
      <c r="AZ192">
        <f t="shared" si="132"/>
        <v>7.4999999999999997E-3</v>
      </c>
      <c r="BA192">
        <f t="shared" si="132"/>
        <v>1.15E-2</v>
      </c>
      <c r="BB192">
        <f t="shared" si="132"/>
        <v>2.35E-2</v>
      </c>
      <c r="BC192">
        <f t="shared" si="132"/>
        <v>2.1999999999999999E-2</v>
      </c>
      <c r="BD192">
        <f t="shared" si="132"/>
        <v>8.9999999999999993E-3</v>
      </c>
      <c r="BE192">
        <f t="shared" si="132"/>
        <v>1.95E-2</v>
      </c>
      <c r="BF192">
        <f t="shared" si="132"/>
        <v>1.4999999999999999E-2</v>
      </c>
      <c r="BG192">
        <f t="shared" si="132"/>
        <v>1.0499999999999999E-2</v>
      </c>
      <c r="BH192">
        <f t="shared" si="132"/>
        <v>2.1000000000000001E-2</v>
      </c>
      <c r="BI192">
        <f t="shared" si="132"/>
        <v>1.4499999999999999E-2</v>
      </c>
      <c r="BJ192">
        <f t="shared" si="132"/>
        <v>2.2499999999999999E-2</v>
      </c>
      <c r="BK192">
        <f t="shared" si="132"/>
        <v>2.9499999999999998E-2</v>
      </c>
      <c r="BL192">
        <f t="shared" si="132"/>
        <v>1.4E-2</v>
      </c>
      <c r="BM192">
        <f t="shared" si="132"/>
        <v>1.8500000000000003E-2</v>
      </c>
      <c r="BN192">
        <f t="shared" si="132"/>
        <v>2.2499999999999999E-2</v>
      </c>
      <c r="BO192">
        <f t="shared" si="132"/>
        <v>8.0000000000000002E-3</v>
      </c>
      <c r="BP192">
        <f t="shared" si="132"/>
        <v>8.0000000000000002E-3</v>
      </c>
      <c r="BQ192">
        <f t="shared" si="132"/>
        <v>1.6500000000000001E-2</v>
      </c>
      <c r="BR192">
        <f t="shared" si="132"/>
        <v>2.4500000000000001E-2</v>
      </c>
      <c r="BS192">
        <f t="shared" si="132"/>
        <v>1.7000000000000001E-2</v>
      </c>
      <c r="BT192">
        <f t="shared" si="132"/>
        <v>9.0000000000000011E-3</v>
      </c>
      <c r="BU192">
        <f t="shared" ref="BU192:CZ192" si="133">AVERAGE(BU144,BU168)</f>
        <v>2.2499999999999999E-2</v>
      </c>
      <c r="BV192">
        <f t="shared" si="133"/>
        <v>8.0000000000000002E-3</v>
      </c>
      <c r="BW192">
        <f t="shared" si="133"/>
        <v>1.6500000000000001E-2</v>
      </c>
      <c r="BX192">
        <f t="shared" si="133"/>
        <v>1.4999999999999999E-2</v>
      </c>
      <c r="BY192">
        <f t="shared" si="133"/>
        <v>2.2499999999999999E-2</v>
      </c>
      <c r="BZ192">
        <f t="shared" si="133"/>
        <v>2.6000000000000002E-2</v>
      </c>
      <c r="CA192">
        <f t="shared" si="133"/>
        <v>2.35E-2</v>
      </c>
      <c r="CB192">
        <f t="shared" si="133"/>
        <v>1.95E-2</v>
      </c>
      <c r="CC192">
        <f t="shared" si="133"/>
        <v>1.15E-2</v>
      </c>
      <c r="CD192">
        <f t="shared" si="133"/>
        <v>1.8000000000000002E-2</v>
      </c>
      <c r="CE192">
        <f t="shared" si="133"/>
        <v>6.5000000000000006E-3</v>
      </c>
      <c r="CF192">
        <f t="shared" si="133"/>
        <v>0.02</v>
      </c>
      <c r="CG192">
        <f t="shared" si="133"/>
        <v>2.1999999999999999E-2</v>
      </c>
      <c r="CH192">
        <f t="shared" si="133"/>
        <v>9.9999999999999985E-3</v>
      </c>
      <c r="CI192">
        <f t="shared" si="133"/>
        <v>1.7000000000000001E-2</v>
      </c>
      <c r="CJ192">
        <f t="shared" si="133"/>
        <v>6.5000000000000006E-3</v>
      </c>
      <c r="CK192">
        <f t="shared" si="133"/>
        <v>6.9999999999999993E-3</v>
      </c>
      <c r="CL192">
        <f t="shared" si="133"/>
        <v>6.5000000000000006E-3</v>
      </c>
      <c r="CM192">
        <f t="shared" si="133"/>
        <v>0.01</v>
      </c>
      <c r="CN192">
        <f t="shared" si="133"/>
        <v>6.4999999999999997E-3</v>
      </c>
      <c r="CO192">
        <f t="shared" si="133"/>
        <v>1.4E-2</v>
      </c>
      <c r="CP192">
        <f t="shared" si="133"/>
        <v>2.1999999999999999E-2</v>
      </c>
      <c r="CQ192">
        <f t="shared" si="133"/>
        <v>1.9E-2</v>
      </c>
      <c r="CR192">
        <f t="shared" si="133"/>
        <v>2.1499999999999998E-2</v>
      </c>
      <c r="CS192">
        <f t="shared" si="133"/>
        <v>1.2500000000000001E-2</v>
      </c>
      <c r="CT192">
        <f t="shared" si="133"/>
        <v>1.95E-2</v>
      </c>
      <c r="CU192">
        <f t="shared" si="133"/>
        <v>2.1499999999999998E-2</v>
      </c>
      <c r="CV192">
        <f t="shared" si="133"/>
        <v>1.9E-2</v>
      </c>
      <c r="CW192">
        <f t="shared" si="133"/>
        <v>1.2500000000000001E-2</v>
      </c>
      <c r="CX192">
        <f t="shared" si="133"/>
        <v>2.9000000000000001E-2</v>
      </c>
      <c r="CY192">
        <f t="shared" si="133"/>
        <v>2.3E-2</v>
      </c>
      <c r="CZ192">
        <f t="shared" si="133"/>
        <v>1.55E-2</v>
      </c>
      <c r="DA192">
        <f t="shared" ref="DA192:DH192" si="134">AVERAGE(DA144,DA168)</f>
        <v>1.95E-2</v>
      </c>
      <c r="DB192">
        <f t="shared" si="134"/>
        <v>7.4999999999999997E-3</v>
      </c>
      <c r="DC192">
        <f t="shared" si="134"/>
        <v>2.0999999999999998E-2</v>
      </c>
      <c r="DD192">
        <f t="shared" si="134"/>
        <v>2.3E-2</v>
      </c>
      <c r="DE192">
        <f t="shared" si="134"/>
        <v>1.3999999999999999E-2</v>
      </c>
      <c r="DF192">
        <f t="shared" si="134"/>
        <v>8.5000000000000006E-3</v>
      </c>
      <c r="DG192">
        <f t="shared" si="134"/>
        <v>2.2499999999999999E-2</v>
      </c>
      <c r="DH192">
        <f t="shared" si="134"/>
        <v>6.5000000000000006E-3</v>
      </c>
      <c r="DI192"/>
      <c r="DJ192">
        <f t="shared" ref="DJ192:EO192" si="135">AVERAGE(DJ144,DJ168)</f>
        <v>0.02</v>
      </c>
      <c r="DK192">
        <f t="shared" si="135"/>
        <v>1.6E-2</v>
      </c>
      <c r="DL192">
        <f t="shared" si="135"/>
        <v>1.2E-2</v>
      </c>
      <c r="DM192" t="e">
        <f t="shared" si="135"/>
        <v>#DIV/0!</v>
      </c>
      <c r="DN192">
        <f t="shared" si="135"/>
        <v>2.3E-2</v>
      </c>
      <c r="DO192">
        <f t="shared" si="135"/>
        <v>1.3500000000000002E-2</v>
      </c>
      <c r="DP192">
        <f t="shared" si="135"/>
        <v>1.2999999999999999E-2</v>
      </c>
      <c r="DQ192">
        <f t="shared" si="135"/>
        <v>2.35E-2</v>
      </c>
      <c r="DR192">
        <f t="shared" si="135"/>
        <v>2.1499999999999998E-2</v>
      </c>
      <c r="DS192">
        <f t="shared" si="135"/>
        <v>2.0500000000000001E-2</v>
      </c>
      <c r="DT192">
        <f t="shared" si="135"/>
        <v>1.9E-2</v>
      </c>
      <c r="DU192">
        <f t="shared" si="135"/>
        <v>7.0000000000000001E-3</v>
      </c>
      <c r="DV192" t="e">
        <f t="shared" si="135"/>
        <v>#DIV/0!</v>
      </c>
      <c r="DW192">
        <f t="shared" si="135"/>
        <v>6.5000000000000006E-3</v>
      </c>
      <c r="DX192">
        <f t="shared" si="135"/>
        <v>1.55E-2</v>
      </c>
      <c r="DY192">
        <f t="shared" si="135"/>
        <v>2.0999999999999998E-2</v>
      </c>
      <c r="DZ192">
        <f t="shared" si="135"/>
        <v>2.8999999999999998E-2</v>
      </c>
      <c r="EA192">
        <f t="shared" si="135"/>
        <v>6.5000000000000006E-3</v>
      </c>
      <c r="EB192">
        <f t="shared" si="135"/>
        <v>1.2E-2</v>
      </c>
      <c r="EC192">
        <f t="shared" si="135"/>
        <v>1.8500000000000003E-2</v>
      </c>
      <c r="ED192">
        <f t="shared" si="135"/>
        <v>1.0500000000000001E-2</v>
      </c>
      <c r="EE192">
        <f t="shared" si="135"/>
        <v>3.2500000000000001E-2</v>
      </c>
      <c r="EF192">
        <f t="shared" si="135"/>
        <v>1.4E-2</v>
      </c>
      <c r="EG192">
        <f t="shared" si="135"/>
        <v>1.2E-2</v>
      </c>
      <c r="EH192">
        <f t="shared" si="135"/>
        <v>2.35E-2</v>
      </c>
      <c r="EI192">
        <f t="shared" si="135"/>
        <v>1.4499999999999999E-2</v>
      </c>
      <c r="EJ192">
        <f t="shared" si="135"/>
        <v>8.0000000000000002E-3</v>
      </c>
      <c r="EK192">
        <f t="shared" si="135"/>
        <v>1.0999999999999999E-2</v>
      </c>
      <c r="EL192">
        <f t="shared" si="135"/>
        <v>6.0000000000000001E-3</v>
      </c>
      <c r="EM192">
        <f t="shared" si="135"/>
        <v>2.1499999999999998E-2</v>
      </c>
      <c r="EN192">
        <f t="shared" si="135"/>
        <v>1.4999999999999999E-2</v>
      </c>
      <c r="EO192">
        <f t="shared" si="135"/>
        <v>2.2499999999999999E-2</v>
      </c>
      <c r="EP192">
        <f t="shared" ref="EP192:FU192" si="136">AVERAGE(EP144,EP168)</f>
        <v>1.9E-2</v>
      </c>
      <c r="EQ192">
        <f t="shared" si="136"/>
        <v>1.4999999999999999E-2</v>
      </c>
      <c r="ER192">
        <f t="shared" si="136"/>
        <v>1.3999999999999999E-2</v>
      </c>
      <c r="ES192">
        <f t="shared" si="136"/>
        <v>1.7500000000000002E-2</v>
      </c>
      <c r="ET192" t="e">
        <f t="shared" si="136"/>
        <v>#DIV/0!</v>
      </c>
      <c r="EU192">
        <f t="shared" si="136"/>
        <v>1.6E-2</v>
      </c>
      <c r="EV192">
        <f t="shared" si="136"/>
        <v>1.95E-2</v>
      </c>
      <c r="EW192">
        <f t="shared" si="136"/>
        <v>1.3999999999999999E-2</v>
      </c>
      <c r="EX192">
        <f t="shared" si="136"/>
        <v>1.8499999999999999E-2</v>
      </c>
      <c r="EY192">
        <f t="shared" si="136"/>
        <v>3.7499999999999999E-2</v>
      </c>
      <c r="EZ192">
        <f t="shared" si="136"/>
        <v>6.9999999999999993E-3</v>
      </c>
      <c r="FA192">
        <f t="shared" si="136"/>
        <v>1.4500000000000001E-2</v>
      </c>
      <c r="FB192">
        <f t="shared" si="136"/>
        <v>8.5000000000000006E-3</v>
      </c>
      <c r="FC192">
        <f t="shared" si="136"/>
        <v>0.02</v>
      </c>
      <c r="FD192">
        <f t="shared" si="136"/>
        <v>2.4E-2</v>
      </c>
      <c r="FE192">
        <f t="shared" si="136"/>
        <v>2.8999999999999998E-2</v>
      </c>
      <c r="FF192">
        <f t="shared" si="136"/>
        <v>2.3E-2</v>
      </c>
      <c r="FG192">
        <f t="shared" si="136"/>
        <v>7.0000000000000001E-3</v>
      </c>
      <c r="FH192">
        <f t="shared" si="136"/>
        <v>1.3000000000000001E-2</v>
      </c>
      <c r="FI192" t="e">
        <f t="shared" si="136"/>
        <v>#DIV/0!</v>
      </c>
      <c r="FJ192">
        <f t="shared" si="136"/>
        <v>1.8500000000000003E-2</v>
      </c>
      <c r="FK192">
        <f t="shared" si="136"/>
        <v>1.6E-2</v>
      </c>
      <c r="FL192">
        <f t="shared" si="136"/>
        <v>2.6500000000000003E-2</v>
      </c>
      <c r="FM192">
        <f t="shared" si="136"/>
        <v>6.5000000000000006E-3</v>
      </c>
      <c r="FN192">
        <f t="shared" si="136"/>
        <v>6.5000000000000006E-3</v>
      </c>
      <c r="FO192">
        <f t="shared" si="136"/>
        <v>1.7999999999999999E-2</v>
      </c>
      <c r="FP192">
        <f t="shared" si="136"/>
        <v>1.9E-2</v>
      </c>
      <c r="FQ192">
        <f t="shared" si="136"/>
        <v>1.4499999999999999E-2</v>
      </c>
      <c r="FR192">
        <f t="shared" si="136"/>
        <v>1.4499999999999999E-2</v>
      </c>
      <c r="FS192">
        <f t="shared" si="136"/>
        <v>1.9E-2</v>
      </c>
      <c r="FT192">
        <f t="shared" si="136"/>
        <v>2.35E-2</v>
      </c>
      <c r="FU192">
        <f t="shared" si="136"/>
        <v>1.8500000000000003E-2</v>
      </c>
      <c r="FV192">
        <f t="shared" ref="FV192:GM192" si="137">AVERAGE(FV144,FV168)</f>
        <v>1.95E-2</v>
      </c>
      <c r="FW192">
        <f t="shared" si="137"/>
        <v>1.3000000000000001E-2</v>
      </c>
      <c r="FX192">
        <f t="shared" si="137"/>
        <v>0.01</v>
      </c>
      <c r="FY192">
        <f t="shared" si="137"/>
        <v>2.7499999999999997E-2</v>
      </c>
      <c r="FZ192">
        <f t="shared" si="137"/>
        <v>2.0999999999999998E-2</v>
      </c>
      <c r="GA192">
        <f t="shared" si="137"/>
        <v>2.35E-2</v>
      </c>
      <c r="GB192">
        <f t="shared" si="137"/>
        <v>1.4999999999999999E-2</v>
      </c>
      <c r="GC192">
        <f t="shared" si="137"/>
        <v>7.4999999999999997E-3</v>
      </c>
      <c r="GD192">
        <f t="shared" si="137"/>
        <v>2.0999999999999998E-2</v>
      </c>
      <c r="GE192">
        <f t="shared" si="137"/>
        <v>1.0499999999999999E-2</v>
      </c>
      <c r="GF192">
        <f t="shared" si="137"/>
        <v>1.2500000000000001E-2</v>
      </c>
      <c r="GG192">
        <f t="shared" si="137"/>
        <v>2.0499999999999997E-2</v>
      </c>
      <c r="GH192">
        <f t="shared" si="137"/>
        <v>1.6E-2</v>
      </c>
      <c r="GI192">
        <f t="shared" si="137"/>
        <v>1.4E-2</v>
      </c>
      <c r="GJ192">
        <f t="shared" si="137"/>
        <v>1.2500000000000001E-2</v>
      </c>
      <c r="GK192">
        <f t="shared" si="137"/>
        <v>2.3E-2</v>
      </c>
      <c r="GL192">
        <f t="shared" si="137"/>
        <v>2.0500000000000001E-2</v>
      </c>
      <c r="GM192">
        <f t="shared" si="137"/>
        <v>2.0499999999999997E-2</v>
      </c>
    </row>
    <row r="193" spans="7:195" ht="14.4" x14ac:dyDescent="0.3">
      <c r="G193">
        <v>16</v>
      </c>
      <c r="H193" t="s">
        <v>892</v>
      </c>
      <c r="I193">
        <f t="shared" ref="I193:AN193" si="138">AVERAGE(I145,I169)</f>
        <v>3.8000000000000006E-2</v>
      </c>
      <c r="J193">
        <f t="shared" si="138"/>
        <v>1.4999999999999999E-2</v>
      </c>
      <c r="K193">
        <f t="shared" si="138"/>
        <v>1.6500000000000001E-2</v>
      </c>
      <c r="L193">
        <f t="shared" si="138"/>
        <v>3.7500000000000006E-2</v>
      </c>
      <c r="M193">
        <f t="shared" si="138"/>
        <v>1.6E-2</v>
      </c>
      <c r="N193">
        <f t="shared" si="138"/>
        <v>2.1000000000000001E-2</v>
      </c>
      <c r="O193">
        <f t="shared" si="138"/>
        <v>2.4E-2</v>
      </c>
      <c r="P193">
        <f t="shared" si="138"/>
        <v>9.4999999999999998E-3</v>
      </c>
      <c r="Q193">
        <f t="shared" si="138"/>
        <v>1.2E-2</v>
      </c>
      <c r="R193">
        <f t="shared" si="138"/>
        <v>2.6000000000000002E-2</v>
      </c>
      <c r="S193">
        <f t="shared" si="138"/>
        <v>1.7500000000000002E-2</v>
      </c>
      <c r="T193">
        <f t="shared" si="138"/>
        <v>2.1499999999999998E-2</v>
      </c>
      <c r="U193">
        <f t="shared" si="138"/>
        <v>2.6500000000000003E-2</v>
      </c>
      <c r="V193">
        <f t="shared" si="138"/>
        <v>2.1999999999999999E-2</v>
      </c>
      <c r="W193">
        <f t="shared" si="138"/>
        <v>0.03</v>
      </c>
      <c r="X193">
        <f t="shared" si="138"/>
        <v>1.3000000000000001E-2</v>
      </c>
      <c r="Y193">
        <f t="shared" si="138"/>
        <v>3.2000000000000001E-2</v>
      </c>
      <c r="Z193">
        <f t="shared" si="138"/>
        <v>3.7500000000000006E-2</v>
      </c>
      <c r="AA193">
        <f t="shared" si="138"/>
        <v>2.4500000000000001E-2</v>
      </c>
      <c r="AB193">
        <f t="shared" si="138"/>
        <v>2.2499999999999999E-2</v>
      </c>
      <c r="AC193">
        <f t="shared" si="138"/>
        <v>2.1999999999999999E-2</v>
      </c>
      <c r="AD193">
        <f t="shared" si="138"/>
        <v>0.03</v>
      </c>
      <c r="AE193">
        <f t="shared" si="138"/>
        <v>0.02</v>
      </c>
      <c r="AF193">
        <f t="shared" si="138"/>
        <v>1.4E-2</v>
      </c>
      <c r="AG193">
        <f t="shared" si="138"/>
        <v>2.3E-2</v>
      </c>
      <c r="AH193">
        <f t="shared" si="138"/>
        <v>3.9E-2</v>
      </c>
      <c r="AI193">
        <f t="shared" si="138"/>
        <v>3.4500000000000003E-2</v>
      </c>
      <c r="AJ193">
        <f t="shared" si="138"/>
        <v>2.5000000000000001E-2</v>
      </c>
      <c r="AK193">
        <f t="shared" si="138"/>
        <v>3.2000000000000001E-2</v>
      </c>
      <c r="AL193">
        <f t="shared" si="138"/>
        <v>3.6000000000000004E-2</v>
      </c>
      <c r="AM193">
        <f t="shared" si="138"/>
        <v>1.0999999999999999E-2</v>
      </c>
      <c r="AN193">
        <f t="shared" si="138"/>
        <v>3.6000000000000004E-2</v>
      </c>
      <c r="AO193">
        <f t="shared" ref="AO193:BT193" si="139">AVERAGE(AO145,AO169)</f>
        <v>3.9E-2</v>
      </c>
      <c r="AP193">
        <f t="shared" si="139"/>
        <v>1.4499999999999999E-2</v>
      </c>
      <c r="AQ193">
        <f t="shared" si="139"/>
        <v>2.2499999999999999E-2</v>
      </c>
      <c r="AR193">
        <f t="shared" si="139"/>
        <v>2.0999999999999998E-2</v>
      </c>
      <c r="AS193" t="e">
        <f t="shared" si="139"/>
        <v>#DIV/0!</v>
      </c>
      <c r="AT193">
        <f t="shared" si="139"/>
        <v>2.8999999999999998E-2</v>
      </c>
      <c r="AU193">
        <f t="shared" si="139"/>
        <v>1.2E-2</v>
      </c>
      <c r="AV193">
        <f t="shared" si="139"/>
        <v>4.65E-2</v>
      </c>
      <c r="AW193">
        <f t="shared" si="139"/>
        <v>1.8000000000000002E-2</v>
      </c>
      <c r="AX193">
        <f t="shared" si="139"/>
        <v>1.95E-2</v>
      </c>
      <c r="AY193" t="e">
        <f t="shared" si="139"/>
        <v>#DIV/0!</v>
      </c>
      <c r="AZ193">
        <f t="shared" si="139"/>
        <v>1.3500000000000002E-2</v>
      </c>
      <c r="BA193">
        <f t="shared" si="139"/>
        <v>1.8500000000000003E-2</v>
      </c>
      <c r="BB193">
        <f t="shared" si="139"/>
        <v>3.6499999999999998E-2</v>
      </c>
      <c r="BC193">
        <f t="shared" si="139"/>
        <v>3.4000000000000002E-2</v>
      </c>
      <c r="BD193">
        <f t="shared" si="139"/>
        <v>1.3500000000000002E-2</v>
      </c>
      <c r="BE193">
        <f t="shared" si="139"/>
        <v>0.03</v>
      </c>
      <c r="BF193">
        <f t="shared" si="139"/>
        <v>2.2499999999999999E-2</v>
      </c>
      <c r="BG193">
        <f t="shared" si="139"/>
        <v>1.6500000000000001E-2</v>
      </c>
      <c r="BH193">
        <f t="shared" si="139"/>
        <v>2.8500000000000001E-2</v>
      </c>
      <c r="BI193">
        <f t="shared" si="139"/>
        <v>1.8499999999999999E-2</v>
      </c>
      <c r="BJ193">
        <f t="shared" si="139"/>
        <v>3.4000000000000002E-2</v>
      </c>
      <c r="BK193">
        <f t="shared" si="139"/>
        <v>4.4999999999999998E-2</v>
      </c>
      <c r="BL193">
        <f t="shared" si="139"/>
        <v>0.02</v>
      </c>
      <c r="BM193">
        <f t="shared" si="139"/>
        <v>2.9499999999999998E-2</v>
      </c>
      <c r="BN193">
        <f t="shared" si="139"/>
        <v>3.4000000000000002E-2</v>
      </c>
      <c r="BO193">
        <f t="shared" si="139"/>
        <v>1.2500000000000001E-2</v>
      </c>
      <c r="BP193">
        <f t="shared" si="139"/>
        <v>1.0500000000000001E-2</v>
      </c>
      <c r="BQ193">
        <f t="shared" si="139"/>
        <v>2.6000000000000002E-2</v>
      </c>
      <c r="BR193">
        <f t="shared" si="139"/>
        <v>3.9E-2</v>
      </c>
      <c r="BS193">
        <f t="shared" si="139"/>
        <v>2.1500000000000002E-2</v>
      </c>
      <c r="BT193">
        <f t="shared" si="139"/>
        <v>1.2E-2</v>
      </c>
      <c r="BU193">
        <f t="shared" ref="BU193:CZ193" si="140">AVERAGE(BU145,BU169)</f>
        <v>3.5500000000000004E-2</v>
      </c>
      <c r="BV193">
        <f t="shared" si="140"/>
        <v>1.15E-2</v>
      </c>
      <c r="BW193">
        <f t="shared" si="140"/>
        <v>2.6000000000000002E-2</v>
      </c>
      <c r="BX193">
        <f t="shared" si="140"/>
        <v>2.0499999999999997E-2</v>
      </c>
      <c r="BY193">
        <f t="shared" si="140"/>
        <v>3.4000000000000002E-2</v>
      </c>
      <c r="BZ193">
        <f t="shared" si="140"/>
        <v>4.0499999999999994E-2</v>
      </c>
      <c r="CA193">
        <f t="shared" si="140"/>
        <v>3.7000000000000005E-2</v>
      </c>
      <c r="CB193">
        <f t="shared" si="140"/>
        <v>3.0499999999999999E-2</v>
      </c>
      <c r="CC193">
        <f t="shared" si="140"/>
        <v>1.7500000000000002E-2</v>
      </c>
      <c r="CD193">
        <f t="shared" si="140"/>
        <v>2.35E-2</v>
      </c>
      <c r="CE193">
        <f t="shared" si="140"/>
        <v>1.0499999999999999E-2</v>
      </c>
      <c r="CF193">
        <f t="shared" si="140"/>
        <v>3.2500000000000001E-2</v>
      </c>
      <c r="CG193">
        <f t="shared" si="140"/>
        <v>3.4500000000000003E-2</v>
      </c>
      <c r="CH193">
        <f t="shared" si="140"/>
        <v>1.7999999999999999E-2</v>
      </c>
      <c r="CI193">
        <f t="shared" si="140"/>
        <v>2.75E-2</v>
      </c>
      <c r="CJ193">
        <f t="shared" si="140"/>
        <v>1.15E-2</v>
      </c>
      <c r="CK193">
        <f t="shared" si="140"/>
        <v>1.0499999999999999E-2</v>
      </c>
      <c r="CL193">
        <f t="shared" si="140"/>
        <v>1.0500000000000001E-2</v>
      </c>
      <c r="CM193">
        <f t="shared" si="140"/>
        <v>1.6500000000000001E-2</v>
      </c>
      <c r="CN193">
        <f t="shared" si="140"/>
        <v>8.9999999999999993E-3</v>
      </c>
      <c r="CO193">
        <f t="shared" si="140"/>
        <v>2.35E-2</v>
      </c>
      <c r="CP193">
        <f t="shared" si="140"/>
        <v>3.15E-2</v>
      </c>
      <c r="CQ193">
        <f t="shared" si="140"/>
        <v>2.9499999999999998E-2</v>
      </c>
      <c r="CR193">
        <f t="shared" si="140"/>
        <v>3.4000000000000002E-2</v>
      </c>
      <c r="CS193">
        <f t="shared" si="140"/>
        <v>2.5000000000000001E-2</v>
      </c>
      <c r="CT193">
        <f t="shared" si="140"/>
        <v>2.6500000000000003E-2</v>
      </c>
      <c r="CU193">
        <f t="shared" si="140"/>
        <v>3.3500000000000002E-2</v>
      </c>
      <c r="CV193">
        <f t="shared" si="140"/>
        <v>2.5499999999999998E-2</v>
      </c>
      <c r="CW193">
        <f t="shared" si="140"/>
        <v>2.1000000000000001E-2</v>
      </c>
      <c r="CX193">
        <f t="shared" si="140"/>
        <v>0.04</v>
      </c>
      <c r="CY193">
        <f t="shared" si="140"/>
        <v>3.7000000000000005E-2</v>
      </c>
      <c r="CZ193">
        <f t="shared" si="140"/>
        <v>2.6500000000000003E-2</v>
      </c>
      <c r="DA193">
        <f t="shared" ref="DA193:DH193" si="141">AVERAGE(DA145,DA169)</f>
        <v>2.5499999999999998E-2</v>
      </c>
      <c r="DB193">
        <f t="shared" si="141"/>
        <v>1.2500000000000001E-2</v>
      </c>
      <c r="DC193">
        <f t="shared" si="141"/>
        <v>3.4500000000000003E-2</v>
      </c>
      <c r="DD193">
        <f t="shared" si="141"/>
        <v>3.3500000000000002E-2</v>
      </c>
      <c r="DE193">
        <f t="shared" si="141"/>
        <v>2.2499999999999999E-2</v>
      </c>
      <c r="DF193">
        <f t="shared" si="141"/>
        <v>1.95E-2</v>
      </c>
      <c r="DG193">
        <f t="shared" si="141"/>
        <v>3.5500000000000004E-2</v>
      </c>
      <c r="DH193">
        <f t="shared" si="141"/>
        <v>0.01</v>
      </c>
      <c r="DI193"/>
      <c r="DJ193">
        <f t="shared" ref="DJ193:EO193" si="142">AVERAGE(DJ145,DJ169)</f>
        <v>3.2500000000000001E-2</v>
      </c>
      <c r="DK193">
        <f t="shared" si="142"/>
        <v>2.1499999999999998E-2</v>
      </c>
      <c r="DL193">
        <f t="shared" si="142"/>
        <v>1.8500000000000003E-2</v>
      </c>
      <c r="DM193" t="e">
        <f t="shared" si="142"/>
        <v>#DIV/0!</v>
      </c>
      <c r="DN193">
        <f t="shared" si="142"/>
        <v>3.15E-2</v>
      </c>
      <c r="DO193">
        <f t="shared" si="142"/>
        <v>2.2499999999999999E-2</v>
      </c>
      <c r="DP193">
        <f t="shared" si="142"/>
        <v>2.2499999999999999E-2</v>
      </c>
      <c r="DQ193">
        <f t="shared" si="142"/>
        <v>3.5000000000000003E-2</v>
      </c>
      <c r="DR193">
        <f t="shared" si="142"/>
        <v>3.4000000000000002E-2</v>
      </c>
      <c r="DS193">
        <f t="shared" si="142"/>
        <v>3.15E-2</v>
      </c>
      <c r="DT193">
        <f t="shared" si="142"/>
        <v>3.0499999999999999E-2</v>
      </c>
      <c r="DU193">
        <f t="shared" si="142"/>
        <v>1.15E-2</v>
      </c>
      <c r="DV193" t="e">
        <f t="shared" si="142"/>
        <v>#DIV/0!</v>
      </c>
      <c r="DW193">
        <f t="shared" si="142"/>
        <v>1.0999999999999999E-2</v>
      </c>
      <c r="DX193">
        <f t="shared" si="142"/>
        <v>2.35E-2</v>
      </c>
      <c r="DY193">
        <f t="shared" si="142"/>
        <v>3.4000000000000002E-2</v>
      </c>
      <c r="DZ193">
        <f t="shared" si="142"/>
        <v>4.5999999999999999E-2</v>
      </c>
      <c r="EA193">
        <f t="shared" si="142"/>
        <v>1.15E-2</v>
      </c>
      <c r="EB193">
        <f t="shared" si="142"/>
        <v>2.4500000000000001E-2</v>
      </c>
      <c r="EC193">
        <f t="shared" si="142"/>
        <v>2.8999999999999998E-2</v>
      </c>
      <c r="ED193">
        <f t="shared" si="142"/>
        <v>1.6E-2</v>
      </c>
      <c r="EE193">
        <f t="shared" si="142"/>
        <v>4.8000000000000001E-2</v>
      </c>
      <c r="EF193">
        <f t="shared" si="142"/>
        <v>0.02</v>
      </c>
      <c r="EG193">
        <f t="shared" si="142"/>
        <v>1.9E-2</v>
      </c>
      <c r="EH193">
        <f t="shared" si="142"/>
        <v>3.3000000000000002E-2</v>
      </c>
      <c r="EI193">
        <f t="shared" si="142"/>
        <v>1.95E-2</v>
      </c>
      <c r="EJ193">
        <f t="shared" si="142"/>
        <v>1.0999999999999999E-2</v>
      </c>
      <c r="EK193">
        <f t="shared" si="142"/>
        <v>1.8500000000000003E-2</v>
      </c>
      <c r="EL193">
        <f t="shared" si="142"/>
        <v>8.9999999999999993E-3</v>
      </c>
      <c r="EM193">
        <f t="shared" si="142"/>
        <v>2.7000000000000003E-2</v>
      </c>
      <c r="EN193">
        <f t="shared" si="142"/>
        <v>2.2499999999999999E-2</v>
      </c>
      <c r="EO193">
        <f t="shared" si="142"/>
        <v>3.1E-2</v>
      </c>
      <c r="EP193">
        <f t="shared" ref="EP193:FU193" si="143">AVERAGE(EP145,EP169)</f>
        <v>0.03</v>
      </c>
      <c r="EQ193">
        <f t="shared" si="143"/>
        <v>2.2499999999999999E-2</v>
      </c>
      <c r="ER193">
        <f t="shared" si="143"/>
        <v>2.4500000000000001E-2</v>
      </c>
      <c r="ES193">
        <f t="shared" si="143"/>
        <v>2.7499999999999997E-2</v>
      </c>
      <c r="ET193" t="e">
        <f t="shared" si="143"/>
        <v>#DIV/0!</v>
      </c>
      <c r="EU193">
        <f t="shared" si="143"/>
        <v>2.35E-2</v>
      </c>
      <c r="EV193">
        <f t="shared" si="143"/>
        <v>3.1E-2</v>
      </c>
      <c r="EW193">
        <f t="shared" si="143"/>
        <v>2.0999999999999998E-2</v>
      </c>
      <c r="EX193">
        <f t="shared" si="143"/>
        <v>2.7E-2</v>
      </c>
      <c r="EY193">
        <f t="shared" si="143"/>
        <v>5.6000000000000001E-2</v>
      </c>
      <c r="EZ193">
        <f t="shared" si="143"/>
        <v>1.15E-2</v>
      </c>
      <c r="FA193">
        <f t="shared" si="143"/>
        <v>2.0500000000000001E-2</v>
      </c>
      <c r="FB193">
        <f t="shared" si="143"/>
        <v>1.2999999999999999E-2</v>
      </c>
      <c r="FC193">
        <f t="shared" si="143"/>
        <v>3.15E-2</v>
      </c>
      <c r="FD193">
        <f t="shared" si="143"/>
        <v>3.6500000000000005E-2</v>
      </c>
      <c r="FE193">
        <f t="shared" si="143"/>
        <v>4.2500000000000003E-2</v>
      </c>
      <c r="FF193">
        <f t="shared" si="143"/>
        <v>3.5500000000000004E-2</v>
      </c>
      <c r="FG193">
        <f t="shared" si="143"/>
        <v>0.01</v>
      </c>
      <c r="FH193">
        <f t="shared" si="143"/>
        <v>2.0999999999999998E-2</v>
      </c>
      <c r="FI193" t="e">
        <f t="shared" si="143"/>
        <v>#DIV/0!</v>
      </c>
      <c r="FJ193">
        <f t="shared" si="143"/>
        <v>2.9499999999999998E-2</v>
      </c>
      <c r="FK193">
        <f t="shared" si="143"/>
        <v>2.4500000000000001E-2</v>
      </c>
      <c r="FL193">
        <f t="shared" si="143"/>
        <v>3.85E-2</v>
      </c>
      <c r="FM193">
        <f t="shared" si="143"/>
        <v>1.0499999999999999E-2</v>
      </c>
      <c r="FN193">
        <f t="shared" si="143"/>
        <v>9.4999999999999998E-3</v>
      </c>
      <c r="FO193">
        <f t="shared" si="143"/>
        <v>2.8000000000000001E-2</v>
      </c>
      <c r="FP193">
        <f t="shared" si="143"/>
        <v>0.03</v>
      </c>
      <c r="FQ193">
        <f t="shared" si="143"/>
        <v>2.35E-2</v>
      </c>
      <c r="FR193">
        <f t="shared" si="143"/>
        <v>2.1999999999999999E-2</v>
      </c>
      <c r="FS193">
        <f t="shared" si="143"/>
        <v>3.15E-2</v>
      </c>
      <c r="FT193">
        <f t="shared" si="143"/>
        <v>3.7500000000000006E-2</v>
      </c>
      <c r="FU193">
        <f t="shared" si="143"/>
        <v>2.9499999999999998E-2</v>
      </c>
      <c r="FV193">
        <f t="shared" ref="FV193:GM193" si="144">AVERAGE(FV145,FV169)</f>
        <v>3.1E-2</v>
      </c>
      <c r="FW193">
        <f t="shared" si="144"/>
        <v>2.1499999999999998E-2</v>
      </c>
      <c r="FX193">
        <f t="shared" si="144"/>
        <v>1.6500000000000001E-2</v>
      </c>
      <c r="FY193">
        <f t="shared" si="144"/>
        <v>3.7999999999999999E-2</v>
      </c>
      <c r="FZ193">
        <f t="shared" si="144"/>
        <v>3.2000000000000001E-2</v>
      </c>
      <c r="GA193">
        <f t="shared" si="144"/>
        <v>0.03</v>
      </c>
      <c r="GB193">
        <f t="shared" si="144"/>
        <v>2.0499999999999997E-2</v>
      </c>
      <c r="GC193">
        <f t="shared" si="144"/>
        <v>1.2500000000000001E-2</v>
      </c>
      <c r="GD193">
        <f t="shared" si="144"/>
        <v>3.2000000000000001E-2</v>
      </c>
      <c r="GE193">
        <f t="shared" si="144"/>
        <v>1.4499999999999999E-2</v>
      </c>
      <c r="GF193">
        <f t="shared" si="144"/>
        <v>1.95E-2</v>
      </c>
      <c r="GG193">
        <f t="shared" si="144"/>
        <v>3.15E-2</v>
      </c>
      <c r="GH193">
        <f t="shared" si="144"/>
        <v>2.6500000000000003E-2</v>
      </c>
      <c r="GI193">
        <f t="shared" si="144"/>
        <v>1.8499999999999999E-2</v>
      </c>
      <c r="GJ193">
        <f t="shared" si="144"/>
        <v>2.0500000000000001E-2</v>
      </c>
      <c r="GK193">
        <f t="shared" si="144"/>
        <v>3.5500000000000004E-2</v>
      </c>
      <c r="GL193">
        <f t="shared" si="144"/>
        <v>3.0499999999999999E-2</v>
      </c>
      <c r="GM193">
        <f t="shared" si="144"/>
        <v>0.03</v>
      </c>
    </row>
    <row r="194" spans="7:195" ht="14.4" x14ac:dyDescent="0.3">
      <c r="G194">
        <v>17</v>
      </c>
      <c r="H194" t="s">
        <v>893</v>
      </c>
      <c r="I194">
        <f t="shared" ref="I194:AN194" si="145">AVERAGE(I146,I170)</f>
        <v>0.06</v>
      </c>
      <c r="J194">
        <f t="shared" si="145"/>
        <v>2.8499999999999998E-2</v>
      </c>
      <c r="K194">
        <f t="shared" si="145"/>
        <v>2.7E-2</v>
      </c>
      <c r="L194">
        <f t="shared" si="145"/>
        <v>6.0499999999999998E-2</v>
      </c>
      <c r="M194">
        <f t="shared" si="145"/>
        <v>2.7E-2</v>
      </c>
      <c r="N194">
        <f t="shared" si="145"/>
        <v>3.2000000000000001E-2</v>
      </c>
      <c r="O194">
        <f t="shared" si="145"/>
        <v>4.1000000000000002E-2</v>
      </c>
      <c r="P194">
        <f t="shared" si="145"/>
        <v>1.55E-2</v>
      </c>
      <c r="Q194">
        <f t="shared" si="145"/>
        <v>0.02</v>
      </c>
      <c r="R194">
        <f t="shared" si="145"/>
        <v>4.4999999999999998E-2</v>
      </c>
      <c r="S194">
        <f t="shared" si="145"/>
        <v>2.75E-2</v>
      </c>
      <c r="T194">
        <f t="shared" si="145"/>
        <v>3.7500000000000006E-2</v>
      </c>
      <c r="U194">
        <f t="shared" si="145"/>
        <v>5.5500000000000001E-2</v>
      </c>
      <c r="V194">
        <f t="shared" si="145"/>
        <v>3.7499999999999999E-2</v>
      </c>
      <c r="W194">
        <f t="shared" si="145"/>
        <v>4.5499999999999999E-2</v>
      </c>
      <c r="X194">
        <f t="shared" si="145"/>
        <v>1.95E-2</v>
      </c>
      <c r="Y194">
        <f t="shared" si="145"/>
        <v>5.1499999999999997E-2</v>
      </c>
      <c r="Z194">
        <f t="shared" si="145"/>
        <v>6.3E-2</v>
      </c>
      <c r="AA194">
        <f t="shared" si="145"/>
        <v>3.5500000000000004E-2</v>
      </c>
      <c r="AB194">
        <f t="shared" si="145"/>
        <v>3.15E-2</v>
      </c>
      <c r="AC194">
        <f t="shared" si="145"/>
        <v>3.5000000000000003E-2</v>
      </c>
      <c r="AD194">
        <f t="shared" si="145"/>
        <v>4.8500000000000001E-2</v>
      </c>
      <c r="AE194">
        <f t="shared" si="145"/>
        <v>0.03</v>
      </c>
      <c r="AF194">
        <f t="shared" si="145"/>
        <v>2.7E-2</v>
      </c>
      <c r="AG194">
        <f t="shared" si="145"/>
        <v>3.6000000000000004E-2</v>
      </c>
      <c r="AH194">
        <f t="shared" si="145"/>
        <v>6.6000000000000003E-2</v>
      </c>
      <c r="AI194">
        <f t="shared" si="145"/>
        <v>5.5499999999999994E-2</v>
      </c>
      <c r="AJ194">
        <f t="shared" si="145"/>
        <v>4.2000000000000003E-2</v>
      </c>
      <c r="AK194">
        <f t="shared" si="145"/>
        <v>5.2000000000000005E-2</v>
      </c>
      <c r="AL194">
        <f t="shared" si="145"/>
        <v>5.5499999999999994E-2</v>
      </c>
      <c r="AM194">
        <f t="shared" si="145"/>
        <v>1.7500000000000002E-2</v>
      </c>
      <c r="AN194">
        <f t="shared" si="145"/>
        <v>5.6999999999999995E-2</v>
      </c>
      <c r="AO194">
        <f t="shared" ref="AO194:BT194" si="146">AVERAGE(AO146,AO170)</f>
        <v>6.0999999999999999E-2</v>
      </c>
      <c r="AP194">
        <f t="shared" si="146"/>
        <v>2.3E-2</v>
      </c>
      <c r="AQ194">
        <f t="shared" si="146"/>
        <v>3.9E-2</v>
      </c>
      <c r="AR194">
        <f t="shared" si="146"/>
        <v>3.2000000000000001E-2</v>
      </c>
      <c r="AS194" t="e">
        <f t="shared" si="146"/>
        <v>#DIV/0!</v>
      </c>
      <c r="AT194">
        <f t="shared" si="146"/>
        <v>4.65E-2</v>
      </c>
      <c r="AU194">
        <f t="shared" si="146"/>
        <v>2.1499999999999998E-2</v>
      </c>
      <c r="AV194">
        <f t="shared" si="146"/>
        <v>7.3499999999999996E-2</v>
      </c>
      <c r="AW194">
        <f t="shared" si="146"/>
        <v>3.2500000000000001E-2</v>
      </c>
      <c r="AX194">
        <f t="shared" si="146"/>
        <v>2.75E-2</v>
      </c>
      <c r="AY194" t="e">
        <f t="shared" si="146"/>
        <v>#DIV/0!</v>
      </c>
      <c r="AZ194">
        <f t="shared" si="146"/>
        <v>2.5500000000000002E-2</v>
      </c>
      <c r="BA194">
        <f t="shared" si="146"/>
        <v>2.7999999999999997E-2</v>
      </c>
      <c r="BB194">
        <f t="shared" si="146"/>
        <v>5.3999999999999999E-2</v>
      </c>
      <c r="BC194">
        <f t="shared" si="146"/>
        <v>5.3999999999999999E-2</v>
      </c>
      <c r="BD194">
        <f t="shared" si="146"/>
        <v>2.1000000000000001E-2</v>
      </c>
      <c r="BE194">
        <f t="shared" si="146"/>
        <v>4.8500000000000001E-2</v>
      </c>
      <c r="BF194">
        <f t="shared" si="146"/>
        <v>3.0499999999999999E-2</v>
      </c>
      <c r="BG194">
        <f t="shared" si="146"/>
        <v>2.4E-2</v>
      </c>
      <c r="BH194">
        <f t="shared" si="146"/>
        <v>5.2999999999999999E-2</v>
      </c>
      <c r="BI194">
        <f t="shared" si="146"/>
        <v>2.7E-2</v>
      </c>
      <c r="BJ194">
        <f t="shared" si="146"/>
        <v>5.3000000000000005E-2</v>
      </c>
      <c r="BK194">
        <f t="shared" si="146"/>
        <v>6.5500000000000003E-2</v>
      </c>
      <c r="BL194">
        <f t="shared" si="146"/>
        <v>3.0499999999999999E-2</v>
      </c>
      <c r="BM194">
        <f t="shared" si="146"/>
        <v>4.8000000000000001E-2</v>
      </c>
      <c r="BN194">
        <f t="shared" si="146"/>
        <v>5.2500000000000005E-2</v>
      </c>
      <c r="BO194">
        <f t="shared" si="146"/>
        <v>0.02</v>
      </c>
      <c r="BP194">
        <f t="shared" si="146"/>
        <v>1.4999999999999999E-2</v>
      </c>
      <c r="BQ194">
        <f t="shared" si="146"/>
        <v>4.1999999999999996E-2</v>
      </c>
      <c r="BR194">
        <f t="shared" si="146"/>
        <v>6.5500000000000003E-2</v>
      </c>
      <c r="BS194">
        <f t="shared" si="146"/>
        <v>4.3000000000000003E-2</v>
      </c>
      <c r="BT194">
        <f t="shared" si="146"/>
        <v>0.02</v>
      </c>
      <c r="BU194">
        <f t="shared" ref="BU194:CZ194" si="147">AVERAGE(BU146,BU170)</f>
        <v>6.0499999999999998E-2</v>
      </c>
      <c r="BV194">
        <f t="shared" si="147"/>
        <v>1.8499999999999999E-2</v>
      </c>
      <c r="BW194">
        <f t="shared" si="147"/>
        <v>4.1999999999999996E-2</v>
      </c>
      <c r="BX194">
        <f t="shared" si="147"/>
        <v>3.0499999999999999E-2</v>
      </c>
      <c r="BY194">
        <f t="shared" si="147"/>
        <v>5.3999999999999999E-2</v>
      </c>
      <c r="BZ194">
        <f t="shared" si="147"/>
        <v>6.7500000000000004E-2</v>
      </c>
      <c r="CA194">
        <f t="shared" si="147"/>
        <v>5.8499999999999996E-2</v>
      </c>
      <c r="CB194">
        <f t="shared" si="147"/>
        <v>4.8500000000000001E-2</v>
      </c>
      <c r="CC194">
        <f t="shared" si="147"/>
        <v>2.8000000000000001E-2</v>
      </c>
      <c r="CD194">
        <f t="shared" si="147"/>
        <v>3.4500000000000003E-2</v>
      </c>
      <c r="CE194">
        <f t="shared" si="147"/>
        <v>1.6500000000000001E-2</v>
      </c>
      <c r="CF194">
        <f t="shared" si="147"/>
        <v>0.05</v>
      </c>
      <c r="CG194">
        <f t="shared" si="147"/>
        <v>5.5E-2</v>
      </c>
      <c r="CH194">
        <f t="shared" si="147"/>
        <v>3.6500000000000005E-2</v>
      </c>
      <c r="CI194">
        <f t="shared" si="147"/>
        <v>4.4499999999999998E-2</v>
      </c>
      <c r="CJ194">
        <f t="shared" si="147"/>
        <v>1.8499999999999999E-2</v>
      </c>
      <c r="CK194">
        <f t="shared" si="147"/>
        <v>1.7999999999999999E-2</v>
      </c>
      <c r="CL194">
        <f t="shared" si="147"/>
        <v>1.7999999999999999E-2</v>
      </c>
      <c r="CM194">
        <f t="shared" si="147"/>
        <v>2.7E-2</v>
      </c>
      <c r="CN194">
        <f t="shared" si="147"/>
        <v>1.4999999999999999E-2</v>
      </c>
      <c r="CO194">
        <f t="shared" si="147"/>
        <v>3.95E-2</v>
      </c>
      <c r="CP194">
        <f t="shared" si="147"/>
        <v>5.2000000000000005E-2</v>
      </c>
      <c r="CQ194">
        <f t="shared" si="147"/>
        <v>4.7500000000000001E-2</v>
      </c>
      <c r="CR194">
        <f t="shared" si="147"/>
        <v>5.45E-2</v>
      </c>
      <c r="CS194">
        <f t="shared" si="147"/>
        <v>4.7E-2</v>
      </c>
      <c r="CT194">
        <f t="shared" si="147"/>
        <v>4.5999999999999999E-2</v>
      </c>
      <c r="CU194">
        <f t="shared" si="147"/>
        <v>5.45E-2</v>
      </c>
      <c r="CV194">
        <f t="shared" si="147"/>
        <v>3.6499999999999998E-2</v>
      </c>
      <c r="CW194">
        <f t="shared" si="147"/>
        <v>3.6000000000000004E-2</v>
      </c>
      <c r="CX194">
        <f t="shared" si="147"/>
        <v>6.0499999999999998E-2</v>
      </c>
      <c r="CY194">
        <f t="shared" si="147"/>
        <v>6.3E-2</v>
      </c>
      <c r="CZ194">
        <f t="shared" si="147"/>
        <v>4.3999999999999997E-2</v>
      </c>
      <c r="DA194">
        <f t="shared" ref="DA194:DH194" si="148">AVERAGE(DA146,DA170)</f>
        <v>4.1999999999999996E-2</v>
      </c>
      <c r="DB194">
        <f t="shared" si="148"/>
        <v>1.9E-2</v>
      </c>
      <c r="DC194">
        <f t="shared" si="148"/>
        <v>5.45E-2</v>
      </c>
      <c r="DD194">
        <f t="shared" si="148"/>
        <v>5.6499999999999995E-2</v>
      </c>
      <c r="DE194">
        <f t="shared" si="148"/>
        <v>3.7999999999999999E-2</v>
      </c>
      <c r="DF194">
        <f t="shared" si="148"/>
        <v>3.3000000000000002E-2</v>
      </c>
      <c r="DG194">
        <f t="shared" si="148"/>
        <v>0.06</v>
      </c>
      <c r="DH194">
        <f t="shared" si="148"/>
        <v>1.6E-2</v>
      </c>
      <c r="DI194"/>
      <c r="DJ194">
        <f t="shared" ref="DJ194:EO194" si="149">AVERAGE(DJ146,DJ170)</f>
        <v>5.5999999999999994E-2</v>
      </c>
      <c r="DK194">
        <f t="shared" si="149"/>
        <v>3.4500000000000003E-2</v>
      </c>
      <c r="DL194">
        <f t="shared" si="149"/>
        <v>2.8500000000000001E-2</v>
      </c>
      <c r="DM194" t="e">
        <f t="shared" si="149"/>
        <v>#DIV/0!</v>
      </c>
      <c r="DN194">
        <f t="shared" si="149"/>
        <v>5.2500000000000005E-2</v>
      </c>
      <c r="DO194">
        <f t="shared" si="149"/>
        <v>3.5500000000000004E-2</v>
      </c>
      <c r="DP194">
        <f t="shared" si="149"/>
        <v>3.9E-2</v>
      </c>
      <c r="DQ194">
        <f t="shared" si="149"/>
        <v>5.45E-2</v>
      </c>
      <c r="DR194">
        <f t="shared" si="149"/>
        <v>5.45E-2</v>
      </c>
      <c r="DS194">
        <f t="shared" si="149"/>
        <v>5.0500000000000003E-2</v>
      </c>
      <c r="DT194">
        <f t="shared" si="149"/>
        <v>0.05</v>
      </c>
      <c r="DU194">
        <f t="shared" si="149"/>
        <v>1.9E-2</v>
      </c>
      <c r="DV194" t="e">
        <f t="shared" si="149"/>
        <v>#DIV/0!</v>
      </c>
      <c r="DW194">
        <f t="shared" si="149"/>
        <v>1.7500000000000002E-2</v>
      </c>
      <c r="DX194">
        <f t="shared" si="149"/>
        <v>2.75E-2</v>
      </c>
      <c r="DY194">
        <f t="shared" si="149"/>
        <v>5.8499999999999996E-2</v>
      </c>
      <c r="DZ194">
        <f t="shared" si="149"/>
        <v>7.6999999999999999E-2</v>
      </c>
      <c r="EA194">
        <f t="shared" si="149"/>
        <v>1.9E-2</v>
      </c>
      <c r="EB194">
        <f t="shared" si="149"/>
        <v>3.1E-2</v>
      </c>
      <c r="EC194">
        <f t="shared" si="149"/>
        <v>4.7E-2</v>
      </c>
      <c r="ED194">
        <f t="shared" si="149"/>
        <v>2.3E-2</v>
      </c>
      <c r="EE194">
        <f t="shared" si="149"/>
        <v>6.9500000000000006E-2</v>
      </c>
      <c r="EF194">
        <f t="shared" si="149"/>
        <v>0.03</v>
      </c>
      <c r="EG194">
        <f t="shared" si="149"/>
        <v>2.9500000000000002E-2</v>
      </c>
      <c r="EH194">
        <f t="shared" si="149"/>
        <v>4.8000000000000001E-2</v>
      </c>
      <c r="EI194">
        <f t="shared" si="149"/>
        <v>0.03</v>
      </c>
      <c r="EJ194">
        <f t="shared" si="149"/>
        <v>1.8000000000000002E-2</v>
      </c>
      <c r="EK194">
        <f t="shared" si="149"/>
        <v>3.0499999999999999E-2</v>
      </c>
      <c r="EL194">
        <f t="shared" si="149"/>
        <v>1.9E-2</v>
      </c>
      <c r="EM194">
        <f t="shared" si="149"/>
        <v>4.9500000000000002E-2</v>
      </c>
      <c r="EN194">
        <f t="shared" si="149"/>
        <v>3.5000000000000003E-2</v>
      </c>
      <c r="EO194">
        <f t="shared" si="149"/>
        <v>4.4499999999999998E-2</v>
      </c>
      <c r="EP194">
        <f t="shared" ref="EP194:FU194" si="150">AVERAGE(EP146,EP170)</f>
        <v>4.7500000000000001E-2</v>
      </c>
      <c r="EQ194">
        <f t="shared" si="150"/>
        <v>3.3000000000000002E-2</v>
      </c>
      <c r="ER194">
        <f t="shared" si="150"/>
        <v>3.85E-2</v>
      </c>
      <c r="ES194">
        <f t="shared" si="150"/>
        <v>4.2500000000000003E-2</v>
      </c>
      <c r="ET194" t="e">
        <f t="shared" si="150"/>
        <v>#DIV/0!</v>
      </c>
      <c r="EU194">
        <f t="shared" si="150"/>
        <v>4.8500000000000001E-2</v>
      </c>
      <c r="EV194">
        <f t="shared" si="150"/>
        <v>5.3999999999999999E-2</v>
      </c>
      <c r="EW194">
        <f t="shared" si="150"/>
        <v>3.85E-2</v>
      </c>
      <c r="EX194">
        <f t="shared" si="150"/>
        <v>0.04</v>
      </c>
      <c r="EY194">
        <f t="shared" si="150"/>
        <v>8.8999999999999996E-2</v>
      </c>
      <c r="EZ194">
        <f t="shared" si="150"/>
        <v>1.8499999999999999E-2</v>
      </c>
      <c r="FA194">
        <f t="shared" si="150"/>
        <v>3.3500000000000002E-2</v>
      </c>
      <c r="FB194">
        <f t="shared" si="150"/>
        <v>2.0500000000000001E-2</v>
      </c>
      <c r="FC194">
        <f t="shared" si="150"/>
        <v>5.2000000000000005E-2</v>
      </c>
      <c r="FD194">
        <f t="shared" si="150"/>
        <v>5.6999999999999995E-2</v>
      </c>
      <c r="FE194">
        <f t="shared" si="150"/>
        <v>6.0999999999999999E-2</v>
      </c>
      <c r="FF194">
        <f t="shared" si="150"/>
        <v>5.5499999999999994E-2</v>
      </c>
      <c r="FG194">
        <f t="shared" si="150"/>
        <v>1.4999999999999999E-2</v>
      </c>
      <c r="FH194">
        <f t="shared" si="150"/>
        <v>3.5500000000000004E-2</v>
      </c>
      <c r="FI194" t="e">
        <f t="shared" si="150"/>
        <v>#DIV/0!</v>
      </c>
      <c r="FJ194">
        <f t="shared" si="150"/>
        <v>4.8000000000000001E-2</v>
      </c>
      <c r="FK194">
        <f t="shared" si="150"/>
        <v>4.1500000000000002E-2</v>
      </c>
      <c r="FL194">
        <f t="shared" si="150"/>
        <v>5.9499999999999997E-2</v>
      </c>
      <c r="FM194">
        <f t="shared" si="150"/>
        <v>1.7000000000000001E-2</v>
      </c>
      <c r="FN194">
        <f t="shared" si="150"/>
        <v>1.4499999999999999E-2</v>
      </c>
      <c r="FO194">
        <f t="shared" si="150"/>
        <v>4.5499999999999999E-2</v>
      </c>
      <c r="FP194">
        <f t="shared" si="150"/>
        <v>4.5499999999999999E-2</v>
      </c>
      <c r="FQ194">
        <f t="shared" si="150"/>
        <v>0.04</v>
      </c>
      <c r="FR194">
        <f t="shared" si="150"/>
        <v>3.3000000000000002E-2</v>
      </c>
      <c r="FS194">
        <f t="shared" si="150"/>
        <v>5.2999999999999999E-2</v>
      </c>
      <c r="FT194">
        <f t="shared" si="150"/>
        <v>6.3500000000000001E-2</v>
      </c>
      <c r="FU194">
        <f t="shared" si="150"/>
        <v>4.4999999999999998E-2</v>
      </c>
      <c r="FV194">
        <f t="shared" ref="FV194:GM194" si="151">AVERAGE(FV146,FV170)</f>
        <v>4.7500000000000001E-2</v>
      </c>
      <c r="FW194">
        <f t="shared" si="151"/>
        <v>3.7499999999999999E-2</v>
      </c>
      <c r="FX194">
        <f t="shared" si="151"/>
        <v>0.03</v>
      </c>
      <c r="FY194">
        <f t="shared" si="151"/>
        <v>6.2E-2</v>
      </c>
      <c r="FZ194">
        <f t="shared" si="151"/>
        <v>5.0500000000000003E-2</v>
      </c>
      <c r="GA194">
        <f t="shared" si="151"/>
        <v>4.7500000000000001E-2</v>
      </c>
      <c r="GB194">
        <f t="shared" si="151"/>
        <v>3.3500000000000002E-2</v>
      </c>
      <c r="GC194">
        <f t="shared" si="151"/>
        <v>0.02</v>
      </c>
      <c r="GD194">
        <f t="shared" si="151"/>
        <v>5.1000000000000004E-2</v>
      </c>
      <c r="GE194">
        <f t="shared" si="151"/>
        <v>2.2499999999999999E-2</v>
      </c>
      <c r="GF194">
        <f t="shared" si="151"/>
        <v>3.2500000000000001E-2</v>
      </c>
      <c r="GG194">
        <f t="shared" si="151"/>
        <v>4.7E-2</v>
      </c>
      <c r="GH194">
        <f t="shared" si="151"/>
        <v>4.4499999999999998E-2</v>
      </c>
      <c r="GI194">
        <f t="shared" si="151"/>
        <v>3.2500000000000001E-2</v>
      </c>
      <c r="GJ194">
        <f t="shared" si="151"/>
        <v>3.1E-2</v>
      </c>
      <c r="GK194">
        <f t="shared" si="151"/>
        <v>5.6999999999999995E-2</v>
      </c>
      <c r="GL194">
        <f t="shared" si="151"/>
        <v>4.7500000000000001E-2</v>
      </c>
      <c r="GM194">
        <f t="shared" si="151"/>
        <v>4.5999999999999999E-2</v>
      </c>
    </row>
    <row r="195" spans="7:195" ht="14.4" x14ac:dyDescent="0.3">
      <c r="G195">
        <v>18</v>
      </c>
      <c r="H195" t="s">
        <v>894</v>
      </c>
      <c r="I195">
        <f t="shared" ref="I195:AN195" si="152">AVERAGE(I147,I171)</f>
        <v>9.4500000000000001E-2</v>
      </c>
      <c r="J195">
        <f t="shared" si="152"/>
        <v>5.2500000000000005E-2</v>
      </c>
      <c r="K195">
        <f t="shared" si="152"/>
        <v>4.65E-2</v>
      </c>
      <c r="L195">
        <f t="shared" si="152"/>
        <v>9.6500000000000002E-2</v>
      </c>
      <c r="M195">
        <f t="shared" si="152"/>
        <v>4.9000000000000002E-2</v>
      </c>
      <c r="N195">
        <f t="shared" si="152"/>
        <v>0.05</v>
      </c>
      <c r="O195">
        <f t="shared" si="152"/>
        <v>5.7999999999999996E-2</v>
      </c>
      <c r="P195">
        <f t="shared" si="152"/>
        <v>2.8000000000000001E-2</v>
      </c>
      <c r="Q195">
        <f t="shared" si="152"/>
        <v>2.8499999999999998E-2</v>
      </c>
      <c r="R195">
        <f t="shared" si="152"/>
        <v>7.5499999999999998E-2</v>
      </c>
      <c r="S195">
        <f t="shared" si="152"/>
        <v>0.04</v>
      </c>
      <c r="T195">
        <f t="shared" si="152"/>
        <v>6.6000000000000003E-2</v>
      </c>
      <c r="U195">
        <f t="shared" si="152"/>
        <v>5.5999999999999994E-2</v>
      </c>
      <c r="V195">
        <f t="shared" si="152"/>
        <v>6.3500000000000001E-2</v>
      </c>
      <c r="W195">
        <f t="shared" si="152"/>
        <v>6.9000000000000006E-2</v>
      </c>
      <c r="X195">
        <f t="shared" si="152"/>
        <v>3.15E-2</v>
      </c>
      <c r="Y195">
        <f t="shared" si="152"/>
        <v>8.4499999999999992E-2</v>
      </c>
      <c r="Z195">
        <f t="shared" si="152"/>
        <v>0.10700000000000001</v>
      </c>
      <c r="AA195">
        <f t="shared" si="152"/>
        <v>5.2499999999999998E-2</v>
      </c>
      <c r="AB195">
        <f t="shared" si="152"/>
        <v>4.7E-2</v>
      </c>
      <c r="AC195">
        <f t="shared" si="152"/>
        <v>0.06</v>
      </c>
      <c r="AD195">
        <f t="shared" si="152"/>
        <v>0.08</v>
      </c>
      <c r="AE195">
        <f t="shared" si="152"/>
        <v>4.5999999999999999E-2</v>
      </c>
      <c r="AF195">
        <f t="shared" si="152"/>
        <v>6.1499999999999999E-2</v>
      </c>
      <c r="AG195">
        <f t="shared" si="152"/>
        <v>6.1499999999999999E-2</v>
      </c>
      <c r="AH195">
        <f t="shared" si="152"/>
        <v>0.1115</v>
      </c>
      <c r="AI195">
        <f t="shared" si="152"/>
        <v>8.6499999999999994E-2</v>
      </c>
      <c r="AJ195">
        <f t="shared" si="152"/>
        <v>7.0500000000000007E-2</v>
      </c>
      <c r="AK195">
        <f t="shared" si="152"/>
        <v>8.4499999999999992E-2</v>
      </c>
      <c r="AL195">
        <f t="shared" si="152"/>
        <v>8.6499999999999994E-2</v>
      </c>
      <c r="AM195">
        <f t="shared" si="152"/>
        <v>0.03</v>
      </c>
      <c r="AN195">
        <f t="shared" si="152"/>
        <v>9.1499999999999998E-2</v>
      </c>
      <c r="AO195">
        <f t="shared" ref="AO195:BT195" si="153">AVERAGE(AO147,AO171)</f>
        <v>9.5000000000000001E-2</v>
      </c>
      <c r="AP195">
        <f t="shared" si="153"/>
        <v>3.4999999999999996E-2</v>
      </c>
      <c r="AQ195">
        <f t="shared" si="153"/>
        <v>6.5500000000000003E-2</v>
      </c>
      <c r="AR195">
        <f t="shared" si="153"/>
        <v>4.7E-2</v>
      </c>
      <c r="AS195" t="e">
        <f t="shared" si="153"/>
        <v>#DIV/0!</v>
      </c>
      <c r="AT195">
        <f t="shared" si="153"/>
        <v>7.5000000000000011E-2</v>
      </c>
      <c r="AU195">
        <f t="shared" si="153"/>
        <v>3.5500000000000004E-2</v>
      </c>
      <c r="AV195">
        <f t="shared" si="153"/>
        <v>0.11399999999999999</v>
      </c>
      <c r="AW195">
        <f t="shared" si="153"/>
        <v>5.2500000000000005E-2</v>
      </c>
      <c r="AX195">
        <f t="shared" si="153"/>
        <v>0.04</v>
      </c>
      <c r="AY195" t="e">
        <f t="shared" si="153"/>
        <v>#DIV/0!</v>
      </c>
      <c r="AZ195">
        <f t="shared" si="153"/>
        <v>4.5999999999999999E-2</v>
      </c>
      <c r="BA195">
        <f t="shared" si="153"/>
        <v>4.4999999999999998E-2</v>
      </c>
      <c r="BB195">
        <f t="shared" si="153"/>
        <v>9.6000000000000002E-2</v>
      </c>
      <c r="BC195">
        <f t="shared" si="153"/>
        <v>8.5499999999999993E-2</v>
      </c>
      <c r="BD195">
        <f t="shared" si="153"/>
        <v>3.9E-2</v>
      </c>
      <c r="BE195">
        <f t="shared" si="153"/>
        <v>7.8E-2</v>
      </c>
      <c r="BF195">
        <f t="shared" si="153"/>
        <v>4.5999999999999999E-2</v>
      </c>
      <c r="BG195">
        <f t="shared" si="153"/>
        <v>3.95E-2</v>
      </c>
      <c r="BH195">
        <f t="shared" si="153"/>
        <v>7.9499999999999987E-2</v>
      </c>
      <c r="BI195">
        <f t="shared" si="153"/>
        <v>4.1499999999999995E-2</v>
      </c>
      <c r="BJ195">
        <f t="shared" si="153"/>
        <v>8.3999999999999991E-2</v>
      </c>
      <c r="BK195">
        <f t="shared" si="153"/>
        <v>9.5000000000000001E-2</v>
      </c>
      <c r="BL195">
        <f t="shared" si="153"/>
        <v>4.5999999999999999E-2</v>
      </c>
      <c r="BM195">
        <f t="shared" si="153"/>
        <v>7.6999999999999999E-2</v>
      </c>
      <c r="BN195">
        <f t="shared" si="153"/>
        <v>8.0500000000000002E-2</v>
      </c>
      <c r="BO195">
        <f t="shared" si="153"/>
        <v>3.15E-2</v>
      </c>
      <c r="BP195">
        <f t="shared" si="153"/>
        <v>2.6000000000000002E-2</v>
      </c>
      <c r="BQ195">
        <f t="shared" si="153"/>
        <v>7.0000000000000007E-2</v>
      </c>
      <c r="BR195">
        <f t="shared" si="153"/>
        <v>0.11</v>
      </c>
      <c r="BS195">
        <f t="shared" si="153"/>
        <v>6.6500000000000004E-2</v>
      </c>
      <c r="BT195">
        <f t="shared" si="153"/>
        <v>3.4499999999999996E-2</v>
      </c>
      <c r="BU195">
        <f t="shared" ref="BU195:CZ195" si="154">AVERAGE(BU147,BU171)</f>
        <v>0.10400000000000001</v>
      </c>
      <c r="BV195">
        <f t="shared" si="154"/>
        <v>3.4500000000000003E-2</v>
      </c>
      <c r="BW195">
        <f t="shared" si="154"/>
        <v>6.6500000000000004E-2</v>
      </c>
      <c r="BX195">
        <f t="shared" si="154"/>
        <v>4.5499999999999999E-2</v>
      </c>
      <c r="BY195">
        <f t="shared" si="154"/>
        <v>8.5499999999999993E-2</v>
      </c>
      <c r="BZ195">
        <f t="shared" si="154"/>
        <v>0.11349999999999999</v>
      </c>
      <c r="CA195">
        <f t="shared" si="154"/>
        <v>9.4500000000000001E-2</v>
      </c>
      <c r="CB195">
        <f t="shared" si="154"/>
        <v>7.8E-2</v>
      </c>
      <c r="CC195">
        <f t="shared" si="154"/>
        <v>4.3999999999999997E-2</v>
      </c>
      <c r="CD195">
        <f t="shared" si="154"/>
        <v>5.4500000000000007E-2</v>
      </c>
      <c r="CE195">
        <f t="shared" si="154"/>
        <v>3.2000000000000001E-2</v>
      </c>
      <c r="CF195">
        <f t="shared" si="154"/>
        <v>7.350000000000001E-2</v>
      </c>
      <c r="CG195">
        <f t="shared" si="154"/>
        <v>8.9499999999999996E-2</v>
      </c>
      <c r="CH195">
        <f t="shared" si="154"/>
        <v>7.5499999999999998E-2</v>
      </c>
      <c r="CI195">
        <f t="shared" si="154"/>
        <v>7.400000000000001E-2</v>
      </c>
      <c r="CJ195">
        <f t="shared" si="154"/>
        <v>3.5000000000000003E-2</v>
      </c>
      <c r="CK195">
        <f t="shared" si="154"/>
        <v>3.15E-2</v>
      </c>
      <c r="CL195">
        <f t="shared" si="154"/>
        <v>3.1E-2</v>
      </c>
      <c r="CM195">
        <f t="shared" si="154"/>
        <v>4.5499999999999999E-2</v>
      </c>
      <c r="CN195">
        <f t="shared" si="154"/>
        <v>2.7E-2</v>
      </c>
      <c r="CO195">
        <f t="shared" si="154"/>
        <v>6.6500000000000004E-2</v>
      </c>
      <c r="CP195">
        <f t="shared" si="154"/>
        <v>8.3999999999999991E-2</v>
      </c>
      <c r="CQ195">
        <f t="shared" si="154"/>
        <v>7.6999999999999999E-2</v>
      </c>
      <c r="CR195">
        <f t="shared" si="154"/>
        <v>8.7999999999999995E-2</v>
      </c>
      <c r="CS195">
        <f t="shared" si="154"/>
        <v>8.5999999999999993E-2</v>
      </c>
      <c r="CT195">
        <f t="shared" si="154"/>
        <v>7.4499999999999997E-2</v>
      </c>
      <c r="CU195">
        <f t="shared" si="154"/>
        <v>8.7999999999999995E-2</v>
      </c>
      <c r="CV195">
        <f t="shared" si="154"/>
        <v>5.5499999999999994E-2</v>
      </c>
      <c r="CW195">
        <f t="shared" si="154"/>
        <v>6.2E-2</v>
      </c>
      <c r="CX195">
        <f t="shared" si="154"/>
        <v>9.35E-2</v>
      </c>
      <c r="CY195">
        <f t="shared" si="154"/>
        <v>0.1085</v>
      </c>
      <c r="CZ195">
        <f t="shared" si="154"/>
        <v>7.3999999999999996E-2</v>
      </c>
      <c r="DA195">
        <f t="shared" ref="DA195:DH195" si="155">AVERAGE(DA147,DA171)</f>
        <v>6.9000000000000006E-2</v>
      </c>
      <c r="DB195">
        <f t="shared" si="155"/>
        <v>3.0499999999999999E-2</v>
      </c>
      <c r="DC195">
        <f t="shared" si="155"/>
        <v>8.4499999999999992E-2</v>
      </c>
      <c r="DD195">
        <f t="shared" si="155"/>
        <v>9.7000000000000003E-2</v>
      </c>
      <c r="DE195">
        <f t="shared" si="155"/>
        <v>6.3500000000000001E-2</v>
      </c>
      <c r="DF195">
        <f t="shared" si="155"/>
        <v>5.3999999999999999E-2</v>
      </c>
      <c r="DG195">
        <f t="shared" si="155"/>
        <v>0.10100000000000001</v>
      </c>
      <c r="DH195">
        <f t="shared" si="155"/>
        <v>3.6000000000000004E-2</v>
      </c>
      <c r="DI195"/>
      <c r="DJ195">
        <f t="shared" ref="DJ195:EO195" si="156">AVERAGE(DJ147,DJ171)</f>
        <v>9.7000000000000003E-2</v>
      </c>
      <c r="DK195">
        <f t="shared" si="156"/>
        <v>5.5E-2</v>
      </c>
      <c r="DL195">
        <f t="shared" si="156"/>
        <v>4.5999999999999999E-2</v>
      </c>
      <c r="DM195" t="e">
        <f t="shared" si="156"/>
        <v>#DIV/0!</v>
      </c>
      <c r="DN195">
        <f t="shared" si="156"/>
        <v>8.6999999999999994E-2</v>
      </c>
      <c r="DO195">
        <f t="shared" si="156"/>
        <v>6.0999999999999999E-2</v>
      </c>
      <c r="DP195">
        <f t="shared" si="156"/>
        <v>6.6500000000000004E-2</v>
      </c>
      <c r="DQ195">
        <f t="shared" si="156"/>
        <v>8.6499999999999994E-2</v>
      </c>
      <c r="DR195">
        <f t="shared" si="156"/>
        <v>8.8499999999999995E-2</v>
      </c>
      <c r="DS195">
        <f t="shared" si="156"/>
        <v>8.199999999999999E-2</v>
      </c>
      <c r="DT195">
        <f t="shared" si="156"/>
        <v>8.199999999999999E-2</v>
      </c>
      <c r="DU195">
        <f t="shared" si="156"/>
        <v>3.3500000000000002E-2</v>
      </c>
      <c r="DV195" t="e">
        <f t="shared" si="156"/>
        <v>#DIV/0!</v>
      </c>
      <c r="DW195">
        <f t="shared" si="156"/>
        <v>3.2000000000000001E-2</v>
      </c>
      <c r="DX195">
        <f t="shared" si="156"/>
        <v>4.3999999999999997E-2</v>
      </c>
      <c r="DY195">
        <f t="shared" si="156"/>
        <v>0.10050000000000001</v>
      </c>
      <c r="DZ195">
        <f t="shared" si="156"/>
        <v>0.1285</v>
      </c>
      <c r="EA195">
        <f t="shared" si="156"/>
        <v>3.3500000000000002E-2</v>
      </c>
      <c r="EB195">
        <f t="shared" si="156"/>
        <v>5.3999999999999999E-2</v>
      </c>
      <c r="EC195">
        <f t="shared" si="156"/>
        <v>7.6499999999999999E-2</v>
      </c>
      <c r="ED195">
        <f t="shared" si="156"/>
        <v>3.6000000000000004E-2</v>
      </c>
      <c r="EE195">
        <f t="shared" si="156"/>
        <v>9.8500000000000004E-2</v>
      </c>
      <c r="EF195">
        <f t="shared" si="156"/>
        <v>4.3499999999999997E-2</v>
      </c>
      <c r="EG195">
        <f t="shared" si="156"/>
        <v>4.9000000000000002E-2</v>
      </c>
      <c r="EH195">
        <f t="shared" si="156"/>
        <v>0.08</v>
      </c>
      <c r="EI195">
        <f t="shared" si="156"/>
        <v>4.4499999999999998E-2</v>
      </c>
      <c r="EJ195">
        <f t="shared" si="156"/>
        <v>3.4499999999999996E-2</v>
      </c>
      <c r="EK195">
        <f t="shared" si="156"/>
        <v>5.0500000000000003E-2</v>
      </c>
      <c r="EL195">
        <f t="shared" si="156"/>
        <v>3.4000000000000002E-2</v>
      </c>
      <c r="EM195">
        <f t="shared" si="156"/>
        <v>8.1499999999999989E-2</v>
      </c>
      <c r="EN195">
        <f t="shared" si="156"/>
        <v>5.6000000000000001E-2</v>
      </c>
      <c r="EO195">
        <f t="shared" si="156"/>
        <v>7.3999999999999996E-2</v>
      </c>
      <c r="EP195">
        <f t="shared" ref="EP195:FU195" si="157">AVERAGE(EP147,EP171)</f>
        <v>7.6999999999999999E-2</v>
      </c>
      <c r="EQ195">
        <f t="shared" si="157"/>
        <v>0.05</v>
      </c>
      <c r="ER195">
        <f t="shared" si="157"/>
        <v>5.8499999999999996E-2</v>
      </c>
      <c r="ES195">
        <f t="shared" si="157"/>
        <v>6.3500000000000001E-2</v>
      </c>
      <c r="ET195" t="e">
        <f t="shared" si="157"/>
        <v>#DIV/0!</v>
      </c>
      <c r="EU195">
        <f t="shared" si="157"/>
        <v>6.6500000000000004E-2</v>
      </c>
      <c r="EV195">
        <f t="shared" si="157"/>
        <v>9.4500000000000001E-2</v>
      </c>
      <c r="EW195">
        <f t="shared" si="157"/>
        <v>6.3500000000000001E-2</v>
      </c>
      <c r="EX195">
        <f t="shared" si="157"/>
        <v>5.8999999999999997E-2</v>
      </c>
      <c r="EY195">
        <f t="shared" si="157"/>
        <v>0.14399999999999999</v>
      </c>
      <c r="EZ195">
        <f t="shared" si="157"/>
        <v>3.4000000000000002E-2</v>
      </c>
      <c r="FA195">
        <f t="shared" si="157"/>
        <v>5.4000000000000006E-2</v>
      </c>
      <c r="FB195">
        <f t="shared" si="157"/>
        <v>3.7499999999999999E-2</v>
      </c>
      <c r="FC195">
        <f t="shared" si="157"/>
        <v>8.4999999999999992E-2</v>
      </c>
      <c r="FD195">
        <f t="shared" si="157"/>
        <v>9.0499999999999997E-2</v>
      </c>
      <c r="FE195">
        <f t="shared" si="157"/>
        <v>8.6999999999999994E-2</v>
      </c>
      <c r="FF195">
        <f t="shared" si="157"/>
        <v>8.7499999999999994E-2</v>
      </c>
      <c r="FG195">
        <f t="shared" si="157"/>
        <v>2.9499999999999998E-2</v>
      </c>
      <c r="FH195">
        <f t="shared" si="157"/>
        <v>5.3999999999999999E-2</v>
      </c>
      <c r="FI195" t="e">
        <f t="shared" si="157"/>
        <v>#DIV/0!</v>
      </c>
      <c r="FJ195">
        <f t="shared" si="157"/>
        <v>7.6499999999999999E-2</v>
      </c>
      <c r="FK195">
        <f t="shared" si="157"/>
        <v>6.8500000000000005E-2</v>
      </c>
      <c r="FL195">
        <f t="shared" si="157"/>
        <v>9.4E-2</v>
      </c>
      <c r="FM195">
        <f t="shared" si="157"/>
        <v>3.1E-2</v>
      </c>
      <c r="FN195">
        <f t="shared" si="157"/>
        <v>2.7000000000000003E-2</v>
      </c>
      <c r="FO195">
        <f t="shared" si="157"/>
        <v>7.400000000000001E-2</v>
      </c>
      <c r="FP195">
        <f t="shared" si="157"/>
        <v>6.8999999999999992E-2</v>
      </c>
      <c r="FQ195">
        <f t="shared" si="157"/>
        <v>7.1500000000000008E-2</v>
      </c>
      <c r="FR195">
        <f t="shared" si="157"/>
        <v>4.9000000000000002E-2</v>
      </c>
      <c r="FS195">
        <f t="shared" si="157"/>
        <v>8.7499999999999994E-2</v>
      </c>
      <c r="FT195">
        <f t="shared" si="157"/>
        <v>0.109</v>
      </c>
      <c r="FU195">
        <f t="shared" si="157"/>
        <v>6.7000000000000004E-2</v>
      </c>
      <c r="FV195">
        <f t="shared" ref="FV195:GM195" si="158">AVERAGE(FV147,FV171)</f>
        <v>7.2499999999999995E-2</v>
      </c>
      <c r="FW195">
        <f t="shared" si="158"/>
        <v>6.5500000000000003E-2</v>
      </c>
      <c r="FX195">
        <f t="shared" si="158"/>
        <v>5.5500000000000008E-2</v>
      </c>
      <c r="FY195">
        <f t="shared" si="158"/>
        <v>7.3499999999999996E-2</v>
      </c>
      <c r="FZ195">
        <f t="shared" si="158"/>
        <v>0.08</v>
      </c>
      <c r="GA195">
        <f t="shared" si="158"/>
        <v>7.0499999999999993E-2</v>
      </c>
      <c r="GB195">
        <f t="shared" si="158"/>
        <v>5.5999999999999994E-2</v>
      </c>
      <c r="GC195">
        <f t="shared" si="158"/>
        <v>3.4500000000000003E-2</v>
      </c>
      <c r="GD195">
        <f t="shared" si="158"/>
        <v>8.1499999999999989E-2</v>
      </c>
      <c r="GE195">
        <f t="shared" si="158"/>
        <v>3.5500000000000004E-2</v>
      </c>
      <c r="GF195">
        <f t="shared" si="158"/>
        <v>4.8500000000000001E-2</v>
      </c>
      <c r="GG195">
        <f t="shared" si="158"/>
        <v>6.9500000000000006E-2</v>
      </c>
      <c r="GH195">
        <f t="shared" si="158"/>
        <v>7.4500000000000011E-2</v>
      </c>
      <c r="GI195">
        <f t="shared" si="158"/>
        <v>5.3999999999999999E-2</v>
      </c>
      <c r="GJ195">
        <f t="shared" si="158"/>
        <v>4.7E-2</v>
      </c>
      <c r="GK195">
        <f t="shared" si="158"/>
        <v>9.1499999999999998E-2</v>
      </c>
      <c r="GL195">
        <f t="shared" si="158"/>
        <v>7.6499999999999999E-2</v>
      </c>
      <c r="GM195">
        <f t="shared" si="158"/>
        <v>7.4500000000000011E-2</v>
      </c>
    </row>
    <row r="196" spans="7:195" ht="14.4" x14ac:dyDescent="0.3">
      <c r="G196">
        <v>19</v>
      </c>
      <c r="H196" t="s">
        <v>895</v>
      </c>
      <c r="I196">
        <f t="shared" ref="I196:AN196" si="159">AVERAGE(I148,I172)</f>
        <v>0.14949999999999999</v>
      </c>
      <c r="J196">
        <f t="shared" si="159"/>
        <v>9.2999999999999999E-2</v>
      </c>
      <c r="K196">
        <f t="shared" si="159"/>
        <v>8.1500000000000003E-2</v>
      </c>
      <c r="L196">
        <f t="shared" si="159"/>
        <v>0.19400000000000001</v>
      </c>
      <c r="M196">
        <f t="shared" si="159"/>
        <v>8.6999999999999994E-2</v>
      </c>
      <c r="N196">
        <f t="shared" si="159"/>
        <v>8.0500000000000002E-2</v>
      </c>
      <c r="O196">
        <f t="shared" si="159"/>
        <v>0.106</v>
      </c>
      <c r="P196">
        <f t="shared" si="159"/>
        <v>5.2999999999999999E-2</v>
      </c>
      <c r="Q196">
        <f t="shared" si="159"/>
        <v>0.06</v>
      </c>
      <c r="R196">
        <f t="shared" si="159"/>
        <v>0.11849999999999999</v>
      </c>
      <c r="S196">
        <f t="shared" si="159"/>
        <v>7.0000000000000007E-2</v>
      </c>
      <c r="T196">
        <f t="shared" si="159"/>
        <v>0.109</v>
      </c>
      <c r="U196">
        <f t="shared" si="159"/>
        <v>8.8499999999999995E-2</v>
      </c>
      <c r="V196">
        <f t="shared" si="159"/>
        <v>0.109</v>
      </c>
      <c r="W196">
        <f t="shared" si="159"/>
        <v>0.10500000000000001</v>
      </c>
      <c r="X196">
        <f t="shared" si="159"/>
        <v>6.0999999999999999E-2</v>
      </c>
      <c r="Y196">
        <f t="shared" si="159"/>
        <v>0.13800000000000001</v>
      </c>
      <c r="Z196">
        <f t="shared" si="159"/>
        <v>0.17849999999999999</v>
      </c>
      <c r="AA196">
        <f t="shared" si="159"/>
        <v>7.7499999999999999E-2</v>
      </c>
      <c r="AB196">
        <f t="shared" si="159"/>
        <v>7.0000000000000007E-2</v>
      </c>
      <c r="AC196">
        <f t="shared" si="159"/>
        <v>9.5000000000000001E-2</v>
      </c>
      <c r="AD196">
        <f t="shared" si="159"/>
        <v>0.17449999999999999</v>
      </c>
      <c r="AE196">
        <f t="shared" si="159"/>
        <v>7.5499999999999998E-2</v>
      </c>
      <c r="AF196">
        <f t="shared" si="159"/>
        <v>0.10200000000000001</v>
      </c>
      <c r="AG196">
        <f t="shared" si="159"/>
        <v>0.106</v>
      </c>
      <c r="AH196">
        <f t="shared" si="159"/>
        <v>0.186</v>
      </c>
      <c r="AI196">
        <f t="shared" si="159"/>
        <v>0.1615</v>
      </c>
      <c r="AJ196">
        <f t="shared" si="159"/>
        <v>0.1195</v>
      </c>
      <c r="AK196">
        <f t="shared" si="159"/>
        <v>0.13200000000000001</v>
      </c>
      <c r="AL196">
        <f t="shared" si="159"/>
        <v>0.13700000000000001</v>
      </c>
      <c r="AM196">
        <f t="shared" si="159"/>
        <v>5.2499999999999998E-2</v>
      </c>
      <c r="AN196">
        <f t="shared" si="159"/>
        <v>0.1865</v>
      </c>
      <c r="AO196">
        <f t="shared" ref="AO196:BT196" si="160">AVERAGE(AO148,AO172)</f>
        <v>0.14849999999999999</v>
      </c>
      <c r="AP196">
        <f t="shared" si="160"/>
        <v>5.8000000000000003E-2</v>
      </c>
      <c r="AQ196">
        <f t="shared" si="160"/>
        <v>0.10150000000000001</v>
      </c>
      <c r="AR196">
        <f t="shared" si="160"/>
        <v>7.3000000000000009E-2</v>
      </c>
      <c r="AS196" t="e">
        <f t="shared" si="160"/>
        <v>#DIV/0!</v>
      </c>
      <c r="AT196">
        <f t="shared" si="160"/>
        <v>0.121</v>
      </c>
      <c r="AU196">
        <f t="shared" si="160"/>
        <v>6.0999999999999999E-2</v>
      </c>
      <c r="AV196">
        <f t="shared" si="160"/>
        <v>0.17749999999999999</v>
      </c>
      <c r="AW196">
        <f t="shared" si="160"/>
        <v>8.8499999999999995E-2</v>
      </c>
      <c r="AX196">
        <f t="shared" si="160"/>
        <v>6.3E-2</v>
      </c>
      <c r="AY196" t="e">
        <f t="shared" si="160"/>
        <v>#DIV/0!</v>
      </c>
      <c r="AZ196">
        <f t="shared" si="160"/>
        <v>8.1500000000000003E-2</v>
      </c>
      <c r="BA196">
        <f t="shared" si="160"/>
        <v>0.08</v>
      </c>
      <c r="BB196">
        <f t="shared" si="160"/>
        <v>0.151</v>
      </c>
      <c r="BC196">
        <f t="shared" si="160"/>
        <v>0.13650000000000001</v>
      </c>
      <c r="BD196">
        <f t="shared" si="160"/>
        <v>7.1000000000000008E-2</v>
      </c>
      <c r="BE196">
        <f t="shared" si="160"/>
        <v>0.1265</v>
      </c>
      <c r="BF196">
        <f t="shared" si="160"/>
        <v>6.6500000000000004E-2</v>
      </c>
      <c r="BG196">
        <f t="shared" si="160"/>
        <v>6.7000000000000004E-2</v>
      </c>
      <c r="BH196">
        <f t="shared" si="160"/>
        <v>0.13100000000000001</v>
      </c>
      <c r="BI196">
        <f t="shared" si="160"/>
        <v>7.350000000000001E-2</v>
      </c>
      <c r="BJ196">
        <f t="shared" si="160"/>
        <v>0.13350000000000001</v>
      </c>
      <c r="BK196">
        <f t="shared" si="160"/>
        <v>0.13700000000000001</v>
      </c>
      <c r="BL196">
        <f t="shared" si="160"/>
        <v>7.85E-2</v>
      </c>
      <c r="BM196">
        <f t="shared" si="160"/>
        <v>0.125</v>
      </c>
      <c r="BN196">
        <f t="shared" si="160"/>
        <v>0.125</v>
      </c>
      <c r="BO196">
        <f t="shared" si="160"/>
        <v>6.1499999999999999E-2</v>
      </c>
      <c r="BP196">
        <f t="shared" si="160"/>
        <v>4.9500000000000002E-2</v>
      </c>
      <c r="BQ196">
        <f t="shared" si="160"/>
        <v>0.159</v>
      </c>
      <c r="BR196">
        <f t="shared" si="160"/>
        <v>0.1825</v>
      </c>
      <c r="BS196">
        <f t="shared" si="160"/>
        <v>0.11600000000000001</v>
      </c>
      <c r="BT196">
        <f t="shared" si="160"/>
        <v>6.6000000000000003E-2</v>
      </c>
      <c r="BU196">
        <f t="shared" ref="BU196:CZ196" si="161">AVERAGE(BU148,BU172)</f>
        <v>0.17849999999999999</v>
      </c>
      <c r="BV196">
        <f t="shared" si="161"/>
        <v>7.1000000000000008E-2</v>
      </c>
      <c r="BW196">
        <f t="shared" si="161"/>
        <v>0.10450000000000001</v>
      </c>
      <c r="BX196">
        <f t="shared" si="161"/>
        <v>8.3499999999999991E-2</v>
      </c>
      <c r="BY196">
        <f t="shared" si="161"/>
        <v>0.13550000000000001</v>
      </c>
      <c r="BZ196">
        <f t="shared" si="161"/>
        <v>0.1865</v>
      </c>
      <c r="CA196">
        <f t="shared" si="161"/>
        <v>0.15049999999999999</v>
      </c>
      <c r="CB196">
        <f t="shared" si="161"/>
        <v>0.126</v>
      </c>
      <c r="CC196">
        <f t="shared" si="161"/>
        <v>6.9500000000000006E-2</v>
      </c>
      <c r="CD196">
        <f t="shared" si="161"/>
        <v>9.2499999999999999E-2</v>
      </c>
      <c r="CE196">
        <f t="shared" si="161"/>
        <v>5.9000000000000004E-2</v>
      </c>
      <c r="CF196">
        <f t="shared" si="161"/>
        <v>0.10450000000000001</v>
      </c>
      <c r="CG196">
        <f t="shared" si="161"/>
        <v>0.14350000000000002</v>
      </c>
      <c r="CH196">
        <f t="shared" si="161"/>
        <v>0.11799999999999999</v>
      </c>
      <c r="CI196">
        <f t="shared" si="161"/>
        <v>0.124</v>
      </c>
      <c r="CJ196">
        <f t="shared" si="161"/>
        <v>6.9000000000000006E-2</v>
      </c>
      <c r="CK196">
        <f t="shared" si="161"/>
        <v>5.5E-2</v>
      </c>
      <c r="CL196">
        <f t="shared" si="161"/>
        <v>5.7000000000000002E-2</v>
      </c>
      <c r="CM196">
        <f t="shared" si="161"/>
        <v>7.2000000000000008E-2</v>
      </c>
      <c r="CN196">
        <f t="shared" si="161"/>
        <v>5.0500000000000003E-2</v>
      </c>
      <c r="CO196">
        <f t="shared" si="161"/>
        <v>0.11399999999999999</v>
      </c>
      <c r="CP196">
        <f t="shared" si="161"/>
        <v>0.14250000000000002</v>
      </c>
      <c r="CQ196">
        <f t="shared" si="161"/>
        <v>0.1245</v>
      </c>
      <c r="CR196">
        <f t="shared" si="161"/>
        <v>0.14250000000000002</v>
      </c>
      <c r="CS196">
        <f t="shared" si="161"/>
        <v>0.152</v>
      </c>
      <c r="CT196">
        <f t="shared" si="161"/>
        <v>0.156</v>
      </c>
      <c r="CU196">
        <f t="shared" si="161"/>
        <v>0.14200000000000002</v>
      </c>
      <c r="CV196">
        <f t="shared" si="161"/>
        <v>9.2999999999999999E-2</v>
      </c>
      <c r="CW196">
        <f t="shared" si="161"/>
        <v>0.107</v>
      </c>
      <c r="CX196">
        <f t="shared" si="161"/>
        <v>0.14700000000000002</v>
      </c>
      <c r="CY196">
        <f t="shared" si="161"/>
        <v>0.184</v>
      </c>
      <c r="CZ196">
        <f t="shared" si="161"/>
        <v>0.124</v>
      </c>
      <c r="DA196">
        <f t="shared" ref="DA196:DH196" si="162">AVERAGE(DA148,DA172)</f>
        <v>0.11499999999999999</v>
      </c>
      <c r="DB196">
        <f t="shared" si="162"/>
        <v>6.1499999999999999E-2</v>
      </c>
      <c r="DC196">
        <f t="shared" si="162"/>
        <v>0.1285</v>
      </c>
      <c r="DD196">
        <f t="shared" si="162"/>
        <v>0.16399999999999998</v>
      </c>
      <c r="DE196">
        <f t="shared" si="162"/>
        <v>0.1085</v>
      </c>
      <c r="DF196">
        <f t="shared" si="162"/>
        <v>8.8999999999999996E-2</v>
      </c>
      <c r="DG196">
        <f t="shared" si="162"/>
        <v>0.17</v>
      </c>
      <c r="DH196">
        <f t="shared" si="162"/>
        <v>7.1500000000000008E-2</v>
      </c>
      <c r="DI196"/>
      <c r="DJ196">
        <f t="shared" ref="DJ196:EO196" si="163">AVERAGE(DJ148,DJ172)</f>
        <v>0.16549999999999998</v>
      </c>
      <c r="DK196">
        <f t="shared" si="163"/>
        <v>8.5999999999999993E-2</v>
      </c>
      <c r="DL196">
        <f t="shared" si="163"/>
        <v>6.8000000000000005E-2</v>
      </c>
      <c r="DM196" t="e">
        <f t="shared" si="163"/>
        <v>#DIV/0!</v>
      </c>
      <c r="DN196">
        <f t="shared" si="163"/>
        <v>0.1305</v>
      </c>
      <c r="DO196">
        <f t="shared" si="163"/>
        <v>0.10550000000000001</v>
      </c>
      <c r="DP196">
        <f t="shared" si="163"/>
        <v>0.109</v>
      </c>
      <c r="DQ196">
        <f t="shared" si="163"/>
        <v>0.13650000000000001</v>
      </c>
      <c r="DR196">
        <f t="shared" si="163"/>
        <v>0.14250000000000002</v>
      </c>
      <c r="DS196">
        <f t="shared" si="163"/>
        <v>0.13400000000000001</v>
      </c>
      <c r="DT196">
        <f t="shared" si="163"/>
        <v>0.13500000000000001</v>
      </c>
      <c r="DU196">
        <f t="shared" si="163"/>
        <v>6.4000000000000001E-2</v>
      </c>
      <c r="DV196" t="e">
        <f t="shared" si="163"/>
        <v>#DIV/0!</v>
      </c>
      <c r="DW196">
        <f t="shared" si="163"/>
        <v>5.6500000000000002E-2</v>
      </c>
      <c r="DX196">
        <f t="shared" si="163"/>
        <v>7.0000000000000007E-2</v>
      </c>
      <c r="DY196">
        <f t="shared" si="163"/>
        <v>0.16899999999999998</v>
      </c>
      <c r="DZ196">
        <f t="shared" si="163"/>
        <v>0.21299999999999999</v>
      </c>
      <c r="EA196">
        <f t="shared" si="163"/>
        <v>6.3E-2</v>
      </c>
      <c r="EB196">
        <f t="shared" si="163"/>
        <v>8.2000000000000003E-2</v>
      </c>
      <c r="EC196">
        <f t="shared" si="163"/>
        <v>0.125</v>
      </c>
      <c r="ED196">
        <f t="shared" si="163"/>
        <v>5.45E-2</v>
      </c>
      <c r="EE196">
        <f t="shared" si="163"/>
        <v>0.14200000000000002</v>
      </c>
      <c r="EF196">
        <f t="shared" si="163"/>
        <v>8.5499999999999993E-2</v>
      </c>
      <c r="EG196">
        <f t="shared" si="163"/>
        <v>8.199999999999999E-2</v>
      </c>
      <c r="EH196">
        <f t="shared" si="163"/>
        <v>0.13700000000000001</v>
      </c>
      <c r="EI196">
        <f t="shared" si="163"/>
        <v>7.5999999999999998E-2</v>
      </c>
      <c r="EJ196">
        <f t="shared" si="163"/>
        <v>6.5500000000000003E-2</v>
      </c>
      <c r="EK196">
        <f t="shared" si="163"/>
        <v>8.1499999999999989E-2</v>
      </c>
      <c r="EL196">
        <f t="shared" si="163"/>
        <v>6.3E-2</v>
      </c>
      <c r="EM196">
        <f t="shared" si="163"/>
        <v>0.1295</v>
      </c>
      <c r="EN196">
        <f t="shared" si="163"/>
        <v>9.7500000000000003E-2</v>
      </c>
      <c r="EO196">
        <f t="shared" si="163"/>
        <v>0.1125</v>
      </c>
      <c r="EP196">
        <f t="shared" ref="EP196:FU196" si="164">AVERAGE(EP148,EP172)</f>
        <v>0.125</v>
      </c>
      <c r="EQ196">
        <f t="shared" si="164"/>
        <v>7.4999999999999997E-2</v>
      </c>
      <c r="ER196">
        <f t="shared" si="164"/>
        <v>8.8499999999999995E-2</v>
      </c>
      <c r="ES196">
        <f t="shared" si="164"/>
        <v>9.9000000000000005E-2</v>
      </c>
      <c r="ET196" t="e">
        <f t="shared" si="164"/>
        <v>#DIV/0!</v>
      </c>
      <c r="EU196">
        <f t="shared" si="164"/>
        <v>0.11399999999999999</v>
      </c>
      <c r="EV196">
        <f t="shared" si="164"/>
        <v>0.1615</v>
      </c>
      <c r="EW196">
        <f t="shared" si="164"/>
        <v>0.1055</v>
      </c>
      <c r="EX196">
        <f t="shared" si="164"/>
        <v>8.6499999999999994E-2</v>
      </c>
      <c r="EY196">
        <f t="shared" si="164"/>
        <v>0.22650000000000001</v>
      </c>
      <c r="EZ196">
        <f t="shared" si="164"/>
        <v>0.06</v>
      </c>
      <c r="FA196">
        <f t="shared" si="164"/>
        <v>9.6000000000000002E-2</v>
      </c>
      <c r="FB196">
        <f t="shared" si="164"/>
        <v>6.9000000000000006E-2</v>
      </c>
      <c r="FC196">
        <f t="shared" si="164"/>
        <v>0.13800000000000001</v>
      </c>
      <c r="FD196">
        <f t="shared" si="164"/>
        <v>0.13950000000000001</v>
      </c>
      <c r="FE196">
        <f t="shared" si="164"/>
        <v>0.127</v>
      </c>
      <c r="FF196">
        <f t="shared" si="164"/>
        <v>0.13900000000000001</v>
      </c>
      <c r="FG196">
        <f t="shared" si="164"/>
        <v>5.5000000000000007E-2</v>
      </c>
      <c r="FH196">
        <f t="shared" si="164"/>
        <v>8.8999999999999996E-2</v>
      </c>
      <c r="FI196" t="e">
        <f t="shared" si="164"/>
        <v>#DIV/0!</v>
      </c>
      <c r="FJ196">
        <f t="shared" si="164"/>
        <v>0.121</v>
      </c>
      <c r="FK196">
        <f t="shared" si="164"/>
        <v>0.10150000000000001</v>
      </c>
      <c r="FL196">
        <f t="shared" si="164"/>
        <v>0.14650000000000002</v>
      </c>
      <c r="FM196">
        <f t="shared" si="164"/>
        <v>5.9000000000000004E-2</v>
      </c>
      <c r="FN196">
        <f t="shared" si="164"/>
        <v>5.1500000000000004E-2</v>
      </c>
      <c r="FO196">
        <f t="shared" si="164"/>
        <v>0.125</v>
      </c>
      <c r="FP196">
        <f t="shared" si="164"/>
        <v>0.10350000000000001</v>
      </c>
      <c r="FQ196">
        <f t="shared" si="164"/>
        <v>0.1125</v>
      </c>
      <c r="FR196">
        <f t="shared" si="164"/>
        <v>7.8999999999999987E-2</v>
      </c>
      <c r="FS196">
        <f t="shared" si="164"/>
        <v>0.13950000000000001</v>
      </c>
      <c r="FT196">
        <f t="shared" si="164"/>
        <v>0.1845</v>
      </c>
      <c r="FU196">
        <f t="shared" si="164"/>
        <v>0.10350000000000001</v>
      </c>
      <c r="FV196">
        <f t="shared" ref="FV196:GM196" si="165">AVERAGE(FV148,FV172)</f>
        <v>0.1075</v>
      </c>
      <c r="FW196">
        <f t="shared" si="165"/>
        <v>0.111</v>
      </c>
      <c r="FX196">
        <f t="shared" si="165"/>
        <v>0.10050000000000001</v>
      </c>
      <c r="FY196">
        <f t="shared" si="165"/>
        <v>0.124</v>
      </c>
      <c r="FZ196">
        <f t="shared" si="165"/>
        <v>0.1285</v>
      </c>
      <c r="GA196">
        <f t="shared" si="165"/>
        <v>0.1125</v>
      </c>
      <c r="GB196">
        <f t="shared" si="165"/>
        <v>9.0999999999999998E-2</v>
      </c>
      <c r="GC196">
        <f t="shared" si="165"/>
        <v>6.3500000000000001E-2</v>
      </c>
      <c r="GD196">
        <f t="shared" si="165"/>
        <v>0.13</v>
      </c>
      <c r="GE196">
        <f t="shared" si="165"/>
        <v>5.9499999999999997E-2</v>
      </c>
      <c r="GF196">
        <f t="shared" si="165"/>
        <v>7.6999999999999999E-2</v>
      </c>
      <c r="GG196">
        <f t="shared" si="165"/>
        <v>0.10200000000000001</v>
      </c>
      <c r="GH196">
        <f t="shared" si="165"/>
        <v>0.125</v>
      </c>
      <c r="GI196">
        <f t="shared" si="165"/>
        <v>8.2500000000000004E-2</v>
      </c>
      <c r="GJ196">
        <f t="shared" si="165"/>
        <v>6.9499999999999992E-2</v>
      </c>
      <c r="GK196">
        <f t="shared" si="165"/>
        <v>0.14550000000000002</v>
      </c>
      <c r="GL196">
        <f t="shared" si="165"/>
        <v>0.1235</v>
      </c>
      <c r="GM196">
        <f t="shared" si="165"/>
        <v>0.12</v>
      </c>
    </row>
    <row r="197" spans="7:195" ht="14.4" x14ac:dyDescent="0.3">
      <c r="G197">
        <v>20</v>
      </c>
      <c r="H197" t="s">
        <v>896</v>
      </c>
      <c r="I197">
        <f t="shared" ref="I197:AN197" si="166">AVERAGE(I149,I173)</f>
        <v>0.22899999999999998</v>
      </c>
      <c r="J197">
        <f t="shared" si="166"/>
        <v>0.16200000000000001</v>
      </c>
      <c r="K197">
        <f t="shared" si="166"/>
        <v>0.13500000000000001</v>
      </c>
      <c r="L197">
        <f t="shared" si="166"/>
        <v>0.2205</v>
      </c>
      <c r="M197">
        <f t="shared" si="166"/>
        <v>0.14849999999999999</v>
      </c>
      <c r="N197">
        <f t="shared" si="166"/>
        <v>0.1265</v>
      </c>
      <c r="O197">
        <f t="shared" si="166"/>
        <v>0.16499999999999998</v>
      </c>
      <c r="P197">
        <f t="shared" si="166"/>
        <v>9.9000000000000005E-2</v>
      </c>
      <c r="Q197">
        <f t="shared" si="166"/>
        <v>0.1125</v>
      </c>
      <c r="R197">
        <f t="shared" si="166"/>
        <v>0.13900000000000001</v>
      </c>
      <c r="S197">
        <f t="shared" si="166"/>
        <v>0.11800000000000001</v>
      </c>
      <c r="T197">
        <f t="shared" si="166"/>
        <v>0.17049999999999998</v>
      </c>
      <c r="U197">
        <f t="shared" si="166"/>
        <v>0.1135</v>
      </c>
      <c r="V197">
        <f t="shared" si="166"/>
        <v>0.17899999999999999</v>
      </c>
      <c r="W197">
        <f t="shared" si="166"/>
        <v>0.15849999999999997</v>
      </c>
      <c r="X197">
        <f t="shared" si="166"/>
        <v>0.1125</v>
      </c>
      <c r="Y197">
        <f t="shared" si="166"/>
        <v>0.21600000000000003</v>
      </c>
      <c r="Z197">
        <f t="shared" si="166"/>
        <v>0.28000000000000003</v>
      </c>
      <c r="AA197">
        <f t="shared" si="166"/>
        <v>0.11</v>
      </c>
      <c r="AB197">
        <f t="shared" si="166"/>
        <v>0.1075</v>
      </c>
      <c r="AC197">
        <f t="shared" si="166"/>
        <v>0.14450000000000002</v>
      </c>
      <c r="AD197">
        <f t="shared" si="166"/>
        <v>0.21150000000000002</v>
      </c>
      <c r="AE197">
        <f t="shared" si="166"/>
        <v>0.124</v>
      </c>
      <c r="AF197">
        <f t="shared" si="166"/>
        <v>0.15000000000000002</v>
      </c>
      <c r="AG197">
        <f t="shared" si="166"/>
        <v>0.17649999999999999</v>
      </c>
      <c r="AH197">
        <f t="shared" si="166"/>
        <v>0.28900000000000003</v>
      </c>
      <c r="AI197">
        <f t="shared" si="166"/>
        <v>0.21150000000000002</v>
      </c>
      <c r="AJ197">
        <f t="shared" si="166"/>
        <v>0.19550000000000001</v>
      </c>
      <c r="AK197">
        <f t="shared" si="166"/>
        <v>0.20050000000000001</v>
      </c>
      <c r="AL197">
        <f t="shared" si="166"/>
        <v>0.20950000000000002</v>
      </c>
      <c r="AM197">
        <f t="shared" si="166"/>
        <v>9.9500000000000005E-2</v>
      </c>
      <c r="AN197">
        <f t="shared" si="166"/>
        <v>0.218</v>
      </c>
      <c r="AO197">
        <f t="shared" ref="AO197:BT197" si="167">AVERAGE(AO149,AO173)</f>
        <v>0.22549999999999998</v>
      </c>
      <c r="AP197">
        <f t="shared" si="167"/>
        <v>9.0999999999999998E-2</v>
      </c>
      <c r="AQ197">
        <f t="shared" si="167"/>
        <v>0.158</v>
      </c>
      <c r="AR197">
        <f t="shared" si="167"/>
        <v>0.11199999999999999</v>
      </c>
      <c r="AS197" t="e">
        <f t="shared" si="167"/>
        <v>#DIV/0!</v>
      </c>
      <c r="AT197">
        <f t="shared" si="167"/>
        <v>0.191</v>
      </c>
      <c r="AU197">
        <f t="shared" si="167"/>
        <v>9.7500000000000003E-2</v>
      </c>
      <c r="AV197">
        <f t="shared" si="167"/>
        <v>0.26350000000000001</v>
      </c>
      <c r="AW197">
        <f t="shared" si="167"/>
        <v>0.13750000000000001</v>
      </c>
      <c r="AX197">
        <f t="shared" si="167"/>
        <v>9.5500000000000002E-2</v>
      </c>
      <c r="AY197" t="e">
        <f t="shared" si="167"/>
        <v>#DIV/0!</v>
      </c>
      <c r="AZ197">
        <f t="shared" si="167"/>
        <v>0.14000000000000001</v>
      </c>
      <c r="BA197">
        <f t="shared" si="167"/>
        <v>0.126</v>
      </c>
      <c r="BB197">
        <f t="shared" si="167"/>
        <v>0.23100000000000001</v>
      </c>
      <c r="BC197">
        <f t="shared" si="167"/>
        <v>0.21000000000000002</v>
      </c>
      <c r="BD197">
        <f t="shared" si="167"/>
        <v>0.11900000000000001</v>
      </c>
      <c r="BE197">
        <f t="shared" si="167"/>
        <v>0.19850000000000001</v>
      </c>
      <c r="BF197">
        <f t="shared" si="167"/>
        <v>9.1499999999999998E-2</v>
      </c>
      <c r="BG197">
        <f t="shared" si="167"/>
        <v>0.1195</v>
      </c>
      <c r="BH197">
        <f t="shared" si="167"/>
        <v>0.19650000000000001</v>
      </c>
      <c r="BI197">
        <f t="shared" si="167"/>
        <v>0.124</v>
      </c>
      <c r="BJ197">
        <f t="shared" si="167"/>
        <v>0.20550000000000002</v>
      </c>
      <c r="BK197">
        <f t="shared" si="167"/>
        <v>0.189</v>
      </c>
      <c r="BL197">
        <f t="shared" si="167"/>
        <v>0.1275</v>
      </c>
      <c r="BM197">
        <f t="shared" si="167"/>
        <v>0.19550000000000001</v>
      </c>
      <c r="BN197">
        <f t="shared" si="167"/>
        <v>0.1915</v>
      </c>
      <c r="BO197">
        <f t="shared" si="167"/>
        <v>0.1145</v>
      </c>
      <c r="BP197">
        <f t="shared" si="167"/>
        <v>0.09</v>
      </c>
      <c r="BQ197">
        <f t="shared" si="167"/>
        <v>0.182</v>
      </c>
      <c r="BR197">
        <f t="shared" si="167"/>
        <v>0.28449999999999998</v>
      </c>
      <c r="BS197">
        <f t="shared" si="167"/>
        <v>0.16399999999999998</v>
      </c>
      <c r="BT197">
        <f t="shared" si="167"/>
        <v>0.11849999999999999</v>
      </c>
      <c r="BU197">
        <f t="shared" ref="BU197:CZ197" si="168">AVERAGE(BU149,BU173)</f>
        <v>0.27949999999999997</v>
      </c>
      <c r="BV197">
        <f t="shared" si="168"/>
        <v>0.11700000000000001</v>
      </c>
      <c r="BW197">
        <f t="shared" si="168"/>
        <v>0.161</v>
      </c>
      <c r="BX197">
        <f t="shared" si="168"/>
        <v>0.1305</v>
      </c>
      <c r="BY197">
        <f t="shared" si="168"/>
        <v>0.20800000000000002</v>
      </c>
      <c r="BZ197">
        <f t="shared" si="168"/>
        <v>0.28400000000000003</v>
      </c>
      <c r="CA197">
        <f t="shared" si="168"/>
        <v>0.23199999999999998</v>
      </c>
      <c r="CB197">
        <f t="shared" si="168"/>
        <v>0.19700000000000001</v>
      </c>
      <c r="CC197">
        <f t="shared" si="168"/>
        <v>0.1105</v>
      </c>
      <c r="CD197">
        <f t="shared" si="168"/>
        <v>0.14400000000000002</v>
      </c>
      <c r="CE197">
        <f t="shared" si="168"/>
        <v>0.107</v>
      </c>
      <c r="CF197">
        <f t="shared" si="168"/>
        <v>0.151</v>
      </c>
      <c r="CG197">
        <f t="shared" si="168"/>
        <v>0.22399999999999998</v>
      </c>
      <c r="CH197">
        <f t="shared" si="168"/>
        <v>0.1855</v>
      </c>
      <c r="CI197">
        <f t="shared" si="168"/>
        <v>0.19900000000000001</v>
      </c>
      <c r="CJ197">
        <f t="shared" si="168"/>
        <v>0.112</v>
      </c>
      <c r="CK197">
        <f t="shared" si="168"/>
        <v>0.10200000000000001</v>
      </c>
      <c r="CL197">
        <f t="shared" si="168"/>
        <v>9.9500000000000005E-2</v>
      </c>
      <c r="CM197">
        <f t="shared" si="168"/>
        <v>0.11449999999999999</v>
      </c>
      <c r="CN197">
        <f t="shared" si="168"/>
        <v>9.2999999999999999E-2</v>
      </c>
      <c r="CO197">
        <f t="shared" si="168"/>
        <v>0.186</v>
      </c>
      <c r="CP197">
        <f t="shared" si="168"/>
        <v>0.2165</v>
      </c>
      <c r="CQ197">
        <f t="shared" si="168"/>
        <v>0.19500000000000001</v>
      </c>
      <c r="CR197">
        <f t="shared" si="168"/>
        <v>0.22149999999999997</v>
      </c>
      <c r="CS197">
        <f t="shared" si="168"/>
        <v>0.252</v>
      </c>
      <c r="CT197">
        <f t="shared" si="168"/>
        <v>0.26200000000000001</v>
      </c>
      <c r="CU197">
        <f t="shared" si="168"/>
        <v>0.221</v>
      </c>
      <c r="CV197">
        <f t="shared" si="168"/>
        <v>0.1535</v>
      </c>
      <c r="CW197">
        <f t="shared" si="168"/>
        <v>0.17649999999999999</v>
      </c>
      <c r="CX197">
        <f t="shared" si="168"/>
        <v>0.22299999999999998</v>
      </c>
      <c r="CY197">
        <f t="shared" si="168"/>
        <v>0.28649999999999998</v>
      </c>
      <c r="CZ197">
        <f t="shared" si="168"/>
        <v>0.20050000000000001</v>
      </c>
      <c r="DA197">
        <f t="shared" ref="DA197:DH197" si="169">AVERAGE(DA149,DA173)</f>
        <v>0.18149999999999999</v>
      </c>
      <c r="DB197">
        <f t="shared" si="169"/>
        <v>0.115</v>
      </c>
      <c r="DC197">
        <f t="shared" si="169"/>
        <v>0.19</v>
      </c>
      <c r="DD197">
        <f t="shared" si="169"/>
        <v>0.26300000000000001</v>
      </c>
      <c r="DE197">
        <f t="shared" si="169"/>
        <v>0.16449999999999998</v>
      </c>
      <c r="DF197">
        <f t="shared" si="169"/>
        <v>0.11399999999999999</v>
      </c>
      <c r="DG197">
        <f t="shared" si="169"/>
        <v>0.26400000000000001</v>
      </c>
      <c r="DH197">
        <f t="shared" si="169"/>
        <v>0.11699999999999999</v>
      </c>
      <c r="DI197"/>
      <c r="DJ197">
        <f t="shared" ref="DJ197:EO197" si="170">AVERAGE(DJ149,DJ173)</f>
        <v>0.26550000000000001</v>
      </c>
      <c r="DK197">
        <f t="shared" si="170"/>
        <v>0.13600000000000001</v>
      </c>
      <c r="DL197">
        <f t="shared" si="170"/>
        <v>0.10100000000000001</v>
      </c>
      <c r="DM197" t="e">
        <f t="shared" si="170"/>
        <v>#DIV/0!</v>
      </c>
      <c r="DN197">
        <f t="shared" si="170"/>
        <v>0.20050000000000001</v>
      </c>
      <c r="DO197">
        <f t="shared" si="170"/>
        <v>0.17349999999999999</v>
      </c>
      <c r="DP197">
        <f t="shared" si="170"/>
        <v>0.17050000000000001</v>
      </c>
      <c r="DQ197">
        <f t="shared" si="170"/>
        <v>0.20850000000000002</v>
      </c>
      <c r="DR197">
        <f t="shared" si="170"/>
        <v>0.22199999999999998</v>
      </c>
      <c r="DS197">
        <f t="shared" si="170"/>
        <v>0.21200000000000002</v>
      </c>
      <c r="DT197">
        <f t="shared" si="170"/>
        <v>0.21450000000000002</v>
      </c>
      <c r="DU197">
        <f t="shared" si="170"/>
        <v>0.11700000000000001</v>
      </c>
      <c r="DV197" t="e">
        <f t="shared" si="170"/>
        <v>#DIV/0!</v>
      </c>
      <c r="DW197">
        <f t="shared" si="170"/>
        <v>0.10450000000000001</v>
      </c>
      <c r="DX197">
        <f t="shared" si="170"/>
        <v>0.10350000000000001</v>
      </c>
      <c r="DY197">
        <f t="shared" si="170"/>
        <v>0.27</v>
      </c>
      <c r="DZ197">
        <f t="shared" si="170"/>
        <v>0.32150000000000001</v>
      </c>
      <c r="EA197">
        <f t="shared" si="170"/>
        <v>0.115</v>
      </c>
      <c r="EB197">
        <f t="shared" si="170"/>
        <v>0.122</v>
      </c>
      <c r="EC197">
        <f t="shared" si="170"/>
        <v>0.19700000000000001</v>
      </c>
      <c r="ED197">
        <f t="shared" si="170"/>
        <v>8.299999999999999E-2</v>
      </c>
      <c r="EE197">
        <f t="shared" si="170"/>
        <v>0.2</v>
      </c>
      <c r="EF197">
        <f t="shared" si="170"/>
        <v>0.13600000000000001</v>
      </c>
      <c r="EG197">
        <f t="shared" si="170"/>
        <v>0.1245</v>
      </c>
      <c r="EH197">
        <f t="shared" si="170"/>
        <v>0.2195</v>
      </c>
      <c r="EI197">
        <f t="shared" si="170"/>
        <v>0.1195</v>
      </c>
      <c r="EJ197">
        <f t="shared" si="170"/>
        <v>0.126</v>
      </c>
      <c r="EK197">
        <f t="shared" si="170"/>
        <v>0.1295</v>
      </c>
      <c r="EL197">
        <f t="shared" si="170"/>
        <v>0.1125</v>
      </c>
      <c r="EM197">
        <f t="shared" si="170"/>
        <v>0.189</v>
      </c>
      <c r="EN197">
        <f t="shared" si="170"/>
        <v>0.1615</v>
      </c>
      <c r="EO197">
        <f t="shared" si="170"/>
        <v>0.183</v>
      </c>
      <c r="EP197">
        <f t="shared" ref="EP197:FU197" si="171">AVERAGE(EP149,EP173)</f>
        <v>0.19600000000000001</v>
      </c>
      <c r="EQ197">
        <f t="shared" si="171"/>
        <v>0.11</v>
      </c>
      <c r="ER197">
        <f t="shared" si="171"/>
        <v>0.13100000000000001</v>
      </c>
      <c r="ES197">
        <f t="shared" si="171"/>
        <v>0.14949999999999999</v>
      </c>
      <c r="ET197" t="e">
        <f t="shared" si="171"/>
        <v>#DIV/0!</v>
      </c>
      <c r="EU197">
        <f t="shared" si="171"/>
        <v>0.17299999999999999</v>
      </c>
      <c r="EV197">
        <f t="shared" si="171"/>
        <v>0.26050000000000001</v>
      </c>
      <c r="EW197">
        <f t="shared" si="171"/>
        <v>0.16999999999999998</v>
      </c>
      <c r="EX197">
        <f t="shared" si="171"/>
        <v>0.13850000000000001</v>
      </c>
      <c r="EY197">
        <f t="shared" si="171"/>
        <v>0.34150000000000003</v>
      </c>
      <c r="EZ197">
        <f t="shared" si="171"/>
        <v>8.8999999999999996E-2</v>
      </c>
      <c r="FA197">
        <f t="shared" si="171"/>
        <v>0.14700000000000002</v>
      </c>
      <c r="FB197">
        <f t="shared" si="171"/>
        <v>0.11699999999999999</v>
      </c>
      <c r="FC197">
        <f t="shared" si="171"/>
        <v>0.218</v>
      </c>
      <c r="FD197">
        <f t="shared" si="171"/>
        <v>0.20900000000000002</v>
      </c>
      <c r="FE197">
        <f t="shared" si="171"/>
        <v>0.1825</v>
      </c>
      <c r="FF197">
        <f t="shared" si="171"/>
        <v>0.20950000000000002</v>
      </c>
      <c r="FG197">
        <f t="shared" si="171"/>
        <v>0.1085</v>
      </c>
      <c r="FH197">
        <f t="shared" si="171"/>
        <v>0.13450000000000001</v>
      </c>
      <c r="FI197" t="e">
        <f t="shared" si="171"/>
        <v>#DIV/0!</v>
      </c>
      <c r="FJ197">
        <f t="shared" si="171"/>
        <v>0.183</v>
      </c>
      <c r="FK197">
        <f t="shared" si="171"/>
        <v>0.14850000000000002</v>
      </c>
      <c r="FL197">
        <f t="shared" si="171"/>
        <v>0.219</v>
      </c>
      <c r="FM197">
        <f t="shared" si="171"/>
        <v>0.1125</v>
      </c>
      <c r="FN197">
        <f t="shared" si="171"/>
        <v>0.10249999999999999</v>
      </c>
      <c r="FO197">
        <f t="shared" si="171"/>
        <v>0.20250000000000001</v>
      </c>
      <c r="FP197">
        <f t="shared" si="171"/>
        <v>0.14849999999999999</v>
      </c>
      <c r="FQ197">
        <f t="shared" si="171"/>
        <v>0.1825</v>
      </c>
      <c r="FR197">
        <f t="shared" si="171"/>
        <v>0.12</v>
      </c>
      <c r="FS197">
        <f t="shared" si="171"/>
        <v>0.21750000000000003</v>
      </c>
      <c r="FT197">
        <f t="shared" si="171"/>
        <v>0.28700000000000003</v>
      </c>
      <c r="FU197">
        <f t="shared" si="171"/>
        <v>0.156</v>
      </c>
      <c r="FV197">
        <f t="shared" ref="FV197:GM197" si="172">AVERAGE(FV149,FV173)</f>
        <v>0.157</v>
      </c>
      <c r="FW197">
        <f t="shared" si="172"/>
        <v>0.17549999999999999</v>
      </c>
      <c r="FX197">
        <f t="shared" si="172"/>
        <v>0.17349999999999999</v>
      </c>
      <c r="FY197">
        <f t="shared" si="172"/>
        <v>0.17599999999999999</v>
      </c>
      <c r="FZ197">
        <f t="shared" si="172"/>
        <v>0.19950000000000001</v>
      </c>
      <c r="GA197">
        <f t="shared" si="172"/>
        <v>0.16799999999999998</v>
      </c>
      <c r="GB197">
        <f t="shared" si="172"/>
        <v>0.14400000000000002</v>
      </c>
      <c r="GC197">
        <f t="shared" si="172"/>
        <v>0.108</v>
      </c>
      <c r="GD197">
        <f t="shared" si="172"/>
        <v>0.20150000000000001</v>
      </c>
      <c r="GE197">
        <f t="shared" si="172"/>
        <v>0.105</v>
      </c>
      <c r="GF197">
        <f t="shared" si="172"/>
        <v>0.11499999999999999</v>
      </c>
      <c r="GG197">
        <f t="shared" si="172"/>
        <v>0.14400000000000002</v>
      </c>
      <c r="GH197">
        <f t="shared" si="172"/>
        <v>0.20200000000000001</v>
      </c>
      <c r="GI197">
        <f t="shared" si="172"/>
        <v>0.1195</v>
      </c>
      <c r="GJ197">
        <f t="shared" si="172"/>
        <v>0.10350000000000001</v>
      </c>
      <c r="GK197">
        <f t="shared" si="172"/>
        <v>0.22349999999999998</v>
      </c>
      <c r="GL197">
        <f t="shared" si="172"/>
        <v>0.19350000000000001</v>
      </c>
      <c r="GM197">
        <f t="shared" si="172"/>
        <v>0.1885</v>
      </c>
    </row>
    <row r="198" spans="7:195" ht="14.4" x14ac:dyDescent="0.3">
      <c r="G198">
        <v>21</v>
      </c>
      <c r="H198" t="s">
        <v>897</v>
      </c>
      <c r="I198">
        <f t="shared" ref="I198:AN198" si="173">AVERAGE(I150,I174)</f>
        <v>0.32999999999999996</v>
      </c>
      <c r="J198">
        <f t="shared" si="173"/>
        <v>0.26500000000000001</v>
      </c>
      <c r="K198">
        <f t="shared" si="173"/>
        <v>0.21100000000000002</v>
      </c>
      <c r="L198">
        <f t="shared" si="173"/>
        <v>0.313</v>
      </c>
      <c r="M198">
        <f t="shared" si="173"/>
        <v>0.24000000000000002</v>
      </c>
      <c r="N198">
        <f t="shared" si="173"/>
        <v>0.19450000000000001</v>
      </c>
      <c r="O198">
        <f t="shared" si="173"/>
        <v>0.245</v>
      </c>
      <c r="P198">
        <f t="shared" si="173"/>
        <v>0.18099999999999999</v>
      </c>
      <c r="Q198">
        <f t="shared" si="173"/>
        <v>0.21200000000000002</v>
      </c>
      <c r="R198">
        <f t="shared" si="173"/>
        <v>0.217</v>
      </c>
      <c r="S198">
        <f t="shared" si="173"/>
        <v>0.1925</v>
      </c>
      <c r="T198">
        <f t="shared" si="173"/>
        <v>0.2505</v>
      </c>
      <c r="U198">
        <f t="shared" si="173"/>
        <v>0.15049999999999999</v>
      </c>
      <c r="V198">
        <f t="shared" si="173"/>
        <v>0.27849999999999997</v>
      </c>
      <c r="W198">
        <f t="shared" si="173"/>
        <v>0.25</v>
      </c>
      <c r="X198">
        <f t="shared" si="173"/>
        <v>0.20400000000000001</v>
      </c>
      <c r="Y198">
        <f t="shared" si="173"/>
        <v>0.32050000000000001</v>
      </c>
      <c r="Z198">
        <f t="shared" si="173"/>
        <v>0.41100000000000003</v>
      </c>
      <c r="AA198">
        <f t="shared" si="173"/>
        <v>0.1555</v>
      </c>
      <c r="AB198">
        <f t="shared" si="173"/>
        <v>0.1555</v>
      </c>
      <c r="AC198">
        <f t="shared" si="173"/>
        <v>0.22500000000000001</v>
      </c>
      <c r="AD198">
        <f t="shared" si="173"/>
        <v>0.3165</v>
      </c>
      <c r="AE198">
        <f t="shared" si="173"/>
        <v>0.20100000000000001</v>
      </c>
      <c r="AF198">
        <f t="shared" si="173"/>
        <v>0.24</v>
      </c>
      <c r="AG198">
        <f t="shared" si="173"/>
        <v>0.28349999999999997</v>
      </c>
      <c r="AH198">
        <f t="shared" si="173"/>
        <v>0.42049999999999998</v>
      </c>
      <c r="AI198">
        <f t="shared" si="173"/>
        <v>0.309</v>
      </c>
      <c r="AJ198">
        <f t="shared" si="173"/>
        <v>0.29649999999999999</v>
      </c>
      <c r="AK198">
        <f t="shared" si="173"/>
        <v>0.28500000000000003</v>
      </c>
      <c r="AL198">
        <f t="shared" si="173"/>
        <v>0.30649999999999999</v>
      </c>
      <c r="AM198">
        <f t="shared" si="173"/>
        <v>0.18099999999999999</v>
      </c>
      <c r="AN198">
        <f t="shared" si="173"/>
        <v>0.317</v>
      </c>
      <c r="AO198">
        <f t="shared" ref="AO198:BT198" si="174">AVERAGE(AO150,AO174)</f>
        <v>0.32499999999999996</v>
      </c>
      <c r="AP198">
        <f t="shared" si="174"/>
        <v>0.14150000000000001</v>
      </c>
      <c r="AQ198">
        <f t="shared" si="174"/>
        <v>0.22799999999999998</v>
      </c>
      <c r="AR198">
        <f t="shared" si="174"/>
        <v>0.17299999999999999</v>
      </c>
      <c r="AS198" t="e">
        <f t="shared" si="174"/>
        <v>#DIV/0!</v>
      </c>
      <c r="AT198">
        <f t="shared" si="174"/>
        <v>0.28600000000000003</v>
      </c>
      <c r="AU198">
        <f t="shared" si="174"/>
        <v>0.1575</v>
      </c>
      <c r="AV198">
        <f t="shared" si="174"/>
        <v>0.3715</v>
      </c>
      <c r="AW198">
        <f t="shared" si="174"/>
        <v>0.21000000000000002</v>
      </c>
      <c r="AX198">
        <f t="shared" si="174"/>
        <v>0.14750000000000002</v>
      </c>
      <c r="AY198" t="e">
        <f t="shared" si="174"/>
        <v>#DIV/0!</v>
      </c>
      <c r="AZ198">
        <f t="shared" si="174"/>
        <v>0.22750000000000001</v>
      </c>
      <c r="BA198">
        <f t="shared" si="174"/>
        <v>0.20599999999999999</v>
      </c>
      <c r="BB198">
        <f t="shared" si="174"/>
        <v>0.32999999999999996</v>
      </c>
      <c r="BC198">
        <f t="shared" si="174"/>
        <v>0.30649999999999999</v>
      </c>
      <c r="BD198">
        <f t="shared" si="174"/>
        <v>0.20800000000000002</v>
      </c>
      <c r="BE198">
        <f t="shared" si="174"/>
        <v>0.29349999999999998</v>
      </c>
      <c r="BF198">
        <f t="shared" si="174"/>
        <v>0.125</v>
      </c>
      <c r="BG198">
        <f t="shared" si="174"/>
        <v>0.2</v>
      </c>
      <c r="BH198">
        <f t="shared" si="174"/>
        <v>0.28049999999999997</v>
      </c>
      <c r="BI198">
        <f t="shared" si="174"/>
        <v>0.20200000000000001</v>
      </c>
      <c r="BJ198">
        <f t="shared" si="174"/>
        <v>0.30149999999999999</v>
      </c>
      <c r="BK198">
        <f t="shared" si="174"/>
        <v>0.2525</v>
      </c>
      <c r="BL198">
        <f t="shared" si="174"/>
        <v>0.2165</v>
      </c>
      <c r="BM198">
        <f t="shared" si="174"/>
        <v>0.29200000000000004</v>
      </c>
      <c r="BN198">
        <f t="shared" si="174"/>
        <v>0.26800000000000002</v>
      </c>
      <c r="BO198">
        <f t="shared" si="174"/>
        <v>0.20750000000000002</v>
      </c>
      <c r="BP198">
        <f t="shared" si="174"/>
        <v>0.17099999999999999</v>
      </c>
      <c r="BQ198">
        <f t="shared" si="174"/>
        <v>0.27749999999999997</v>
      </c>
      <c r="BR198">
        <f t="shared" si="174"/>
        <v>0.41549999999999998</v>
      </c>
      <c r="BS198">
        <f t="shared" si="174"/>
        <v>0.2485</v>
      </c>
      <c r="BT198">
        <f t="shared" si="174"/>
        <v>0.21250000000000002</v>
      </c>
      <c r="BU198">
        <f t="shared" ref="BU198:CZ198" si="175">AVERAGE(BU150,BU174)</f>
        <v>0.41049999999999998</v>
      </c>
      <c r="BV198">
        <f t="shared" si="175"/>
        <v>0.2</v>
      </c>
      <c r="BW198">
        <f t="shared" si="175"/>
        <v>0.23749999999999999</v>
      </c>
      <c r="BX198">
        <f t="shared" si="175"/>
        <v>0.19400000000000001</v>
      </c>
      <c r="BY198">
        <f t="shared" si="175"/>
        <v>0.314</v>
      </c>
      <c r="BZ198">
        <f t="shared" si="175"/>
        <v>0.40149999999999997</v>
      </c>
      <c r="CA198">
        <f t="shared" si="175"/>
        <v>0.34050000000000002</v>
      </c>
      <c r="CB198">
        <f t="shared" si="175"/>
        <v>0.29349999999999998</v>
      </c>
      <c r="CC198">
        <f t="shared" si="175"/>
        <v>0.17299999999999999</v>
      </c>
      <c r="CD198">
        <f t="shared" si="175"/>
        <v>0.224</v>
      </c>
      <c r="CE198">
        <f t="shared" si="175"/>
        <v>0.20350000000000001</v>
      </c>
      <c r="CF198">
        <f t="shared" si="175"/>
        <v>0.21199999999999999</v>
      </c>
      <c r="CG198">
        <f t="shared" si="175"/>
        <v>0.33050000000000002</v>
      </c>
      <c r="CH198">
        <f t="shared" si="175"/>
        <v>0.28349999999999997</v>
      </c>
      <c r="CI198">
        <f t="shared" si="175"/>
        <v>0.30200000000000005</v>
      </c>
      <c r="CJ198">
        <f t="shared" si="175"/>
        <v>0.1835</v>
      </c>
      <c r="CK198">
        <f t="shared" si="175"/>
        <v>0.17649999999999999</v>
      </c>
      <c r="CL198">
        <f t="shared" si="175"/>
        <v>0.17099999999999999</v>
      </c>
      <c r="CM198">
        <f t="shared" si="175"/>
        <v>0.17799999999999999</v>
      </c>
      <c r="CN198">
        <f t="shared" si="175"/>
        <v>0.16750000000000001</v>
      </c>
      <c r="CO198">
        <f t="shared" si="175"/>
        <v>0.28800000000000003</v>
      </c>
      <c r="CP198">
        <f t="shared" si="175"/>
        <v>0.3115</v>
      </c>
      <c r="CQ198">
        <f t="shared" si="175"/>
        <v>0.29200000000000004</v>
      </c>
      <c r="CR198">
        <f t="shared" si="175"/>
        <v>0.32499999999999996</v>
      </c>
      <c r="CS198">
        <f t="shared" si="175"/>
        <v>0.38700000000000001</v>
      </c>
      <c r="CT198">
        <f t="shared" si="175"/>
        <v>0.39249999999999996</v>
      </c>
      <c r="CU198">
        <f t="shared" si="175"/>
        <v>0.32400000000000001</v>
      </c>
      <c r="CV198">
        <f t="shared" si="175"/>
        <v>0.2495</v>
      </c>
      <c r="CW198">
        <f t="shared" si="175"/>
        <v>0.27549999999999997</v>
      </c>
      <c r="CX198">
        <f t="shared" si="175"/>
        <v>0.32650000000000001</v>
      </c>
      <c r="CY198">
        <f t="shared" si="175"/>
        <v>0.439</v>
      </c>
      <c r="CZ198">
        <f t="shared" si="175"/>
        <v>0.30500000000000005</v>
      </c>
      <c r="DA198">
        <f t="shared" ref="DA198:DH198" si="176">AVERAGE(DA150,DA174)</f>
        <v>0.27350000000000002</v>
      </c>
      <c r="DB198">
        <f t="shared" si="176"/>
        <v>0.19700000000000001</v>
      </c>
      <c r="DC198">
        <f t="shared" si="176"/>
        <v>0.27</v>
      </c>
      <c r="DD198">
        <f t="shared" si="176"/>
        <v>0.39449999999999996</v>
      </c>
      <c r="DE198">
        <f t="shared" si="176"/>
        <v>0.246</v>
      </c>
      <c r="DF198">
        <f t="shared" si="176"/>
        <v>0.17349999999999999</v>
      </c>
      <c r="DG198">
        <f t="shared" si="176"/>
        <v>0.38700000000000001</v>
      </c>
      <c r="DH198">
        <f t="shared" si="176"/>
        <v>0.20200000000000001</v>
      </c>
      <c r="DI198"/>
      <c r="DJ198">
        <f t="shared" ref="DJ198:EO198" si="177">AVERAGE(DJ150,DJ174)</f>
        <v>0.39649999999999996</v>
      </c>
      <c r="DK198">
        <f t="shared" si="177"/>
        <v>0.20300000000000001</v>
      </c>
      <c r="DL198">
        <f t="shared" si="177"/>
        <v>0.1555</v>
      </c>
      <c r="DM198" t="e">
        <f t="shared" si="177"/>
        <v>#DIV/0!</v>
      </c>
      <c r="DN198">
        <f t="shared" si="177"/>
        <v>0.29649999999999999</v>
      </c>
      <c r="DO198">
        <f t="shared" si="177"/>
        <v>0.27900000000000003</v>
      </c>
      <c r="DP198">
        <f t="shared" si="177"/>
        <v>0.26350000000000001</v>
      </c>
      <c r="DQ198">
        <f t="shared" si="177"/>
        <v>0.30649999999999999</v>
      </c>
      <c r="DR198">
        <f t="shared" si="177"/>
        <v>0.32450000000000001</v>
      </c>
      <c r="DS198">
        <f t="shared" si="177"/>
        <v>0.316</v>
      </c>
      <c r="DT198">
        <f t="shared" si="177"/>
        <v>0.317</v>
      </c>
      <c r="DU198">
        <f t="shared" si="177"/>
        <v>0.20800000000000002</v>
      </c>
      <c r="DV198" t="e">
        <f t="shared" si="177"/>
        <v>#DIV/0!</v>
      </c>
      <c r="DW198">
        <f t="shared" si="177"/>
        <v>0.192</v>
      </c>
      <c r="DX198">
        <f t="shared" si="177"/>
        <v>0.15100000000000002</v>
      </c>
      <c r="DY198">
        <f t="shared" si="177"/>
        <v>0.40049999999999997</v>
      </c>
      <c r="DZ198">
        <f t="shared" si="177"/>
        <v>0.45899999999999996</v>
      </c>
      <c r="EA198">
        <f t="shared" si="177"/>
        <v>0.20900000000000002</v>
      </c>
      <c r="EB198">
        <f t="shared" si="177"/>
        <v>0.17399999999999999</v>
      </c>
      <c r="EC198">
        <f t="shared" si="177"/>
        <v>0.29699999999999999</v>
      </c>
      <c r="ED198">
        <f t="shared" si="177"/>
        <v>0.1275</v>
      </c>
      <c r="EE198">
        <f t="shared" si="177"/>
        <v>0.27700000000000002</v>
      </c>
      <c r="EF198">
        <f t="shared" si="177"/>
        <v>0.2</v>
      </c>
      <c r="EG198">
        <f t="shared" si="177"/>
        <v>0.18</v>
      </c>
      <c r="EH198">
        <f t="shared" si="177"/>
        <v>0.32950000000000002</v>
      </c>
      <c r="EI198">
        <f t="shared" si="177"/>
        <v>0.192</v>
      </c>
      <c r="EJ198">
        <f t="shared" si="177"/>
        <v>0.20800000000000002</v>
      </c>
      <c r="EK198">
        <f t="shared" si="177"/>
        <v>0.19900000000000001</v>
      </c>
      <c r="EL198">
        <f t="shared" si="177"/>
        <v>0.186</v>
      </c>
      <c r="EM198">
        <f t="shared" si="177"/>
        <v>0.27449999999999997</v>
      </c>
      <c r="EN198">
        <f t="shared" si="177"/>
        <v>0.2505</v>
      </c>
      <c r="EO198">
        <f t="shared" si="177"/>
        <v>0.27849999999999997</v>
      </c>
      <c r="EP198">
        <f t="shared" ref="EP198:FU198" si="178">AVERAGE(EP150,EP174)</f>
        <v>0.29300000000000004</v>
      </c>
      <c r="EQ198">
        <f t="shared" si="178"/>
        <v>0.159</v>
      </c>
      <c r="ER198">
        <f t="shared" si="178"/>
        <v>0.1885</v>
      </c>
      <c r="ES198">
        <f t="shared" si="178"/>
        <v>0.2205</v>
      </c>
      <c r="ET198" t="e">
        <f t="shared" si="178"/>
        <v>#DIV/0!</v>
      </c>
      <c r="EU198">
        <f t="shared" si="178"/>
        <v>0.249</v>
      </c>
      <c r="EV198">
        <f t="shared" si="178"/>
        <v>0.39100000000000001</v>
      </c>
      <c r="EW198">
        <f t="shared" si="178"/>
        <v>0.26350000000000001</v>
      </c>
      <c r="EX198">
        <f t="shared" si="178"/>
        <v>0.21</v>
      </c>
      <c r="EY198">
        <f t="shared" si="178"/>
        <v>0.52950000000000008</v>
      </c>
      <c r="EZ198">
        <f t="shared" si="178"/>
        <v>0.13250000000000001</v>
      </c>
      <c r="FA198">
        <f t="shared" si="178"/>
        <v>0.23249999999999998</v>
      </c>
      <c r="FB198">
        <f t="shared" si="178"/>
        <v>0.20800000000000002</v>
      </c>
      <c r="FC198">
        <f t="shared" si="178"/>
        <v>0.32100000000000001</v>
      </c>
      <c r="FD198">
        <f t="shared" si="178"/>
        <v>0.29949999999999999</v>
      </c>
      <c r="FE198">
        <f t="shared" si="178"/>
        <v>0.25850000000000001</v>
      </c>
      <c r="FF198">
        <f t="shared" si="178"/>
        <v>0.29849999999999999</v>
      </c>
      <c r="FG198">
        <f t="shared" si="178"/>
        <v>0.189</v>
      </c>
      <c r="FH198">
        <f t="shared" si="178"/>
        <v>0.19900000000000001</v>
      </c>
      <c r="FI198" t="e">
        <f t="shared" si="178"/>
        <v>#DIV/0!</v>
      </c>
      <c r="FJ198">
        <f t="shared" si="178"/>
        <v>0.26100000000000001</v>
      </c>
      <c r="FK198">
        <f t="shared" si="178"/>
        <v>0.21500000000000002</v>
      </c>
      <c r="FL198">
        <f t="shared" si="178"/>
        <v>0.317</v>
      </c>
      <c r="FM198">
        <f t="shared" si="178"/>
        <v>0.21049999999999999</v>
      </c>
      <c r="FN198">
        <f t="shared" si="178"/>
        <v>0.19750000000000001</v>
      </c>
      <c r="FO198">
        <f t="shared" si="178"/>
        <v>0.30649999999999999</v>
      </c>
      <c r="FP198">
        <f t="shared" si="178"/>
        <v>0.20949999999999999</v>
      </c>
      <c r="FQ198">
        <f t="shared" si="178"/>
        <v>0.28549999999999998</v>
      </c>
      <c r="FR198">
        <f t="shared" si="178"/>
        <v>0.183</v>
      </c>
      <c r="FS198">
        <f t="shared" si="178"/>
        <v>0.3145</v>
      </c>
      <c r="FT198">
        <f t="shared" si="178"/>
        <v>0.41800000000000004</v>
      </c>
      <c r="FU198">
        <f t="shared" si="178"/>
        <v>0.22800000000000001</v>
      </c>
      <c r="FV198">
        <f t="shared" ref="FV198:GM198" si="179">AVERAGE(FV150,FV174)</f>
        <v>0.2235</v>
      </c>
      <c r="FW198">
        <f t="shared" si="179"/>
        <v>0.26</v>
      </c>
      <c r="FX198">
        <f t="shared" si="179"/>
        <v>0.28149999999999997</v>
      </c>
      <c r="FY198">
        <f t="shared" si="179"/>
        <v>0.252</v>
      </c>
      <c r="FZ198">
        <f t="shared" si="179"/>
        <v>0.29549999999999998</v>
      </c>
      <c r="GA198">
        <f t="shared" si="179"/>
        <v>0.254</v>
      </c>
      <c r="GB198">
        <f t="shared" si="179"/>
        <v>0.2195</v>
      </c>
      <c r="GC198">
        <f t="shared" si="179"/>
        <v>0.17949999999999999</v>
      </c>
      <c r="GD198">
        <f t="shared" si="179"/>
        <v>0.29849999999999999</v>
      </c>
      <c r="GE198">
        <f t="shared" si="179"/>
        <v>0.1835</v>
      </c>
      <c r="GF198">
        <f t="shared" si="179"/>
        <v>0.17649999999999999</v>
      </c>
      <c r="GG198">
        <f t="shared" si="179"/>
        <v>0.20350000000000001</v>
      </c>
      <c r="GH198">
        <f t="shared" si="179"/>
        <v>0.30449999999999999</v>
      </c>
      <c r="GI198">
        <f t="shared" si="179"/>
        <v>0.16599999999999998</v>
      </c>
      <c r="GJ198">
        <f t="shared" si="179"/>
        <v>0.15049999999999999</v>
      </c>
      <c r="GK198">
        <f t="shared" si="179"/>
        <v>0.32600000000000001</v>
      </c>
      <c r="GL198">
        <f t="shared" si="179"/>
        <v>0.28849999999999998</v>
      </c>
      <c r="GM198">
        <f t="shared" si="179"/>
        <v>0.28300000000000003</v>
      </c>
    </row>
    <row r="199" spans="7:195" ht="14.4" x14ac:dyDescent="0.3">
      <c r="G199">
        <v>22</v>
      </c>
      <c r="H199" t="s">
        <v>898</v>
      </c>
      <c r="I199">
        <f t="shared" ref="I199:AN199" si="180">AVERAGE(I151,I175)</f>
        <v>0.45299999999999996</v>
      </c>
      <c r="J199">
        <f t="shared" si="180"/>
        <v>0.40349999999999997</v>
      </c>
      <c r="K199">
        <f t="shared" si="180"/>
        <v>0.30599999999999999</v>
      </c>
      <c r="L199">
        <f t="shared" si="180"/>
        <v>0.42349999999999999</v>
      </c>
      <c r="M199">
        <f t="shared" si="180"/>
        <v>0.36249999999999999</v>
      </c>
      <c r="N199">
        <f t="shared" si="180"/>
        <v>0.29500000000000004</v>
      </c>
      <c r="O199">
        <f t="shared" si="180"/>
        <v>0.33750000000000002</v>
      </c>
      <c r="P199">
        <f t="shared" si="180"/>
        <v>0.30049999999999999</v>
      </c>
      <c r="Q199">
        <f t="shared" si="180"/>
        <v>0.32150000000000001</v>
      </c>
      <c r="R199">
        <f t="shared" si="180"/>
        <v>0.33750000000000002</v>
      </c>
      <c r="S199">
        <f t="shared" si="180"/>
        <v>0.30400000000000005</v>
      </c>
      <c r="T199">
        <f t="shared" si="180"/>
        <v>0.35350000000000004</v>
      </c>
      <c r="U199">
        <f t="shared" si="180"/>
        <v>0.19600000000000001</v>
      </c>
      <c r="V199">
        <f t="shared" si="180"/>
        <v>0.40100000000000002</v>
      </c>
      <c r="W199">
        <f t="shared" si="180"/>
        <v>0.36149999999999999</v>
      </c>
      <c r="X199">
        <f t="shared" si="180"/>
        <v>0.33650000000000002</v>
      </c>
      <c r="Y199">
        <f t="shared" si="180"/>
        <v>0.44550000000000001</v>
      </c>
      <c r="Z199">
        <f t="shared" si="180"/>
        <v>0.52300000000000002</v>
      </c>
      <c r="AA199">
        <f t="shared" si="180"/>
        <v>0.2145</v>
      </c>
      <c r="AB199">
        <f t="shared" si="180"/>
        <v>0.24399999999999999</v>
      </c>
      <c r="AC199">
        <f t="shared" si="180"/>
        <v>0.32</v>
      </c>
      <c r="AD199">
        <f t="shared" si="180"/>
        <v>0.4425</v>
      </c>
      <c r="AE199">
        <f t="shared" si="180"/>
        <v>0.30599999999999999</v>
      </c>
      <c r="AF199">
        <f t="shared" si="180"/>
        <v>0.35299999999999998</v>
      </c>
      <c r="AG199">
        <f t="shared" si="180"/>
        <v>0.42200000000000004</v>
      </c>
      <c r="AH199">
        <f t="shared" si="180"/>
        <v>0.53049999999999997</v>
      </c>
      <c r="AI199">
        <f t="shared" si="180"/>
        <v>0.42700000000000005</v>
      </c>
      <c r="AJ199">
        <f t="shared" si="180"/>
        <v>0.42549999999999999</v>
      </c>
      <c r="AK199">
        <f t="shared" si="180"/>
        <v>0.41049999999999998</v>
      </c>
      <c r="AL199">
        <f t="shared" si="180"/>
        <v>0.42500000000000004</v>
      </c>
      <c r="AM199">
        <f t="shared" si="180"/>
        <v>0.28800000000000003</v>
      </c>
      <c r="AN199">
        <f t="shared" si="180"/>
        <v>0.4345</v>
      </c>
      <c r="AO199">
        <f t="shared" ref="AO199:BT199" si="181">AVERAGE(AO151,AO175)</f>
        <v>0.44599999999999995</v>
      </c>
      <c r="AP199">
        <f t="shared" si="181"/>
        <v>0.21550000000000002</v>
      </c>
      <c r="AQ199">
        <f t="shared" si="181"/>
        <v>0.309</v>
      </c>
      <c r="AR199">
        <f t="shared" si="181"/>
        <v>0.26250000000000001</v>
      </c>
      <c r="AS199" t="e">
        <f t="shared" si="181"/>
        <v>#DIV/0!</v>
      </c>
      <c r="AT199">
        <f t="shared" si="181"/>
        <v>0.40549999999999997</v>
      </c>
      <c r="AU199">
        <f t="shared" si="181"/>
        <v>0.2545</v>
      </c>
      <c r="AV199">
        <f t="shared" si="181"/>
        <v>0.46799999999999997</v>
      </c>
      <c r="AW199">
        <f t="shared" si="181"/>
        <v>0.30049999999999999</v>
      </c>
      <c r="AX199">
        <f t="shared" si="181"/>
        <v>0.22750000000000001</v>
      </c>
      <c r="AY199" t="e">
        <f t="shared" si="181"/>
        <v>#DIV/0!</v>
      </c>
      <c r="AZ199">
        <f t="shared" si="181"/>
        <v>0.34699999999999998</v>
      </c>
      <c r="BA199">
        <f t="shared" si="181"/>
        <v>0.30549999999999999</v>
      </c>
      <c r="BB199">
        <f t="shared" si="181"/>
        <v>0.4375</v>
      </c>
      <c r="BC199">
        <f t="shared" si="181"/>
        <v>0.42900000000000005</v>
      </c>
      <c r="BD199">
        <f t="shared" si="181"/>
        <v>0.36899999999999999</v>
      </c>
      <c r="BE199">
        <f t="shared" si="181"/>
        <v>0.41549999999999998</v>
      </c>
      <c r="BF199">
        <f t="shared" si="181"/>
        <v>0.16449999999999998</v>
      </c>
      <c r="BG199">
        <f t="shared" si="181"/>
        <v>0.33300000000000002</v>
      </c>
      <c r="BH199">
        <f t="shared" si="181"/>
        <v>0.38849999999999996</v>
      </c>
      <c r="BI199">
        <f t="shared" si="181"/>
        <v>0.30649999999999999</v>
      </c>
      <c r="BJ199">
        <f t="shared" si="181"/>
        <v>0.42000000000000004</v>
      </c>
      <c r="BK199">
        <f t="shared" si="181"/>
        <v>0.32</v>
      </c>
      <c r="BL199">
        <f t="shared" si="181"/>
        <v>0.36550000000000005</v>
      </c>
      <c r="BM199">
        <f t="shared" si="181"/>
        <v>0.41100000000000003</v>
      </c>
      <c r="BN199">
        <f t="shared" si="181"/>
        <v>0.34499999999999997</v>
      </c>
      <c r="BO199">
        <f t="shared" si="181"/>
        <v>0.33899999999999997</v>
      </c>
      <c r="BP199">
        <f t="shared" si="181"/>
        <v>0.29300000000000004</v>
      </c>
      <c r="BQ199">
        <f t="shared" si="181"/>
        <v>0.39749999999999996</v>
      </c>
      <c r="BR199">
        <f t="shared" si="181"/>
        <v>0.52950000000000008</v>
      </c>
      <c r="BS199">
        <f t="shared" si="181"/>
        <v>0.34399999999999997</v>
      </c>
      <c r="BT199">
        <f t="shared" si="181"/>
        <v>0.32999999999999996</v>
      </c>
      <c r="BU199">
        <f t="shared" ref="BU199:CZ199" si="182">AVERAGE(BU151,BU175)</f>
        <v>0.52500000000000002</v>
      </c>
      <c r="BV199">
        <f t="shared" si="182"/>
        <v>0.30499999999999999</v>
      </c>
      <c r="BW199">
        <f t="shared" si="182"/>
        <v>0.33650000000000002</v>
      </c>
      <c r="BX199">
        <f t="shared" si="182"/>
        <v>0.26749999999999996</v>
      </c>
      <c r="BY199">
        <f t="shared" si="182"/>
        <v>0.4355</v>
      </c>
      <c r="BZ199">
        <f t="shared" si="182"/>
        <v>0.5635</v>
      </c>
      <c r="CA199">
        <f t="shared" si="182"/>
        <v>0.46899999999999997</v>
      </c>
      <c r="CB199">
        <f t="shared" si="182"/>
        <v>0.41249999999999998</v>
      </c>
      <c r="CC199">
        <f t="shared" si="182"/>
        <v>0.26700000000000002</v>
      </c>
      <c r="CD199">
        <f t="shared" si="182"/>
        <v>0.3155</v>
      </c>
      <c r="CE199">
        <f t="shared" si="182"/>
        <v>0.315</v>
      </c>
      <c r="CF199">
        <f t="shared" si="182"/>
        <v>0.28949999999999998</v>
      </c>
      <c r="CG199">
        <f t="shared" si="182"/>
        <v>0.46450000000000002</v>
      </c>
      <c r="CH199">
        <f t="shared" si="182"/>
        <v>0.40700000000000003</v>
      </c>
      <c r="CI199">
        <f t="shared" si="182"/>
        <v>0.42749999999999999</v>
      </c>
      <c r="CJ199">
        <f t="shared" si="182"/>
        <v>0.30149999999999999</v>
      </c>
      <c r="CK199">
        <f t="shared" si="182"/>
        <v>0.23349999999999999</v>
      </c>
      <c r="CL199">
        <f t="shared" si="182"/>
        <v>0.26650000000000001</v>
      </c>
      <c r="CM199">
        <f t="shared" si="182"/>
        <v>0.27149999999999996</v>
      </c>
      <c r="CN199">
        <f t="shared" si="182"/>
        <v>0.27549999999999997</v>
      </c>
      <c r="CO199">
        <f t="shared" si="182"/>
        <v>0.41249999999999998</v>
      </c>
      <c r="CP199">
        <f t="shared" si="182"/>
        <v>0.441</v>
      </c>
      <c r="CQ199">
        <f t="shared" si="182"/>
        <v>0.41049999999999998</v>
      </c>
      <c r="CR199">
        <f t="shared" si="182"/>
        <v>0.45299999999999996</v>
      </c>
      <c r="CS199">
        <f t="shared" si="182"/>
        <v>0.54249999999999998</v>
      </c>
      <c r="CT199">
        <f t="shared" si="182"/>
        <v>0.52449999999999997</v>
      </c>
      <c r="CU199">
        <f t="shared" si="182"/>
        <v>0.45150000000000001</v>
      </c>
      <c r="CV199">
        <f t="shared" si="182"/>
        <v>0.39300000000000002</v>
      </c>
      <c r="CW199">
        <f t="shared" si="182"/>
        <v>0.40049999999999997</v>
      </c>
      <c r="CX199">
        <f t="shared" si="182"/>
        <v>0.45050000000000001</v>
      </c>
      <c r="CY199">
        <f t="shared" si="182"/>
        <v>0.5595</v>
      </c>
      <c r="CZ199">
        <f t="shared" si="182"/>
        <v>0.43400000000000005</v>
      </c>
      <c r="DA199">
        <f t="shared" ref="DA199:DH199" si="183">AVERAGE(DA151,DA175)</f>
        <v>0.39500000000000002</v>
      </c>
      <c r="DB199">
        <f t="shared" si="183"/>
        <v>0.31950000000000001</v>
      </c>
      <c r="DC199">
        <f t="shared" si="183"/>
        <v>0.36799999999999999</v>
      </c>
      <c r="DD199">
        <f t="shared" si="183"/>
        <v>0.54299999999999993</v>
      </c>
      <c r="DE199">
        <f t="shared" si="183"/>
        <v>0.36</v>
      </c>
      <c r="DF199">
        <f t="shared" si="183"/>
        <v>0.254</v>
      </c>
      <c r="DG199">
        <f t="shared" si="183"/>
        <v>0.50150000000000006</v>
      </c>
      <c r="DH199">
        <f t="shared" si="183"/>
        <v>0.30649999999999999</v>
      </c>
      <c r="DI199"/>
      <c r="DJ199">
        <f t="shared" ref="DJ199:EO199" si="184">AVERAGE(DJ151,DJ175)</f>
        <v>0.51350000000000007</v>
      </c>
      <c r="DK199">
        <f t="shared" si="184"/>
        <v>0.28700000000000003</v>
      </c>
      <c r="DL199">
        <f t="shared" si="184"/>
        <v>0.23749999999999999</v>
      </c>
      <c r="DM199" t="e">
        <f t="shared" si="184"/>
        <v>#DIV/0!</v>
      </c>
      <c r="DN199">
        <f t="shared" si="184"/>
        <v>0.497</v>
      </c>
      <c r="DO199">
        <f t="shared" si="184"/>
        <v>0.4</v>
      </c>
      <c r="DP199">
        <f t="shared" si="184"/>
        <v>0.36849999999999999</v>
      </c>
      <c r="DQ199">
        <f t="shared" si="184"/>
        <v>0.42400000000000004</v>
      </c>
      <c r="DR199">
        <f t="shared" si="184"/>
        <v>0.45199999999999996</v>
      </c>
      <c r="DS199">
        <f t="shared" si="184"/>
        <v>0.442</v>
      </c>
      <c r="DT199">
        <f t="shared" si="184"/>
        <v>0.44650000000000001</v>
      </c>
      <c r="DU199">
        <f t="shared" si="184"/>
        <v>0.33250000000000002</v>
      </c>
      <c r="DV199" t="e">
        <f t="shared" si="184"/>
        <v>#DIV/0!</v>
      </c>
      <c r="DW199">
        <f t="shared" si="184"/>
        <v>0.32200000000000001</v>
      </c>
      <c r="DX199">
        <f t="shared" si="184"/>
        <v>0.20750000000000002</v>
      </c>
      <c r="DY199">
        <f t="shared" si="184"/>
        <v>0.51700000000000002</v>
      </c>
      <c r="DZ199">
        <f t="shared" si="184"/>
        <v>0.57150000000000001</v>
      </c>
      <c r="EA199">
        <f t="shared" si="184"/>
        <v>0.36799999999999999</v>
      </c>
      <c r="EB199">
        <f t="shared" si="184"/>
        <v>0.24249999999999999</v>
      </c>
      <c r="EC199">
        <f t="shared" si="184"/>
        <v>0.42049999999999998</v>
      </c>
      <c r="ED199">
        <f t="shared" si="184"/>
        <v>0.19500000000000001</v>
      </c>
      <c r="EE199">
        <f t="shared" si="184"/>
        <v>0.38</v>
      </c>
      <c r="EF199">
        <f t="shared" si="184"/>
        <v>0.27400000000000002</v>
      </c>
      <c r="EG199">
        <f t="shared" si="184"/>
        <v>0.2465</v>
      </c>
      <c r="EH199">
        <f t="shared" si="184"/>
        <v>0.46299999999999997</v>
      </c>
      <c r="EI199">
        <f t="shared" si="184"/>
        <v>0.29749999999999999</v>
      </c>
      <c r="EJ199">
        <f t="shared" si="184"/>
        <v>0.32299999999999995</v>
      </c>
      <c r="EK199">
        <f t="shared" si="184"/>
        <v>0.29149999999999998</v>
      </c>
      <c r="EL199">
        <f t="shared" si="184"/>
        <v>0.27800000000000002</v>
      </c>
      <c r="EM199">
        <f t="shared" si="184"/>
        <v>0.39100000000000001</v>
      </c>
      <c r="EN199">
        <f t="shared" si="184"/>
        <v>0.35350000000000004</v>
      </c>
      <c r="EO199">
        <f t="shared" si="184"/>
        <v>0.40549999999999997</v>
      </c>
      <c r="EP199">
        <f t="shared" ref="EP199:FU199" si="185">AVERAGE(EP151,EP175)</f>
        <v>0.41400000000000003</v>
      </c>
      <c r="EQ199">
        <f t="shared" si="185"/>
        <v>0.2225</v>
      </c>
      <c r="ER199">
        <f t="shared" si="185"/>
        <v>0.26450000000000001</v>
      </c>
      <c r="ES199">
        <f t="shared" si="185"/>
        <v>0.32</v>
      </c>
      <c r="ET199" t="e">
        <f t="shared" si="185"/>
        <v>#DIV/0!</v>
      </c>
      <c r="EU199">
        <f t="shared" si="185"/>
        <v>0.34050000000000002</v>
      </c>
      <c r="EV199">
        <f t="shared" si="185"/>
        <v>0.50900000000000001</v>
      </c>
      <c r="EW199">
        <f t="shared" si="185"/>
        <v>0.38950000000000001</v>
      </c>
      <c r="EX199">
        <f t="shared" si="185"/>
        <v>0.30199999999999999</v>
      </c>
      <c r="EY199">
        <f t="shared" si="185"/>
        <v>0.65050000000000008</v>
      </c>
      <c r="EZ199">
        <f t="shared" si="185"/>
        <v>0.191</v>
      </c>
      <c r="FA199">
        <f t="shared" si="185"/>
        <v>0.33300000000000002</v>
      </c>
      <c r="FB199">
        <f t="shared" si="185"/>
        <v>0.315</v>
      </c>
      <c r="FC199">
        <f t="shared" si="185"/>
        <v>0.44950000000000001</v>
      </c>
      <c r="FD199">
        <f t="shared" si="185"/>
        <v>0.40849999999999997</v>
      </c>
      <c r="FE199">
        <f t="shared" si="185"/>
        <v>0.35550000000000004</v>
      </c>
      <c r="FF199">
        <f t="shared" si="185"/>
        <v>0.40449999999999997</v>
      </c>
      <c r="FG199">
        <f t="shared" si="185"/>
        <v>0.3095</v>
      </c>
      <c r="FH199">
        <f t="shared" si="185"/>
        <v>0.28149999999999997</v>
      </c>
      <c r="FI199" t="e">
        <f t="shared" si="185"/>
        <v>#DIV/0!</v>
      </c>
      <c r="FJ199">
        <f t="shared" si="185"/>
        <v>0.35399999999999998</v>
      </c>
      <c r="FK199">
        <f t="shared" si="185"/>
        <v>0.29949999999999999</v>
      </c>
      <c r="FL199">
        <f t="shared" si="185"/>
        <v>0.4335</v>
      </c>
      <c r="FM199">
        <f t="shared" si="185"/>
        <v>0.35450000000000004</v>
      </c>
      <c r="FN199">
        <f t="shared" si="185"/>
        <v>0.33850000000000002</v>
      </c>
      <c r="FO199">
        <f t="shared" si="185"/>
        <v>0.42200000000000004</v>
      </c>
      <c r="FP199">
        <f t="shared" si="185"/>
        <v>0.27800000000000002</v>
      </c>
      <c r="FQ199">
        <f t="shared" si="185"/>
        <v>0.42149999999999999</v>
      </c>
      <c r="FR199">
        <f t="shared" si="185"/>
        <v>0.26800000000000002</v>
      </c>
      <c r="FS199">
        <f t="shared" si="185"/>
        <v>0.4355</v>
      </c>
      <c r="FT199">
        <f t="shared" si="185"/>
        <v>0.53150000000000008</v>
      </c>
      <c r="FU199">
        <f t="shared" si="185"/>
        <v>0.32999999999999996</v>
      </c>
      <c r="FV199">
        <f t="shared" ref="FV199:GM199" si="186">AVERAGE(FV151,FV175)</f>
        <v>0.3075</v>
      </c>
      <c r="FW199">
        <f t="shared" si="186"/>
        <v>0.35799999999999998</v>
      </c>
      <c r="FX199">
        <f t="shared" si="186"/>
        <v>0.42000000000000004</v>
      </c>
      <c r="FY199">
        <f t="shared" si="186"/>
        <v>0.34750000000000003</v>
      </c>
      <c r="FZ199">
        <f t="shared" si="186"/>
        <v>0.41400000000000003</v>
      </c>
      <c r="GA199">
        <f t="shared" si="186"/>
        <v>0.36699999999999999</v>
      </c>
      <c r="GB199">
        <f t="shared" si="186"/>
        <v>0.31950000000000001</v>
      </c>
      <c r="GC199">
        <f t="shared" si="186"/>
        <v>0.29449999999999998</v>
      </c>
      <c r="GD199">
        <f t="shared" si="186"/>
        <v>0.41649999999999998</v>
      </c>
      <c r="GE199">
        <f t="shared" si="186"/>
        <v>0.28100000000000003</v>
      </c>
      <c r="GF199">
        <f t="shared" si="186"/>
        <v>0.26700000000000002</v>
      </c>
      <c r="GG199">
        <f t="shared" si="186"/>
        <v>0.26849999999999996</v>
      </c>
      <c r="GH199">
        <f t="shared" si="186"/>
        <v>0.43400000000000005</v>
      </c>
      <c r="GI199">
        <f t="shared" si="186"/>
        <v>0.22649999999999998</v>
      </c>
      <c r="GJ199">
        <f t="shared" si="186"/>
        <v>0.214</v>
      </c>
      <c r="GK199">
        <f t="shared" si="186"/>
        <v>0.42449999999999999</v>
      </c>
      <c r="GL199">
        <f t="shared" si="186"/>
        <v>0.40749999999999997</v>
      </c>
      <c r="GM199">
        <f t="shared" si="186"/>
        <v>0.40300000000000002</v>
      </c>
    </row>
    <row r="200" spans="7:195" ht="14.4" x14ac:dyDescent="0.3">
      <c r="G200">
        <v>23</v>
      </c>
      <c r="H200" t="s">
        <v>899</v>
      </c>
      <c r="I200">
        <f t="shared" ref="I200:AN200" si="187">AVERAGE(I152,I176)</f>
        <v>0.5794999999999999</v>
      </c>
      <c r="J200">
        <f t="shared" si="187"/>
        <v>0.55049999999999999</v>
      </c>
      <c r="K200">
        <f t="shared" si="187"/>
        <v>0.434</v>
      </c>
      <c r="L200">
        <f t="shared" si="187"/>
        <v>0.54849999999999999</v>
      </c>
      <c r="M200">
        <f t="shared" si="187"/>
        <v>0.49650000000000005</v>
      </c>
      <c r="N200">
        <f t="shared" si="187"/>
        <v>0.40700000000000003</v>
      </c>
      <c r="O200">
        <f t="shared" si="187"/>
        <v>0.46299999999999997</v>
      </c>
      <c r="P200">
        <f t="shared" si="187"/>
        <v>0.46099999999999997</v>
      </c>
      <c r="Q200">
        <f t="shared" si="187"/>
        <v>0.45750000000000002</v>
      </c>
      <c r="R200">
        <f t="shared" si="187"/>
        <v>0.43049999999999999</v>
      </c>
      <c r="S200">
        <f t="shared" si="187"/>
        <v>0.441</v>
      </c>
      <c r="T200">
        <f t="shared" si="187"/>
        <v>0.47699999999999998</v>
      </c>
      <c r="U200">
        <f t="shared" si="187"/>
        <v>0.26900000000000002</v>
      </c>
      <c r="V200">
        <f t="shared" si="187"/>
        <v>0.54</v>
      </c>
      <c r="W200">
        <f t="shared" si="187"/>
        <v>0.49049999999999999</v>
      </c>
      <c r="X200">
        <f t="shared" si="187"/>
        <v>0.48149999999999998</v>
      </c>
      <c r="Y200">
        <f t="shared" si="187"/>
        <v>0.54899999999999993</v>
      </c>
      <c r="Z200">
        <f t="shared" si="187"/>
        <v>0.64949999999999997</v>
      </c>
      <c r="AA200">
        <f t="shared" si="187"/>
        <v>0.30299999999999999</v>
      </c>
      <c r="AB200">
        <f t="shared" si="187"/>
        <v>0.52099999999999991</v>
      </c>
      <c r="AC200">
        <f t="shared" si="187"/>
        <v>0.441</v>
      </c>
      <c r="AD200">
        <f t="shared" si="187"/>
        <v>0.58499999999999996</v>
      </c>
      <c r="AE200">
        <f t="shared" si="187"/>
        <v>0.435</v>
      </c>
      <c r="AF200">
        <f t="shared" si="187"/>
        <v>0.50049999999999994</v>
      </c>
      <c r="AG200">
        <f t="shared" si="187"/>
        <v>0.57099999999999995</v>
      </c>
      <c r="AH200">
        <f t="shared" si="187"/>
        <v>0.65500000000000003</v>
      </c>
      <c r="AI200">
        <f t="shared" si="187"/>
        <v>0.56000000000000005</v>
      </c>
      <c r="AJ200">
        <f t="shared" si="187"/>
        <v>0.57299999999999995</v>
      </c>
      <c r="AK200">
        <f t="shared" si="187"/>
        <v>0.53700000000000003</v>
      </c>
      <c r="AL200">
        <f t="shared" si="187"/>
        <v>0.5575</v>
      </c>
      <c r="AM200">
        <f t="shared" si="187"/>
        <v>0.44299999999999995</v>
      </c>
      <c r="AN200">
        <f t="shared" si="187"/>
        <v>0.56600000000000006</v>
      </c>
      <c r="AO200">
        <f t="shared" ref="AO200:BT200" si="188">AVERAGE(AO152,AO176)</f>
        <v>0.57650000000000001</v>
      </c>
      <c r="AP200">
        <f t="shared" si="188"/>
        <v>0.33400000000000002</v>
      </c>
      <c r="AQ200">
        <f t="shared" si="188"/>
        <v>0.39100000000000001</v>
      </c>
      <c r="AR200">
        <f t="shared" si="188"/>
        <v>0.39050000000000001</v>
      </c>
      <c r="AS200" t="e">
        <f t="shared" si="188"/>
        <v>#DIV/0!</v>
      </c>
      <c r="AT200">
        <f t="shared" si="188"/>
        <v>0.54400000000000004</v>
      </c>
      <c r="AU200">
        <f t="shared" si="188"/>
        <v>0.41349999999999998</v>
      </c>
      <c r="AV200">
        <f t="shared" si="188"/>
        <v>0.58149999999999991</v>
      </c>
      <c r="AW200">
        <f t="shared" si="188"/>
        <v>0.41199999999999998</v>
      </c>
      <c r="AX200">
        <f t="shared" si="188"/>
        <v>0.40600000000000003</v>
      </c>
      <c r="AY200" t="e">
        <f t="shared" si="188"/>
        <v>#DIV/0!</v>
      </c>
      <c r="AZ200">
        <f t="shared" si="188"/>
        <v>0.48750000000000004</v>
      </c>
      <c r="BA200">
        <f t="shared" si="188"/>
        <v>0.443</v>
      </c>
      <c r="BB200">
        <f t="shared" si="188"/>
        <v>0.5734999999999999</v>
      </c>
      <c r="BC200">
        <f t="shared" si="188"/>
        <v>0.56299999999999994</v>
      </c>
      <c r="BD200">
        <f t="shared" si="188"/>
        <v>0.53849999999999998</v>
      </c>
      <c r="BE200">
        <f t="shared" si="188"/>
        <v>0.55299999999999994</v>
      </c>
      <c r="BF200">
        <f t="shared" si="188"/>
        <v>0.22450000000000001</v>
      </c>
      <c r="BG200">
        <f t="shared" si="188"/>
        <v>0.41299999999999998</v>
      </c>
      <c r="BH200">
        <f t="shared" si="188"/>
        <v>0.52150000000000007</v>
      </c>
      <c r="BI200">
        <f t="shared" si="188"/>
        <v>0.43400000000000005</v>
      </c>
      <c r="BJ200">
        <f t="shared" si="188"/>
        <v>0.55400000000000005</v>
      </c>
      <c r="BK200">
        <f t="shared" si="188"/>
        <v>0.40800000000000003</v>
      </c>
      <c r="BL200">
        <f t="shared" si="188"/>
        <v>0.53049999999999997</v>
      </c>
      <c r="BM200">
        <f t="shared" si="188"/>
        <v>0.54699999999999993</v>
      </c>
      <c r="BN200">
        <f t="shared" si="188"/>
        <v>0.46050000000000002</v>
      </c>
      <c r="BO200">
        <f t="shared" si="188"/>
        <v>0.505</v>
      </c>
      <c r="BP200">
        <f t="shared" si="188"/>
        <v>0.46750000000000003</v>
      </c>
      <c r="BQ200">
        <f t="shared" si="188"/>
        <v>0.53800000000000003</v>
      </c>
      <c r="BR200">
        <f t="shared" si="188"/>
        <v>0</v>
      </c>
      <c r="BS200">
        <f t="shared" si="188"/>
        <v>0.47</v>
      </c>
      <c r="BT200">
        <f t="shared" si="188"/>
        <v>0.49299999999999999</v>
      </c>
      <c r="BU200">
        <f t="shared" ref="BU200:CZ200" si="189">AVERAGE(BU152,BU176)</f>
        <v>0.65250000000000008</v>
      </c>
      <c r="BV200">
        <f t="shared" si="189"/>
        <v>0.40949999999999998</v>
      </c>
      <c r="BW200">
        <f t="shared" si="189"/>
        <v>0.45250000000000001</v>
      </c>
      <c r="BX200">
        <f t="shared" si="189"/>
        <v>0.35499999999999998</v>
      </c>
      <c r="BY200">
        <f t="shared" si="189"/>
        <v>0.57350000000000001</v>
      </c>
      <c r="BZ200">
        <f t="shared" si="189"/>
        <v>0</v>
      </c>
      <c r="CA200">
        <f t="shared" si="189"/>
        <v>0.57599999999999996</v>
      </c>
      <c r="CB200">
        <f t="shared" si="189"/>
        <v>0.54849999999999999</v>
      </c>
      <c r="CC200">
        <f t="shared" si="189"/>
        <v>0.39150000000000001</v>
      </c>
      <c r="CD200">
        <f t="shared" si="189"/>
        <v>0.44400000000000001</v>
      </c>
      <c r="CE200">
        <f t="shared" si="189"/>
        <v>0.50649999999999995</v>
      </c>
      <c r="CF200">
        <f t="shared" si="189"/>
        <v>0.38800000000000001</v>
      </c>
      <c r="CG200">
        <f t="shared" si="189"/>
        <v>0.60499999999999998</v>
      </c>
      <c r="CH200">
        <f t="shared" si="189"/>
        <v>0.53649999999999998</v>
      </c>
      <c r="CI200">
        <f t="shared" si="189"/>
        <v>0.52699999999999991</v>
      </c>
      <c r="CJ200">
        <f t="shared" si="189"/>
        <v>0.437</v>
      </c>
      <c r="CK200">
        <f t="shared" si="189"/>
        <v>0.33599999999999997</v>
      </c>
      <c r="CL200">
        <f t="shared" si="189"/>
        <v>0.40800000000000003</v>
      </c>
      <c r="CM200">
        <f t="shared" si="189"/>
        <v>0.38800000000000001</v>
      </c>
      <c r="CN200">
        <f t="shared" si="189"/>
        <v>0.4385</v>
      </c>
      <c r="CO200">
        <f t="shared" si="189"/>
        <v>0.52400000000000002</v>
      </c>
      <c r="CP200">
        <f t="shared" si="189"/>
        <v>0.56299999999999994</v>
      </c>
      <c r="CQ200">
        <f t="shared" si="189"/>
        <v>0.54649999999999999</v>
      </c>
      <c r="CR200">
        <f t="shared" si="189"/>
        <v>0.67749999999999999</v>
      </c>
      <c r="CS200">
        <f t="shared" si="189"/>
        <v>0.67800000000000005</v>
      </c>
      <c r="CT200">
        <f t="shared" si="189"/>
        <v>0.67249999999999999</v>
      </c>
      <c r="CU200">
        <f t="shared" si="189"/>
        <v>0.59050000000000002</v>
      </c>
      <c r="CV200">
        <f t="shared" si="189"/>
        <v>0.5535000000000001</v>
      </c>
      <c r="CW200">
        <f t="shared" si="189"/>
        <v>0.54549999999999998</v>
      </c>
      <c r="CX200">
        <f t="shared" si="189"/>
        <v>0.58650000000000002</v>
      </c>
      <c r="CY200">
        <f t="shared" si="189"/>
        <v>0.32300000000000001</v>
      </c>
      <c r="CZ200">
        <f t="shared" si="189"/>
        <v>0.54600000000000004</v>
      </c>
      <c r="DA200">
        <f t="shared" ref="DA200:DH200" si="190">AVERAGE(DA152,DA176)</f>
        <v>0.53299999999999992</v>
      </c>
      <c r="DB200">
        <f t="shared" si="190"/>
        <v>0.46250000000000002</v>
      </c>
      <c r="DC200">
        <f t="shared" si="190"/>
        <v>0.46500000000000002</v>
      </c>
      <c r="DD200">
        <f t="shared" si="190"/>
        <v>0.6885</v>
      </c>
      <c r="DE200">
        <f t="shared" si="190"/>
        <v>0.48799999999999999</v>
      </c>
      <c r="DF200">
        <f t="shared" si="190"/>
        <v>0.34750000000000003</v>
      </c>
      <c r="DG200">
        <f t="shared" si="190"/>
        <v>0.62949999999999995</v>
      </c>
      <c r="DH200">
        <f t="shared" si="190"/>
        <v>0.4335</v>
      </c>
      <c r="DI200"/>
      <c r="DJ200">
        <f t="shared" ref="DJ200:EO200" si="191">AVERAGE(DJ152,DJ176)</f>
        <v>0.64450000000000007</v>
      </c>
      <c r="DK200">
        <f t="shared" si="191"/>
        <v>0.39800000000000002</v>
      </c>
      <c r="DL200">
        <f t="shared" si="191"/>
        <v>0.41100000000000003</v>
      </c>
      <c r="DM200" t="e">
        <f t="shared" si="191"/>
        <v>#DIV/0!</v>
      </c>
      <c r="DN200">
        <f t="shared" si="191"/>
        <v>0.64849999999999997</v>
      </c>
      <c r="DO200">
        <f t="shared" si="191"/>
        <v>0.59899999999999998</v>
      </c>
      <c r="DP200">
        <f t="shared" si="191"/>
        <v>0.49149999999999999</v>
      </c>
      <c r="DQ200">
        <f t="shared" si="191"/>
        <v>0.55699999999999994</v>
      </c>
      <c r="DR200">
        <f t="shared" si="191"/>
        <v>0.59050000000000002</v>
      </c>
      <c r="DS200">
        <f t="shared" si="191"/>
        <v>0.58400000000000007</v>
      </c>
      <c r="DT200">
        <f t="shared" si="191"/>
        <v>0.58949999999999991</v>
      </c>
      <c r="DU200">
        <f t="shared" si="191"/>
        <v>0.48349999999999999</v>
      </c>
      <c r="DV200" t="e">
        <f t="shared" si="191"/>
        <v>#DIV/0!</v>
      </c>
      <c r="DW200">
        <f t="shared" si="191"/>
        <v>0.49049999999999999</v>
      </c>
      <c r="DX200">
        <f t="shared" si="191"/>
        <v>0.29149999999999998</v>
      </c>
      <c r="DY200">
        <f t="shared" si="191"/>
        <v>0.64700000000000002</v>
      </c>
      <c r="DZ200">
        <f t="shared" si="191"/>
        <v>0.6865</v>
      </c>
      <c r="EA200">
        <f t="shared" si="191"/>
        <v>0.56400000000000006</v>
      </c>
      <c r="EB200">
        <f t="shared" si="191"/>
        <v>0.34099999999999997</v>
      </c>
      <c r="EC200">
        <f t="shared" si="191"/>
        <v>0.54949999999999999</v>
      </c>
      <c r="ED200">
        <f t="shared" si="191"/>
        <v>0.39850000000000002</v>
      </c>
      <c r="EE200">
        <f t="shared" si="191"/>
        <v>0.49150000000000005</v>
      </c>
      <c r="EF200">
        <f t="shared" si="191"/>
        <v>0.36699999999999999</v>
      </c>
      <c r="EG200">
        <f t="shared" si="191"/>
        <v>0.32850000000000001</v>
      </c>
      <c r="EH200">
        <f t="shared" si="191"/>
        <v>0.60799999999999998</v>
      </c>
      <c r="EI200">
        <f t="shared" si="191"/>
        <v>0.42799999999999999</v>
      </c>
      <c r="EJ200">
        <f t="shared" si="191"/>
        <v>0.48499999999999999</v>
      </c>
      <c r="EK200">
        <f t="shared" si="191"/>
        <v>0.41149999999999998</v>
      </c>
      <c r="EL200">
        <f t="shared" si="191"/>
        <v>0.42449999999999999</v>
      </c>
      <c r="EM200">
        <f t="shared" si="191"/>
        <v>0.52100000000000002</v>
      </c>
      <c r="EN200">
        <f t="shared" si="191"/>
        <v>0.48799999999999999</v>
      </c>
      <c r="EO200">
        <f t="shared" si="191"/>
        <v>0.5475000000000001</v>
      </c>
      <c r="EP200">
        <f t="shared" ref="EP200:FU200" si="192">AVERAGE(EP152,EP176)</f>
        <v>0.55099999999999993</v>
      </c>
      <c r="EQ200">
        <f t="shared" si="192"/>
        <v>0.318</v>
      </c>
      <c r="ER200">
        <f t="shared" si="192"/>
        <v>0.36599999999999999</v>
      </c>
      <c r="ES200">
        <f t="shared" si="192"/>
        <v>0.441</v>
      </c>
      <c r="ET200" t="e">
        <f t="shared" si="192"/>
        <v>#DIV/0!</v>
      </c>
      <c r="EU200">
        <f t="shared" si="192"/>
        <v>0.45400000000000001</v>
      </c>
      <c r="EV200">
        <f t="shared" si="192"/>
        <v>0.64149999999999996</v>
      </c>
      <c r="EW200">
        <f t="shared" si="192"/>
        <v>0.49</v>
      </c>
      <c r="EX200">
        <f t="shared" si="192"/>
        <v>0.42349999999999999</v>
      </c>
      <c r="EY200">
        <f t="shared" si="192"/>
        <v>0</v>
      </c>
      <c r="EZ200">
        <f t="shared" si="192"/>
        <v>0.28749999999999998</v>
      </c>
      <c r="FA200">
        <f t="shared" si="192"/>
        <v>0.46899999999999997</v>
      </c>
      <c r="FB200">
        <f t="shared" si="192"/>
        <v>0.44800000000000001</v>
      </c>
      <c r="FC200">
        <f t="shared" si="192"/>
        <v>0.59050000000000002</v>
      </c>
      <c r="FD200">
        <f t="shared" si="192"/>
        <v>0.50950000000000006</v>
      </c>
      <c r="FE200">
        <f t="shared" si="192"/>
        <v>0.47299999999999998</v>
      </c>
      <c r="FF200">
        <f t="shared" si="192"/>
        <v>0.53400000000000003</v>
      </c>
      <c r="FG200">
        <f t="shared" si="192"/>
        <v>0.48550000000000004</v>
      </c>
      <c r="FH200">
        <f t="shared" si="192"/>
        <v>0.39100000000000001</v>
      </c>
      <c r="FI200" t="e">
        <f t="shared" si="192"/>
        <v>#DIV/0!</v>
      </c>
      <c r="FJ200">
        <f t="shared" si="192"/>
        <v>0.46450000000000002</v>
      </c>
      <c r="FK200">
        <f t="shared" si="192"/>
        <v>0.39450000000000002</v>
      </c>
      <c r="FL200">
        <f t="shared" si="192"/>
        <v>0.56349999999999989</v>
      </c>
      <c r="FM200">
        <f t="shared" si="192"/>
        <v>0.57800000000000007</v>
      </c>
      <c r="FN200">
        <f t="shared" si="192"/>
        <v>0.48699999999999999</v>
      </c>
      <c r="FO200">
        <f t="shared" si="192"/>
        <v>0.54899999999999993</v>
      </c>
      <c r="FP200">
        <f t="shared" si="192"/>
        <v>0.37849999999999995</v>
      </c>
      <c r="FQ200">
        <f t="shared" si="192"/>
        <v>0.53800000000000003</v>
      </c>
      <c r="FR200">
        <f t="shared" si="192"/>
        <v>0.38400000000000001</v>
      </c>
      <c r="FS200">
        <f t="shared" si="192"/>
        <v>0.57150000000000001</v>
      </c>
      <c r="FT200">
        <f t="shared" si="192"/>
        <v>0.31950000000000001</v>
      </c>
      <c r="FU200">
        <f t="shared" si="192"/>
        <v>0.45050000000000001</v>
      </c>
      <c r="FV200">
        <f t="shared" ref="FV200:GM200" si="193">AVERAGE(FV152,FV176)</f>
        <v>0.41049999999999998</v>
      </c>
      <c r="FW200">
        <f t="shared" si="193"/>
        <v>0.48550000000000004</v>
      </c>
      <c r="FX200">
        <f t="shared" si="193"/>
        <v>0.54249999999999998</v>
      </c>
      <c r="FY200">
        <f t="shared" si="193"/>
        <v>0.46150000000000002</v>
      </c>
      <c r="FZ200">
        <f t="shared" si="193"/>
        <v>0.54949999999999999</v>
      </c>
      <c r="GA200">
        <f t="shared" si="193"/>
        <v>0.49450000000000005</v>
      </c>
      <c r="GB200">
        <f t="shared" si="193"/>
        <v>0.4415</v>
      </c>
      <c r="GC200">
        <f t="shared" si="193"/>
        <v>0.4365</v>
      </c>
      <c r="GD200">
        <f t="shared" si="193"/>
        <v>0.55149999999999999</v>
      </c>
      <c r="GE200">
        <f t="shared" si="193"/>
        <v>0.42349999999999999</v>
      </c>
      <c r="GF200">
        <f t="shared" si="193"/>
        <v>0.40350000000000003</v>
      </c>
      <c r="GG200">
        <f t="shared" si="193"/>
        <v>0.36549999999999999</v>
      </c>
      <c r="GH200">
        <f t="shared" si="193"/>
        <v>0.57950000000000002</v>
      </c>
      <c r="GI200">
        <f t="shared" si="193"/>
        <v>0.34650000000000003</v>
      </c>
      <c r="GJ200">
        <f t="shared" si="193"/>
        <v>0.3105</v>
      </c>
      <c r="GK200">
        <f t="shared" si="193"/>
        <v>0.54400000000000004</v>
      </c>
      <c r="GL200">
        <f t="shared" si="193"/>
        <v>0.54549999999999998</v>
      </c>
      <c r="GM200">
        <f t="shared" si="193"/>
        <v>0.54299999999999993</v>
      </c>
    </row>
    <row r="201" spans="7:195" ht="14.4" x14ac:dyDescent="0.3">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7:195" ht="14.4" x14ac:dyDescent="0.3">
      <c r="G202"/>
      <c r="H202" t="s">
        <v>1355</v>
      </c>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4" spans="7:195" ht="14.4" x14ac:dyDescent="0.3">
      <c r="H204" s="35" t="s">
        <v>1</v>
      </c>
      <c r="I204" s="21" t="s">
        <v>98</v>
      </c>
      <c r="J204" s="21" t="s">
        <v>156</v>
      </c>
      <c r="K204" s="21" t="s">
        <v>61</v>
      </c>
      <c r="L204" s="21" t="s">
        <v>52</v>
      </c>
      <c r="M204" s="21" t="s">
        <v>175</v>
      </c>
      <c r="N204" s="21" t="s">
        <v>198</v>
      </c>
      <c r="O204" s="21" t="s">
        <v>118</v>
      </c>
      <c r="P204" s="21" t="s">
        <v>212</v>
      </c>
      <c r="Q204" s="21" t="s">
        <v>168</v>
      </c>
      <c r="R204" s="21" t="s">
        <v>119</v>
      </c>
      <c r="S204" s="21" t="s">
        <v>177</v>
      </c>
      <c r="T204" s="21" t="s">
        <v>120</v>
      </c>
      <c r="U204" s="21" t="s">
        <v>99</v>
      </c>
      <c r="V204" s="21" t="s">
        <v>178</v>
      </c>
      <c r="W204" s="21" t="s">
        <v>136</v>
      </c>
      <c r="X204" s="21" t="s">
        <v>169</v>
      </c>
      <c r="Y204" s="21" t="s">
        <v>190</v>
      </c>
      <c r="Z204" s="21" t="s">
        <v>72</v>
      </c>
      <c r="AA204" s="21" t="s">
        <v>100</v>
      </c>
      <c r="AB204" s="21" t="s">
        <v>199</v>
      </c>
      <c r="AC204" s="21" t="s">
        <v>157</v>
      </c>
      <c r="AD204" s="21" t="s">
        <v>67</v>
      </c>
      <c r="AE204" s="21" t="s">
        <v>200</v>
      </c>
      <c r="AF204" s="21" t="s">
        <v>107</v>
      </c>
      <c r="AG204" s="21" t="s">
        <v>137</v>
      </c>
      <c r="AH204" s="21" t="s">
        <v>73</v>
      </c>
      <c r="AI204" s="21" t="s">
        <v>34</v>
      </c>
      <c r="AJ204" s="21" t="s">
        <v>74</v>
      </c>
      <c r="AK204" s="21" t="s">
        <v>108</v>
      </c>
      <c r="AL204" s="21" t="s">
        <v>53</v>
      </c>
      <c r="AM204" s="21" t="s">
        <v>210</v>
      </c>
      <c r="AN204" s="21" t="s">
        <v>54</v>
      </c>
      <c r="AO204" s="21" t="s">
        <v>55</v>
      </c>
      <c r="AP204" s="21" t="s">
        <v>201</v>
      </c>
      <c r="AQ204" s="21" t="s">
        <v>88</v>
      </c>
      <c r="AR204" s="21" t="s">
        <v>202</v>
      </c>
      <c r="AS204" s="21" t="s">
        <v>35</v>
      </c>
      <c r="AT204" s="21" t="s">
        <v>56</v>
      </c>
      <c r="AU204" s="21" t="s">
        <v>191</v>
      </c>
      <c r="AV204" s="21" t="s">
        <v>75</v>
      </c>
      <c r="AW204" s="21" t="s">
        <v>158</v>
      </c>
      <c r="AX204" s="21" t="s">
        <v>179</v>
      </c>
      <c r="AY204" s="21" t="s">
        <v>180</v>
      </c>
      <c r="AZ204" s="21" t="s">
        <v>121</v>
      </c>
      <c r="BA204" s="21" t="s">
        <v>138</v>
      </c>
      <c r="BB204" s="21" t="s">
        <v>89</v>
      </c>
      <c r="BC204" s="21" t="s">
        <v>57</v>
      </c>
      <c r="BD204" s="21" t="s">
        <v>146</v>
      </c>
      <c r="BE204" s="21" t="s">
        <v>36</v>
      </c>
      <c r="BF204" s="21" t="s">
        <v>181</v>
      </c>
      <c r="BG204" s="21" t="s">
        <v>203</v>
      </c>
      <c r="BH204" s="21" t="s">
        <v>62</v>
      </c>
      <c r="BI204" s="21" t="s">
        <v>192</v>
      </c>
      <c r="BJ204" s="21" t="s">
        <v>58</v>
      </c>
      <c r="BK204" s="21" t="s">
        <v>37</v>
      </c>
      <c r="BL204" s="21" t="s">
        <v>147</v>
      </c>
      <c r="BM204" s="21" t="s">
        <v>38</v>
      </c>
      <c r="BN204" s="21" t="s">
        <v>214</v>
      </c>
      <c r="BO204" s="21" t="s">
        <v>148</v>
      </c>
      <c r="BP204" s="21" t="s">
        <v>170</v>
      </c>
      <c r="BQ204" s="21" t="s">
        <v>59</v>
      </c>
      <c r="BR204" s="21" t="s">
        <v>76</v>
      </c>
      <c r="BS204" s="21" t="s">
        <v>122</v>
      </c>
      <c r="BT204" s="21" t="s">
        <v>171</v>
      </c>
      <c r="BU204" s="21" t="s">
        <v>77</v>
      </c>
      <c r="BV204" s="21" t="s">
        <v>159</v>
      </c>
      <c r="BW204" s="21" t="s">
        <v>182</v>
      </c>
      <c r="BX204" s="21" t="s">
        <v>193</v>
      </c>
      <c r="BY204" s="21" t="s">
        <v>78</v>
      </c>
      <c r="BZ204" s="21" t="s">
        <v>79</v>
      </c>
      <c r="CA204" s="21" t="s">
        <v>204</v>
      </c>
      <c r="CB204" s="21" t="s">
        <v>183</v>
      </c>
      <c r="CC204" s="21" t="s">
        <v>194</v>
      </c>
      <c r="CD204" s="21" t="s">
        <v>139</v>
      </c>
      <c r="CE204" s="21" t="s">
        <v>149</v>
      </c>
      <c r="CF204" s="21" t="s">
        <v>101</v>
      </c>
      <c r="CG204" s="21" t="s">
        <v>109</v>
      </c>
      <c r="CH204" s="21" t="s">
        <v>102</v>
      </c>
      <c r="CI204" s="21" t="s">
        <v>123</v>
      </c>
      <c r="CJ204" s="21" t="s">
        <v>150</v>
      </c>
      <c r="CK204" s="21" t="s">
        <v>124</v>
      </c>
      <c r="CL204" s="21" t="s">
        <v>160</v>
      </c>
      <c r="CM204" s="21" t="s">
        <v>184</v>
      </c>
      <c r="CN204" s="21" t="s">
        <v>90</v>
      </c>
      <c r="CO204" s="21" t="s">
        <v>125</v>
      </c>
      <c r="CP204" s="21" t="s">
        <v>93</v>
      </c>
      <c r="CQ204" s="21" t="s">
        <v>39</v>
      </c>
      <c r="CR204" s="21" t="s">
        <v>219</v>
      </c>
      <c r="CS204" s="21" t="s">
        <v>126</v>
      </c>
      <c r="CT204" s="21" t="s">
        <v>94</v>
      </c>
      <c r="CU204" s="21" t="s">
        <v>110</v>
      </c>
      <c r="CV204" s="21" t="s">
        <v>151</v>
      </c>
      <c r="CW204" s="21" t="s">
        <v>127</v>
      </c>
      <c r="CX204" s="21" t="s">
        <v>68</v>
      </c>
      <c r="CY204" s="21" t="s">
        <v>80</v>
      </c>
      <c r="CZ204" s="21" t="s">
        <v>63</v>
      </c>
      <c r="DA204" s="21" t="s">
        <v>152</v>
      </c>
      <c r="DB204" s="21" t="s">
        <v>172</v>
      </c>
      <c r="DC204" s="21" t="s">
        <v>40</v>
      </c>
      <c r="DD204" s="21" t="s">
        <v>41</v>
      </c>
      <c r="DE204" s="21" t="s">
        <v>111</v>
      </c>
      <c r="DF204" s="21" t="s">
        <v>103</v>
      </c>
      <c r="DG204" s="21" t="s">
        <v>81</v>
      </c>
      <c r="DH204" s="21" t="s">
        <v>161</v>
      </c>
      <c r="DI204" s="21" t="s">
        <v>185</v>
      </c>
      <c r="DJ204" s="21" t="s">
        <v>82</v>
      </c>
      <c r="DK204" s="21" t="s">
        <v>42</v>
      </c>
      <c r="DL204" s="21" t="s">
        <v>195</v>
      </c>
      <c r="DM204" s="21" t="s">
        <v>220</v>
      </c>
      <c r="DN204" s="21" t="s">
        <v>91</v>
      </c>
      <c r="DO204" s="21" t="s">
        <v>162</v>
      </c>
      <c r="DP204" s="21" t="s">
        <v>64</v>
      </c>
      <c r="DQ204" s="21" t="s">
        <v>43</v>
      </c>
      <c r="DR204" s="21" t="s">
        <v>112</v>
      </c>
      <c r="DS204" s="21" t="s">
        <v>69</v>
      </c>
      <c r="DT204" s="21" t="s">
        <v>104</v>
      </c>
      <c r="DU204" s="21" t="s">
        <v>173</v>
      </c>
      <c r="DV204" s="21" t="s">
        <v>215</v>
      </c>
      <c r="DW204" s="21" t="s">
        <v>213</v>
      </c>
      <c r="DX204" s="21" t="s">
        <v>196</v>
      </c>
      <c r="DY204" s="21" t="s">
        <v>83</v>
      </c>
      <c r="DZ204" s="21" t="s">
        <v>84</v>
      </c>
      <c r="EA204" s="21" t="s">
        <v>153</v>
      </c>
      <c r="EB204" s="21" t="s">
        <v>128</v>
      </c>
      <c r="EC204" s="21" t="s">
        <v>105</v>
      </c>
      <c r="ED204" s="21" t="s">
        <v>197</v>
      </c>
      <c r="EE204" s="21" t="s">
        <v>216</v>
      </c>
      <c r="EF204" s="21" t="s">
        <v>205</v>
      </c>
      <c r="EG204" s="21" t="s">
        <v>206</v>
      </c>
      <c r="EH204" s="21" t="s">
        <v>113</v>
      </c>
      <c r="EI204" s="21" t="s">
        <v>140</v>
      </c>
      <c r="EJ204" s="21" t="s">
        <v>163</v>
      </c>
      <c r="EK204" s="21" t="s">
        <v>129</v>
      </c>
      <c r="EL204" s="21" t="s">
        <v>92</v>
      </c>
      <c r="EM204" s="21" t="s">
        <v>141</v>
      </c>
      <c r="EN204" s="21" t="s">
        <v>142</v>
      </c>
      <c r="EO204" s="21" t="s">
        <v>143</v>
      </c>
      <c r="EP204" s="21" t="s">
        <v>44</v>
      </c>
      <c r="EQ204" s="21" t="s">
        <v>186</v>
      </c>
      <c r="ER204" s="21" t="s">
        <v>187</v>
      </c>
      <c r="ES204" s="21" t="s">
        <v>221</v>
      </c>
      <c r="ET204" s="21" t="s">
        <v>60</v>
      </c>
      <c r="EU204" s="21" t="s">
        <v>130</v>
      </c>
      <c r="EV204" s="21" t="s">
        <v>85</v>
      </c>
      <c r="EW204" s="21" t="s">
        <v>164</v>
      </c>
      <c r="EX204" s="21" t="s">
        <v>45</v>
      </c>
      <c r="EY204" s="21" t="s">
        <v>86</v>
      </c>
      <c r="EZ204" s="21" t="s">
        <v>114</v>
      </c>
      <c r="FA204" s="21" t="s">
        <v>144</v>
      </c>
      <c r="FB204" s="21" t="s">
        <v>165</v>
      </c>
      <c r="FC204" s="21" t="s">
        <v>217</v>
      </c>
      <c r="FD204" s="21" t="s">
        <v>46</v>
      </c>
      <c r="FE204" s="21" t="s">
        <v>70</v>
      </c>
      <c r="FF204" s="21" t="s">
        <v>47</v>
      </c>
      <c r="FG204" s="21" t="s">
        <v>166</v>
      </c>
      <c r="FH204" s="21" t="s">
        <v>106</v>
      </c>
      <c r="FI204" s="21" t="s">
        <v>131</v>
      </c>
      <c r="FJ204" s="21" t="s">
        <v>65</v>
      </c>
      <c r="FK204" s="21" t="s">
        <v>207</v>
      </c>
      <c r="FL204" s="21" t="s">
        <v>71</v>
      </c>
      <c r="FM204" s="21" t="s">
        <v>154</v>
      </c>
      <c r="FN204" s="21" t="s">
        <v>174</v>
      </c>
      <c r="FO204" s="21" t="s">
        <v>132</v>
      </c>
      <c r="FP204" s="21" t="s">
        <v>95</v>
      </c>
      <c r="FQ204" s="21" t="s">
        <v>167</v>
      </c>
      <c r="FR204" s="21" t="s">
        <v>115</v>
      </c>
      <c r="FS204" s="21" t="s">
        <v>116</v>
      </c>
      <c r="FT204" s="21" t="s">
        <v>87</v>
      </c>
      <c r="FU204" s="21" t="s">
        <v>222</v>
      </c>
      <c r="FV204" s="21" t="s">
        <v>188</v>
      </c>
      <c r="FW204" s="21" t="s">
        <v>66</v>
      </c>
      <c r="FX204" s="21" t="s">
        <v>133</v>
      </c>
      <c r="FY204" s="21" t="s">
        <v>96</v>
      </c>
      <c r="FZ204" s="21" t="s">
        <v>48</v>
      </c>
      <c r="GA204" s="21" t="s">
        <v>145</v>
      </c>
      <c r="GB204" s="21" t="s">
        <v>134</v>
      </c>
      <c r="GC204" s="21" t="s">
        <v>155</v>
      </c>
      <c r="GD204" s="21" t="s">
        <v>211</v>
      </c>
      <c r="GE204" s="21" t="s">
        <v>189</v>
      </c>
      <c r="GF204" s="21" t="s">
        <v>208</v>
      </c>
      <c r="GG204" s="21" t="s">
        <v>97</v>
      </c>
      <c r="GH204" s="21" t="s">
        <v>218</v>
      </c>
      <c r="GI204" s="21" t="s">
        <v>209</v>
      </c>
      <c r="GJ204" s="21" t="s">
        <v>117</v>
      </c>
      <c r="GK204" s="21" t="s">
        <v>135</v>
      </c>
      <c r="GL204" s="21" t="s">
        <v>50</v>
      </c>
      <c r="GM204" s="21" t="s">
        <v>51</v>
      </c>
    </row>
    <row r="205" spans="7:195" ht="14.4" x14ac:dyDescent="0.3">
      <c r="H205" s="35" t="s">
        <v>597</v>
      </c>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7:195" ht="14.4" x14ac:dyDescent="0.3">
      <c r="H206" s="36" t="s">
        <v>598</v>
      </c>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7:195" ht="14.4" x14ac:dyDescent="0.3">
      <c r="H207" s="36" t="s">
        <v>599</v>
      </c>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7:195" ht="14.4" x14ac:dyDescent="0.3">
      <c r="H208" s="36" t="s">
        <v>600</v>
      </c>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8:195" ht="14.4" x14ac:dyDescent="0.3">
      <c r="H209" s="35" t="s">
        <v>601</v>
      </c>
      <c r="I209"/>
      <c r="J209"/>
      <c r="K209"/>
      <c r="L209"/>
      <c r="M209"/>
      <c r="N209" s="26">
        <v>0.90700000000000003</v>
      </c>
      <c r="O209"/>
      <c r="P209"/>
      <c r="Q209"/>
      <c r="R209"/>
      <c r="S209"/>
      <c r="T209"/>
      <c r="U209"/>
      <c r="V209"/>
      <c r="W209"/>
      <c r="X209" s="26">
        <v>0.95299999999999996</v>
      </c>
      <c r="Y209"/>
      <c r="Z209"/>
      <c r="AA209"/>
      <c r="AB209"/>
      <c r="AC209"/>
      <c r="AD209"/>
      <c r="AE209"/>
      <c r="AF209"/>
      <c r="AG209"/>
      <c r="AH209"/>
      <c r="AI209"/>
      <c r="AJ209"/>
      <c r="AK209"/>
      <c r="AL209"/>
      <c r="AM209" s="26">
        <v>0.879</v>
      </c>
      <c r="AN209"/>
      <c r="AO209"/>
      <c r="AP209"/>
      <c r="AQ209" s="26">
        <v>0.99</v>
      </c>
      <c r="AR209"/>
      <c r="AS209"/>
      <c r="AT209"/>
      <c r="AU209"/>
      <c r="AV209"/>
      <c r="AW209"/>
      <c r="AX209"/>
      <c r="AY209"/>
      <c r="AZ209"/>
      <c r="BA209"/>
      <c r="BB209"/>
      <c r="BC209"/>
      <c r="BD209" s="26">
        <v>0.91400000000000003</v>
      </c>
      <c r="BE209"/>
      <c r="BF209"/>
      <c r="BG209"/>
      <c r="BH209"/>
      <c r="BI209"/>
      <c r="BJ209"/>
      <c r="BK209"/>
      <c r="BL209"/>
      <c r="BM209"/>
      <c r="BN209"/>
      <c r="BO209"/>
      <c r="BP209" s="26">
        <v>0.92400000000000004</v>
      </c>
      <c r="BQ209"/>
      <c r="BR209"/>
      <c r="BS209"/>
      <c r="BT209" s="26">
        <v>0.95</v>
      </c>
      <c r="BU209"/>
      <c r="BV209" s="26">
        <v>0.97899999999999998</v>
      </c>
      <c r="BW209"/>
      <c r="BX209"/>
      <c r="BY209"/>
      <c r="BZ209"/>
      <c r="CA209"/>
      <c r="CB209"/>
      <c r="CC209"/>
      <c r="CD209" s="26">
        <v>0.93400000000000005</v>
      </c>
      <c r="CE209"/>
      <c r="CF209"/>
      <c r="CG209"/>
      <c r="CH209"/>
      <c r="CI209"/>
      <c r="CJ209"/>
      <c r="CK209"/>
      <c r="CL209" s="26">
        <v>0.96899999999999997</v>
      </c>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s="26">
        <v>0.93799999999999994</v>
      </c>
      <c r="DV209"/>
      <c r="DW209" s="26">
        <v>0.91300000000000003</v>
      </c>
      <c r="DX209"/>
      <c r="DY209"/>
      <c r="DZ209"/>
      <c r="EA209"/>
      <c r="EB209"/>
      <c r="EC209"/>
      <c r="ED209"/>
      <c r="EE209"/>
      <c r="EF209"/>
      <c r="EG209"/>
      <c r="EH209"/>
      <c r="EI209"/>
      <c r="EJ209"/>
      <c r="EK209"/>
      <c r="EL209" s="26">
        <v>0.95699999999999996</v>
      </c>
      <c r="EM209"/>
      <c r="EN209"/>
      <c r="EO209"/>
      <c r="EP209"/>
      <c r="EQ209"/>
      <c r="ER209"/>
      <c r="ES209"/>
      <c r="ET209"/>
      <c r="EU209"/>
      <c r="EV209"/>
      <c r="EW209"/>
      <c r="EX209"/>
      <c r="EY209"/>
      <c r="EZ209"/>
      <c r="FA209"/>
      <c r="FB209" s="26">
        <v>0.879</v>
      </c>
      <c r="FC209"/>
      <c r="FD209"/>
      <c r="FE209"/>
      <c r="FF209" s="25"/>
      <c r="FG209" s="26">
        <v>0.96799999999999997</v>
      </c>
      <c r="FH209"/>
      <c r="FI209"/>
      <c r="FJ209"/>
      <c r="FK209"/>
      <c r="FL209"/>
      <c r="FM209" s="26">
        <v>0.88800000000000001</v>
      </c>
      <c r="FN209"/>
      <c r="FO209"/>
      <c r="FP209"/>
      <c r="FQ209"/>
      <c r="FR209" s="26">
        <v>0.81399999999999995</v>
      </c>
      <c r="FS209"/>
      <c r="FT209"/>
      <c r="FU209"/>
      <c r="FV209"/>
      <c r="FW209"/>
      <c r="FX209"/>
      <c r="FY209"/>
      <c r="FZ209"/>
      <c r="GA209"/>
      <c r="GB209"/>
      <c r="GC209" s="26">
        <v>0.93400000000000005</v>
      </c>
      <c r="GD209" s="26">
        <v>0.89900000000000002</v>
      </c>
      <c r="GE209"/>
      <c r="GF209"/>
      <c r="GG209"/>
      <c r="GH209"/>
      <c r="GI209"/>
      <c r="GJ209"/>
      <c r="GK209"/>
      <c r="GL209"/>
      <c r="GM209" s="26">
        <v>0.86699999999999999</v>
      </c>
    </row>
    <row r="210" spans="8:195" ht="14.4" x14ac:dyDescent="0.3">
      <c r="H210" s="36" t="s">
        <v>602</v>
      </c>
      <c r="I210"/>
      <c r="J210"/>
      <c r="K210"/>
      <c r="L210"/>
      <c r="M210"/>
      <c r="N210" s="26">
        <v>0.90700000000000003</v>
      </c>
      <c r="O210"/>
      <c r="P210"/>
      <c r="Q210"/>
      <c r="R210"/>
      <c r="S210"/>
      <c r="T210"/>
      <c r="U210"/>
      <c r="V210"/>
      <c r="W210"/>
      <c r="X210" s="26">
        <v>0.95299999999999996</v>
      </c>
      <c r="Y210"/>
      <c r="Z210"/>
      <c r="AA210"/>
      <c r="AB210"/>
      <c r="AC210"/>
      <c r="AD210"/>
      <c r="AE210"/>
      <c r="AF210"/>
      <c r="AG210"/>
      <c r="AH210"/>
      <c r="AI210"/>
      <c r="AJ210"/>
      <c r="AK210"/>
      <c r="AL210"/>
      <c r="AM210" s="26">
        <v>0.879</v>
      </c>
      <c r="AN210"/>
      <c r="AO210"/>
      <c r="AP210"/>
      <c r="AQ210" s="26">
        <v>0.99</v>
      </c>
      <c r="AR210"/>
      <c r="AS210"/>
      <c r="AT210"/>
      <c r="AU210"/>
      <c r="AV210"/>
      <c r="AW210"/>
      <c r="AX210"/>
      <c r="AY210"/>
      <c r="AZ210"/>
      <c r="BA210"/>
      <c r="BB210"/>
      <c r="BC210"/>
      <c r="BD210" s="26">
        <v>0.91400000000000003</v>
      </c>
      <c r="BE210"/>
      <c r="BF210"/>
      <c r="BG210"/>
      <c r="BH210"/>
      <c r="BI210"/>
      <c r="BJ210"/>
      <c r="BK210"/>
      <c r="BL210"/>
      <c r="BM210"/>
      <c r="BN210"/>
      <c r="BO210"/>
      <c r="BP210" s="26">
        <v>0.92400000000000004</v>
      </c>
      <c r="BQ210"/>
      <c r="BR210"/>
      <c r="BS210"/>
      <c r="BT210" s="26">
        <v>0.95</v>
      </c>
      <c r="BU210"/>
      <c r="BV210" s="26">
        <v>0.97899999999999998</v>
      </c>
      <c r="BW210"/>
      <c r="BX210"/>
      <c r="BY210"/>
      <c r="BZ210"/>
      <c r="CA210"/>
      <c r="CB210"/>
      <c r="CC210"/>
      <c r="CD210" s="26">
        <v>0.93400000000000005</v>
      </c>
      <c r="CE210"/>
      <c r="CF210"/>
      <c r="CG210"/>
      <c r="CH210"/>
      <c r="CI210"/>
      <c r="CJ210"/>
      <c r="CK210"/>
      <c r="CL210" s="26">
        <v>0.96899999999999997</v>
      </c>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s="26">
        <v>0.93799999999999994</v>
      </c>
      <c r="DV210"/>
      <c r="DW210" s="26">
        <v>0.91300000000000003</v>
      </c>
      <c r="DX210"/>
      <c r="DY210"/>
      <c r="DZ210"/>
      <c r="EA210"/>
      <c r="EB210"/>
      <c r="EC210"/>
      <c r="ED210"/>
      <c r="EE210"/>
      <c r="EF210"/>
      <c r="EG210"/>
      <c r="EH210"/>
      <c r="EI210"/>
      <c r="EJ210"/>
      <c r="EK210"/>
      <c r="EL210" s="26">
        <v>0.95699999999999996</v>
      </c>
      <c r="EM210"/>
      <c r="EN210"/>
      <c r="EO210"/>
      <c r="EP210"/>
      <c r="EQ210"/>
      <c r="ER210"/>
      <c r="ES210"/>
      <c r="ET210"/>
      <c r="EU210"/>
      <c r="EV210"/>
      <c r="EW210"/>
      <c r="EX210"/>
      <c r="EY210"/>
      <c r="EZ210"/>
      <c r="FA210"/>
      <c r="FB210" s="26">
        <v>0.879</v>
      </c>
      <c r="FC210"/>
      <c r="FD210"/>
      <c r="FE210"/>
      <c r="FF210" s="25"/>
      <c r="FG210" s="26">
        <v>0.96799999999999997</v>
      </c>
      <c r="FH210"/>
      <c r="FI210"/>
      <c r="FJ210"/>
      <c r="FK210"/>
      <c r="FL210"/>
      <c r="FM210" s="26">
        <v>0.88800000000000001</v>
      </c>
      <c r="FN210"/>
      <c r="FO210"/>
      <c r="FP210"/>
      <c r="FQ210"/>
      <c r="FR210" s="26">
        <v>0.81399999999999995</v>
      </c>
      <c r="FS210"/>
      <c r="FT210"/>
      <c r="FU210"/>
      <c r="FV210"/>
      <c r="FW210"/>
      <c r="FX210"/>
      <c r="FY210"/>
      <c r="FZ210"/>
      <c r="GA210"/>
      <c r="GB210"/>
      <c r="GC210" s="26">
        <v>0.93400000000000005</v>
      </c>
      <c r="GD210" s="26">
        <v>0.89900000000000002</v>
      </c>
      <c r="GE210"/>
      <c r="GF210"/>
      <c r="GG210"/>
      <c r="GH210"/>
      <c r="GI210"/>
      <c r="GJ210"/>
      <c r="GK210"/>
      <c r="GL210"/>
      <c r="GM210" s="26">
        <v>0.86699999999999999</v>
      </c>
    </row>
    <row r="211" spans="8:195" ht="14.4" x14ac:dyDescent="0.3">
      <c r="H211" s="35" t="s">
        <v>603</v>
      </c>
      <c r="I211"/>
      <c r="J211"/>
      <c r="K211"/>
      <c r="L211"/>
      <c r="M211"/>
      <c r="N211" s="26">
        <v>0.88900000000000001</v>
      </c>
      <c r="O211"/>
      <c r="P211"/>
      <c r="Q211"/>
      <c r="R211"/>
      <c r="S211"/>
      <c r="T211"/>
      <c r="U211"/>
      <c r="V211"/>
      <c r="W211"/>
      <c r="X211" s="26">
        <v>0.92100000000000004</v>
      </c>
      <c r="Y211"/>
      <c r="Z211"/>
      <c r="AA211"/>
      <c r="AB211"/>
      <c r="AC211"/>
      <c r="AD211"/>
      <c r="AE211"/>
      <c r="AF211"/>
      <c r="AG211"/>
      <c r="AH211"/>
      <c r="AI211"/>
      <c r="AJ211"/>
      <c r="AK211"/>
      <c r="AL211"/>
      <c r="AM211" s="26">
        <v>0.96</v>
      </c>
      <c r="AN211"/>
      <c r="AO211"/>
      <c r="AP211"/>
      <c r="AQ211" s="26">
        <v>0.98</v>
      </c>
      <c r="AR211"/>
      <c r="AS211"/>
      <c r="AT211"/>
      <c r="AU211"/>
      <c r="AV211"/>
      <c r="AW211"/>
      <c r="AX211"/>
      <c r="AY211"/>
      <c r="AZ211"/>
      <c r="BA211"/>
      <c r="BB211"/>
      <c r="BC211"/>
      <c r="BD211" s="26">
        <v>0.91400000000000003</v>
      </c>
      <c r="BE211"/>
      <c r="BF211"/>
      <c r="BG211"/>
      <c r="BH211"/>
      <c r="BI211"/>
      <c r="BJ211"/>
      <c r="BK211"/>
      <c r="BL211"/>
      <c r="BM211"/>
      <c r="BN211"/>
      <c r="BO211" s="26">
        <v>0.91900000000000004</v>
      </c>
      <c r="BP211" s="26">
        <v>0.92100000000000004</v>
      </c>
      <c r="BQ211"/>
      <c r="BR211"/>
      <c r="BS211"/>
      <c r="BT211" s="26">
        <v>0.94899999999999995</v>
      </c>
      <c r="BU211"/>
      <c r="BV211" s="26">
        <v>0.97199999999999998</v>
      </c>
      <c r="BW211"/>
      <c r="BX211"/>
      <c r="BY211"/>
      <c r="BZ211"/>
      <c r="CA211"/>
      <c r="CB211"/>
      <c r="CC211"/>
      <c r="CD211" s="26">
        <v>0.91100000000000003</v>
      </c>
      <c r="CE211"/>
      <c r="CF211"/>
      <c r="CG211"/>
      <c r="CH211"/>
      <c r="CI211"/>
      <c r="CJ211"/>
      <c r="CK211"/>
      <c r="CL211" s="26">
        <v>0.95599999999999996</v>
      </c>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s="26">
        <v>0.91</v>
      </c>
      <c r="DV211"/>
      <c r="DW211" s="26">
        <v>0.90600000000000003</v>
      </c>
      <c r="DX211"/>
      <c r="DY211"/>
      <c r="DZ211"/>
      <c r="EA211"/>
      <c r="EB211"/>
      <c r="EC211"/>
      <c r="ED211"/>
      <c r="EE211"/>
      <c r="EF211"/>
      <c r="EG211"/>
      <c r="EH211"/>
      <c r="EI211"/>
      <c r="EJ211"/>
      <c r="EK211"/>
      <c r="EL211" s="26">
        <v>0.95799999999999996</v>
      </c>
      <c r="EM211"/>
      <c r="EN211"/>
      <c r="EO211"/>
      <c r="EP211"/>
      <c r="EQ211"/>
      <c r="ER211"/>
      <c r="ES211"/>
      <c r="ET211"/>
      <c r="EU211"/>
      <c r="EV211"/>
      <c r="EW211"/>
      <c r="EX211"/>
      <c r="EY211"/>
      <c r="EZ211"/>
      <c r="FA211"/>
      <c r="FB211" s="26">
        <v>0.85899999999999999</v>
      </c>
      <c r="FC211"/>
      <c r="FD211"/>
      <c r="FE211"/>
      <c r="FF211" s="25"/>
      <c r="FG211" s="26">
        <v>0.96299999999999997</v>
      </c>
      <c r="FH211"/>
      <c r="FI211"/>
      <c r="FJ211"/>
      <c r="FK211"/>
      <c r="FL211"/>
      <c r="FM211" s="26">
        <v>0.89300000000000002</v>
      </c>
      <c r="FN211"/>
      <c r="FO211"/>
      <c r="FP211"/>
      <c r="FQ211"/>
      <c r="FR211" s="26">
        <v>0.78500000000000003</v>
      </c>
      <c r="FS211"/>
      <c r="FT211"/>
      <c r="FU211"/>
      <c r="FV211"/>
      <c r="FW211"/>
      <c r="FX211"/>
      <c r="FY211"/>
      <c r="FZ211"/>
      <c r="GA211"/>
      <c r="GB211"/>
      <c r="GC211" s="26">
        <v>0.92200000000000004</v>
      </c>
      <c r="GD211" s="26">
        <v>0.88300000000000001</v>
      </c>
      <c r="GE211"/>
      <c r="GF211"/>
      <c r="GG211"/>
      <c r="GH211"/>
      <c r="GI211"/>
      <c r="GJ211"/>
      <c r="GK211"/>
      <c r="GL211"/>
      <c r="GM211" s="26">
        <v>0.85899999999999999</v>
      </c>
    </row>
    <row r="212" spans="8:195" ht="14.4" x14ac:dyDescent="0.3">
      <c r="H212" s="35" t="s">
        <v>604</v>
      </c>
      <c r="I212"/>
      <c r="J212"/>
      <c r="K212"/>
      <c r="L212"/>
      <c r="M212"/>
      <c r="N212" s="26">
        <v>0.88900000000000001</v>
      </c>
      <c r="O212"/>
      <c r="P212"/>
      <c r="Q212"/>
      <c r="R212"/>
      <c r="S212"/>
      <c r="T212"/>
      <c r="U212"/>
      <c r="V212"/>
      <c r="W212"/>
      <c r="X212" s="26">
        <v>0.92100000000000004</v>
      </c>
      <c r="Y212"/>
      <c r="Z212"/>
      <c r="AA212"/>
      <c r="AB212"/>
      <c r="AC212"/>
      <c r="AD212"/>
      <c r="AE212"/>
      <c r="AF212"/>
      <c r="AG212"/>
      <c r="AH212"/>
      <c r="AI212"/>
      <c r="AJ212"/>
      <c r="AK212"/>
      <c r="AL212"/>
      <c r="AM212" s="26">
        <v>0.96</v>
      </c>
      <c r="AN212"/>
      <c r="AO212"/>
      <c r="AP212"/>
      <c r="AQ212" s="26">
        <v>0.98</v>
      </c>
      <c r="AR212"/>
      <c r="AS212"/>
      <c r="AT212"/>
      <c r="AU212"/>
      <c r="AV212"/>
      <c r="AW212"/>
      <c r="AX212"/>
      <c r="AY212"/>
      <c r="AZ212"/>
      <c r="BA212"/>
      <c r="BB212"/>
      <c r="BC212"/>
      <c r="BD212" s="26">
        <v>0.91400000000000003</v>
      </c>
      <c r="BE212"/>
      <c r="BF212"/>
      <c r="BG212"/>
      <c r="BH212"/>
      <c r="BI212"/>
      <c r="BJ212"/>
      <c r="BK212"/>
      <c r="BL212"/>
      <c r="BM212"/>
      <c r="BN212"/>
      <c r="BO212" s="26">
        <v>0.91900000000000004</v>
      </c>
      <c r="BP212" s="26">
        <v>0.92100000000000004</v>
      </c>
      <c r="BQ212"/>
      <c r="BR212"/>
      <c r="BS212"/>
      <c r="BT212" s="26">
        <v>0.94899999999999995</v>
      </c>
      <c r="BU212"/>
      <c r="BV212" s="26">
        <v>0.97199999999999998</v>
      </c>
      <c r="BW212"/>
      <c r="BX212"/>
      <c r="BY212"/>
      <c r="BZ212"/>
      <c r="CA212"/>
      <c r="CB212"/>
      <c r="CC212"/>
      <c r="CD212" s="26">
        <v>0.91100000000000003</v>
      </c>
      <c r="CE212"/>
      <c r="CF212"/>
      <c r="CG212"/>
      <c r="CH212"/>
      <c r="CI212"/>
      <c r="CJ212"/>
      <c r="CK212"/>
      <c r="CL212" s="26">
        <v>0.95599999999999996</v>
      </c>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s="26">
        <v>0.91</v>
      </c>
      <c r="DV212"/>
      <c r="DW212" s="26">
        <v>0.90600000000000003</v>
      </c>
      <c r="DX212"/>
      <c r="DY212"/>
      <c r="DZ212"/>
      <c r="EA212"/>
      <c r="EB212"/>
      <c r="EC212"/>
      <c r="ED212"/>
      <c r="EE212"/>
      <c r="EF212"/>
      <c r="EG212"/>
      <c r="EH212"/>
      <c r="EI212"/>
      <c r="EJ212"/>
      <c r="EK212"/>
      <c r="EL212" s="26">
        <v>0.95799999999999996</v>
      </c>
      <c r="EM212"/>
      <c r="EN212"/>
      <c r="EO212"/>
      <c r="EP212"/>
      <c r="EQ212"/>
      <c r="ER212"/>
      <c r="ES212"/>
      <c r="ET212"/>
      <c r="EU212"/>
      <c r="EV212"/>
      <c r="EW212"/>
      <c r="EX212"/>
      <c r="EY212"/>
      <c r="EZ212"/>
      <c r="FA212"/>
      <c r="FB212" s="26">
        <v>0.85899999999999999</v>
      </c>
      <c r="FC212"/>
      <c r="FD212"/>
      <c r="FE212"/>
      <c r="FF212" s="25"/>
      <c r="FG212" s="26">
        <v>0.96299999999999997</v>
      </c>
      <c r="FH212"/>
      <c r="FI212"/>
      <c r="FJ212"/>
      <c r="FK212"/>
      <c r="FL212"/>
      <c r="FM212" s="26">
        <v>0.89300000000000002</v>
      </c>
      <c r="FN212"/>
      <c r="FO212"/>
      <c r="FP212"/>
      <c r="FQ212"/>
      <c r="FR212" s="26">
        <v>0.78500000000000003</v>
      </c>
      <c r="FS212"/>
      <c r="FT212"/>
      <c r="FU212"/>
      <c r="FV212"/>
      <c r="FW212"/>
      <c r="FX212"/>
      <c r="FY212"/>
      <c r="FZ212"/>
      <c r="GA212"/>
      <c r="GB212"/>
      <c r="GC212" s="26">
        <v>0.92200000000000004</v>
      </c>
      <c r="GD212" s="26">
        <v>0.88300000000000001</v>
      </c>
      <c r="GE212"/>
      <c r="GF212"/>
      <c r="GG212"/>
      <c r="GH212"/>
      <c r="GI212"/>
      <c r="GJ212"/>
      <c r="GK212"/>
      <c r="GL212"/>
      <c r="GM212" s="26">
        <v>0.85899999999999999</v>
      </c>
    </row>
    <row r="213" spans="8:195" ht="14.4" x14ac:dyDescent="0.3">
      <c r="H213" s="35" t="s">
        <v>605</v>
      </c>
      <c r="I213"/>
      <c r="J213"/>
      <c r="K213"/>
      <c r="L213"/>
      <c r="M213"/>
      <c r="N213" s="26">
        <v>0.86899999999999999</v>
      </c>
      <c r="O213"/>
      <c r="P213"/>
      <c r="Q213"/>
      <c r="R213"/>
      <c r="S213"/>
      <c r="T213"/>
      <c r="U213"/>
      <c r="V213"/>
      <c r="W213"/>
      <c r="X213" s="26">
        <v>0.92</v>
      </c>
      <c r="Y213"/>
      <c r="Z213"/>
      <c r="AA213"/>
      <c r="AB213"/>
      <c r="AC213"/>
      <c r="AD213"/>
      <c r="AE213"/>
      <c r="AF213"/>
      <c r="AG213"/>
      <c r="AH213"/>
      <c r="AI213"/>
      <c r="AJ213"/>
      <c r="AK213"/>
      <c r="AL213"/>
      <c r="AM213" s="26">
        <v>0.94399999999999995</v>
      </c>
      <c r="AN213"/>
      <c r="AO213"/>
      <c r="AP213"/>
      <c r="AQ213" s="26">
        <v>0.97</v>
      </c>
      <c r="AR213"/>
      <c r="AS213"/>
      <c r="AT213"/>
      <c r="AU213"/>
      <c r="AV213"/>
      <c r="AW213"/>
      <c r="AX213"/>
      <c r="AY213"/>
      <c r="AZ213"/>
      <c r="BA213"/>
      <c r="BB213"/>
      <c r="BC213"/>
      <c r="BD213" s="26">
        <v>0.88100000000000001</v>
      </c>
      <c r="BE213"/>
      <c r="BF213"/>
      <c r="BG213"/>
      <c r="BH213"/>
      <c r="BI213"/>
      <c r="BJ213"/>
      <c r="BK213"/>
      <c r="BL213"/>
      <c r="BM213"/>
      <c r="BN213"/>
      <c r="BO213" s="26">
        <v>0.89100000000000001</v>
      </c>
      <c r="BP213" s="26">
        <v>0.88300000000000001</v>
      </c>
      <c r="BQ213"/>
      <c r="BR213"/>
      <c r="BS213"/>
      <c r="BT213" s="26">
        <v>0.94299999999999995</v>
      </c>
      <c r="BU213"/>
      <c r="BV213" s="26">
        <v>0.95699999999999996</v>
      </c>
      <c r="BW213"/>
      <c r="BX213"/>
      <c r="BY213"/>
      <c r="BZ213"/>
      <c r="CA213"/>
      <c r="CB213"/>
      <c r="CC213"/>
      <c r="CD213" s="26">
        <v>0.873</v>
      </c>
      <c r="CE213"/>
      <c r="CF213"/>
      <c r="CG213"/>
      <c r="CH213"/>
      <c r="CI213"/>
      <c r="CJ213"/>
      <c r="CK213"/>
      <c r="CL213" s="26">
        <v>0.94299999999999995</v>
      </c>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s="26">
        <v>0.92200000000000004</v>
      </c>
      <c r="DV213"/>
      <c r="DW213" s="26">
        <v>0.89300000000000002</v>
      </c>
      <c r="DX213"/>
      <c r="DY213"/>
      <c r="DZ213"/>
      <c r="EA213"/>
      <c r="EB213"/>
      <c r="EC213"/>
      <c r="ED213"/>
      <c r="EE213"/>
      <c r="EF213"/>
      <c r="EG213"/>
      <c r="EH213"/>
      <c r="EI213"/>
      <c r="EJ213"/>
      <c r="EK213"/>
      <c r="EL213" s="26">
        <v>0.94899999999999995</v>
      </c>
      <c r="EM213"/>
      <c r="EN213"/>
      <c r="EO213"/>
      <c r="EP213"/>
      <c r="EQ213"/>
      <c r="ER213"/>
      <c r="ES213"/>
      <c r="ET213"/>
      <c r="EU213"/>
      <c r="EV213"/>
      <c r="EW213"/>
      <c r="EX213"/>
      <c r="EY213"/>
      <c r="EZ213"/>
      <c r="FA213"/>
      <c r="FB213" s="26">
        <v>0.83099999999999996</v>
      </c>
      <c r="FC213"/>
      <c r="FD213"/>
      <c r="FE213"/>
      <c r="FF213" s="25"/>
      <c r="FG213" s="26">
        <v>0.93899999999999995</v>
      </c>
      <c r="FH213"/>
      <c r="FI213"/>
      <c r="FJ213"/>
      <c r="FK213"/>
      <c r="FL213"/>
      <c r="FM213" s="26">
        <v>0.86799999999999999</v>
      </c>
      <c r="FN213"/>
      <c r="FO213"/>
      <c r="FP213"/>
      <c r="FQ213"/>
      <c r="FR213" s="26">
        <v>0.77100000000000002</v>
      </c>
      <c r="FS213"/>
      <c r="FT213"/>
      <c r="FU213"/>
      <c r="FV213"/>
      <c r="FW213"/>
      <c r="FX213"/>
      <c r="FY213"/>
      <c r="FZ213"/>
      <c r="GA213"/>
      <c r="GB213"/>
      <c r="GC213" s="26">
        <v>0.90500000000000003</v>
      </c>
      <c r="GD213" s="26">
        <v>0.85299999999999998</v>
      </c>
      <c r="GE213"/>
      <c r="GF213"/>
      <c r="GG213"/>
      <c r="GH213"/>
      <c r="GI213"/>
      <c r="GJ213"/>
      <c r="GK213"/>
      <c r="GL213"/>
      <c r="GM213" s="26">
        <v>0.77400000000000002</v>
      </c>
    </row>
    <row r="214" spans="8:195" ht="14.4" x14ac:dyDescent="0.3">
      <c r="H214" s="35" t="s">
        <v>606</v>
      </c>
      <c r="I214"/>
      <c r="J214"/>
      <c r="K214"/>
      <c r="L214"/>
      <c r="M214"/>
      <c r="N214" s="26">
        <v>0.86899999999999999</v>
      </c>
      <c r="O214"/>
      <c r="P214"/>
      <c r="Q214"/>
      <c r="R214"/>
      <c r="S214"/>
      <c r="T214"/>
      <c r="U214"/>
      <c r="V214"/>
      <c r="W214"/>
      <c r="X214" s="26">
        <v>0.92</v>
      </c>
      <c r="Y214"/>
      <c r="Z214"/>
      <c r="AA214"/>
      <c r="AB214"/>
      <c r="AC214"/>
      <c r="AD214"/>
      <c r="AE214"/>
      <c r="AF214"/>
      <c r="AG214"/>
      <c r="AH214"/>
      <c r="AI214"/>
      <c r="AJ214"/>
      <c r="AK214"/>
      <c r="AL214"/>
      <c r="AM214" s="26">
        <v>0.94399999999999995</v>
      </c>
      <c r="AN214"/>
      <c r="AO214"/>
      <c r="AP214"/>
      <c r="AQ214" s="26">
        <v>0.97</v>
      </c>
      <c r="AR214"/>
      <c r="AS214"/>
      <c r="AT214"/>
      <c r="AU214"/>
      <c r="AV214"/>
      <c r="AW214"/>
      <c r="AX214"/>
      <c r="AY214"/>
      <c r="AZ214"/>
      <c r="BA214"/>
      <c r="BB214"/>
      <c r="BC214"/>
      <c r="BD214" s="26">
        <v>0.88100000000000001</v>
      </c>
      <c r="BE214"/>
      <c r="BF214"/>
      <c r="BG214"/>
      <c r="BH214"/>
      <c r="BI214"/>
      <c r="BJ214"/>
      <c r="BK214"/>
      <c r="BL214"/>
      <c r="BM214"/>
      <c r="BN214"/>
      <c r="BO214" s="26">
        <v>0.89100000000000001</v>
      </c>
      <c r="BP214" s="26">
        <v>0.88300000000000001</v>
      </c>
      <c r="BQ214"/>
      <c r="BR214"/>
      <c r="BS214"/>
      <c r="BT214" s="26">
        <v>0.94299999999999995</v>
      </c>
      <c r="BU214"/>
      <c r="BV214" s="26">
        <v>0.95699999999999996</v>
      </c>
      <c r="BW214"/>
      <c r="BX214"/>
      <c r="BY214"/>
      <c r="BZ214"/>
      <c r="CA214"/>
      <c r="CB214"/>
      <c r="CC214"/>
      <c r="CD214" s="26">
        <v>0.873</v>
      </c>
      <c r="CE214"/>
      <c r="CF214"/>
      <c r="CG214"/>
      <c r="CH214"/>
      <c r="CI214"/>
      <c r="CJ214"/>
      <c r="CK214"/>
      <c r="CL214" s="26">
        <v>0.94299999999999995</v>
      </c>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s="26">
        <v>0.92200000000000004</v>
      </c>
      <c r="DV214"/>
      <c r="DW214" s="26">
        <v>0.89300000000000002</v>
      </c>
      <c r="DX214"/>
      <c r="DY214"/>
      <c r="DZ214"/>
      <c r="EA214"/>
      <c r="EB214"/>
      <c r="EC214"/>
      <c r="ED214"/>
      <c r="EE214"/>
      <c r="EF214"/>
      <c r="EG214"/>
      <c r="EH214"/>
      <c r="EI214"/>
      <c r="EJ214"/>
      <c r="EK214"/>
      <c r="EL214" s="26">
        <v>0.94899999999999995</v>
      </c>
      <c r="EM214"/>
      <c r="EN214"/>
      <c r="EO214"/>
      <c r="EP214"/>
      <c r="EQ214"/>
      <c r="ER214"/>
      <c r="ES214"/>
      <c r="ET214"/>
      <c r="EU214"/>
      <c r="EV214"/>
      <c r="EW214"/>
      <c r="EX214"/>
      <c r="EY214"/>
      <c r="EZ214"/>
      <c r="FA214"/>
      <c r="FB214" s="26">
        <v>0.83099999999999996</v>
      </c>
      <c r="FC214"/>
      <c r="FD214"/>
      <c r="FE214"/>
      <c r="FF214" s="25"/>
      <c r="FG214" s="26">
        <v>0.93899999999999995</v>
      </c>
      <c r="FH214"/>
      <c r="FI214"/>
      <c r="FJ214"/>
      <c r="FK214"/>
      <c r="FL214"/>
      <c r="FM214" s="26">
        <v>0.86799999999999999</v>
      </c>
      <c r="FN214"/>
      <c r="FO214"/>
      <c r="FP214"/>
      <c r="FQ214"/>
      <c r="FR214" s="26">
        <v>0.77100000000000002</v>
      </c>
      <c r="FS214"/>
      <c r="FT214"/>
      <c r="FU214"/>
      <c r="FV214"/>
      <c r="FW214"/>
      <c r="FX214"/>
      <c r="FY214"/>
      <c r="FZ214"/>
      <c r="GA214"/>
      <c r="GB214"/>
      <c r="GC214" s="26">
        <v>0.90500000000000003</v>
      </c>
      <c r="GD214" s="26">
        <v>0.85299999999999998</v>
      </c>
      <c r="GE214"/>
      <c r="GF214"/>
      <c r="GG214"/>
      <c r="GH214"/>
      <c r="GI214"/>
      <c r="GJ214"/>
      <c r="GK214"/>
      <c r="GL214"/>
      <c r="GM214" s="26">
        <v>0.77400000000000002</v>
      </c>
    </row>
    <row r="215" spans="8:195" ht="14.4" x14ac:dyDescent="0.3">
      <c r="H215" s="35" t="s">
        <v>607</v>
      </c>
      <c r="I215"/>
      <c r="J215"/>
      <c r="K215"/>
      <c r="L215"/>
      <c r="M215"/>
      <c r="N215" s="26">
        <v>0.84899999999999998</v>
      </c>
      <c r="O215"/>
      <c r="P215"/>
      <c r="Q215"/>
      <c r="R215"/>
      <c r="S215"/>
      <c r="T215"/>
      <c r="U215"/>
      <c r="V215"/>
      <c r="W215"/>
      <c r="X215" s="26">
        <v>0.88900000000000001</v>
      </c>
      <c r="Y215"/>
      <c r="Z215"/>
      <c r="AA215"/>
      <c r="AB215"/>
      <c r="AC215"/>
      <c r="AD215"/>
      <c r="AE215"/>
      <c r="AF215"/>
      <c r="AG215"/>
      <c r="AH215"/>
      <c r="AI215"/>
      <c r="AJ215"/>
      <c r="AK215"/>
      <c r="AL215"/>
      <c r="AM215" s="26">
        <v>0.90500000000000003</v>
      </c>
      <c r="AN215"/>
      <c r="AO215"/>
      <c r="AP215"/>
      <c r="AQ215" s="26">
        <v>0.96</v>
      </c>
      <c r="AR215"/>
      <c r="AS215"/>
      <c r="AT215"/>
      <c r="AU215"/>
      <c r="AV215"/>
      <c r="AW215"/>
      <c r="AX215"/>
      <c r="AY215"/>
      <c r="AZ215"/>
      <c r="BA215"/>
      <c r="BB215"/>
      <c r="BC215"/>
      <c r="BD215" s="26">
        <v>0.86099999999999999</v>
      </c>
      <c r="BE215"/>
      <c r="BF215"/>
      <c r="BG215"/>
      <c r="BH215"/>
      <c r="BI215"/>
      <c r="BJ215"/>
      <c r="BK215"/>
      <c r="BL215"/>
      <c r="BM215"/>
      <c r="BN215"/>
      <c r="BO215" s="26">
        <v>0.85299999999999998</v>
      </c>
      <c r="BP215" s="26">
        <v>0.89300000000000002</v>
      </c>
      <c r="BQ215"/>
      <c r="BR215"/>
      <c r="BS215"/>
      <c r="BT215" s="26">
        <v>0.90800000000000003</v>
      </c>
      <c r="BU215"/>
      <c r="BV215" s="26">
        <v>0.91600000000000004</v>
      </c>
      <c r="BW215"/>
      <c r="BX215"/>
      <c r="BY215"/>
      <c r="BZ215"/>
      <c r="CA215"/>
      <c r="CB215"/>
      <c r="CC215"/>
      <c r="CD215" s="26">
        <v>0.80200000000000005</v>
      </c>
      <c r="CE215"/>
      <c r="CF215"/>
      <c r="CG215"/>
      <c r="CH215"/>
      <c r="CI215"/>
      <c r="CJ215"/>
      <c r="CK215"/>
      <c r="CL215" s="26">
        <v>0.91</v>
      </c>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s="26">
        <v>0.874</v>
      </c>
      <c r="DV215"/>
      <c r="DW215" s="26">
        <v>0.85799999999999998</v>
      </c>
      <c r="DX215"/>
      <c r="DY215"/>
      <c r="DZ215"/>
      <c r="EA215"/>
      <c r="EB215"/>
      <c r="EC215"/>
      <c r="ED215"/>
      <c r="EE215"/>
      <c r="EF215"/>
      <c r="EG215"/>
      <c r="EH215"/>
      <c r="EI215"/>
      <c r="EJ215"/>
      <c r="EK215"/>
      <c r="EL215" s="26">
        <v>0.91500000000000004</v>
      </c>
      <c r="EM215"/>
      <c r="EN215"/>
      <c r="EO215"/>
      <c r="EP215"/>
      <c r="EQ215"/>
      <c r="ER215"/>
      <c r="ES215"/>
      <c r="ET215"/>
      <c r="EU215"/>
      <c r="EV215"/>
      <c r="EW215"/>
      <c r="EX215"/>
      <c r="EY215"/>
      <c r="EZ215"/>
      <c r="FA215"/>
      <c r="FB215" s="26">
        <v>0.77200000000000002</v>
      </c>
      <c r="FC215"/>
      <c r="FD215"/>
      <c r="FE215"/>
      <c r="FF215" s="25"/>
      <c r="FG215" s="26">
        <v>0.91100000000000003</v>
      </c>
      <c r="FH215"/>
      <c r="FI215"/>
      <c r="FJ215"/>
      <c r="FK215"/>
      <c r="FL215"/>
      <c r="FM215" s="26">
        <v>0.83499999999999996</v>
      </c>
      <c r="FN215"/>
      <c r="FO215"/>
      <c r="FP215"/>
      <c r="FQ215"/>
      <c r="FR215" s="26">
        <v>0.71699999999999997</v>
      </c>
      <c r="FS215"/>
      <c r="FT215"/>
      <c r="FU215"/>
      <c r="FV215"/>
      <c r="FW215"/>
      <c r="FX215"/>
      <c r="FY215"/>
      <c r="FZ215"/>
      <c r="GA215"/>
      <c r="GB215"/>
      <c r="GC215" s="26">
        <v>0.84899999999999998</v>
      </c>
      <c r="GD215" s="26">
        <v>0.80900000000000005</v>
      </c>
      <c r="GE215"/>
      <c r="GF215"/>
      <c r="GG215"/>
      <c r="GH215"/>
      <c r="GI215"/>
      <c r="GJ215"/>
      <c r="GK215"/>
      <c r="GL215"/>
      <c r="GM215" s="26">
        <v>0.75</v>
      </c>
    </row>
    <row r="216" spans="8:195" ht="14.4" x14ac:dyDescent="0.3">
      <c r="H216" s="35" t="s">
        <v>608</v>
      </c>
      <c r="I216"/>
      <c r="J216"/>
      <c r="K216"/>
      <c r="L216"/>
      <c r="M216"/>
      <c r="N216" s="26">
        <v>0.84899999999999998</v>
      </c>
      <c r="O216"/>
      <c r="P216"/>
      <c r="Q216"/>
      <c r="R216"/>
      <c r="S216"/>
      <c r="T216"/>
      <c r="U216"/>
      <c r="V216"/>
      <c r="W216"/>
      <c r="X216" s="26">
        <v>0.88900000000000001</v>
      </c>
      <c r="Y216"/>
      <c r="Z216"/>
      <c r="AA216"/>
      <c r="AB216"/>
      <c r="AC216"/>
      <c r="AD216"/>
      <c r="AE216"/>
      <c r="AF216"/>
      <c r="AG216"/>
      <c r="AH216"/>
      <c r="AI216"/>
      <c r="AJ216"/>
      <c r="AK216"/>
      <c r="AL216"/>
      <c r="AM216" s="26">
        <v>0.90500000000000003</v>
      </c>
      <c r="AN216"/>
      <c r="AO216"/>
      <c r="AP216"/>
      <c r="AQ216" s="26">
        <v>0.96</v>
      </c>
      <c r="AR216"/>
      <c r="AS216"/>
      <c r="AT216"/>
      <c r="AU216"/>
      <c r="AV216"/>
      <c r="AW216"/>
      <c r="AX216"/>
      <c r="AY216"/>
      <c r="AZ216"/>
      <c r="BA216"/>
      <c r="BB216"/>
      <c r="BC216"/>
      <c r="BD216" s="26">
        <v>0.86099999999999999</v>
      </c>
      <c r="BE216"/>
      <c r="BF216"/>
      <c r="BG216"/>
      <c r="BH216"/>
      <c r="BI216"/>
      <c r="BJ216"/>
      <c r="BK216"/>
      <c r="BL216"/>
      <c r="BM216"/>
      <c r="BN216"/>
      <c r="BO216" s="26">
        <v>0.85299999999999998</v>
      </c>
      <c r="BP216" s="26">
        <v>0.89300000000000002</v>
      </c>
      <c r="BQ216"/>
      <c r="BR216"/>
      <c r="BS216"/>
      <c r="BT216" s="26">
        <v>0.90800000000000003</v>
      </c>
      <c r="BU216"/>
      <c r="BV216" s="26">
        <v>0.91600000000000004</v>
      </c>
      <c r="BW216"/>
      <c r="BX216"/>
      <c r="BY216"/>
      <c r="BZ216"/>
      <c r="CA216"/>
      <c r="CB216"/>
      <c r="CC216"/>
      <c r="CD216" s="26">
        <v>0.80200000000000005</v>
      </c>
      <c r="CE216"/>
      <c r="CF216"/>
      <c r="CG216"/>
      <c r="CH216"/>
      <c r="CI216"/>
      <c r="CJ216"/>
      <c r="CK216"/>
      <c r="CL216" s="26">
        <v>0.91</v>
      </c>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s="26">
        <v>0.874</v>
      </c>
      <c r="DV216"/>
      <c r="DW216" s="26">
        <v>0.85799999999999998</v>
      </c>
      <c r="DX216"/>
      <c r="DY216"/>
      <c r="DZ216"/>
      <c r="EA216"/>
      <c r="EB216"/>
      <c r="EC216"/>
      <c r="ED216"/>
      <c r="EE216"/>
      <c r="EF216"/>
      <c r="EG216"/>
      <c r="EH216"/>
      <c r="EI216"/>
      <c r="EJ216"/>
      <c r="EK216"/>
      <c r="EL216" s="26">
        <v>0.91500000000000004</v>
      </c>
      <c r="EM216"/>
      <c r="EN216"/>
      <c r="EO216"/>
      <c r="EP216"/>
      <c r="EQ216"/>
      <c r="ER216"/>
      <c r="ES216"/>
      <c r="ET216"/>
      <c r="EU216"/>
      <c r="EV216"/>
      <c r="EW216"/>
      <c r="EX216"/>
      <c r="EY216"/>
      <c r="EZ216"/>
      <c r="FA216"/>
      <c r="FB216" s="26">
        <v>0.77200000000000002</v>
      </c>
      <c r="FC216"/>
      <c r="FD216"/>
      <c r="FE216"/>
      <c r="FF216" s="25"/>
      <c r="FG216" s="26">
        <v>0.91100000000000003</v>
      </c>
      <c r="FH216"/>
      <c r="FI216"/>
      <c r="FJ216"/>
      <c r="FK216"/>
      <c r="FL216"/>
      <c r="FM216" s="26">
        <v>0.83499999999999996</v>
      </c>
      <c r="FN216"/>
      <c r="FO216"/>
      <c r="FP216"/>
      <c r="FQ216"/>
      <c r="FR216" s="26">
        <v>0.71699999999999997</v>
      </c>
      <c r="FS216"/>
      <c r="FT216"/>
      <c r="FU216"/>
      <c r="FV216"/>
      <c r="FW216"/>
      <c r="FX216"/>
      <c r="FY216"/>
      <c r="FZ216"/>
      <c r="GA216"/>
      <c r="GB216"/>
      <c r="GC216" s="26">
        <v>0.84899999999999998</v>
      </c>
      <c r="GD216" s="26">
        <v>0.80900000000000005</v>
      </c>
      <c r="GE216"/>
      <c r="GF216"/>
      <c r="GG216"/>
      <c r="GH216"/>
      <c r="GI216"/>
      <c r="GJ216"/>
      <c r="GK216"/>
      <c r="GL216"/>
      <c r="GM216" s="26">
        <v>0.75</v>
      </c>
    </row>
    <row r="217" spans="8:195" ht="14.4" x14ac:dyDescent="0.3">
      <c r="H217" s="35" t="s">
        <v>609</v>
      </c>
      <c r="I217"/>
      <c r="J217"/>
      <c r="K217"/>
      <c r="L217"/>
      <c r="M217"/>
      <c r="N217" s="26">
        <v>0.82899999999999996</v>
      </c>
      <c r="O217"/>
      <c r="P217"/>
      <c r="Q217"/>
      <c r="R217"/>
      <c r="S217"/>
      <c r="T217"/>
      <c r="U217"/>
      <c r="V217"/>
      <c r="W217"/>
      <c r="X217" s="26">
        <v>0.88100000000000001</v>
      </c>
      <c r="Y217"/>
      <c r="Z217"/>
      <c r="AA217"/>
      <c r="AB217"/>
      <c r="AC217"/>
      <c r="AD217"/>
      <c r="AE217"/>
      <c r="AF217"/>
      <c r="AG217"/>
      <c r="AH217"/>
      <c r="AI217"/>
      <c r="AJ217"/>
      <c r="AK217"/>
      <c r="AL217"/>
      <c r="AM217" s="26">
        <v>0.93700000000000006</v>
      </c>
      <c r="AN217"/>
      <c r="AO217"/>
      <c r="AP217"/>
      <c r="AQ217" s="26">
        <v>0.93</v>
      </c>
      <c r="AR217"/>
      <c r="AS217"/>
      <c r="AT217"/>
      <c r="AU217"/>
      <c r="AV217"/>
      <c r="AW217"/>
      <c r="AX217"/>
      <c r="AY217"/>
      <c r="AZ217"/>
      <c r="BA217"/>
      <c r="BB217"/>
      <c r="BC217"/>
      <c r="BD217" s="26">
        <v>0.84499999999999997</v>
      </c>
      <c r="BE217"/>
      <c r="BF217"/>
      <c r="BG217"/>
      <c r="BH217"/>
      <c r="BI217"/>
      <c r="BJ217"/>
      <c r="BK217"/>
      <c r="BL217"/>
      <c r="BM217"/>
      <c r="BN217"/>
      <c r="BO217" s="26">
        <v>0.80500000000000005</v>
      </c>
      <c r="BP217" s="26">
        <v>0.83599999999999997</v>
      </c>
      <c r="BQ217"/>
      <c r="BR217"/>
      <c r="BS217"/>
      <c r="BT217" s="26">
        <v>0.88100000000000001</v>
      </c>
      <c r="BU217"/>
      <c r="BV217" s="26">
        <v>0.81699999999999995</v>
      </c>
      <c r="BW217"/>
      <c r="BX217"/>
      <c r="BY217"/>
      <c r="BZ217"/>
      <c r="CA217"/>
      <c r="CB217"/>
      <c r="CC217"/>
      <c r="CD217" s="26">
        <v>0.755</v>
      </c>
      <c r="CE217"/>
      <c r="CF217"/>
      <c r="CG217"/>
      <c r="CH217"/>
      <c r="CI217"/>
      <c r="CJ217"/>
      <c r="CK217"/>
      <c r="CL217" s="26">
        <v>0.877</v>
      </c>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s="26">
        <v>0.86899999999999999</v>
      </c>
      <c r="DV217"/>
      <c r="DW217" s="26">
        <v>0.81699999999999995</v>
      </c>
      <c r="DX217"/>
      <c r="DY217"/>
      <c r="DZ217"/>
      <c r="EA217"/>
      <c r="EB217"/>
      <c r="EC217"/>
      <c r="ED217"/>
      <c r="EE217"/>
      <c r="EF217"/>
      <c r="EG217"/>
      <c r="EH217"/>
      <c r="EI217"/>
      <c r="EJ217"/>
      <c r="EK217"/>
      <c r="EL217" s="26">
        <v>0.82799999999999996</v>
      </c>
      <c r="EM217"/>
      <c r="EN217"/>
      <c r="EO217"/>
      <c r="EP217"/>
      <c r="EQ217"/>
      <c r="ER217"/>
      <c r="ES217"/>
      <c r="ET217"/>
      <c r="EU217"/>
      <c r="EV217"/>
      <c r="EW217"/>
      <c r="EX217"/>
      <c r="EY217"/>
      <c r="EZ217"/>
      <c r="FA217"/>
      <c r="FB217" s="26">
        <v>0.69699999999999995</v>
      </c>
      <c r="FC217"/>
      <c r="FD217"/>
      <c r="FE217"/>
      <c r="FF217" s="25"/>
      <c r="FG217" s="26">
        <v>0.88400000000000001</v>
      </c>
      <c r="FH217"/>
      <c r="FI217"/>
      <c r="FJ217"/>
      <c r="FK217"/>
      <c r="FL217"/>
      <c r="FM217" s="26">
        <v>0.81299999999999994</v>
      </c>
      <c r="FN217"/>
      <c r="FO217"/>
      <c r="FP217"/>
      <c r="FQ217"/>
      <c r="FR217" s="26">
        <v>0.69399999999999995</v>
      </c>
      <c r="FS217"/>
      <c r="FT217"/>
      <c r="FU217"/>
      <c r="FV217"/>
      <c r="FW217"/>
      <c r="FX217"/>
      <c r="FY217"/>
      <c r="FZ217"/>
      <c r="GA217"/>
      <c r="GB217"/>
      <c r="GC217" s="26">
        <v>0.80400000000000005</v>
      </c>
      <c r="GD217" s="26">
        <v>0.77600000000000002</v>
      </c>
      <c r="GE217"/>
      <c r="GF217"/>
      <c r="GG217"/>
      <c r="GH217"/>
      <c r="GI217"/>
      <c r="GJ217"/>
      <c r="GK217"/>
      <c r="GL217"/>
      <c r="GM217" s="26">
        <v>0.69699999999999995</v>
      </c>
    </row>
    <row r="218" spans="8:195" ht="14.4" x14ac:dyDescent="0.3">
      <c r="H218" s="35" t="s">
        <v>610</v>
      </c>
      <c r="I218"/>
      <c r="J218"/>
      <c r="K218"/>
      <c r="L218"/>
      <c r="M218"/>
      <c r="N218" s="26">
        <v>0.82899999999999996</v>
      </c>
      <c r="O218"/>
      <c r="P218"/>
      <c r="Q218"/>
      <c r="R218"/>
      <c r="S218"/>
      <c r="T218"/>
      <c r="U218"/>
      <c r="V218"/>
      <c r="W218"/>
      <c r="X218" s="26">
        <v>0.88100000000000001</v>
      </c>
      <c r="Y218"/>
      <c r="Z218"/>
      <c r="AA218"/>
      <c r="AB218"/>
      <c r="AC218"/>
      <c r="AD218"/>
      <c r="AE218"/>
      <c r="AF218"/>
      <c r="AG218"/>
      <c r="AH218"/>
      <c r="AI218"/>
      <c r="AJ218"/>
      <c r="AK218"/>
      <c r="AL218"/>
      <c r="AM218" s="26">
        <v>0.93700000000000006</v>
      </c>
      <c r="AN218"/>
      <c r="AO218"/>
      <c r="AP218"/>
      <c r="AQ218" s="26">
        <v>0.93</v>
      </c>
      <c r="AR218"/>
      <c r="AS218"/>
      <c r="AT218"/>
      <c r="AU218"/>
      <c r="AV218"/>
      <c r="AW218"/>
      <c r="AX218"/>
      <c r="AY218"/>
      <c r="AZ218"/>
      <c r="BA218"/>
      <c r="BB218"/>
      <c r="BC218"/>
      <c r="BD218" s="26">
        <v>0.84499999999999997</v>
      </c>
      <c r="BE218"/>
      <c r="BF218"/>
      <c r="BG218"/>
      <c r="BH218"/>
      <c r="BI218"/>
      <c r="BJ218"/>
      <c r="BK218"/>
      <c r="BL218"/>
      <c r="BM218"/>
      <c r="BN218"/>
      <c r="BO218" s="26">
        <v>0.80500000000000005</v>
      </c>
      <c r="BP218" s="26">
        <v>0.83599999999999997</v>
      </c>
      <c r="BQ218"/>
      <c r="BR218"/>
      <c r="BS218"/>
      <c r="BT218" s="26">
        <v>0.88100000000000001</v>
      </c>
      <c r="BU218"/>
      <c r="BV218" s="26">
        <v>0.81699999999999995</v>
      </c>
      <c r="BW218"/>
      <c r="BX218"/>
      <c r="BY218"/>
      <c r="BZ218"/>
      <c r="CA218"/>
      <c r="CB218"/>
      <c r="CC218"/>
      <c r="CD218" s="26">
        <v>0.755</v>
      </c>
      <c r="CE218"/>
      <c r="CF218"/>
      <c r="CG218"/>
      <c r="CH218"/>
      <c r="CI218"/>
      <c r="CJ218"/>
      <c r="CK218"/>
      <c r="CL218" s="26">
        <v>0.877</v>
      </c>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s="26">
        <v>0.86899999999999999</v>
      </c>
      <c r="DV218"/>
      <c r="DW218" s="26">
        <v>0.81699999999999995</v>
      </c>
      <c r="DX218"/>
      <c r="DY218"/>
      <c r="DZ218"/>
      <c r="EA218"/>
      <c r="EB218"/>
      <c r="EC218"/>
      <c r="ED218"/>
      <c r="EE218"/>
      <c r="EF218"/>
      <c r="EG218"/>
      <c r="EH218"/>
      <c r="EI218"/>
      <c r="EJ218"/>
      <c r="EK218"/>
      <c r="EL218" s="26">
        <v>0.82799999999999996</v>
      </c>
      <c r="EM218"/>
      <c r="EN218"/>
      <c r="EO218"/>
      <c r="EP218"/>
      <c r="EQ218"/>
      <c r="ER218"/>
      <c r="ES218"/>
      <c r="ET218"/>
      <c r="EU218"/>
      <c r="EV218"/>
      <c r="EW218"/>
      <c r="EX218"/>
      <c r="EY218"/>
      <c r="EZ218"/>
      <c r="FA218"/>
      <c r="FB218" s="26">
        <v>0.69699999999999995</v>
      </c>
      <c r="FC218"/>
      <c r="FD218"/>
      <c r="FE218"/>
      <c r="FF218" s="25"/>
      <c r="FG218" s="26">
        <v>0.88400000000000001</v>
      </c>
      <c r="FH218"/>
      <c r="FI218"/>
      <c r="FJ218"/>
      <c r="FK218"/>
      <c r="FL218"/>
      <c r="FM218" s="26">
        <v>0.81299999999999994</v>
      </c>
      <c r="FN218"/>
      <c r="FO218"/>
      <c r="FP218"/>
      <c r="FQ218"/>
      <c r="FR218" s="26">
        <v>0.69399999999999995</v>
      </c>
      <c r="FS218"/>
      <c r="FT218"/>
      <c r="FU218"/>
      <c r="FV218"/>
      <c r="FW218"/>
      <c r="FX218"/>
      <c r="FY218"/>
      <c r="FZ218"/>
      <c r="GA218"/>
      <c r="GB218"/>
      <c r="GC218" s="26">
        <v>0.80400000000000005</v>
      </c>
      <c r="GD218" s="26">
        <v>0.77600000000000002</v>
      </c>
      <c r="GE218"/>
      <c r="GF218"/>
      <c r="GG218"/>
      <c r="GH218"/>
      <c r="GI218"/>
      <c r="GJ218"/>
      <c r="GK218"/>
      <c r="GL218"/>
      <c r="GM218" s="26">
        <v>0.69699999999999995</v>
      </c>
    </row>
    <row r="219" spans="8:195" ht="14.4" x14ac:dyDescent="0.3">
      <c r="H219" s="35" t="s">
        <v>611</v>
      </c>
      <c r="I219"/>
      <c r="J219"/>
      <c r="K219"/>
      <c r="L219"/>
      <c r="M219"/>
      <c r="N219" s="26">
        <v>0.79600000000000004</v>
      </c>
      <c r="O219"/>
      <c r="P219"/>
      <c r="Q219"/>
      <c r="R219"/>
      <c r="S219"/>
      <c r="T219"/>
      <c r="U219"/>
      <c r="V219"/>
      <c r="W219"/>
      <c r="X219" s="26">
        <v>0.84799999999999998</v>
      </c>
      <c r="Y219"/>
      <c r="Z219"/>
      <c r="AA219"/>
      <c r="AB219"/>
      <c r="AC219"/>
      <c r="AD219"/>
      <c r="AE219"/>
      <c r="AF219"/>
      <c r="AG219"/>
      <c r="AH219"/>
      <c r="AI219"/>
      <c r="AJ219"/>
      <c r="AK219"/>
      <c r="AL219"/>
      <c r="AM219" s="26">
        <v>0.93100000000000005</v>
      </c>
      <c r="AN219"/>
      <c r="AO219"/>
      <c r="AP219"/>
      <c r="AQ219" s="26">
        <v>0.9</v>
      </c>
      <c r="AR219"/>
      <c r="AS219"/>
      <c r="AT219"/>
      <c r="AU219"/>
      <c r="AV219"/>
      <c r="AW219"/>
      <c r="AX219"/>
      <c r="AY219"/>
      <c r="AZ219"/>
      <c r="BA219"/>
      <c r="BB219"/>
      <c r="BC219"/>
      <c r="BD219" s="26">
        <v>0.81799999999999995</v>
      </c>
      <c r="BE219"/>
      <c r="BF219"/>
      <c r="BG219"/>
      <c r="BH219"/>
      <c r="BI219"/>
      <c r="BJ219"/>
      <c r="BK219"/>
      <c r="BL219"/>
      <c r="BM219"/>
      <c r="BN219"/>
      <c r="BO219" s="26">
        <v>0.76200000000000001</v>
      </c>
      <c r="BP219" s="26">
        <v>0.80400000000000005</v>
      </c>
      <c r="BQ219"/>
      <c r="BR219"/>
      <c r="BS219"/>
      <c r="BT219" s="26">
        <v>0.83799999999999997</v>
      </c>
      <c r="BU219"/>
      <c r="BV219" s="26">
        <v>0.79300000000000004</v>
      </c>
      <c r="BW219"/>
      <c r="BX219"/>
      <c r="BY219"/>
      <c r="BZ219"/>
      <c r="CA219"/>
      <c r="CB219"/>
      <c r="CC219"/>
      <c r="CD219" s="26">
        <v>0.71599999999999997</v>
      </c>
      <c r="CE219"/>
      <c r="CF219"/>
      <c r="CG219"/>
      <c r="CH219"/>
      <c r="CI219"/>
      <c r="CJ219"/>
      <c r="CK219"/>
      <c r="CL219" s="26">
        <v>0.82299999999999995</v>
      </c>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s="26">
        <v>0.86299999999999999</v>
      </c>
      <c r="DV219"/>
      <c r="DW219" s="26">
        <v>0.8</v>
      </c>
      <c r="DX219"/>
      <c r="DY219"/>
      <c r="DZ219"/>
      <c r="EA219"/>
      <c r="EB219"/>
      <c r="EC219"/>
      <c r="ED219"/>
      <c r="EE219"/>
      <c r="EF219"/>
      <c r="EG219"/>
      <c r="EH219"/>
      <c r="EI219"/>
      <c r="EJ219"/>
      <c r="EK219"/>
      <c r="EL219" s="26">
        <v>0.78700000000000003</v>
      </c>
      <c r="EM219"/>
      <c r="EN219"/>
      <c r="EO219"/>
      <c r="EP219"/>
      <c r="EQ219"/>
      <c r="ER219"/>
      <c r="ES219"/>
      <c r="ET219"/>
      <c r="EU219"/>
      <c r="EV219"/>
      <c r="EW219"/>
      <c r="EX219"/>
      <c r="EY219"/>
      <c r="EZ219"/>
      <c r="FA219"/>
      <c r="FB219" s="26">
        <v>0.66300000000000003</v>
      </c>
      <c r="FC219"/>
      <c r="FD219"/>
      <c r="FE219"/>
      <c r="FF219" s="25"/>
      <c r="FG219" s="26">
        <v>0.87</v>
      </c>
      <c r="FH219"/>
      <c r="FI219"/>
      <c r="FJ219"/>
      <c r="FK219"/>
      <c r="FL219"/>
      <c r="FM219" s="26">
        <v>0.83599999999999997</v>
      </c>
      <c r="FN219"/>
      <c r="FO219"/>
      <c r="FP219"/>
      <c r="FQ219"/>
      <c r="FR219" s="26">
        <v>0.67</v>
      </c>
      <c r="FS219"/>
      <c r="FT219"/>
      <c r="FU219"/>
      <c r="FV219"/>
      <c r="FW219"/>
      <c r="FX219"/>
      <c r="FY219"/>
      <c r="FZ219"/>
      <c r="GA219"/>
      <c r="GB219"/>
      <c r="GC219" s="26">
        <v>0.78500000000000003</v>
      </c>
      <c r="GD219" s="26">
        <v>0.75600000000000001</v>
      </c>
      <c r="GE219"/>
      <c r="GF219"/>
      <c r="GG219"/>
      <c r="GH219"/>
      <c r="GI219"/>
      <c r="GJ219"/>
      <c r="GK219"/>
      <c r="GL219"/>
      <c r="GM219" s="26">
        <v>0.60699999999999998</v>
      </c>
    </row>
    <row r="220" spans="8:195" ht="14.4" x14ac:dyDescent="0.3">
      <c r="H220" s="35" t="s">
        <v>612</v>
      </c>
      <c r="I220"/>
      <c r="J220"/>
      <c r="K220"/>
      <c r="L220"/>
      <c r="M220"/>
      <c r="N220" s="26">
        <v>0.79600000000000004</v>
      </c>
      <c r="O220"/>
      <c r="P220"/>
      <c r="Q220"/>
      <c r="R220"/>
      <c r="S220"/>
      <c r="T220"/>
      <c r="U220"/>
      <c r="V220"/>
      <c r="W220"/>
      <c r="X220" s="26">
        <v>0.84799999999999998</v>
      </c>
      <c r="Y220"/>
      <c r="Z220"/>
      <c r="AA220"/>
      <c r="AB220"/>
      <c r="AC220"/>
      <c r="AD220"/>
      <c r="AE220"/>
      <c r="AF220"/>
      <c r="AG220"/>
      <c r="AH220"/>
      <c r="AI220"/>
      <c r="AJ220"/>
      <c r="AK220"/>
      <c r="AL220"/>
      <c r="AM220" s="26">
        <v>0.93100000000000005</v>
      </c>
      <c r="AN220"/>
      <c r="AO220"/>
      <c r="AP220"/>
      <c r="AQ220" s="26">
        <v>0.9</v>
      </c>
      <c r="AR220"/>
      <c r="AS220"/>
      <c r="AT220"/>
      <c r="AU220"/>
      <c r="AV220"/>
      <c r="AW220"/>
      <c r="AX220"/>
      <c r="AY220"/>
      <c r="AZ220"/>
      <c r="BA220"/>
      <c r="BB220"/>
      <c r="BC220"/>
      <c r="BD220" s="26">
        <v>0.81799999999999995</v>
      </c>
      <c r="BE220"/>
      <c r="BF220"/>
      <c r="BG220"/>
      <c r="BH220"/>
      <c r="BI220"/>
      <c r="BJ220"/>
      <c r="BK220"/>
      <c r="BL220"/>
      <c r="BM220"/>
      <c r="BN220"/>
      <c r="BO220" s="26">
        <v>0.76200000000000001</v>
      </c>
      <c r="BP220" s="26">
        <v>0.80400000000000005</v>
      </c>
      <c r="BQ220"/>
      <c r="BR220"/>
      <c r="BS220"/>
      <c r="BT220" s="26">
        <v>0.83799999999999997</v>
      </c>
      <c r="BU220"/>
      <c r="BV220" s="26">
        <v>0.79300000000000004</v>
      </c>
      <c r="BW220"/>
      <c r="BX220"/>
      <c r="BY220"/>
      <c r="BZ220"/>
      <c r="CA220"/>
      <c r="CB220"/>
      <c r="CC220"/>
      <c r="CD220" s="26">
        <v>0.71599999999999997</v>
      </c>
      <c r="CE220"/>
      <c r="CF220"/>
      <c r="CG220"/>
      <c r="CH220"/>
      <c r="CI220"/>
      <c r="CJ220"/>
      <c r="CK220"/>
      <c r="CL220" s="26">
        <v>0.82299999999999995</v>
      </c>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s="26">
        <v>0.86299999999999999</v>
      </c>
      <c r="DV220"/>
      <c r="DW220" s="26">
        <v>0.8</v>
      </c>
      <c r="DX220"/>
      <c r="DY220"/>
      <c r="DZ220"/>
      <c r="EA220"/>
      <c r="EB220"/>
      <c r="EC220"/>
      <c r="ED220"/>
      <c r="EE220"/>
      <c r="EF220"/>
      <c r="EG220"/>
      <c r="EH220"/>
      <c r="EI220"/>
      <c r="EJ220"/>
      <c r="EK220"/>
      <c r="EL220" s="26">
        <v>0.78700000000000003</v>
      </c>
      <c r="EM220"/>
      <c r="EN220"/>
      <c r="EO220"/>
      <c r="EP220"/>
      <c r="EQ220"/>
      <c r="ER220"/>
      <c r="ES220"/>
      <c r="ET220"/>
      <c r="EU220"/>
      <c r="EV220"/>
      <c r="EW220"/>
      <c r="EX220"/>
      <c r="EY220"/>
      <c r="EZ220"/>
      <c r="FA220"/>
      <c r="FB220" s="26">
        <v>0.66300000000000003</v>
      </c>
      <c r="FC220"/>
      <c r="FD220"/>
      <c r="FE220"/>
      <c r="FF220" s="25"/>
      <c r="FG220" s="26">
        <v>0.87</v>
      </c>
      <c r="FH220"/>
      <c r="FI220"/>
      <c r="FJ220"/>
      <c r="FK220"/>
      <c r="FL220"/>
      <c r="FM220" s="26">
        <v>0.83599999999999997</v>
      </c>
      <c r="FN220"/>
      <c r="FO220"/>
      <c r="FP220"/>
      <c r="FQ220"/>
      <c r="FR220" s="26">
        <v>0.67</v>
      </c>
      <c r="FS220"/>
      <c r="FT220"/>
      <c r="FU220"/>
      <c r="FV220"/>
      <c r="FW220"/>
      <c r="FX220"/>
      <c r="FY220"/>
      <c r="FZ220"/>
      <c r="GA220"/>
      <c r="GB220"/>
      <c r="GC220" s="26">
        <v>0.78500000000000003</v>
      </c>
      <c r="GD220" s="26">
        <v>0.75600000000000001</v>
      </c>
      <c r="GE220"/>
      <c r="GF220"/>
      <c r="GG220"/>
      <c r="GH220"/>
      <c r="GI220"/>
      <c r="GJ220"/>
      <c r="GK220"/>
      <c r="GL220"/>
      <c r="GM220" s="26">
        <v>0.60699999999999998</v>
      </c>
    </row>
    <row r="221" spans="8:195" ht="14.4" x14ac:dyDescent="0.3">
      <c r="H221" s="35" t="s">
        <v>613</v>
      </c>
      <c r="I221"/>
      <c r="J221"/>
      <c r="K221"/>
      <c r="L221"/>
      <c r="M221"/>
      <c r="N221" s="26">
        <v>0.72399999999999998</v>
      </c>
      <c r="O221"/>
      <c r="P221"/>
      <c r="Q221"/>
      <c r="R221"/>
      <c r="S221"/>
      <c r="T221"/>
      <c r="U221"/>
      <c r="V221"/>
      <c r="W221"/>
      <c r="X221" s="26">
        <v>0.76100000000000001</v>
      </c>
      <c r="Y221"/>
      <c r="Z221"/>
      <c r="AA221"/>
      <c r="AB221"/>
      <c r="AC221"/>
      <c r="AD221"/>
      <c r="AE221"/>
      <c r="AF221"/>
      <c r="AG221"/>
      <c r="AH221"/>
      <c r="AI221"/>
      <c r="AJ221"/>
      <c r="AK221"/>
      <c r="AL221"/>
      <c r="AM221" s="26">
        <v>0.86799999999999999</v>
      </c>
      <c r="AN221"/>
      <c r="AO221"/>
      <c r="AP221"/>
      <c r="AQ221" s="26">
        <v>0.84</v>
      </c>
      <c r="AR221"/>
      <c r="AS221"/>
      <c r="AT221"/>
      <c r="AU221"/>
      <c r="AV221"/>
      <c r="AW221"/>
      <c r="AX221"/>
      <c r="AY221"/>
      <c r="AZ221"/>
      <c r="BA221"/>
      <c r="BB221"/>
      <c r="BC221"/>
      <c r="BD221" s="26">
        <v>0.753</v>
      </c>
      <c r="BE221"/>
      <c r="BF221"/>
      <c r="BG221"/>
      <c r="BH221"/>
      <c r="BI221"/>
      <c r="BJ221"/>
      <c r="BK221"/>
      <c r="BL221"/>
      <c r="BM221"/>
      <c r="BN221"/>
      <c r="BO221" s="26">
        <v>0.57299999999999995</v>
      </c>
      <c r="BP221" s="26">
        <v>0.75600000000000001</v>
      </c>
      <c r="BQ221"/>
      <c r="BR221"/>
      <c r="BS221"/>
      <c r="BT221" s="26">
        <v>0.77100000000000002</v>
      </c>
      <c r="BU221"/>
      <c r="BV221" s="26">
        <v>0.73899999999999999</v>
      </c>
      <c r="BW221"/>
      <c r="BX221"/>
      <c r="BY221"/>
      <c r="BZ221"/>
      <c r="CA221"/>
      <c r="CB221"/>
      <c r="CC221"/>
      <c r="CD221" s="26">
        <v>0.63900000000000001</v>
      </c>
      <c r="CE221"/>
      <c r="CF221"/>
      <c r="CG221"/>
      <c r="CH221"/>
      <c r="CI221"/>
      <c r="CJ221"/>
      <c r="CK221"/>
      <c r="CL221" s="26">
        <v>0.72399999999999998</v>
      </c>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s="26">
        <v>0.79800000000000004</v>
      </c>
      <c r="DV221"/>
      <c r="DW221" s="26">
        <v>0.71199999999999997</v>
      </c>
      <c r="DX221"/>
      <c r="DY221"/>
      <c r="DZ221"/>
      <c r="EA221"/>
      <c r="EB221"/>
      <c r="EC221"/>
      <c r="ED221"/>
      <c r="EE221"/>
      <c r="EF221"/>
      <c r="EG221"/>
      <c r="EH221"/>
      <c r="EI221"/>
      <c r="EJ221"/>
      <c r="EK221"/>
      <c r="EL221" s="26">
        <v>0.78700000000000003</v>
      </c>
      <c r="EM221"/>
      <c r="EN221"/>
      <c r="EO221"/>
      <c r="EP221"/>
      <c r="EQ221"/>
      <c r="ER221"/>
      <c r="ES221"/>
      <c r="ET221"/>
      <c r="EU221"/>
      <c r="EV221"/>
      <c r="EW221"/>
      <c r="EX221"/>
      <c r="EY221"/>
      <c r="EZ221"/>
      <c r="FA221"/>
      <c r="FB221" s="26">
        <v>0.621</v>
      </c>
      <c r="FC221"/>
      <c r="FD221"/>
      <c r="FE221"/>
      <c r="FF221" s="25"/>
      <c r="FG221" s="26">
        <v>0.77300000000000002</v>
      </c>
      <c r="FH221"/>
      <c r="FI221"/>
      <c r="FJ221"/>
      <c r="FK221"/>
      <c r="FL221"/>
      <c r="FM221" s="26">
        <v>0.70099999999999996</v>
      </c>
      <c r="FN221"/>
      <c r="FO221"/>
      <c r="FP221"/>
      <c r="FQ221"/>
      <c r="FR221" s="26">
        <v>0.65700000000000003</v>
      </c>
      <c r="FS221"/>
      <c r="FT221"/>
      <c r="FU221"/>
      <c r="FV221"/>
      <c r="FW221"/>
      <c r="FX221"/>
      <c r="FY221"/>
      <c r="FZ221"/>
      <c r="GA221"/>
      <c r="GB221"/>
      <c r="GC221" s="26">
        <v>0.73399999999999999</v>
      </c>
      <c r="GD221" s="26">
        <v>0.67700000000000005</v>
      </c>
      <c r="GE221"/>
      <c r="GF221"/>
      <c r="GG221"/>
      <c r="GH221"/>
      <c r="GI221"/>
      <c r="GJ221"/>
      <c r="GK221"/>
      <c r="GL221"/>
      <c r="GM221" s="26">
        <v>0.60699999999999998</v>
      </c>
    </row>
    <row r="222" spans="8:195" ht="14.4" x14ac:dyDescent="0.3">
      <c r="H222" s="35" t="s">
        <v>614</v>
      </c>
      <c r="I222"/>
      <c r="J222"/>
      <c r="K222"/>
      <c r="L222"/>
      <c r="M222"/>
      <c r="N222" s="26">
        <v>0.72399999999999998</v>
      </c>
      <c r="O222"/>
      <c r="P222"/>
      <c r="Q222"/>
      <c r="R222"/>
      <c r="S222"/>
      <c r="T222"/>
      <c r="U222"/>
      <c r="V222"/>
      <c r="W222"/>
      <c r="X222" s="26">
        <v>0.76100000000000001</v>
      </c>
      <c r="Y222"/>
      <c r="Z222"/>
      <c r="AA222"/>
      <c r="AB222"/>
      <c r="AC222"/>
      <c r="AD222"/>
      <c r="AE222"/>
      <c r="AF222"/>
      <c r="AG222"/>
      <c r="AH222"/>
      <c r="AI222"/>
      <c r="AJ222"/>
      <c r="AK222"/>
      <c r="AL222"/>
      <c r="AM222" s="26">
        <v>0.86799999999999999</v>
      </c>
      <c r="AN222"/>
      <c r="AO222"/>
      <c r="AP222"/>
      <c r="AQ222" s="26">
        <v>0.84</v>
      </c>
      <c r="AR222"/>
      <c r="AS222"/>
      <c r="AT222"/>
      <c r="AU222"/>
      <c r="AV222"/>
      <c r="AW222"/>
      <c r="AX222"/>
      <c r="AY222"/>
      <c r="AZ222"/>
      <c r="BA222"/>
      <c r="BB222"/>
      <c r="BC222"/>
      <c r="BD222" s="26">
        <v>0.753</v>
      </c>
      <c r="BE222"/>
      <c r="BF222"/>
      <c r="BG222"/>
      <c r="BH222"/>
      <c r="BI222"/>
      <c r="BJ222"/>
      <c r="BK222"/>
      <c r="BL222"/>
      <c r="BM222"/>
      <c r="BN222"/>
      <c r="BO222" s="26">
        <v>0.57299999999999995</v>
      </c>
      <c r="BP222" s="26">
        <v>0.75600000000000001</v>
      </c>
      <c r="BQ222"/>
      <c r="BR222"/>
      <c r="BS222"/>
      <c r="BT222" s="26">
        <v>0.77100000000000002</v>
      </c>
      <c r="BU222"/>
      <c r="BV222" s="26">
        <v>0.73899999999999999</v>
      </c>
      <c r="BW222"/>
      <c r="BX222"/>
      <c r="BY222"/>
      <c r="BZ222"/>
      <c r="CA222"/>
      <c r="CB222"/>
      <c r="CC222"/>
      <c r="CD222" s="26">
        <v>0.63900000000000001</v>
      </c>
      <c r="CE222"/>
      <c r="CF222"/>
      <c r="CG222"/>
      <c r="CH222"/>
      <c r="CI222"/>
      <c r="CJ222"/>
      <c r="CK222"/>
      <c r="CL222" s="26">
        <v>0.72399999999999998</v>
      </c>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s="26">
        <v>0.79800000000000004</v>
      </c>
      <c r="DV222"/>
      <c r="DW222" s="26">
        <v>0.71199999999999997</v>
      </c>
      <c r="DX222"/>
      <c r="DY222"/>
      <c r="DZ222"/>
      <c r="EA222"/>
      <c r="EB222"/>
      <c r="EC222"/>
      <c r="ED222"/>
      <c r="EE222"/>
      <c r="EF222"/>
      <c r="EG222"/>
      <c r="EH222"/>
      <c r="EI222"/>
      <c r="EJ222"/>
      <c r="EK222"/>
      <c r="EL222" s="26">
        <v>0.78700000000000003</v>
      </c>
      <c r="EM222"/>
      <c r="EN222"/>
      <c r="EO222"/>
      <c r="EP222"/>
      <c r="EQ222"/>
      <c r="ER222"/>
      <c r="ES222"/>
      <c r="ET222"/>
      <c r="EU222"/>
      <c r="EV222"/>
      <c r="EW222"/>
      <c r="EX222"/>
      <c r="EY222"/>
      <c r="EZ222"/>
      <c r="FA222"/>
      <c r="FB222" s="26">
        <v>0.621</v>
      </c>
      <c r="FC222"/>
      <c r="FD222"/>
      <c r="FE222"/>
      <c r="FF222" s="25"/>
      <c r="FG222" s="26">
        <v>0.77300000000000002</v>
      </c>
      <c r="FH222"/>
      <c r="FI222"/>
      <c r="FJ222"/>
      <c r="FK222"/>
      <c r="FL222"/>
      <c r="FM222" s="26">
        <v>0.70099999999999996</v>
      </c>
      <c r="FN222"/>
      <c r="FO222"/>
      <c r="FP222"/>
      <c r="FQ222"/>
      <c r="FR222" s="26">
        <v>0.65700000000000003</v>
      </c>
      <c r="FS222"/>
      <c r="FT222"/>
      <c r="FU222"/>
      <c r="FV222"/>
      <c r="FW222"/>
      <c r="FX222"/>
      <c r="FY222"/>
      <c r="FZ222"/>
      <c r="GA222"/>
      <c r="GB222"/>
      <c r="GC222" s="26">
        <v>0.73399999999999999</v>
      </c>
      <c r="GD222" s="26">
        <v>0.67700000000000005</v>
      </c>
      <c r="GE222"/>
      <c r="GF222"/>
      <c r="GG222"/>
      <c r="GH222"/>
      <c r="GI222"/>
      <c r="GJ222"/>
      <c r="GK222"/>
      <c r="GL222"/>
      <c r="GM222" s="26">
        <v>0.60699999999999998</v>
      </c>
    </row>
    <row r="223" spans="8:195" ht="14.4" x14ac:dyDescent="0.3">
      <c r="H223" s="35" t="s">
        <v>615</v>
      </c>
      <c r="I223"/>
      <c r="J223"/>
      <c r="K223"/>
      <c r="L223"/>
      <c r="M223"/>
      <c r="N223" s="26">
        <v>0.72399999999999998</v>
      </c>
      <c r="O223"/>
      <c r="P223"/>
      <c r="Q223"/>
      <c r="R223"/>
      <c r="S223"/>
      <c r="T223"/>
      <c r="U223"/>
      <c r="V223"/>
      <c r="W223"/>
      <c r="X223" s="26">
        <v>0.76100000000000001</v>
      </c>
      <c r="Y223"/>
      <c r="Z223"/>
      <c r="AA223"/>
      <c r="AB223"/>
      <c r="AC223"/>
      <c r="AD223"/>
      <c r="AE223"/>
      <c r="AF223"/>
      <c r="AG223"/>
      <c r="AH223"/>
      <c r="AI223"/>
      <c r="AJ223"/>
      <c r="AK223"/>
      <c r="AL223"/>
      <c r="AM223" s="26">
        <v>0.86799999999999999</v>
      </c>
      <c r="AN223"/>
      <c r="AO223"/>
      <c r="AP223"/>
      <c r="AQ223" s="26">
        <v>0.84</v>
      </c>
      <c r="AR223"/>
      <c r="AS223"/>
      <c r="AT223"/>
      <c r="AU223"/>
      <c r="AV223"/>
      <c r="AW223"/>
      <c r="AX223"/>
      <c r="AY223"/>
      <c r="AZ223"/>
      <c r="BA223"/>
      <c r="BB223"/>
      <c r="BC223"/>
      <c r="BD223" s="26">
        <v>0.753</v>
      </c>
      <c r="BE223"/>
      <c r="BF223"/>
      <c r="BG223"/>
      <c r="BH223"/>
      <c r="BI223"/>
      <c r="BJ223"/>
      <c r="BK223"/>
      <c r="BL223"/>
      <c r="BM223"/>
      <c r="BN223"/>
      <c r="BO223" s="26">
        <v>0.57299999999999995</v>
      </c>
      <c r="BP223" s="26">
        <v>0.75600000000000001</v>
      </c>
      <c r="BQ223"/>
      <c r="BR223"/>
      <c r="BS223"/>
      <c r="BT223" s="26">
        <v>0.77100000000000002</v>
      </c>
      <c r="BU223"/>
      <c r="BV223" s="26">
        <v>0.73899999999999999</v>
      </c>
      <c r="BW223"/>
      <c r="BX223"/>
      <c r="BY223"/>
      <c r="BZ223"/>
      <c r="CA223"/>
      <c r="CB223"/>
      <c r="CC223"/>
      <c r="CD223" s="26">
        <v>0.63900000000000001</v>
      </c>
      <c r="CE223"/>
      <c r="CF223"/>
      <c r="CG223"/>
      <c r="CH223"/>
      <c r="CI223"/>
      <c r="CJ223"/>
      <c r="CK223"/>
      <c r="CL223" s="26">
        <v>0.72399999999999998</v>
      </c>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s="26">
        <v>0.79800000000000004</v>
      </c>
      <c r="DV223"/>
      <c r="DW223" s="26">
        <v>0.71199999999999997</v>
      </c>
      <c r="DX223"/>
      <c r="DY223"/>
      <c r="DZ223"/>
      <c r="EA223"/>
      <c r="EB223"/>
      <c r="EC223"/>
      <c r="ED223"/>
      <c r="EE223"/>
      <c r="EF223"/>
      <c r="EG223"/>
      <c r="EH223"/>
      <c r="EI223"/>
      <c r="EJ223"/>
      <c r="EK223"/>
      <c r="EL223" s="26">
        <v>0.78700000000000003</v>
      </c>
      <c r="EM223"/>
      <c r="EN223"/>
      <c r="EO223"/>
      <c r="EP223"/>
      <c r="EQ223"/>
      <c r="ER223"/>
      <c r="ES223"/>
      <c r="ET223"/>
      <c r="EU223"/>
      <c r="EV223"/>
      <c r="EW223"/>
      <c r="EX223"/>
      <c r="EY223"/>
      <c r="EZ223"/>
      <c r="FA223"/>
      <c r="FB223" s="26">
        <v>0.621</v>
      </c>
      <c r="FC223"/>
      <c r="FD223"/>
      <c r="FE223"/>
      <c r="FF223" s="25"/>
      <c r="FG223" s="26">
        <v>0.77300000000000002</v>
      </c>
      <c r="FH223"/>
      <c r="FI223"/>
      <c r="FJ223"/>
      <c r="FK223"/>
      <c r="FL223"/>
      <c r="FM223" s="26">
        <v>0.70099999999999996</v>
      </c>
      <c r="FN223"/>
      <c r="FO223"/>
      <c r="FP223"/>
      <c r="FQ223"/>
      <c r="FR223" s="26">
        <v>0.65700000000000003</v>
      </c>
      <c r="FS223"/>
      <c r="FT223"/>
      <c r="FU223"/>
      <c r="FV223"/>
      <c r="FW223"/>
      <c r="FX223"/>
      <c r="FY223"/>
      <c r="FZ223"/>
      <c r="GA223"/>
      <c r="GB223"/>
      <c r="GC223" s="26">
        <v>0.73399999999999999</v>
      </c>
      <c r="GD223" s="26">
        <v>0.67700000000000005</v>
      </c>
      <c r="GE223"/>
      <c r="GF223"/>
      <c r="GG223"/>
      <c r="GH223"/>
      <c r="GI223"/>
      <c r="GJ223"/>
      <c r="GK223"/>
      <c r="GL223"/>
      <c r="GM223" s="26">
        <v>0.60699999999999998</v>
      </c>
    </row>
    <row r="224" spans="8:195" ht="14.4" x14ac:dyDescent="0.3">
      <c r="H224" s="35" t="s">
        <v>616</v>
      </c>
      <c r="I224"/>
      <c r="J224"/>
      <c r="K224"/>
      <c r="L224"/>
      <c r="M224"/>
      <c r="N224" s="26">
        <v>0.72399999999999998</v>
      </c>
      <c r="O224"/>
      <c r="P224"/>
      <c r="Q224"/>
      <c r="R224"/>
      <c r="S224"/>
      <c r="T224"/>
      <c r="U224"/>
      <c r="V224"/>
      <c r="W224"/>
      <c r="X224" s="26">
        <v>0.76100000000000001</v>
      </c>
      <c r="Y224"/>
      <c r="Z224"/>
      <c r="AA224"/>
      <c r="AB224"/>
      <c r="AC224"/>
      <c r="AD224"/>
      <c r="AE224"/>
      <c r="AF224"/>
      <c r="AG224"/>
      <c r="AH224"/>
      <c r="AI224"/>
      <c r="AJ224"/>
      <c r="AK224"/>
      <c r="AL224"/>
      <c r="AM224" s="26">
        <v>0.86799999999999999</v>
      </c>
      <c r="AN224"/>
      <c r="AO224"/>
      <c r="AP224"/>
      <c r="AQ224" s="26">
        <v>0.84</v>
      </c>
      <c r="AR224"/>
      <c r="AS224"/>
      <c r="AT224"/>
      <c r="AU224"/>
      <c r="AV224"/>
      <c r="AW224"/>
      <c r="AX224"/>
      <c r="AY224"/>
      <c r="AZ224"/>
      <c r="BA224"/>
      <c r="BB224"/>
      <c r="BC224"/>
      <c r="BD224" s="26">
        <v>0.753</v>
      </c>
      <c r="BE224"/>
      <c r="BF224"/>
      <c r="BG224"/>
      <c r="BH224"/>
      <c r="BI224"/>
      <c r="BJ224"/>
      <c r="BK224"/>
      <c r="BL224"/>
      <c r="BM224"/>
      <c r="BN224"/>
      <c r="BO224" s="26">
        <v>0.57299999999999995</v>
      </c>
      <c r="BP224" s="26">
        <v>0.75600000000000001</v>
      </c>
      <c r="BQ224"/>
      <c r="BR224"/>
      <c r="BS224"/>
      <c r="BT224" s="26">
        <v>0.77100000000000002</v>
      </c>
      <c r="BU224"/>
      <c r="BV224" s="26">
        <v>0.73899999999999999</v>
      </c>
      <c r="BW224"/>
      <c r="BX224"/>
      <c r="BY224"/>
      <c r="BZ224"/>
      <c r="CA224"/>
      <c r="CB224"/>
      <c r="CC224"/>
      <c r="CD224" s="26">
        <v>0.63900000000000001</v>
      </c>
      <c r="CE224"/>
      <c r="CF224"/>
      <c r="CG224"/>
      <c r="CH224"/>
      <c r="CI224"/>
      <c r="CJ224"/>
      <c r="CK224"/>
      <c r="CL224" s="26">
        <v>0.72399999999999998</v>
      </c>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s="26">
        <v>0.79800000000000004</v>
      </c>
      <c r="DV224"/>
      <c r="DW224" s="26">
        <v>0.71199999999999997</v>
      </c>
      <c r="DX224"/>
      <c r="DY224"/>
      <c r="DZ224"/>
      <c r="EA224"/>
      <c r="EB224"/>
      <c r="EC224"/>
      <c r="ED224"/>
      <c r="EE224"/>
      <c r="EF224"/>
      <c r="EG224"/>
      <c r="EH224"/>
      <c r="EI224"/>
      <c r="EJ224"/>
      <c r="EK224"/>
      <c r="EL224" s="26">
        <v>0.78700000000000003</v>
      </c>
      <c r="EM224"/>
      <c r="EN224"/>
      <c r="EO224"/>
      <c r="EP224"/>
      <c r="EQ224"/>
      <c r="ER224"/>
      <c r="ES224"/>
      <c r="ET224"/>
      <c r="EU224"/>
      <c r="EV224"/>
      <c r="EW224"/>
      <c r="EX224"/>
      <c r="EY224"/>
      <c r="EZ224"/>
      <c r="FA224"/>
      <c r="FB224" s="26">
        <v>0.621</v>
      </c>
      <c r="FC224"/>
      <c r="FD224"/>
      <c r="FE224"/>
      <c r="FF224" s="25"/>
      <c r="FG224" s="26">
        <v>0.77300000000000002</v>
      </c>
      <c r="FH224"/>
      <c r="FI224"/>
      <c r="FJ224"/>
      <c r="FK224"/>
      <c r="FL224"/>
      <c r="FM224" s="26">
        <v>0.70099999999999996</v>
      </c>
      <c r="FN224"/>
      <c r="FO224"/>
      <c r="FP224"/>
      <c r="FQ224"/>
      <c r="FR224" s="26">
        <v>0.65700000000000003</v>
      </c>
      <c r="FS224"/>
      <c r="FT224"/>
      <c r="FU224"/>
      <c r="FV224"/>
      <c r="FW224"/>
      <c r="FX224"/>
      <c r="FY224"/>
      <c r="FZ224"/>
      <c r="GA224"/>
      <c r="GB224"/>
      <c r="GC224" s="26">
        <v>0.73399999999999999</v>
      </c>
      <c r="GD224" s="26">
        <v>0.67700000000000005</v>
      </c>
      <c r="GE224"/>
      <c r="GF224"/>
      <c r="GG224"/>
      <c r="GH224"/>
      <c r="GI224"/>
      <c r="GJ224"/>
      <c r="GK224"/>
      <c r="GL224"/>
      <c r="GM224" s="26">
        <v>0.60699999999999998</v>
      </c>
    </row>
    <row r="225" spans="8:195" ht="14.4" x14ac:dyDescent="0.3">
      <c r="H225" s="35" t="s">
        <v>617</v>
      </c>
      <c r="I225"/>
      <c r="J225"/>
      <c r="K225"/>
      <c r="L225"/>
      <c r="M225"/>
      <c r="N225" s="26">
        <v>0.72399999999999998</v>
      </c>
      <c r="O225"/>
      <c r="P225"/>
      <c r="Q225"/>
      <c r="R225"/>
      <c r="S225"/>
      <c r="T225"/>
      <c r="U225"/>
      <c r="V225"/>
      <c r="W225"/>
      <c r="X225" s="26">
        <v>0.76100000000000001</v>
      </c>
      <c r="Y225"/>
      <c r="Z225"/>
      <c r="AA225"/>
      <c r="AB225"/>
      <c r="AC225"/>
      <c r="AD225"/>
      <c r="AE225"/>
      <c r="AF225"/>
      <c r="AG225"/>
      <c r="AH225"/>
      <c r="AI225"/>
      <c r="AJ225"/>
      <c r="AK225"/>
      <c r="AL225"/>
      <c r="AM225" s="26">
        <v>0.86799999999999999</v>
      </c>
      <c r="AN225"/>
      <c r="AO225"/>
      <c r="AP225"/>
      <c r="AQ225" s="26">
        <v>0.84</v>
      </c>
      <c r="AR225"/>
      <c r="AS225"/>
      <c r="AT225"/>
      <c r="AU225"/>
      <c r="AV225"/>
      <c r="AW225"/>
      <c r="AX225"/>
      <c r="AY225"/>
      <c r="AZ225"/>
      <c r="BA225"/>
      <c r="BB225"/>
      <c r="BC225"/>
      <c r="BD225" s="26">
        <v>0.753</v>
      </c>
      <c r="BE225"/>
      <c r="BF225"/>
      <c r="BG225"/>
      <c r="BH225"/>
      <c r="BI225"/>
      <c r="BJ225"/>
      <c r="BK225"/>
      <c r="BL225"/>
      <c r="BM225"/>
      <c r="BN225"/>
      <c r="BO225" s="26">
        <v>0.57299999999999995</v>
      </c>
      <c r="BP225" s="26">
        <v>0.75600000000000001</v>
      </c>
      <c r="BQ225"/>
      <c r="BR225"/>
      <c r="BS225"/>
      <c r="BT225" s="26">
        <v>0.77100000000000002</v>
      </c>
      <c r="BU225"/>
      <c r="BV225" s="26">
        <v>0.73899999999999999</v>
      </c>
      <c r="BW225"/>
      <c r="BX225"/>
      <c r="BY225"/>
      <c r="BZ225"/>
      <c r="CA225"/>
      <c r="CB225"/>
      <c r="CC225"/>
      <c r="CD225" s="26">
        <v>0.63900000000000001</v>
      </c>
      <c r="CE225"/>
      <c r="CF225"/>
      <c r="CG225"/>
      <c r="CH225"/>
      <c r="CI225"/>
      <c r="CJ225"/>
      <c r="CK225"/>
      <c r="CL225" s="26">
        <v>0.72399999999999998</v>
      </c>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s="26">
        <v>0.79800000000000004</v>
      </c>
      <c r="DV225"/>
      <c r="DW225" s="26">
        <v>0.71199999999999997</v>
      </c>
      <c r="DX225"/>
      <c r="DY225"/>
      <c r="DZ225"/>
      <c r="EA225"/>
      <c r="EB225"/>
      <c r="EC225"/>
      <c r="ED225"/>
      <c r="EE225"/>
      <c r="EF225"/>
      <c r="EG225"/>
      <c r="EH225"/>
      <c r="EI225"/>
      <c r="EJ225"/>
      <c r="EK225"/>
      <c r="EL225" s="26">
        <v>0.78700000000000003</v>
      </c>
      <c r="EM225"/>
      <c r="EN225"/>
      <c r="EO225"/>
      <c r="EP225"/>
      <c r="EQ225"/>
      <c r="ER225"/>
      <c r="ES225"/>
      <c r="ET225"/>
      <c r="EU225"/>
      <c r="EV225"/>
      <c r="EW225"/>
      <c r="EX225"/>
      <c r="EY225"/>
      <c r="EZ225"/>
      <c r="FA225"/>
      <c r="FB225" s="26">
        <v>0.621</v>
      </c>
      <c r="FC225"/>
      <c r="FD225"/>
      <c r="FE225"/>
      <c r="FF225" s="25"/>
      <c r="FG225" s="26">
        <v>0.77300000000000002</v>
      </c>
      <c r="FH225"/>
      <c r="FI225"/>
      <c r="FJ225"/>
      <c r="FK225"/>
      <c r="FL225"/>
      <c r="FM225" s="26">
        <v>0.70099999999999996</v>
      </c>
      <c r="FN225"/>
      <c r="FO225"/>
      <c r="FP225"/>
      <c r="FQ225"/>
      <c r="FR225" s="26">
        <v>0.65700000000000003</v>
      </c>
      <c r="FS225"/>
      <c r="FT225"/>
      <c r="FU225"/>
      <c r="FV225"/>
      <c r="FW225"/>
      <c r="FX225"/>
      <c r="FY225"/>
      <c r="FZ225"/>
      <c r="GA225"/>
      <c r="GB225"/>
      <c r="GC225" s="26">
        <v>0.73399999999999999</v>
      </c>
      <c r="GD225" s="26">
        <v>0.67700000000000005</v>
      </c>
      <c r="GE225"/>
      <c r="GF225"/>
      <c r="GG225"/>
      <c r="GH225"/>
      <c r="GI225"/>
      <c r="GJ225"/>
      <c r="GK225"/>
      <c r="GL225"/>
      <c r="GM225" s="26">
        <v>0.60699999999999998</v>
      </c>
    </row>
    <row r="226" spans="8:195" ht="14.4" x14ac:dyDescent="0.3">
      <c r="H226" s="35" t="s">
        <v>596</v>
      </c>
      <c r="I226"/>
      <c r="J226"/>
      <c r="K226"/>
      <c r="L226"/>
      <c r="M226"/>
      <c r="N226" s="26">
        <v>0.72399999999999998</v>
      </c>
      <c r="O226"/>
      <c r="P226"/>
      <c r="Q226"/>
      <c r="R226"/>
      <c r="S226"/>
      <c r="T226"/>
      <c r="U226"/>
      <c r="V226"/>
      <c r="W226"/>
      <c r="X226" s="26">
        <v>0.76100000000000001</v>
      </c>
      <c r="Y226"/>
      <c r="Z226"/>
      <c r="AA226"/>
      <c r="AB226"/>
      <c r="AC226"/>
      <c r="AD226"/>
      <c r="AE226"/>
      <c r="AF226"/>
      <c r="AG226"/>
      <c r="AH226"/>
      <c r="AI226"/>
      <c r="AJ226"/>
      <c r="AK226"/>
      <c r="AL226"/>
      <c r="AM226" s="26">
        <v>0.86799999999999999</v>
      </c>
      <c r="AN226"/>
      <c r="AO226"/>
      <c r="AP226"/>
      <c r="AQ226" s="26">
        <v>0.84</v>
      </c>
      <c r="AR226"/>
      <c r="AS226"/>
      <c r="AT226"/>
      <c r="AU226"/>
      <c r="AV226"/>
      <c r="AW226"/>
      <c r="AX226"/>
      <c r="AY226"/>
      <c r="AZ226"/>
      <c r="BA226"/>
      <c r="BB226"/>
      <c r="BC226"/>
      <c r="BD226" s="26">
        <v>0.753</v>
      </c>
      <c r="BE226"/>
      <c r="BF226"/>
      <c r="BG226"/>
      <c r="BH226"/>
      <c r="BI226"/>
      <c r="BJ226"/>
      <c r="BK226"/>
      <c r="BL226"/>
      <c r="BM226"/>
      <c r="BN226"/>
      <c r="BO226" s="26">
        <v>0.57299999999999995</v>
      </c>
      <c r="BP226" s="26">
        <v>0.75600000000000001</v>
      </c>
      <c r="BQ226"/>
      <c r="BR226"/>
      <c r="BS226"/>
      <c r="BT226" s="26">
        <v>0.77100000000000002</v>
      </c>
      <c r="BU226"/>
      <c r="BV226" s="26">
        <v>0.73899999999999999</v>
      </c>
      <c r="BW226"/>
      <c r="BX226"/>
      <c r="BY226"/>
      <c r="BZ226"/>
      <c r="CA226"/>
      <c r="CB226"/>
      <c r="CC226"/>
      <c r="CD226" s="26">
        <v>0.63900000000000001</v>
      </c>
      <c r="CE226"/>
      <c r="CF226"/>
      <c r="CG226"/>
      <c r="CH226"/>
      <c r="CI226"/>
      <c r="CJ226"/>
      <c r="CK226"/>
      <c r="CL226" s="26">
        <v>0.72399999999999998</v>
      </c>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s="26">
        <v>0.79800000000000004</v>
      </c>
      <c r="DV226"/>
      <c r="DW226" s="26">
        <v>0.71199999999999997</v>
      </c>
      <c r="DX226"/>
      <c r="DY226"/>
      <c r="DZ226"/>
      <c r="EA226"/>
      <c r="EB226"/>
      <c r="EC226"/>
      <c r="ED226"/>
      <c r="EE226"/>
      <c r="EF226"/>
      <c r="EG226"/>
      <c r="EH226"/>
      <c r="EI226"/>
      <c r="EJ226"/>
      <c r="EK226"/>
      <c r="EL226" s="26">
        <v>0.78700000000000003</v>
      </c>
      <c r="EM226"/>
      <c r="EN226"/>
      <c r="EO226"/>
      <c r="EP226"/>
      <c r="EQ226"/>
      <c r="ER226"/>
      <c r="ES226"/>
      <c r="ET226"/>
      <c r="EU226"/>
      <c r="EV226"/>
      <c r="EW226"/>
      <c r="EX226"/>
      <c r="EY226"/>
      <c r="EZ226"/>
      <c r="FA226"/>
      <c r="FB226" s="26">
        <v>0.621</v>
      </c>
      <c r="FC226"/>
      <c r="FD226"/>
      <c r="FE226"/>
      <c r="FF226" s="25"/>
      <c r="FG226" s="26">
        <v>0.77300000000000002</v>
      </c>
      <c r="FH226"/>
      <c r="FI226"/>
      <c r="FJ226"/>
      <c r="FK226"/>
      <c r="FL226"/>
      <c r="FM226" s="26">
        <v>0.70099999999999996</v>
      </c>
      <c r="FN226"/>
      <c r="FO226"/>
      <c r="FP226"/>
      <c r="FQ226"/>
      <c r="FR226" s="26">
        <v>0.65700000000000003</v>
      </c>
      <c r="FS226"/>
      <c r="FT226"/>
      <c r="FU226"/>
      <c r="FV226"/>
      <c r="FW226"/>
      <c r="FX226"/>
      <c r="FY226"/>
      <c r="FZ226"/>
      <c r="GA226"/>
      <c r="GB226"/>
      <c r="GC226" s="26">
        <v>0.73399999999999999</v>
      </c>
      <c r="GD226" s="26">
        <v>0.67700000000000005</v>
      </c>
      <c r="GE226"/>
      <c r="GF226"/>
      <c r="GG226"/>
      <c r="GH226"/>
      <c r="GI226"/>
      <c r="GJ226"/>
      <c r="GK226"/>
      <c r="GL226"/>
      <c r="GM226" s="26">
        <v>0.60699999999999998</v>
      </c>
    </row>
    <row r="227" spans="8:195" ht="14.4" x14ac:dyDescent="0.3">
      <c r="H227" s="35" t="s">
        <v>740</v>
      </c>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8:195" ht="14.4" x14ac:dyDescent="0.3">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8:195" ht="14.4" x14ac:dyDescent="0.3">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sheetData>
  <dataValidations count="1">
    <dataValidation allowBlank="1" showDropDown="1" showInputMessage="1" showErrorMessage="1" sqref="C3" xr:uid="{00000000-0002-0000-1500-000000000000}"/>
  </dataValidation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2:CP145"/>
  <sheetViews>
    <sheetView zoomScale="85" zoomScaleNormal="85" workbookViewId="0">
      <pane xSplit="1" ySplit="3" topLeftCell="D4" activePane="bottomRight" state="frozen"/>
      <selection pane="topRight" activeCell="D1" sqref="D1"/>
      <selection pane="bottomLeft" activeCell="A6" sqref="A6"/>
      <selection pane="bottomRight"/>
    </sheetView>
  </sheetViews>
  <sheetFormatPr defaultColWidth="9.109375" defaultRowHeight="13.2" x14ac:dyDescent="0.25"/>
  <cols>
    <col min="1" max="1" width="9.109375" style="37"/>
    <col min="2" max="2" width="4.6640625" style="37" customWidth="1"/>
    <col min="3" max="3" width="19.88671875" style="37" customWidth="1"/>
    <col min="4" max="4" width="9.109375" style="37"/>
    <col min="5" max="5" width="14.44140625" style="37" customWidth="1"/>
    <col min="6" max="6" width="18.109375" style="37" customWidth="1"/>
    <col min="7" max="7" width="12.33203125" style="37" customWidth="1"/>
    <col min="8" max="9" width="9.109375" style="37" customWidth="1"/>
    <col min="10" max="10" width="12" style="37" customWidth="1"/>
    <col min="11" max="11" width="9.109375" style="37" customWidth="1"/>
    <col min="12" max="12" width="16" style="37" customWidth="1"/>
    <col min="13" max="14" width="12" style="37" customWidth="1"/>
    <col min="15" max="15" width="15.44140625" style="37" customWidth="1"/>
    <col min="16" max="16" width="9.109375" style="37"/>
    <col min="17" max="17" width="21.88671875" style="37" customWidth="1"/>
    <col min="18" max="18" width="7" style="37" customWidth="1"/>
    <col min="19" max="19" width="15.33203125" style="37" customWidth="1"/>
    <col min="20" max="20" width="11.44140625" style="37" customWidth="1"/>
    <col min="21" max="21" width="14.33203125" style="37" customWidth="1"/>
    <col min="22" max="22" width="12.33203125" style="37" customWidth="1"/>
    <col min="23" max="23" width="13.6640625" style="37" customWidth="1"/>
    <col min="24" max="24" width="16.88671875" style="37" customWidth="1"/>
    <col min="25" max="25" width="16.5546875" style="37" customWidth="1"/>
    <col min="26" max="26" width="11.5546875" style="37" customWidth="1"/>
    <col min="27" max="27" width="9.109375" style="37"/>
    <col min="28" max="28" width="10.109375" style="37" customWidth="1"/>
    <col min="29" max="29" width="10.5546875" style="37" customWidth="1"/>
    <col min="30" max="30" width="10.33203125" style="37" customWidth="1"/>
    <col min="31" max="31" width="9.109375" style="37"/>
    <col min="32" max="32" width="11.5546875" style="37" customWidth="1"/>
    <col min="33" max="33" width="13.6640625" style="37" customWidth="1"/>
    <col min="34" max="34" width="9.109375" style="37"/>
    <col min="35" max="35" width="11.5546875" style="37" customWidth="1"/>
    <col min="36" max="39" width="9.109375" style="37"/>
    <col min="40" max="40" width="11" style="37" customWidth="1"/>
    <col min="41" max="41" width="11.6640625" style="37" customWidth="1"/>
    <col min="42" max="42" width="9.109375" style="37"/>
    <col min="43" max="43" width="9.6640625" style="37" customWidth="1"/>
    <col min="44" max="44" width="12.33203125" style="37" customWidth="1"/>
    <col min="45" max="45" width="9.6640625" style="37" customWidth="1"/>
    <col min="46" max="52" width="9.109375" style="37"/>
    <col min="53" max="53" width="9.6640625" style="37" customWidth="1"/>
    <col min="54" max="61" width="10.33203125" style="37" customWidth="1"/>
    <col min="62" max="72" width="9.109375" style="37"/>
    <col min="73" max="73" width="14.5546875" style="37" customWidth="1"/>
    <col min="74" max="74" width="18.6640625" style="37" customWidth="1"/>
    <col min="75" max="75" width="9.109375" style="37"/>
    <col min="76" max="76" width="15.44140625" style="37" customWidth="1"/>
    <col min="77" max="77" width="13.5546875" style="37" customWidth="1"/>
    <col min="78" max="78" width="14.33203125" style="37" customWidth="1"/>
    <col min="79" max="79" width="11.6640625" style="37" customWidth="1"/>
    <col min="80" max="80" width="12.6640625" style="37" customWidth="1"/>
    <col min="81" max="82" width="10.33203125" style="37" customWidth="1"/>
    <col min="83" max="84" width="9.33203125" style="37" customWidth="1"/>
    <col min="85" max="85" width="9.109375" style="37"/>
    <col min="86" max="86" width="12.88671875" style="37" customWidth="1"/>
    <col min="87" max="92" width="10.33203125" style="37" customWidth="1"/>
    <col min="93" max="93" width="9.33203125" style="37" customWidth="1"/>
    <col min="94" max="94" width="5.88671875" style="37" customWidth="1"/>
    <col min="95" max="16384" width="9.109375" style="37"/>
  </cols>
  <sheetData>
    <row r="2" spans="1:94" ht="14.4" x14ac:dyDescent="0.3">
      <c r="B2" s="797"/>
      <c r="C2" s="797"/>
      <c r="J2" s="2" t="s">
        <v>540</v>
      </c>
      <c r="M2" s="2" t="s">
        <v>243</v>
      </c>
      <c r="S2" s="2" t="s">
        <v>1051</v>
      </c>
      <c r="T2" s="2"/>
      <c r="U2" s="2"/>
      <c r="V2" s="2"/>
      <c r="W2" s="2"/>
      <c r="X2" s="2"/>
      <c r="AM2" s="38"/>
      <c r="AQ2"/>
      <c r="AR2"/>
      <c r="AS2"/>
      <c r="AT2"/>
      <c r="AU2"/>
      <c r="AV2"/>
      <c r="AW2"/>
      <c r="AX2"/>
      <c r="AY2"/>
      <c r="AZ2"/>
      <c r="BA2"/>
      <c r="BB2"/>
      <c r="BC2"/>
      <c r="BD2"/>
      <c r="BE2"/>
      <c r="BF2"/>
      <c r="BG2"/>
      <c r="BH2"/>
      <c r="BI2"/>
      <c r="BJ2"/>
      <c r="BK2" s="39"/>
      <c r="BL2" s="39"/>
      <c r="BM2"/>
      <c r="BN2"/>
      <c r="BO2" s="3"/>
      <c r="BP2" s="3"/>
      <c r="BQ2"/>
      <c r="BR2"/>
      <c r="BS2"/>
      <c r="BT2"/>
      <c r="BU2"/>
      <c r="BX2"/>
      <c r="BY2"/>
      <c r="BZ2"/>
      <c r="CA2"/>
      <c r="CB2"/>
      <c r="CC2"/>
      <c r="CD2"/>
      <c r="CE2"/>
      <c r="CF2"/>
      <c r="CG2"/>
      <c r="CH2"/>
      <c r="CI2"/>
      <c r="CJ2"/>
      <c r="CK2"/>
      <c r="CL2"/>
      <c r="CM2"/>
      <c r="CN2"/>
      <c r="CO2"/>
      <c r="CP2"/>
    </row>
    <row r="3" spans="1:94" ht="28.8" x14ac:dyDescent="0.3">
      <c r="A3" s="138"/>
      <c r="B3" s="40"/>
      <c r="C3" s="12" t="s">
        <v>542</v>
      </c>
      <c r="E3" s="4" t="s">
        <v>237</v>
      </c>
      <c r="F3" s="4" t="s">
        <v>238</v>
      </c>
      <c r="G3" s="4" t="s">
        <v>239</v>
      </c>
      <c r="H3" s="4" t="s">
        <v>225</v>
      </c>
      <c r="I3" s="4" t="s">
        <v>240</v>
      </c>
      <c r="J3" s="4" t="s">
        <v>241</v>
      </c>
      <c r="K3" s="4" t="s">
        <v>242</v>
      </c>
      <c r="L3" s="4" t="s">
        <v>245</v>
      </c>
      <c r="M3" s="4" t="s">
        <v>243</v>
      </c>
      <c r="N3" s="4" t="s">
        <v>244</v>
      </c>
      <c r="O3" s="4" t="s">
        <v>246</v>
      </c>
      <c r="Q3" s="12" t="s">
        <v>1050</v>
      </c>
      <c r="S3" s="4" t="s">
        <v>241</v>
      </c>
      <c r="T3" s="4" t="s">
        <v>242</v>
      </c>
      <c r="U3" s="4" t="s">
        <v>245</v>
      </c>
      <c r="V3" s="4" t="s">
        <v>243</v>
      </c>
      <c r="W3" s="4" t="s">
        <v>244</v>
      </c>
      <c r="X3" s="4" t="s">
        <v>246</v>
      </c>
      <c r="Y3" s="4"/>
      <c r="Z3" s="37" t="s">
        <v>247</v>
      </c>
      <c r="AM3" s="41"/>
      <c r="AN3" s="41"/>
      <c r="AO3" s="41"/>
      <c r="AP3" s="41"/>
      <c r="AQ3"/>
      <c r="AR3" s="42"/>
      <c r="AS3"/>
      <c r="AT3"/>
      <c r="AU3"/>
      <c r="AV3"/>
      <c r="AW3"/>
      <c r="AX3"/>
      <c r="AY3"/>
      <c r="AZ3"/>
      <c r="BA3"/>
      <c r="BB3" s="42"/>
      <c r="BC3"/>
      <c r="BD3"/>
      <c r="BE3"/>
      <c r="BF3"/>
      <c r="BG3"/>
      <c r="BH3"/>
      <c r="BI3"/>
      <c r="BK3" s="39"/>
      <c r="BL3" s="39"/>
      <c r="BM3" s="43"/>
      <c r="BN3" s="43"/>
      <c r="BO3" s="43"/>
      <c r="BP3" s="43"/>
      <c r="BQ3" s="43"/>
      <c r="BR3" s="43"/>
      <c r="BS3" s="43"/>
      <c r="BT3" s="43"/>
      <c r="BU3"/>
      <c r="BV3" s="5"/>
      <c r="BX3"/>
      <c r="BY3" s="42"/>
      <c r="BZ3"/>
      <c r="CA3"/>
      <c r="CB3"/>
      <c r="CC3"/>
      <c r="CD3"/>
      <c r="CE3"/>
      <c r="CF3"/>
      <c r="CG3"/>
      <c r="CH3"/>
      <c r="CI3" s="42"/>
      <c r="CJ3"/>
      <c r="CK3"/>
      <c r="CL3"/>
      <c r="CM3"/>
      <c r="CN3"/>
      <c r="CO3"/>
      <c r="CP3"/>
    </row>
    <row r="4" spans="1:94" ht="14.4" x14ac:dyDescent="0.3">
      <c r="A4" s="138">
        <v>0</v>
      </c>
      <c r="B4" s="4"/>
      <c r="C4" s="44">
        <f>'Life table (HE)'!B4</f>
        <v>3.3500000000000002E-2</v>
      </c>
      <c r="E4" s="45">
        <f>C4</f>
        <v>3.3500000000000002E-2</v>
      </c>
      <c r="F4" s="46">
        <f>1-EXP(-E4)</f>
        <v>3.2945088768597142E-2</v>
      </c>
      <c r="G4" s="37">
        <v>100000</v>
      </c>
      <c r="H4" s="41">
        <f>F4*G4</f>
        <v>3294.5088768597143</v>
      </c>
      <c r="J4" s="37">
        <f t="shared" ref="J4:J67" si="0">G5+0.5*H4</f>
        <v>98352.745561570133</v>
      </c>
      <c r="K4" s="37">
        <f>SUM(J4:J$113)</f>
        <v>6216671.4551698826</v>
      </c>
      <c r="L4" s="47">
        <f t="shared" ref="L4:L67" si="1">K4/J4</f>
        <v>63.207909648827886</v>
      </c>
      <c r="M4" s="37">
        <f>(G5+0.5*H4)/(1+'General input'!$C$114)^A4</f>
        <v>98352.745561570133</v>
      </c>
      <c r="N4" s="37">
        <f>SUM(M4:M$113)</f>
        <v>1879769.4887109492</v>
      </c>
      <c r="O4" s="37">
        <f t="shared" ref="O4:O67" si="2">N4/M4</f>
        <v>19.112526833673275</v>
      </c>
      <c r="Q4" s="44">
        <v>0</v>
      </c>
      <c r="S4" s="48">
        <f>J4*Q4</f>
        <v>0</v>
      </c>
      <c r="T4" s="37">
        <f ca="1">SUM(S4:S$115)</f>
        <v>31686744522.765831</v>
      </c>
      <c r="U4" s="47">
        <f t="shared" ref="U4:U67" ca="1" si="3">T4/J4</f>
        <v>322174.47862631863</v>
      </c>
      <c r="V4" s="37">
        <f>S4/(1+'General input'!$C$113)^A4</f>
        <v>0</v>
      </c>
      <c r="W4" s="37">
        <f ca="1">SUM(V4:V$115)</f>
        <v>6047725834.1629095</v>
      </c>
      <c r="X4" s="202">
        <f t="shared" ref="X4:X67" ca="1" si="4">W4/M4</f>
        <v>61490.157693431676</v>
      </c>
      <c r="Y4" s="47"/>
      <c r="Z4" s="37">
        <v>0.5</v>
      </c>
      <c r="AA4" s="37">
        <f t="shared" ref="AA4:AA67" si="5">Z4*H4</f>
        <v>1647.2544384298571</v>
      </c>
      <c r="AC4" s="4"/>
      <c r="AF4" s="4"/>
      <c r="AI4" s="4"/>
      <c r="AM4" s="41"/>
      <c r="AN4" s="41"/>
      <c r="AO4" s="49"/>
      <c r="AP4" s="41"/>
      <c r="AQ4" s="41"/>
      <c r="AR4" s="41"/>
      <c r="AS4" s="41"/>
      <c r="AT4" s="41"/>
      <c r="AU4" s="41"/>
      <c r="AV4" s="41"/>
      <c r="AW4" s="41"/>
      <c r="AX4" s="41"/>
      <c r="AY4" s="41"/>
      <c r="BA4" s="6"/>
      <c r="BB4" s="7"/>
      <c r="BC4" s="7"/>
      <c r="BD4" s="7"/>
      <c r="BE4" s="7"/>
      <c r="BF4" s="7"/>
      <c r="BG4" s="7"/>
      <c r="BH4" s="7"/>
      <c r="BI4" s="7"/>
      <c r="BK4" s="39"/>
      <c r="BL4" s="39"/>
      <c r="BM4"/>
      <c r="BN4"/>
      <c r="BO4"/>
      <c r="BP4"/>
      <c r="BQ4"/>
      <c r="BR4"/>
      <c r="BS4"/>
      <c r="BT4"/>
      <c r="BU4"/>
      <c r="BV4" s="50"/>
      <c r="BX4" s="49"/>
      <c r="BY4" s="49"/>
      <c r="BZ4" s="49"/>
      <c r="CA4" s="49"/>
      <c r="CB4" s="49"/>
      <c r="CC4" s="49"/>
      <c r="CD4" s="49"/>
      <c r="CE4" s="49"/>
      <c r="CF4" s="49"/>
      <c r="CH4" s="7"/>
      <c r="CI4" s="7"/>
      <c r="CJ4" s="7"/>
      <c r="CK4" s="7"/>
      <c r="CL4" s="7"/>
      <c r="CM4" s="7"/>
      <c r="CN4" s="7"/>
      <c r="CO4" s="7"/>
      <c r="CP4" s="7"/>
    </row>
    <row r="5" spans="1:94" ht="14.4" x14ac:dyDescent="0.3">
      <c r="A5" s="138">
        <v>1</v>
      </c>
      <c r="B5" s="4"/>
      <c r="C5" s="44">
        <f>'Life table (HE)'!B$5</f>
        <v>2.5000000000000001E-3</v>
      </c>
      <c r="E5" s="45">
        <f t="shared" ref="E5:E68" si="6">C5</f>
        <v>2.5000000000000001E-3</v>
      </c>
      <c r="F5" s="46">
        <f t="shared" ref="F5:F68" si="7">1-EXP(-E5)</f>
        <v>2.4968776025399153E-3</v>
      </c>
      <c r="G5" s="37">
        <f t="shared" ref="G5:G68" si="8">G4-H4</f>
        <v>96705.49112314028</v>
      </c>
      <c r="H5" s="41">
        <f t="shared" ref="H5:H68" si="9">F5*G5</f>
        <v>241.46177482799158</v>
      </c>
      <c r="I5" s="41">
        <f>SUM($H$4:H4)</f>
        <v>3294.5088768597143</v>
      </c>
      <c r="J5" s="37">
        <f t="shared" si="0"/>
        <v>96584.760235726295</v>
      </c>
      <c r="K5" s="37">
        <f>SUM(J5:J$113)</f>
        <v>6118318.7096083127</v>
      </c>
      <c r="L5" s="47">
        <f t="shared" si="1"/>
        <v>63.346626265632871</v>
      </c>
      <c r="M5" s="37">
        <f>(G6+0.5*H5)/(1+'General input'!$C$114)^A5</f>
        <v>91985.485938786936</v>
      </c>
      <c r="N5" s="37">
        <f>SUM(M5:M$113)</f>
        <v>1781416.743149379</v>
      </c>
      <c r="O5" s="37">
        <f t="shared" si="2"/>
        <v>19.366280723187661</v>
      </c>
      <c r="Q5" s="44">
        <v>0</v>
      </c>
      <c r="S5" s="48">
        <f t="shared" ref="S5:S68" si="10">J5*Q5</f>
        <v>0</v>
      </c>
      <c r="T5" s="37">
        <f ca="1">SUM(S5:S$115)</f>
        <v>31686744522.765831</v>
      </c>
      <c r="U5" s="47">
        <f t="shared" ca="1" si="3"/>
        <v>328071.88675967784</v>
      </c>
      <c r="V5" s="37">
        <f>S5/(1+'General input'!$C$113)^A5</f>
        <v>0</v>
      </c>
      <c r="W5" s="37">
        <f ca="1">SUM(V5:V$115)</f>
        <v>6047725834.1629095</v>
      </c>
      <c r="X5" s="202">
        <f t="shared" ca="1" si="4"/>
        <v>65746.522643664197</v>
      </c>
      <c r="Y5" s="47"/>
      <c r="Z5" s="37">
        <f t="shared" ref="Z5:Z68" si="11">A5+0.5</f>
        <v>1.5</v>
      </c>
      <c r="AA5" s="37">
        <f t="shared" si="5"/>
        <v>362.19266224198736</v>
      </c>
      <c r="AC5" s="4"/>
      <c r="AF5" s="4"/>
      <c r="AI5" s="4"/>
      <c r="AM5" s="41"/>
      <c r="AN5" s="41"/>
      <c r="AO5" s="49"/>
      <c r="AP5" s="41"/>
      <c r="AQ5" s="41"/>
      <c r="AR5" s="41"/>
      <c r="AS5" s="41"/>
      <c r="AT5" s="41"/>
      <c r="AU5" s="41"/>
      <c r="AV5" s="41"/>
      <c r="AW5" s="41"/>
      <c r="AX5" s="41"/>
      <c r="AY5" s="41"/>
      <c r="BA5" s="6"/>
      <c r="BB5" s="7"/>
      <c r="BC5" s="7"/>
      <c r="BD5" s="7"/>
      <c r="BE5" s="7"/>
      <c r="BF5" s="7"/>
      <c r="BG5" s="7"/>
      <c r="BH5" s="7"/>
      <c r="BI5" s="7"/>
      <c r="BK5" s="39"/>
      <c r="BL5" s="39"/>
      <c r="BM5"/>
      <c r="BN5"/>
      <c r="BO5"/>
      <c r="BP5"/>
      <c r="BQ5"/>
      <c r="BR5"/>
      <c r="BS5"/>
      <c r="BT5"/>
      <c r="BU5"/>
      <c r="BV5" s="50"/>
      <c r="BX5" s="49"/>
      <c r="BY5" s="49"/>
      <c r="BZ5" s="49"/>
      <c r="CA5" s="49"/>
      <c r="CB5" s="49"/>
      <c r="CC5" s="49"/>
      <c r="CD5" s="49"/>
      <c r="CE5" s="49"/>
      <c r="CF5" s="49"/>
      <c r="CH5" s="7"/>
      <c r="CI5" s="7"/>
      <c r="CJ5" s="7"/>
      <c r="CK5" s="7"/>
      <c r="CL5" s="7"/>
      <c r="CM5" s="7"/>
      <c r="CN5" s="7"/>
      <c r="CO5" s="7"/>
      <c r="CP5" s="7"/>
    </row>
    <row r="6" spans="1:94" ht="14.4" x14ac:dyDescent="0.3">
      <c r="A6" s="138">
        <v>2</v>
      </c>
      <c r="B6" s="4"/>
      <c r="C6" s="44">
        <f>'Life table (HE)'!B$5</f>
        <v>2.5000000000000001E-3</v>
      </c>
      <c r="E6" s="45">
        <f t="shared" si="6"/>
        <v>2.5000000000000001E-3</v>
      </c>
      <c r="F6" s="46">
        <f t="shared" si="7"/>
        <v>2.4968776025399153E-3</v>
      </c>
      <c r="G6" s="37">
        <f t="shared" si="8"/>
        <v>96464.029348312295</v>
      </c>
      <c r="H6" s="41">
        <f t="shared" si="9"/>
        <v>240.85887433055404</v>
      </c>
      <c r="I6" s="41">
        <f>SUM($H$4:H5)</f>
        <v>3535.9706516877059</v>
      </c>
      <c r="J6" s="37">
        <f t="shared" si="0"/>
        <v>96343.599911147016</v>
      </c>
      <c r="K6" s="37">
        <f>SUM(J6:J$113)</f>
        <v>6021733.9493725877</v>
      </c>
      <c r="L6" s="47">
        <f t="shared" si="1"/>
        <v>62.502687826966586</v>
      </c>
      <c r="M6" s="37">
        <f>(G7+0.5*H6)/(1+'General input'!$C$114)^A6</f>
        <v>87386.485180178701</v>
      </c>
      <c r="N6" s="37">
        <f>SUM(M6:M$113)</f>
        <v>1689431.257210592</v>
      </c>
      <c r="O6" s="37">
        <f t="shared" si="2"/>
        <v>19.332866560855734</v>
      </c>
      <c r="Q6" s="44">
        <v>0</v>
      </c>
      <c r="S6" s="48">
        <f t="shared" si="10"/>
        <v>0</v>
      </c>
      <c r="T6" s="37">
        <f ca="1">SUM(S6:S$115)</f>
        <v>31686744522.765831</v>
      </c>
      <c r="U6" s="47">
        <f t="shared" ca="1" si="3"/>
        <v>328893.09255611128</v>
      </c>
      <c r="V6" s="37">
        <f>S6/(1+'General input'!$C$113)^A6</f>
        <v>0</v>
      </c>
      <c r="W6" s="37">
        <f ca="1">SUM(V6:V$115)</f>
        <v>6047725834.1629095</v>
      </c>
      <c r="X6" s="202">
        <f t="shared" ca="1" si="4"/>
        <v>69206.649308452514</v>
      </c>
      <c r="Y6" s="47"/>
      <c r="Z6" s="37">
        <f t="shared" si="11"/>
        <v>2.5</v>
      </c>
      <c r="AA6" s="37">
        <f t="shared" si="5"/>
        <v>602.14718582638511</v>
      </c>
      <c r="AC6" s="4"/>
      <c r="AF6" s="4"/>
      <c r="AI6" s="4"/>
      <c r="AM6" s="41"/>
      <c r="AN6" s="41"/>
      <c r="AO6" s="49"/>
      <c r="AP6" s="41"/>
      <c r="AQ6" s="41"/>
      <c r="AR6" s="41"/>
      <c r="AS6" s="41"/>
      <c r="AT6" s="41"/>
      <c r="AU6" s="41"/>
      <c r="AV6" s="41"/>
      <c r="AW6" s="41"/>
      <c r="AX6" s="41"/>
      <c r="AY6" s="41"/>
      <c r="BA6" s="6"/>
      <c r="BB6" s="7"/>
      <c r="BC6" s="7"/>
      <c r="BD6" s="7"/>
      <c r="BE6" s="7"/>
      <c r="BF6" s="7"/>
      <c r="BG6" s="7"/>
      <c r="BH6" s="7"/>
      <c r="BI6" s="7"/>
      <c r="BK6" s="39"/>
      <c r="BL6" s="39"/>
      <c r="BM6"/>
      <c r="BN6"/>
      <c r="BO6"/>
      <c r="BP6"/>
      <c r="BQ6"/>
      <c r="BR6"/>
      <c r="BS6"/>
      <c r="BT6"/>
      <c r="BU6"/>
      <c r="BV6" s="50"/>
      <c r="BX6" s="49"/>
      <c r="BY6" s="49"/>
      <c r="BZ6" s="49"/>
      <c r="CA6" s="49"/>
      <c r="CB6" s="49"/>
      <c r="CC6" s="49"/>
      <c r="CD6" s="49"/>
      <c r="CE6" s="49"/>
      <c r="CF6" s="49"/>
      <c r="CH6" s="7"/>
      <c r="CI6" s="7"/>
      <c r="CJ6" s="7"/>
      <c r="CK6" s="7"/>
      <c r="CL6" s="7"/>
      <c r="CM6" s="7"/>
      <c r="CN6" s="7"/>
      <c r="CO6" s="7"/>
      <c r="CP6" s="7"/>
    </row>
    <row r="7" spans="1:94" ht="14.4" x14ac:dyDescent="0.3">
      <c r="A7" s="138">
        <v>3</v>
      </c>
      <c r="B7" s="4"/>
      <c r="C7" s="44">
        <f>'Life table (HE)'!B$5</f>
        <v>2.5000000000000001E-3</v>
      </c>
      <c r="E7" s="45">
        <f t="shared" si="6"/>
        <v>2.5000000000000001E-3</v>
      </c>
      <c r="F7" s="46">
        <f t="shared" si="7"/>
        <v>2.4968776025399153E-3</v>
      </c>
      <c r="G7" s="37">
        <f t="shared" si="8"/>
        <v>96223.170473981736</v>
      </c>
      <c r="H7" s="41">
        <f t="shared" si="9"/>
        <v>240.2574792018651</v>
      </c>
      <c r="I7" s="41">
        <f>SUM($H$4:H6)</f>
        <v>3776.8295260182599</v>
      </c>
      <c r="J7" s="37">
        <f t="shared" si="0"/>
        <v>96103.041734380793</v>
      </c>
      <c r="K7" s="37">
        <f>SUM(J7:J$113)</f>
        <v>5925390.3494614409</v>
      </c>
      <c r="L7" s="47">
        <f t="shared" si="1"/>
        <v>61.656636902696874</v>
      </c>
      <c r="M7" s="37">
        <f>(G8+0.5*H7)/(1+'General input'!$C$114)^A7</f>
        <v>83017.420783397713</v>
      </c>
      <c r="N7" s="37">
        <f>SUM(M7:M$113)</f>
        <v>1602044.7720304134</v>
      </c>
      <c r="O7" s="37">
        <f t="shared" si="2"/>
        <v>19.297693868499458</v>
      </c>
      <c r="Q7" s="44">
        <v>0</v>
      </c>
      <c r="S7" s="48">
        <f t="shared" si="10"/>
        <v>0</v>
      </c>
      <c r="T7" s="37">
        <f ca="1">SUM(S7:S$115)</f>
        <v>31686744522.765831</v>
      </c>
      <c r="U7" s="47">
        <f t="shared" ca="1" si="3"/>
        <v>329716.35393544385</v>
      </c>
      <c r="V7" s="37">
        <f>S7/(1+'General input'!$C$113)^A7</f>
        <v>0</v>
      </c>
      <c r="W7" s="37">
        <f ca="1">SUM(V7:V$115)</f>
        <v>6047725834.1629095</v>
      </c>
      <c r="X7" s="202">
        <f t="shared" ca="1" si="4"/>
        <v>72848.876501983148</v>
      </c>
      <c r="Y7" s="47"/>
      <c r="Z7" s="37">
        <f t="shared" si="11"/>
        <v>3.5</v>
      </c>
      <c r="AA7" s="37">
        <f t="shared" si="5"/>
        <v>840.90117720652779</v>
      </c>
      <c r="AC7" s="4"/>
      <c r="AF7" s="4"/>
      <c r="AI7" s="4"/>
      <c r="AM7" s="41"/>
      <c r="AN7" s="41"/>
      <c r="AO7" s="49"/>
      <c r="AP7" s="41"/>
      <c r="AQ7" s="41"/>
      <c r="AR7" s="41"/>
      <c r="AS7" s="41"/>
      <c r="AT7" s="41"/>
      <c r="AU7" s="41"/>
      <c r="AV7" s="41"/>
      <c r="AW7" s="41"/>
      <c r="AX7" s="41"/>
      <c r="AY7" s="41"/>
      <c r="BA7" s="6"/>
      <c r="BB7" s="7"/>
      <c r="BC7" s="7"/>
      <c r="BD7" s="7"/>
      <c r="BE7" s="7"/>
      <c r="BF7" s="7"/>
      <c r="BG7" s="7"/>
      <c r="BH7" s="7"/>
      <c r="BI7" s="7"/>
      <c r="BK7" s="39"/>
      <c r="BL7" s="39"/>
      <c r="BM7"/>
      <c r="BN7"/>
      <c r="BO7"/>
      <c r="BP7"/>
      <c r="BQ7"/>
      <c r="BR7"/>
      <c r="BS7"/>
      <c r="BT7"/>
      <c r="BU7"/>
      <c r="BV7" s="50"/>
      <c r="BX7" s="49"/>
      <c r="BY7" s="49"/>
      <c r="BZ7" s="49"/>
      <c r="CA7" s="49"/>
      <c r="CB7" s="49"/>
      <c r="CC7" s="49"/>
      <c r="CD7" s="49"/>
      <c r="CE7" s="49"/>
      <c r="CF7" s="49"/>
      <c r="CH7" s="7"/>
      <c r="CI7" s="7"/>
      <c r="CJ7" s="7"/>
      <c r="CK7" s="7"/>
      <c r="CL7" s="7"/>
      <c r="CM7" s="7"/>
      <c r="CN7" s="7"/>
      <c r="CO7" s="7"/>
      <c r="CP7" s="7"/>
    </row>
    <row r="8" spans="1:94" ht="14.4" x14ac:dyDescent="0.3">
      <c r="A8" s="138">
        <v>4</v>
      </c>
      <c r="B8" s="4"/>
      <c r="C8" s="44">
        <f>'Life table (HE)'!B$5</f>
        <v>2.5000000000000001E-3</v>
      </c>
      <c r="E8" s="45">
        <f t="shared" si="6"/>
        <v>2.5000000000000001E-3</v>
      </c>
      <c r="F8" s="46">
        <f t="shared" si="7"/>
        <v>2.4968776025399153E-3</v>
      </c>
      <c r="G8" s="37">
        <f t="shared" si="8"/>
        <v>95982.912994779865</v>
      </c>
      <c r="H8" s="41">
        <f t="shared" si="9"/>
        <v>239.65758568320322</v>
      </c>
      <c r="I8" s="41">
        <f>SUM($H$4:H7)</f>
        <v>4017.0870052201249</v>
      </c>
      <c r="J8" s="37">
        <f t="shared" si="0"/>
        <v>95863.084201938254</v>
      </c>
      <c r="K8" s="37">
        <f>SUM(J8:J$113)</f>
        <v>5829287.3077270603</v>
      </c>
      <c r="L8" s="47">
        <f t="shared" si="1"/>
        <v>60.808468205002711</v>
      </c>
      <c r="M8" s="37">
        <f>(G9+0.5*H8)/(1+'General input'!$C$114)^A8</f>
        <v>78866.796614117164</v>
      </c>
      <c r="N8" s="37">
        <f>SUM(M8:M$113)</f>
        <v>1519027.3512470154</v>
      </c>
      <c r="O8" s="37">
        <f t="shared" si="2"/>
        <v>19.260670097701286</v>
      </c>
      <c r="Q8" s="44">
        <v>0</v>
      </c>
      <c r="S8" s="48">
        <f t="shared" si="10"/>
        <v>0</v>
      </c>
      <c r="T8" s="37">
        <f ca="1">SUM(S8:S$115)</f>
        <v>31686744522.765831</v>
      </c>
      <c r="U8" s="47">
        <f t="shared" ca="1" si="3"/>
        <v>330541.67604306183</v>
      </c>
      <c r="V8" s="37">
        <f>S8/(1+'General input'!$C$113)^A8</f>
        <v>0</v>
      </c>
      <c r="W8" s="37">
        <f ca="1">SUM(V8:V$115)</f>
        <v>6047725834.1629095</v>
      </c>
      <c r="X8" s="202">
        <f t="shared" ca="1" si="4"/>
        <v>76682.787862596742</v>
      </c>
      <c r="Y8" s="47"/>
      <c r="Z8" s="37">
        <f t="shared" si="11"/>
        <v>4.5</v>
      </c>
      <c r="AA8" s="37">
        <f t="shared" si="5"/>
        <v>1078.4591355744144</v>
      </c>
      <c r="AC8" s="4"/>
      <c r="AF8" s="4"/>
      <c r="AI8" s="4"/>
      <c r="AM8" s="41"/>
      <c r="AN8" s="41"/>
      <c r="AO8" s="49"/>
      <c r="AP8" s="41"/>
      <c r="AQ8" s="41"/>
      <c r="AR8" s="41"/>
      <c r="AS8" s="41"/>
      <c r="AT8" s="41"/>
      <c r="AU8" s="41"/>
      <c r="AV8" s="41"/>
      <c r="AW8" s="41"/>
      <c r="AX8" s="41"/>
      <c r="AY8" s="41"/>
      <c r="BA8" s="6"/>
      <c r="BB8" s="7"/>
      <c r="BC8" s="7"/>
      <c r="BD8" s="7"/>
      <c r="BE8" s="7"/>
      <c r="BF8" s="7"/>
      <c r="BG8" s="7"/>
      <c r="BH8" s="7"/>
      <c r="BI8" s="7"/>
      <c r="BK8" s="39"/>
      <c r="BL8" s="39"/>
      <c r="BM8"/>
      <c r="BN8"/>
      <c r="BO8"/>
      <c r="BP8"/>
      <c r="BQ8"/>
      <c r="BR8"/>
      <c r="BS8"/>
      <c r="BT8"/>
      <c r="BU8"/>
      <c r="BV8" s="50"/>
      <c r="BX8" s="49"/>
      <c r="BY8" s="49"/>
      <c r="BZ8" s="49"/>
      <c r="CA8" s="49"/>
      <c r="CB8" s="49"/>
      <c r="CC8" s="49"/>
      <c r="CD8" s="49"/>
      <c r="CE8" s="49"/>
      <c r="CF8" s="49"/>
      <c r="CH8" s="7"/>
      <c r="CI8" s="7"/>
      <c r="CJ8" s="7"/>
      <c r="CK8" s="7"/>
      <c r="CL8" s="7"/>
      <c r="CM8" s="7"/>
      <c r="CN8" s="7"/>
      <c r="CO8" s="7"/>
      <c r="CP8" s="7"/>
    </row>
    <row r="9" spans="1:94" ht="14.4" x14ac:dyDescent="0.3">
      <c r="A9" s="138">
        <v>5</v>
      </c>
      <c r="B9" s="4"/>
      <c r="C9" s="44">
        <f>'Life table (HE)'!B$6</f>
        <v>1E-3</v>
      </c>
      <c r="E9" s="45">
        <f t="shared" si="6"/>
        <v>1E-3</v>
      </c>
      <c r="F9" s="46">
        <f t="shared" si="7"/>
        <v>9.9950016662497809E-4</v>
      </c>
      <c r="G9" s="37">
        <f t="shared" si="8"/>
        <v>95743.255409096659</v>
      </c>
      <c r="H9" s="41">
        <f t="shared" si="9"/>
        <v>95.69539973460995</v>
      </c>
      <c r="I9" s="41">
        <f>SUM($H$4:H8)</f>
        <v>4256.7445909033277</v>
      </c>
      <c r="J9" s="37">
        <f t="shared" si="0"/>
        <v>95695.407709229345</v>
      </c>
      <c r="K9" s="37">
        <f>SUM(J9:J$113)</f>
        <v>5733424.2235251209</v>
      </c>
      <c r="L9" s="47">
        <f t="shared" si="1"/>
        <v>59.913263977579156</v>
      </c>
      <c r="M9" s="37">
        <f>(G10+0.5*H9)/(1+'General input'!$C$114)^A9</f>
        <v>74979.855951048681</v>
      </c>
      <c r="N9" s="37">
        <f>SUM(M9:M$113)</f>
        <v>1440160.5546328984</v>
      </c>
      <c r="O9" s="37">
        <f t="shared" si="2"/>
        <v>19.207299565540925</v>
      </c>
      <c r="Q9" s="44">
        <v>0</v>
      </c>
      <c r="S9" s="48">
        <f t="shared" si="10"/>
        <v>0</v>
      </c>
      <c r="T9" s="37">
        <f ca="1">SUM(S9:S$115)</f>
        <v>31686744522.765831</v>
      </c>
      <c r="U9" s="47">
        <f t="shared" ca="1" si="3"/>
        <v>331120.84771137667</v>
      </c>
      <c r="V9" s="37">
        <f>S9/(1+'General input'!$C$113)^A9</f>
        <v>0</v>
      </c>
      <c r="W9" s="37">
        <f ca="1">SUM(V9:V$115)</f>
        <v>6047725834.1629095</v>
      </c>
      <c r="X9" s="202">
        <f t="shared" ca="1" si="4"/>
        <v>80658.00817370502</v>
      </c>
      <c r="Y9" s="47"/>
      <c r="Z9" s="37">
        <f t="shared" si="11"/>
        <v>5.5</v>
      </c>
      <c r="AA9" s="37">
        <f t="shared" si="5"/>
        <v>526.32469854035469</v>
      </c>
      <c r="AC9" s="4"/>
      <c r="AF9" s="4"/>
      <c r="AI9" s="4"/>
      <c r="AM9" s="41"/>
      <c r="AN9" s="41"/>
      <c r="AO9" s="49"/>
      <c r="AP9" s="41"/>
      <c r="AQ9" s="41"/>
      <c r="AR9" s="41"/>
      <c r="AS9" s="41"/>
      <c r="AT9" s="41"/>
      <c r="AU9" s="41"/>
      <c r="AV9" s="41"/>
      <c r="AW9" s="41"/>
      <c r="AX9" s="41"/>
      <c r="AY9" s="41"/>
      <c r="BA9" s="6"/>
      <c r="BB9" s="7"/>
      <c r="BC9" s="7"/>
      <c r="BD9" s="7"/>
      <c r="BE9" s="7"/>
      <c r="BF9" s="7"/>
      <c r="BG9" s="7"/>
      <c r="BH9" s="7"/>
      <c r="BI9" s="7"/>
      <c r="BK9" s="39"/>
      <c r="BL9" s="39"/>
      <c r="BM9"/>
      <c r="BN9"/>
      <c r="BO9"/>
      <c r="BP9"/>
      <c r="BQ9"/>
      <c r="BR9"/>
      <c r="BS9"/>
      <c r="BT9"/>
      <c r="BU9"/>
      <c r="BV9" s="50"/>
      <c r="BX9" s="49"/>
      <c r="BY9" s="49"/>
      <c r="BZ9" s="49"/>
      <c r="CA9" s="49"/>
      <c r="CB9" s="49"/>
      <c r="CC9" s="49"/>
      <c r="CD9" s="49"/>
      <c r="CE9" s="49"/>
      <c r="CF9" s="49"/>
      <c r="CH9" s="7"/>
      <c r="CI9" s="7"/>
      <c r="CJ9" s="7"/>
      <c r="CK9" s="7"/>
      <c r="CL9" s="7"/>
      <c r="CM9" s="7"/>
      <c r="CN9" s="7"/>
      <c r="CO9" s="7"/>
      <c r="CP9" s="7"/>
    </row>
    <row r="10" spans="1:94" ht="14.4" x14ac:dyDescent="0.3">
      <c r="A10" s="138">
        <v>6</v>
      </c>
      <c r="B10" s="4"/>
      <c r="C10" s="44">
        <f>'Life table (HE)'!B$6</f>
        <v>1E-3</v>
      </c>
      <c r="E10" s="45">
        <f t="shared" si="6"/>
        <v>1E-3</v>
      </c>
      <c r="F10" s="46">
        <f t="shared" si="7"/>
        <v>9.9950016662497809E-4</v>
      </c>
      <c r="G10" s="37">
        <f t="shared" si="8"/>
        <v>95647.560009362045</v>
      </c>
      <c r="H10" s="41">
        <f t="shared" si="9"/>
        <v>95.599752166629955</v>
      </c>
      <c r="I10" s="41">
        <f>SUM($H$4:H9)</f>
        <v>4352.4399906379376</v>
      </c>
      <c r="J10" s="37">
        <f t="shared" si="0"/>
        <v>95599.760133278731</v>
      </c>
      <c r="K10" s="37">
        <f>SUM(J10:J$113)</f>
        <v>5637728.8158158921</v>
      </c>
      <c r="L10" s="47">
        <f t="shared" si="1"/>
        <v>58.972206708010056</v>
      </c>
      <c r="M10" s="37">
        <f>(G11+0.5*H10)/(1+'General input'!$C$114)^A10</f>
        <v>71338.012926221054</v>
      </c>
      <c r="N10" s="37">
        <f>SUM(M10:M$113)</f>
        <v>1365180.6986818498</v>
      </c>
      <c r="O10" s="37">
        <f t="shared" si="2"/>
        <v>19.13679177038113</v>
      </c>
      <c r="Q10" s="44">
        <v>0</v>
      </c>
      <c r="S10" s="48">
        <f t="shared" si="10"/>
        <v>0</v>
      </c>
      <c r="T10" s="37">
        <f ca="1">SUM(S10:S$115)</f>
        <v>31686744522.765831</v>
      </c>
      <c r="U10" s="47">
        <f t="shared" ca="1" si="3"/>
        <v>331452.13417471247</v>
      </c>
      <c r="V10" s="37">
        <f>S10/(1+'General input'!$C$113)^A10</f>
        <v>0</v>
      </c>
      <c r="W10" s="37">
        <f ca="1">SUM(V10:V$115)</f>
        <v>6047725834.1629095</v>
      </c>
      <c r="X10" s="202">
        <f t="shared" ca="1" si="4"/>
        <v>84775.641850545609</v>
      </c>
      <c r="Y10" s="47"/>
      <c r="Z10" s="37">
        <f t="shared" si="11"/>
        <v>6.5</v>
      </c>
      <c r="AA10" s="37">
        <f t="shared" si="5"/>
        <v>621.39838908309468</v>
      </c>
      <c r="AC10" s="4"/>
      <c r="AF10" s="4"/>
      <c r="AI10" s="4"/>
      <c r="AM10" s="41"/>
      <c r="AN10" s="41"/>
      <c r="AO10" s="49"/>
      <c r="AP10" s="41"/>
      <c r="AQ10" s="41"/>
      <c r="AR10" s="41"/>
      <c r="AS10" s="41"/>
      <c r="AT10" s="41"/>
      <c r="AU10" s="41"/>
      <c r="AV10" s="41"/>
      <c r="AW10" s="41"/>
      <c r="AX10" s="41"/>
      <c r="AY10" s="41"/>
      <c r="BA10" s="6"/>
      <c r="BB10" s="7"/>
      <c r="BC10" s="7"/>
      <c r="BD10" s="7"/>
      <c r="BE10" s="7"/>
      <c r="BF10" s="7"/>
      <c r="BG10" s="7"/>
      <c r="BH10" s="7"/>
      <c r="BI10" s="7"/>
      <c r="BK10" s="39"/>
      <c r="BL10" s="39"/>
      <c r="BM10"/>
      <c r="BN10"/>
      <c r="BO10"/>
      <c r="BP10"/>
      <c r="BQ10"/>
      <c r="BR10"/>
      <c r="BS10"/>
      <c r="BT10"/>
      <c r="BU10"/>
      <c r="BV10" s="50"/>
      <c r="BX10" s="49"/>
      <c r="BY10" s="49"/>
      <c r="BZ10" s="49"/>
      <c r="CA10" s="49"/>
      <c r="CB10" s="49"/>
      <c r="CC10" s="49"/>
      <c r="CD10" s="49"/>
      <c r="CE10" s="49"/>
      <c r="CF10" s="49"/>
      <c r="CH10" s="7"/>
      <c r="CI10" s="7"/>
      <c r="CJ10" s="7"/>
      <c r="CK10" s="7"/>
      <c r="CL10" s="7"/>
      <c r="CM10" s="7"/>
      <c r="CN10" s="7"/>
      <c r="CO10" s="7"/>
      <c r="CP10" s="7"/>
    </row>
    <row r="11" spans="1:94" ht="14.4" x14ac:dyDescent="0.3">
      <c r="A11" s="138">
        <v>7</v>
      </c>
      <c r="B11" s="4"/>
      <c r="C11" s="44">
        <f>'Life table (HE)'!B$6</f>
        <v>1E-3</v>
      </c>
      <c r="E11" s="45">
        <f t="shared" si="6"/>
        <v>1E-3</v>
      </c>
      <c r="F11" s="46">
        <f t="shared" si="7"/>
        <v>9.9950016662497809E-4</v>
      </c>
      <c r="G11" s="37">
        <f t="shared" si="8"/>
        <v>95551.960257195416</v>
      </c>
      <c r="H11" s="41">
        <f t="shared" si="9"/>
        <v>95.504200198410103</v>
      </c>
      <c r="I11" s="41">
        <f>SUM($H$4:H10)</f>
        <v>4448.0397428045671</v>
      </c>
      <c r="J11" s="37">
        <f t="shared" si="0"/>
        <v>95504.208157096204</v>
      </c>
      <c r="K11" s="37">
        <f>SUM(J11:J$113)</f>
        <v>5542129.0556826135</v>
      </c>
      <c r="L11" s="47">
        <f t="shared" si="1"/>
        <v>58.030207910485871</v>
      </c>
      <c r="M11" s="37">
        <f>(G12+0.5*H11)/(1+'General input'!$C$114)^A11</f>
        <v>67873.057686109125</v>
      </c>
      <c r="N11" s="37">
        <f>SUM(M11:M$113)</f>
        <v>1293842.6857556286</v>
      </c>
      <c r="O11" s="37">
        <f t="shared" si="2"/>
        <v>19.062684515249501</v>
      </c>
      <c r="Q11" s="44">
        <v>0</v>
      </c>
      <c r="S11" s="48">
        <f t="shared" si="10"/>
        <v>0</v>
      </c>
      <c r="T11" s="37">
        <f ca="1">SUM(S11:S$115)</f>
        <v>31686744522.765831</v>
      </c>
      <c r="U11" s="47">
        <f t="shared" ca="1" si="3"/>
        <v>331783.75209021015</v>
      </c>
      <c r="V11" s="37">
        <f>S11/(1+'General input'!$C$113)^A11</f>
        <v>0</v>
      </c>
      <c r="W11" s="37">
        <f ca="1">SUM(V11:V$115)</f>
        <v>6047725834.1629095</v>
      </c>
      <c r="X11" s="202">
        <f t="shared" ca="1" si="4"/>
        <v>89103.482889067411</v>
      </c>
      <c r="Y11" s="47"/>
      <c r="Z11" s="37">
        <f t="shared" si="11"/>
        <v>7.5</v>
      </c>
      <c r="AA11" s="37">
        <f t="shared" si="5"/>
        <v>716.28150148807572</v>
      </c>
      <c r="AC11" s="4"/>
      <c r="AF11" s="4"/>
      <c r="AI11" s="4"/>
      <c r="AM11" s="41"/>
      <c r="AN11" s="41"/>
      <c r="AO11" s="49"/>
      <c r="AP11" s="41"/>
      <c r="AQ11" s="41"/>
      <c r="AR11" s="41"/>
      <c r="AS11" s="41"/>
      <c r="AT11" s="41"/>
      <c r="AU11" s="41"/>
      <c r="AV11" s="41"/>
      <c r="AW11" s="41"/>
      <c r="AX11" s="41"/>
      <c r="AY11" s="41"/>
      <c r="BA11" s="6"/>
      <c r="BB11" s="7"/>
      <c r="BC11" s="7"/>
      <c r="BD11" s="7"/>
      <c r="BE11" s="7"/>
      <c r="BF11" s="7"/>
      <c r="BG11" s="7"/>
      <c r="BH11" s="7"/>
      <c r="BI11" s="7"/>
      <c r="BK11" s="39"/>
      <c r="BL11" s="39"/>
      <c r="BM11"/>
      <c r="BN11"/>
      <c r="BO11"/>
      <c r="BP11"/>
      <c r="BQ11"/>
      <c r="BR11"/>
      <c r="BS11"/>
      <c r="BT11"/>
      <c r="BU11"/>
      <c r="BV11" s="50"/>
      <c r="BX11" s="49"/>
      <c r="BY11" s="49"/>
      <c r="BZ11" s="49"/>
      <c r="CA11" s="49"/>
      <c r="CB11" s="49"/>
      <c r="CC11" s="49"/>
      <c r="CD11" s="49"/>
      <c r="CE11" s="49"/>
      <c r="CF11" s="49"/>
      <c r="CH11" s="7"/>
      <c r="CI11" s="7"/>
      <c r="CJ11" s="7"/>
      <c r="CK11" s="7"/>
      <c r="CL11" s="7"/>
      <c r="CM11" s="7"/>
      <c r="CN11" s="7"/>
      <c r="CO11" s="7"/>
      <c r="CP11" s="7"/>
    </row>
    <row r="12" spans="1:94" ht="14.4" x14ac:dyDescent="0.3">
      <c r="A12" s="138">
        <v>8</v>
      </c>
      <c r="B12" s="4"/>
      <c r="C12" s="44">
        <f>'Life table (HE)'!B$6</f>
        <v>1E-3</v>
      </c>
      <c r="E12" s="45">
        <f t="shared" si="6"/>
        <v>1E-3</v>
      </c>
      <c r="F12" s="46">
        <f t="shared" si="7"/>
        <v>9.9950016662497809E-4</v>
      </c>
      <c r="G12" s="37">
        <f t="shared" si="8"/>
        <v>95456.456056997005</v>
      </c>
      <c r="H12" s="41">
        <f t="shared" si="9"/>
        <v>95.408743734398399</v>
      </c>
      <c r="I12" s="41">
        <f>SUM($H$4:H11)</f>
        <v>4543.5439430029774</v>
      </c>
      <c r="J12" s="37">
        <f t="shared" si="0"/>
        <v>95408.751685129799</v>
      </c>
      <c r="K12" s="37">
        <f>SUM(J12:J$113)</f>
        <v>5446624.8475255165</v>
      </c>
      <c r="L12" s="47">
        <f t="shared" si="1"/>
        <v>57.087266643007716</v>
      </c>
      <c r="M12" s="37">
        <f>(G13+0.5*H12)/(1+'General input'!$C$114)^A12</f>
        <v>64576.398622516688</v>
      </c>
      <c r="N12" s="37">
        <f>SUM(M12:M$113)</f>
        <v>1225969.6280695198</v>
      </c>
      <c r="O12" s="37">
        <f t="shared" si="2"/>
        <v>18.98479404582412</v>
      </c>
      <c r="Q12" s="44">
        <v>0</v>
      </c>
      <c r="S12" s="48">
        <f t="shared" si="10"/>
        <v>0</v>
      </c>
      <c r="T12" s="37">
        <f ca="1">SUM(S12:S$115)</f>
        <v>31686744522.765831</v>
      </c>
      <c r="U12" s="47">
        <f t="shared" ca="1" si="3"/>
        <v>332115.7017894875</v>
      </c>
      <c r="V12" s="37">
        <f>S12/(1+'General input'!$C$113)^A12</f>
        <v>0</v>
      </c>
      <c r="W12" s="37">
        <f ca="1">SUM(V12:V$115)</f>
        <v>6047725834.1629095</v>
      </c>
      <c r="X12" s="202">
        <f t="shared" ca="1" si="4"/>
        <v>93652.262485479805</v>
      </c>
      <c r="Y12" s="47"/>
      <c r="Z12" s="37">
        <f t="shared" si="11"/>
        <v>8.5</v>
      </c>
      <c r="AA12" s="37">
        <f t="shared" si="5"/>
        <v>810.97432174238634</v>
      </c>
      <c r="AC12" s="4"/>
      <c r="AF12" s="4"/>
      <c r="AI12" s="4"/>
      <c r="AM12" s="41"/>
      <c r="AN12" s="41"/>
      <c r="AO12" s="49"/>
      <c r="AP12" s="51"/>
      <c r="AQ12" s="41"/>
      <c r="AR12" s="41"/>
      <c r="AS12" s="41"/>
      <c r="AT12" s="41"/>
      <c r="AU12" s="41"/>
      <c r="AV12" s="41"/>
      <c r="AW12" s="41"/>
      <c r="AX12" s="41"/>
      <c r="AY12" s="41"/>
      <c r="BA12" s="6"/>
      <c r="BB12" s="7"/>
      <c r="BC12" s="7"/>
      <c r="BD12" s="7"/>
      <c r="BE12" s="7"/>
      <c r="BF12" s="7"/>
      <c r="BG12" s="7"/>
      <c r="BH12" s="7"/>
      <c r="BI12" s="7"/>
      <c r="BK12" s="39"/>
      <c r="BL12" s="39"/>
      <c r="BM12"/>
      <c r="BN12"/>
      <c r="BO12"/>
      <c r="BP12"/>
      <c r="BQ12"/>
      <c r="BR12"/>
      <c r="BS12"/>
      <c r="BT12"/>
      <c r="BU12"/>
      <c r="BV12" s="50"/>
      <c r="BX12" s="49"/>
      <c r="BY12" s="49"/>
      <c r="BZ12" s="49"/>
      <c r="CA12" s="49"/>
      <c r="CB12" s="49"/>
      <c r="CC12" s="49"/>
      <c r="CD12" s="49"/>
      <c r="CE12" s="49"/>
      <c r="CF12" s="49"/>
      <c r="CH12" s="7"/>
      <c r="CI12" s="7"/>
      <c r="CJ12" s="7"/>
      <c r="CK12" s="7"/>
      <c r="CL12" s="7"/>
      <c r="CM12" s="7"/>
      <c r="CN12" s="7"/>
      <c r="CO12" s="7"/>
      <c r="CP12" s="7"/>
    </row>
    <row r="13" spans="1:94" ht="14.4" x14ac:dyDescent="0.3">
      <c r="A13" s="138">
        <v>9</v>
      </c>
      <c r="B13" s="4"/>
      <c r="C13" s="44">
        <f>'Life table (HE)'!B$6</f>
        <v>1E-3</v>
      </c>
      <c r="E13" s="45">
        <f t="shared" si="6"/>
        <v>1E-3</v>
      </c>
      <c r="F13" s="46">
        <f t="shared" si="7"/>
        <v>9.9950016662497809E-4</v>
      </c>
      <c r="G13" s="37">
        <f t="shared" si="8"/>
        <v>95361.047313262607</v>
      </c>
      <c r="H13" s="41">
        <f t="shared" si="9"/>
        <v>95.3133826791384</v>
      </c>
      <c r="I13" s="41">
        <f>SUM($H$4:H12)</f>
        <v>4638.9526867373761</v>
      </c>
      <c r="J13" s="37">
        <f t="shared" si="0"/>
        <v>95313.390621923027</v>
      </c>
      <c r="K13" s="37">
        <f>SUM(J13:J$113)</f>
        <v>5351216.095840387</v>
      </c>
      <c r="L13" s="47">
        <f t="shared" si="1"/>
        <v>56.143381962634265</v>
      </c>
      <c r="M13" s="37">
        <f>(G14+0.5*H13)/(1+'General input'!$C$114)^A13</f>
        <v>61439.861429841367</v>
      </c>
      <c r="N13" s="37">
        <f>SUM(M13:M$113)</f>
        <v>1161393.2294470028</v>
      </c>
      <c r="O13" s="37">
        <f t="shared" si="2"/>
        <v>18.902927227028439</v>
      </c>
      <c r="Q13" s="44">
        <v>0</v>
      </c>
      <c r="S13" s="48">
        <f t="shared" si="10"/>
        <v>0</v>
      </c>
      <c r="T13" s="37">
        <f ca="1">SUM(S13:S$115)</f>
        <v>31686744522.765831</v>
      </c>
      <c r="U13" s="47">
        <f t="shared" ca="1" si="3"/>
        <v>332447.98360449437</v>
      </c>
      <c r="V13" s="37">
        <f>S13/(1+'General input'!$C$113)^A13</f>
        <v>0</v>
      </c>
      <c r="W13" s="37">
        <f ca="1">SUM(V13:V$115)</f>
        <v>6047725834.1629095</v>
      </c>
      <c r="X13" s="202">
        <f t="shared" ca="1" si="4"/>
        <v>98433.259669194609</v>
      </c>
      <c r="Y13" s="47"/>
      <c r="Z13" s="37">
        <f t="shared" si="11"/>
        <v>9.5</v>
      </c>
      <c r="AA13" s="37">
        <f t="shared" si="5"/>
        <v>905.47713545181477</v>
      </c>
      <c r="AC13" s="4"/>
      <c r="AF13" s="4"/>
      <c r="AI13" s="4"/>
      <c r="AM13" s="41"/>
      <c r="AN13" s="41"/>
      <c r="AO13" s="49"/>
      <c r="AP13" s="51"/>
      <c r="AQ13" s="41"/>
      <c r="AR13" s="41"/>
      <c r="AS13" s="41"/>
      <c r="AT13" s="41"/>
      <c r="AU13" s="41"/>
      <c r="AV13" s="41"/>
      <c r="AW13" s="41"/>
      <c r="AX13" s="41"/>
      <c r="AY13" s="41"/>
      <c r="BA13" s="6"/>
      <c r="BB13" s="7"/>
      <c r="BC13" s="7"/>
      <c r="BD13" s="7"/>
      <c r="BE13" s="7"/>
      <c r="BF13" s="7"/>
      <c r="BG13" s="7"/>
      <c r="BH13" s="7"/>
      <c r="BI13" s="7"/>
      <c r="BK13" s="39"/>
      <c r="BL13" s="39"/>
      <c r="BM13"/>
      <c r="BN13"/>
      <c r="BO13"/>
      <c r="BP13"/>
      <c r="BQ13"/>
      <c r="BR13"/>
      <c r="BS13"/>
      <c r="BT13"/>
      <c r="BU13"/>
      <c r="BV13" s="50"/>
      <c r="BX13" s="49"/>
      <c r="BY13" s="49"/>
      <c r="BZ13" s="49"/>
      <c r="CA13" s="49"/>
      <c r="CB13" s="49"/>
      <c r="CC13" s="49"/>
      <c r="CD13" s="49"/>
      <c r="CE13" s="49"/>
      <c r="CF13" s="49"/>
      <c r="CH13" s="7"/>
      <c r="CI13" s="7"/>
      <c r="CJ13" s="7"/>
      <c r="CK13" s="7"/>
      <c r="CL13" s="7"/>
      <c r="CM13" s="7"/>
      <c r="CN13" s="7"/>
      <c r="CO13" s="7"/>
      <c r="CP13" s="7"/>
    </row>
    <row r="14" spans="1:94" ht="14.4" x14ac:dyDescent="0.3">
      <c r="A14" s="138">
        <v>10</v>
      </c>
      <c r="B14" s="4"/>
      <c r="C14" s="44">
        <f>'Life table (HE)'!B$7</f>
        <v>1E-3</v>
      </c>
      <c r="E14" s="45">
        <f t="shared" si="6"/>
        <v>1E-3</v>
      </c>
      <c r="F14" s="46">
        <f t="shared" si="7"/>
        <v>9.9950016662497809E-4</v>
      </c>
      <c r="G14" s="37">
        <f t="shared" si="8"/>
        <v>95265.733930583461</v>
      </c>
      <c r="H14" s="41">
        <f t="shared" si="9"/>
        <v>95.218116937269002</v>
      </c>
      <c r="I14" s="41">
        <f>SUM($H$4:H13)</f>
        <v>4734.2660694165143</v>
      </c>
      <c r="J14" s="37">
        <f t="shared" si="0"/>
        <v>95218.124872114829</v>
      </c>
      <c r="K14" s="37">
        <f>SUM(J14:J$113)</f>
        <v>5255902.7052184641</v>
      </c>
      <c r="L14" s="47">
        <f t="shared" si="1"/>
        <v>55.19855292548074</v>
      </c>
      <c r="M14" s="37">
        <f>(G15+0.5*H14)/(1+'General input'!$C$114)^A14</f>
        <v>58455.668836290315</v>
      </c>
      <c r="N14" s="37">
        <f>SUM(M14:M$113)</f>
        <v>1099953.3680171613</v>
      </c>
      <c r="O14" s="37">
        <f t="shared" si="2"/>
        <v>18.816881064138826</v>
      </c>
      <c r="Q14" s="44">
        <v>0</v>
      </c>
      <c r="S14" s="48">
        <f t="shared" si="10"/>
        <v>0</v>
      </c>
      <c r="T14" s="37">
        <f ca="1">SUM(S14:S$115)</f>
        <v>31686744522.765831</v>
      </c>
      <c r="U14" s="47">
        <f t="shared" ca="1" si="3"/>
        <v>332780.59786751244</v>
      </c>
      <c r="V14" s="37">
        <f>S14/(1+'General input'!$C$113)^A14</f>
        <v>0</v>
      </c>
      <c r="W14" s="37">
        <f ca="1">SUM(V14:V$115)</f>
        <v>6047725834.1629095</v>
      </c>
      <c r="X14" s="202">
        <f t="shared" ca="1" si="4"/>
        <v>103458.32926999843</v>
      </c>
      <c r="Y14" s="47"/>
      <c r="Z14" s="37">
        <f t="shared" si="11"/>
        <v>10.5</v>
      </c>
      <c r="AA14" s="37">
        <f t="shared" si="5"/>
        <v>999.79022784132451</v>
      </c>
      <c r="AC14" s="4"/>
      <c r="AF14" s="4"/>
      <c r="AI14" s="4"/>
      <c r="AM14" s="41"/>
      <c r="AN14" s="41"/>
      <c r="AO14" s="49"/>
      <c r="AP14" s="51"/>
      <c r="AQ14" s="41"/>
      <c r="AR14" s="41"/>
      <c r="AS14" s="41"/>
      <c r="AT14" s="41"/>
      <c r="AU14" s="41"/>
      <c r="AV14" s="41"/>
      <c r="AW14" s="41"/>
      <c r="AX14" s="41"/>
      <c r="AY14" s="41"/>
      <c r="BA14" s="6"/>
      <c r="BB14" s="7"/>
      <c r="BC14" s="7"/>
      <c r="BD14" s="7"/>
      <c r="BE14" s="7"/>
      <c r="BF14" s="7"/>
      <c r="BG14" s="7"/>
      <c r="BH14" s="7"/>
      <c r="BI14" s="7"/>
      <c r="BK14" s="39"/>
      <c r="BL14" s="39"/>
      <c r="BM14"/>
      <c r="BN14"/>
      <c r="BO14"/>
      <c r="BP14"/>
      <c r="BQ14"/>
      <c r="BR14"/>
      <c r="BS14"/>
      <c r="BT14"/>
      <c r="BU14"/>
      <c r="BV14" s="50"/>
      <c r="BX14" s="49"/>
      <c r="BY14" s="49"/>
      <c r="BZ14" s="49"/>
      <c r="CA14" s="49"/>
      <c r="CB14" s="49"/>
      <c r="CC14" s="49"/>
      <c r="CD14" s="49"/>
      <c r="CE14" s="49"/>
      <c r="CF14" s="49"/>
      <c r="CH14" s="7"/>
      <c r="CI14" s="7"/>
      <c r="CJ14" s="7"/>
      <c r="CK14" s="7"/>
      <c r="CL14" s="7"/>
      <c r="CM14" s="7"/>
      <c r="CN14" s="7"/>
      <c r="CO14" s="7"/>
      <c r="CP14" s="7"/>
    </row>
    <row r="15" spans="1:94" ht="14.4" x14ac:dyDescent="0.3">
      <c r="A15" s="138">
        <v>11</v>
      </c>
      <c r="B15" s="4"/>
      <c r="C15" s="44">
        <f>'Life table (HE)'!B$7</f>
        <v>1E-3</v>
      </c>
      <c r="E15" s="45">
        <f t="shared" si="6"/>
        <v>1E-3</v>
      </c>
      <c r="F15" s="46">
        <f t="shared" si="7"/>
        <v>9.9950016662497809E-4</v>
      </c>
      <c r="G15" s="37">
        <f t="shared" si="8"/>
        <v>95170.515813646198</v>
      </c>
      <c r="H15" s="41">
        <f t="shared" si="9"/>
        <v>95.122946413524488</v>
      </c>
      <c r="I15" s="41">
        <f>SUM($H$4:H14)</f>
        <v>4829.4841863537831</v>
      </c>
      <c r="J15" s="37">
        <f t="shared" si="0"/>
        <v>95122.954340439435</v>
      </c>
      <c r="K15" s="37">
        <f>SUM(J15:J$113)</f>
        <v>5160684.5803463496</v>
      </c>
      <c r="L15" s="47">
        <f t="shared" si="1"/>
        <v>54.25277858671803</v>
      </c>
      <c r="M15" s="37">
        <f>(G16+0.5*H15)/(1+'General input'!$C$114)^A15</f>
        <v>55616.421319569774</v>
      </c>
      <c r="N15" s="37">
        <f>SUM(M15:M$113)</f>
        <v>1041497.6991808716</v>
      </c>
      <c r="O15" s="37">
        <f t="shared" si="2"/>
        <v>18.726442199444417</v>
      </c>
      <c r="Q15" s="44">
        <v>0</v>
      </c>
      <c r="S15" s="48">
        <f t="shared" si="10"/>
        <v>0</v>
      </c>
      <c r="T15" s="37">
        <f ca="1">SUM(S15:S$115)</f>
        <v>31686744522.765831</v>
      </c>
      <c r="U15" s="47">
        <f t="shared" ca="1" si="3"/>
        <v>333113.54491115618</v>
      </c>
      <c r="V15" s="37">
        <f>S15/(1+'General input'!$C$113)^A15</f>
        <v>0</v>
      </c>
      <c r="W15" s="37">
        <f ca="1">SUM(V15:V$115)</f>
        <v>6047725834.1629095</v>
      </c>
      <c r="X15" s="202">
        <f t="shared" ca="1" si="4"/>
        <v>108739.93131296446</v>
      </c>
      <c r="Y15" s="47"/>
      <c r="Z15" s="37">
        <f t="shared" si="11"/>
        <v>11.5</v>
      </c>
      <c r="AA15" s="37">
        <f t="shared" si="5"/>
        <v>1093.9138837555315</v>
      </c>
      <c r="AC15" s="4"/>
      <c r="AF15" s="4"/>
      <c r="AI15" s="4"/>
      <c r="AM15" s="41"/>
      <c r="AN15" s="41"/>
      <c r="AO15" s="49"/>
      <c r="AP15" s="51"/>
      <c r="AQ15" s="41"/>
      <c r="AR15" s="41"/>
      <c r="AS15" s="41"/>
      <c r="AT15" s="41"/>
      <c r="AU15" s="41"/>
      <c r="AV15" s="41"/>
      <c r="AW15" s="41"/>
      <c r="AX15" s="41"/>
      <c r="AY15" s="41"/>
      <c r="BA15" s="6"/>
      <c r="BB15" s="7"/>
      <c r="BC15" s="7"/>
      <c r="BD15" s="7"/>
      <c r="BE15" s="7"/>
      <c r="BF15" s="7"/>
      <c r="BG15" s="7"/>
      <c r="BH15" s="7"/>
      <c r="BI15" s="7"/>
      <c r="BK15" s="39"/>
      <c r="BL15" s="39"/>
      <c r="BM15"/>
      <c r="BN15"/>
      <c r="BO15"/>
      <c r="BP15"/>
      <c r="BQ15"/>
      <c r="BR15"/>
      <c r="BS15"/>
      <c r="BT15"/>
      <c r="BU15"/>
      <c r="BV15" s="50"/>
      <c r="BX15" s="49"/>
      <c r="BY15" s="49"/>
      <c r="BZ15" s="49"/>
      <c r="CA15" s="49"/>
      <c r="CB15" s="49"/>
      <c r="CC15" s="49"/>
      <c r="CD15" s="49"/>
      <c r="CE15" s="49"/>
      <c r="CF15" s="49"/>
      <c r="CH15" s="7"/>
      <c r="CI15" s="7"/>
      <c r="CJ15" s="7"/>
      <c r="CK15" s="7"/>
      <c r="CL15" s="7"/>
      <c r="CM15" s="7"/>
      <c r="CN15" s="7"/>
      <c r="CO15" s="7"/>
      <c r="CP15" s="7"/>
    </row>
    <row r="16" spans="1:94" ht="14.4" x14ac:dyDescent="0.3">
      <c r="A16" s="138">
        <v>12</v>
      </c>
      <c r="B16" s="4"/>
      <c r="C16" s="44">
        <f>'Life table (HE)'!B$7</f>
        <v>1E-3</v>
      </c>
      <c r="E16" s="45">
        <f t="shared" si="6"/>
        <v>1E-3</v>
      </c>
      <c r="F16" s="46">
        <f t="shared" si="7"/>
        <v>9.9950016662497809E-4</v>
      </c>
      <c r="G16" s="37">
        <f t="shared" si="8"/>
        <v>95075.392867232673</v>
      </c>
      <c r="H16" s="41">
        <f t="shared" si="9"/>
        <v>95.027871012734309</v>
      </c>
      <c r="I16" s="41">
        <f>SUM($H$4:H15)</f>
        <v>4924.607132767308</v>
      </c>
      <c r="J16" s="37">
        <f t="shared" si="0"/>
        <v>95027.878931726314</v>
      </c>
      <c r="K16" s="37">
        <f>SUM(J16:J$113)</f>
        <v>5065561.6260059094</v>
      </c>
      <c r="L16" s="47">
        <f t="shared" si="1"/>
        <v>53.30605800057171</v>
      </c>
      <c r="M16" s="37">
        <f>(G17+0.5*H16)/(1+'General input'!$C$114)^A16</f>
        <v>52915.078759232179</v>
      </c>
      <c r="N16" s="37">
        <f>SUM(M16:M$113)</f>
        <v>985881.2778613019</v>
      </c>
      <c r="O16" s="37">
        <f t="shared" si="2"/>
        <v>18.631386383211112</v>
      </c>
      <c r="Q16" s="44">
        <v>0</v>
      </c>
      <c r="S16" s="48">
        <f t="shared" si="10"/>
        <v>0</v>
      </c>
      <c r="T16" s="37">
        <f ca="1">SUM(S16:S$115)</f>
        <v>31686744522.765831</v>
      </c>
      <c r="U16" s="47">
        <f t="shared" ca="1" si="3"/>
        <v>333446.82506837253</v>
      </c>
      <c r="V16" s="37">
        <f>S16/(1+'General input'!$C$113)^A16</f>
        <v>0</v>
      </c>
      <c r="W16" s="37">
        <f ca="1">SUM(V16:V$115)</f>
        <v>6047725834.1629095</v>
      </c>
      <c r="X16" s="202">
        <f t="shared" ca="1" si="4"/>
        <v>114291.16191398946</v>
      </c>
      <c r="Y16" s="47"/>
      <c r="Z16" s="37">
        <f t="shared" si="11"/>
        <v>12.5</v>
      </c>
      <c r="AA16" s="37">
        <f t="shared" si="5"/>
        <v>1187.8483876591788</v>
      </c>
      <c r="AC16" s="4"/>
      <c r="AF16" s="4"/>
      <c r="AI16" s="4"/>
      <c r="AM16" s="41"/>
      <c r="AN16" s="41"/>
      <c r="AO16" s="49"/>
      <c r="AP16" s="51"/>
      <c r="AQ16" s="41"/>
      <c r="AR16" s="41"/>
      <c r="AS16" s="41"/>
      <c r="AT16" s="41"/>
      <c r="AU16" s="41"/>
      <c r="AV16" s="41"/>
      <c r="AW16" s="41"/>
      <c r="AX16" s="41"/>
      <c r="AY16" s="41"/>
      <c r="BA16" s="6"/>
      <c r="BB16" s="7"/>
      <c r="BC16" s="7"/>
      <c r="BD16" s="7"/>
      <c r="BE16" s="7"/>
      <c r="BF16" s="7"/>
      <c r="BG16" s="7"/>
      <c r="BH16" s="7"/>
      <c r="BI16" s="7"/>
      <c r="BK16" s="39"/>
      <c r="BL16" s="39"/>
      <c r="BM16"/>
      <c r="BN16"/>
      <c r="BO16"/>
      <c r="BP16"/>
      <c r="BQ16"/>
      <c r="BR16"/>
      <c r="BS16"/>
      <c r="BT16"/>
      <c r="BU16"/>
      <c r="BV16" s="50"/>
      <c r="BX16" s="49"/>
      <c r="BY16" s="49"/>
      <c r="BZ16" s="49"/>
      <c r="CA16" s="49"/>
      <c r="CB16" s="49"/>
      <c r="CC16" s="49"/>
      <c r="CD16" s="49"/>
      <c r="CE16" s="49"/>
      <c r="CF16" s="49"/>
      <c r="CH16" s="7"/>
      <c r="CI16" s="7"/>
      <c r="CJ16" s="7"/>
      <c r="CK16" s="7"/>
      <c r="CL16" s="7"/>
      <c r="CM16" s="7"/>
      <c r="CN16" s="7"/>
      <c r="CO16" s="7"/>
      <c r="CP16" s="7"/>
    </row>
    <row r="17" spans="1:94" ht="14.4" x14ac:dyDescent="0.3">
      <c r="A17" s="138">
        <v>13</v>
      </c>
      <c r="B17" s="4"/>
      <c r="C17" s="44">
        <f>'Life table (HE)'!B$7</f>
        <v>1E-3</v>
      </c>
      <c r="E17" s="45">
        <f t="shared" si="6"/>
        <v>1E-3</v>
      </c>
      <c r="F17" s="46">
        <f t="shared" si="7"/>
        <v>9.9950016662497809E-4</v>
      </c>
      <c r="G17" s="37">
        <f t="shared" si="8"/>
        <v>94980.364996219942</v>
      </c>
      <c r="H17" s="41">
        <f t="shared" si="9"/>
        <v>94.932890639823071</v>
      </c>
      <c r="I17" s="41">
        <f>SUM($H$4:H16)</f>
        <v>5019.6350037800421</v>
      </c>
      <c r="J17" s="37">
        <f t="shared" si="0"/>
        <v>94932.898550900019</v>
      </c>
      <c r="K17" s="37">
        <f>SUM(J17:J$113)</f>
        <v>4970533.747074184</v>
      </c>
      <c r="L17" s="47">
        <f t="shared" si="1"/>
        <v>52.358390220321155</v>
      </c>
      <c r="M17" s="37">
        <f>(G18+0.5*H17)/(1+'General input'!$C$114)^A17</f>
        <v>50344.942980186039</v>
      </c>
      <c r="N17" s="37">
        <f>SUM(M17:M$113)</f>
        <v>932966.19910206972</v>
      </c>
      <c r="O17" s="37">
        <f t="shared" si="2"/>
        <v>18.531477917638156</v>
      </c>
      <c r="Q17" s="44">
        <v>0</v>
      </c>
      <c r="S17" s="48">
        <f t="shared" si="10"/>
        <v>0</v>
      </c>
      <c r="T17" s="37">
        <f ca="1">SUM(S17:S$115)</f>
        <v>31686744522.765831</v>
      </c>
      <c r="U17" s="47">
        <f t="shared" ca="1" si="3"/>
        <v>333780.43867244187</v>
      </c>
      <c r="V17" s="37">
        <f>S17/(1+'General input'!$C$113)^A17</f>
        <v>0</v>
      </c>
      <c r="W17" s="37">
        <f ca="1">SUM(V17:V$115)</f>
        <v>6047725834.1629095</v>
      </c>
      <c r="X17" s="202">
        <f t="shared" ca="1" si="4"/>
        <v>120125.78575256461</v>
      </c>
      <c r="Y17" s="47"/>
      <c r="Z17" s="37">
        <f t="shared" si="11"/>
        <v>13.5</v>
      </c>
      <c r="AA17" s="37">
        <f t="shared" si="5"/>
        <v>1281.5940236376114</v>
      </c>
      <c r="AC17" s="4"/>
      <c r="AF17" s="4"/>
      <c r="AI17" s="4"/>
      <c r="AM17" s="41"/>
      <c r="AN17" s="41"/>
      <c r="AO17" s="49"/>
      <c r="AP17" s="51"/>
      <c r="AQ17" s="41"/>
      <c r="AR17" s="41"/>
      <c r="AS17" s="41"/>
      <c r="AT17" s="41"/>
      <c r="AU17" s="41"/>
      <c r="AV17" s="41"/>
      <c r="AW17" s="41"/>
      <c r="AX17" s="41"/>
      <c r="AY17" s="41"/>
      <c r="BA17" s="6"/>
      <c r="BB17" s="7"/>
      <c r="BC17" s="7"/>
      <c r="BD17" s="7"/>
      <c r="BE17" s="7"/>
      <c r="BF17" s="7"/>
      <c r="BG17" s="7"/>
      <c r="BH17" s="7"/>
      <c r="BI17" s="7"/>
      <c r="BK17" s="39"/>
      <c r="BL17" s="39"/>
      <c r="BM17"/>
      <c r="BN17"/>
      <c r="BO17"/>
      <c r="BP17"/>
      <c r="BQ17"/>
      <c r="BR17"/>
      <c r="BS17"/>
      <c r="BT17"/>
      <c r="BU17"/>
      <c r="BV17" s="50"/>
      <c r="BX17" s="49"/>
      <c r="BY17" s="49"/>
      <c r="BZ17" s="49"/>
      <c r="CA17" s="49"/>
      <c r="CB17" s="49"/>
      <c r="CC17" s="49"/>
      <c r="CD17" s="49"/>
      <c r="CE17" s="49"/>
      <c r="CF17" s="49"/>
      <c r="CH17" s="7"/>
      <c r="CI17" s="7"/>
      <c r="CJ17" s="7"/>
      <c r="CK17" s="7"/>
      <c r="CL17" s="7"/>
      <c r="CM17" s="7"/>
      <c r="CN17" s="7"/>
      <c r="CO17" s="7"/>
      <c r="CP17" s="7"/>
    </row>
    <row r="18" spans="1:94" ht="14.4" x14ac:dyDescent="0.3">
      <c r="A18" s="138">
        <v>14</v>
      </c>
      <c r="B18" s="4"/>
      <c r="C18" s="44">
        <f>'Life table (HE)'!B$7</f>
        <v>1E-3</v>
      </c>
      <c r="E18" s="45">
        <f t="shared" si="6"/>
        <v>1E-3</v>
      </c>
      <c r="F18" s="46">
        <f t="shared" si="7"/>
        <v>9.9950016662497809E-4</v>
      </c>
      <c r="G18" s="37">
        <f t="shared" si="8"/>
        <v>94885.432105580112</v>
      </c>
      <c r="H18" s="41">
        <f t="shared" si="9"/>
        <v>94.838005199810368</v>
      </c>
      <c r="I18" s="41">
        <f>SUM($H$4:H17)</f>
        <v>5114.5678944198653</v>
      </c>
      <c r="J18" s="37">
        <f t="shared" si="0"/>
        <v>94838.013102980214</v>
      </c>
      <c r="K18" s="37">
        <f>SUM(J18:J$113)</f>
        <v>4875600.8485232843</v>
      </c>
      <c r="L18" s="47">
        <f t="shared" si="1"/>
        <v>51.409774298298451</v>
      </c>
      <c r="M18" s="37">
        <f>(G19+0.5*H18)/(1+'General input'!$C$114)^A18</f>
        <v>47899.641144084409</v>
      </c>
      <c r="N18" s="37">
        <f>SUM(M18:M$113)</f>
        <v>882621.25612188363</v>
      </c>
      <c r="O18" s="37">
        <f t="shared" si="2"/>
        <v>18.426469072428262</v>
      </c>
      <c r="Q18" s="44">
        <v>0</v>
      </c>
      <c r="S18" s="48">
        <f t="shared" si="10"/>
        <v>0</v>
      </c>
      <c r="T18" s="37">
        <f ca="1">SUM(S18:S$115)</f>
        <v>31686744522.765831</v>
      </c>
      <c r="U18" s="47">
        <f t="shared" ca="1" si="3"/>
        <v>334114.38605697762</v>
      </c>
      <c r="V18" s="37">
        <f>S18/(1+'General input'!$C$113)^A18</f>
        <v>0</v>
      </c>
      <c r="W18" s="37">
        <f ca="1">SUM(V18:V$115)</f>
        <v>6047725834.1629095</v>
      </c>
      <c r="X18" s="202">
        <f t="shared" ca="1" si="4"/>
        <v>126258.27020229779</v>
      </c>
      <c r="Y18" s="47"/>
      <c r="Z18" s="37">
        <f t="shared" si="11"/>
        <v>14.5</v>
      </c>
      <c r="AA18" s="37">
        <f t="shared" si="5"/>
        <v>1375.1510753972502</v>
      </c>
      <c r="AC18" s="4"/>
      <c r="AF18" s="4"/>
      <c r="AI18" s="4"/>
      <c r="AM18" s="41"/>
      <c r="AN18" s="41"/>
      <c r="AO18" s="49"/>
      <c r="AP18" s="51"/>
      <c r="AQ18" s="41"/>
      <c r="AR18" s="41"/>
      <c r="AS18" s="41"/>
      <c r="AT18" s="41"/>
      <c r="AU18" s="41"/>
      <c r="AV18" s="41"/>
      <c r="AW18" s="41"/>
      <c r="AX18" s="41"/>
      <c r="AY18" s="41"/>
      <c r="BA18" s="6"/>
      <c r="BB18" s="7"/>
      <c r="BC18" s="7"/>
      <c r="BD18" s="7"/>
      <c r="BE18" s="7"/>
      <c r="BF18" s="7"/>
      <c r="BG18" s="7"/>
      <c r="BH18" s="7"/>
      <c r="BI18" s="7"/>
      <c r="BK18" s="39"/>
      <c r="BL18" s="39"/>
      <c r="BM18"/>
      <c r="BN18"/>
      <c r="BO18"/>
      <c r="BP18"/>
      <c r="BQ18"/>
      <c r="BR18"/>
      <c r="BS18"/>
      <c r="BT18"/>
      <c r="BU18"/>
      <c r="BV18" s="50"/>
      <c r="BX18" s="49"/>
      <c r="BY18" s="49"/>
      <c r="BZ18" s="49"/>
      <c r="CA18" s="49"/>
      <c r="CB18" s="49"/>
      <c r="CC18" s="49"/>
      <c r="CD18" s="49"/>
      <c r="CE18" s="49"/>
      <c r="CF18" s="49"/>
      <c r="CH18" s="7"/>
      <c r="CI18" s="7"/>
      <c r="CJ18" s="7"/>
      <c r="CK18" s="7"/>
      <c r="CL18" s="7"/>
      <c r="CM18" s="7"/>
      <c r="CN18" s="7"/>
      <c r="CO18" s="7"/>
      <c r="CP18" s="7"/>
    </row>
    <row r="19" spans="1:94" ht="14.4" x14ac:dyDescent="0.3">
      <c r="A19" s="138">
        <v>15</v>
      </c>
      <c r="B19" s="4"/>
      <c r="C19" s="44">
        <f>'Life table (HE)'!B$8</f>
        <v>1.5E-3</v>
      </c>
      <c r="E19" s="45">
        <f t="shared" si="6"/>
        <v>1.5E-3</v>
      </c>
      <c r="F19" s="46">
        <f t="shared" si="7"/>
        <v>1.4988755622891148E-3</v>
      </c>
      <c r="G19" s="37">
        <f t="shared" si="8"/>
        <v>94790.594100380302</v>
      </c>
      <c r="H19" s="41">
        <f t="shared" si="9"/>
        <v>142.07930503192676</v>
      </c>
      <c r="I19" s="41">
        <f>SUM($H$4:H18)</f>
        <v>5209.4058996196754</v>
      </c>
      <c r="J19" s="37">
        <f t="shared" si="0"/>
        <v>94719.554447864328</v>
      </c>
      <c r="K19" s="37">
        <f>SUM(J19:J$113)</f>
        <v>4780762.835420304</v>
      </c>
      <c r="L19" s="47">
        <f t="shared" si="1"/>
        <v>50.472818028844699</v>
      </c>
      <c r="M19" s="37">
        <f>(G20+0.5*H19)/(1+'General input'!$C$114)^A19</f>
        <v>45561.72521298135</v>
      </c>
      <c r="N19" s="37">
        <f>SUM(M19:M$113)</f>
        <v>834721.61497779924</v>
      </c>
      <c r="O19" s="37">
        <f t="shared" si="2"/>
        <v>18.320676205210336</v>
      </c>
      <c r="Q19" s="44">
        <v>0</v>
      </c>
      <c r="S19" s="48">
        <f t="shared" si="10"/>
        <v>0</v>
      </c>
      <c r="T19" s="37">
        <f ca="1">SUM(S19:S$115)</f>
        <v>31686744522.765831</v>
      </c>
      <c r="U19" s="47">
        <f t="shared" ca="1" si="3"/>
        <v>334532.23790454899</v>
      </c>
      <c r="V19" s="37">
        <f>S19/(1+'General input'!$C$113)^A19</f>
        <v>0</v>
      </c>
      <c r="W19" s="37">
        <f ca="1">SUM(V19:V$115)</f>
        <v>6047725834.1629095</v>
      </c>
      <c r="X19" s="202">
        <f t="shared" ca="1" si="4"/>
        <v>132736.98056630665</v>
      </c>
      <c r="Y19" s="47"/>
      <c r="Z19" s="37">
        <f t="shared" si="11"/>
        <v>15.5</v>
      </c>
      <c r="AA19" s="37">
        <f t="shared" si="5"/>
        <v>2202.2292279948647</v>
      </c>
      <c r="AC19" s="4"/>
      <c r="AF19" s="4"/>
      <c r="AI19" s="4"/>
      <c r="AM19" s="41"/>
      <c r="AN19" s="41"/>
      <c r="AO19" s="49"/>
      <c r="AP19" s="51"/>
      <c r="AQ19" s="41"/>
      <c r="AR19" s="41"/>
      <c r="AS19" s="41"/>
      <c r="AT19" s="41"/>
      <c r="AU19" s="41"/>
      <c r="AV19" s="41"/>
      <c r="AW19" s="41"/>
      <c r="AX19" s="41"/>
      <c r="AY19" s="41"/>
      <c r="BA19" s="6"/>
      <c r="BB19" s="7"/>
      <c r="BC19" s="7"/>
      <c r="BD19" s="7"/>
      <c r="BE19" s="7"/>
      <c r="BF19" s="7"/>
      <c r="BG19" s="7"/>
      <c r="BH19" s="7"/>
      <c r="BI19" s="7"/>
      <c r="BK19" s="39"/>
      <c r="BL19" s="39"/>
      <c r="BM19" s="39"/>
      <c r="BN19" s="39"/>
      <c r="BO19" s="39"/>
      <c r="BP19" s="39"/>
      <c r="BQ19" s="52"/>
      <c r="BR19" s="52"/>
      <c r="BS19" s="53"/>
      <c r="BT19" s="53"/>
      <c r="BU19" s="52"/>
      <c r="BV19" s="50"/>
      <c r="BX19" s="49"/>
      <c r="BY19" s="49"/>
      <c r="BZ19" s="49"/>
      <c r="CA19" s="49"/>
      <c r="CB19" s="49"/>
      <c r="CC19" s="49"/>
      <c r="CD19" s="49"/>
      <c r="CE19" s="49"/>
      <c r="CF19" s="49"/>
      <c r="CH19" s="7"/>
      <c r="CI19" s="7"/>
      <c r="CJ19" s="7"/>
      <c r="CK19" s="7"/>
      <c r="CL19" s="7"/>
      <c r="CM19" s="7"/>
      <c r="CN19" s="7"/>
      <c r="CO19" s="7"/>
      <c r="CP19" s="7"/>
    </row>
    <row r="20" spans="1:94" ht="14.4" x14ac:dyDescent="0.3">
      <c r="A20" s="138">
        <v>16</v>
      </c>
      <c r="B20" s="4"/>
      <c r="C20" s="44">
        <f>'Life table (HE)'!B$8</f>
        <v>1.5E-3</v>
      </c>
      <c r="E20" s="45">
        <f t="shared" si="6"/>
        <v>1.5E-3</v>
      </c>
      <c r="F20" s="46">
        <f t="shared" si="7"/>
        <v>1.4988755622891148E-3</v>
      </c>
      <c r="G20" s="37">
        <f t="shared" si="8"/>
        <v>94648.514795348368</v>
      </c>
      <c r="H20" s="41">
        <f t="shared" si="9"/>
        <v>141.86634583370738</v>
      </c>
      <c r="I20" s="41">
        <f>SUM($H$4:H19)</f>
        <v>5351.4852046516025</v>
      </c>
      <c r="J20" s="37">
        <f t="shared" si="0"/>
        <v>94577.581622431506</v>
      </c>
      <c r="K20" s="37">
        <f>SUM(J20:J$113)</f>
        <v>4686043.2809724398</v>
      </c>
      <c r="L20" s="47">
        <f t="shared" si="1"/>
        <v>49.547082940647151</v>
      </c>
      <c r="M20" s="37">
        <f>(G21+0.5*H20)/(1+'General input'!$C$114)^A20</f>
        <v>43327.07986331798</v>
      </c>
      <c r="N20" s="37">
        <f>SUM(M20:M$113)</f>
        <v>789159.8897648179</v>
      </c>
      <c r="O20" s="37">
        <f t="shared" si="2"/>
        <v>18.214010550776688</v>
      </c>
      <c r="P20" s="23"/>
      <c r="Q20" s="44">
        <f ca="1">VLOOKUP('General input'!$C$4,Lists!$EQ$8:$ES$180,3,0)*260</f>
        <v>7844.4820141565524</v>
      </c>
      <c r="R20" s="23"/>
      <c r="S20" s="48">
        <f t="shared" ca="1" si="10"/>
        <v>741912137.9795872</v>
      </c>
      <c r="T20" s="37">
        <f ca="1">SUM(S20:S$115)</f>
        <v>31686744522.765831</v>
      </c>
      <c r="U20" s="47">
        <f t="shared" ca="1" si="3"/>
        <v>335034.41279841843</v>
      </c>
      <c r="V20" s="37">
        <f ca="1">S20/(1+'General input'!$C$113)^A20</f>
        <v>339878498.71372241</v>
      </c>
      <c r="W20" s="37">
        <f ca="1">SUM(V20:V$115)</f>
        <v>6047725834.1629095</v>
      </c>
      <c r="X20" s="202">
        <f t="shared" ca="1" si="4"/>
        <v>139583.0472129994</v>
      </c>
      <c r="Y20" s="47"/>
      <c r="Z20" s="37">
        <f t="shared" si="11"/>
        <v>16.5</v>
      </c>
      <c r="AA20" s="37">
        <f t="shared" si="5"/>
        <v>2340.794706256172</v>
      </c>
      <c r="AC20" s="4"/>
      <c r="AF20" s="4"/>
      <c r="AI20" s="4"/>
      <c r="AM20" s="41"/>
      <c r="AN20" s="41"/>
      <c r="AO20" s="49"/>
      <c r="AP20" s="51"/>
      <c r="AQ20" s="41"/>
      <c r="AR20" s="41"/>
      <c r="AS20" s="41"/>
      <c r="AT20" s="41"/>
      <c r="AU20" s="41"/>
      <c r="AV20" s="41"/>
      <c r="AW20" s="41"/>
      <c r="AX20" s="41"/>
      <c r="AY20" s="41"/>
      <c r="BA20" s="6"/>
      <c r="BB20" s="7"/>
      <c r="BC20" s="7"/>
      <c r="BD20" s="7"/>
      <c r="BE20" s="7"/>
      <c r="BF20" s="7"/>
      <c r="BG20" s="7"/>
      <c r="BH20" s="7"/>
      <c r="BI20" s="7"/>
      <c r="BK20" s="39"/>
      <c r="BL20" s="39"/>
      <c r="BM20" s="39"/>
      <c r="BN20" s="39"/>
      <c r="BO20" s="39"/>
      <c r="BP20" s="39"/>
      <c r="BQ20" s="52"/>
      <c r="BR20" s="52"/>
      <c r="BS20" s="53"/>
      <c r="BT20" s="53"/>
      <c r="BU20" s="52"/>
      <c r="BV20" s="50"/>
      <c r="BX20" s="49"/>
      <c r="BY20" s="49"/>
      <c r="BZ20" s="49"/>
      <c r="CA20" s="49"/>
      <c r="CB20" s="49"/>
      <c r="CC20" s="49"/>
      <c r="CD20" s="49"/>
      <c r="CE20" s="49"/>
      <c r="CF20" s="49"/>
      <c r="CH20" s="7"/>
      <c r="CI20" s="7"/>
      <c r="CJ20" s="7"/>
      <c r="CK20" s="7"/>
      <c r="CL20" s="7"/>
      <c r="CM20" s="7"/>
      <c r="CN20" s="7"/>
      <c r="CO20" s="7"/>
      <c r="CP20" s="7"/>
    </row>
    <row r="21" spans="1:94" ht="14.4" x14ac:dyDescent="0.3">
      <c r="A21" s="138">
        <v>17</v>
      </c>
      <c r="B21" s="4"/>
      <c r="C21" s="44">
        <f>'Life table (HE)'!B$8</f>
        <v>1.5E-3</v>
      </c>
      <c r="E21" s="45">
        <f t="shared" si="6"/>
        <v>1.5E-3</v>
      </c>
      <c r="F21" s="46">
        <f t="shared" si="7"/>
        <v>1.4988755622891148E-3</v>
      </c>
      <c r="G21" s="37">
        <f t="shared" si="8"/>
        <v>94506.648449514658</v>
      </c>
      <c r="H21" s="41">
        <f t="shared" si="9"/>
        <v>141.65370583482598</v>
      </c>
      <c r="I21" s="41">
        <f>SUM($H$4:H20)</f>
        <v>5493.3515504853103</v>
      </c>
      <c r="J21" s="37">
        <f t="shared" si="0"/>
        <v>94435.821596597234</v>
      </c>
      <c r="K21" s="37">
        <f>SUM(J21:J$113)</f>
        <v>4591465.6993500087</v>
      </c>
      <c r="L21" s="47">
        <f t="shared" si="1"/>
        <v>48.619958207844419</v>
      </c>
      <c r="M21" s="37">
        <f>(G22+0.5*H21)/(1+'General input'!$C$114)^A21</f>
        <v>41202.036154405236</v>
      </c>
      <c r="N21" s="37">
        <f>SUM(M21:M$113)</f>
        <v>745832.80990149989</v>
      </c>
      <c r="O21" s="37">
        <f t="shared" si="2"/>
        <v>18.101843489153801</v>
      </c>
      <c r="Q21" s="44">
        <f ca="1">VLOOKUP('General input'!$C$4,Lists!$EQ$8:$ES$180,3,0)*260</f>
        <v>7844.4820141565524</v>
      </c>
      <c r="S21" s="48">
        <f t="shared" ca="1" si="10"/>
        <v>740800104.00660396</v>
      </c>
      <c r="T21" s="37">
        <f ca="1">SUM(S21:S$115)</f>
        <v>30944832384.786247</v>
      </c>
      <c r="U21" s="47">
        <f t="shared" ca="1" si="3"/>
        <v>327681.08395322383</v>
      </c>
      <c r="V21" s="37">
        <f ca="1">S21/(1+'General input'!$C$113)^A21</f>
        <v>323208631.55985987</v>
      </c>
      <c r="W21" s="37">
        <f ca="1">SUM(V21:V$115)</f>
        <v>5707847335.4491854</v>
      </c>
      <c r="X21" s="202">
        <f t="shared" ca="1" si="4"/>
        <v>138533.13739299058</v>
      </c>
      <c r="Y21" s="47"/>
      <c r="Z21" s="37">
        <f t="shared" si="11"/>
        <v>17.5</v>
      </c>
      <c r="AA21" s="37">
        <f t="shared" si="5"/>
        <v>2478.9398521094549</v>
      </c>
      <c r="AC21" s="4"/>
      <c r="AF21" s="4"/>
      <c r="AI21" s="4"/>
      <c r="AM21" s="41"/>
      <c r="AN21" s="41"/>
      <c r="AO21" s="49"/>
      <c r="AP21" s="41"/>
      <c r="AQ21" s="41"/>
      <c r="AR21" s="41"/>
      <c r="AS21" s="41"/>
      <c r="AT21" s="41"/>
      <c r="AU21" s="41"/>
      <c r="AV21" s="41"/>
      <c r="AW21" s="41"/>
      <c r="AX21" s="41"/>
      <c r="AY21" s="41"/>
      <c r="BA21" s="6"/>
      <c r="BB21" s="7"/>
      <c r="BC21" s="7"/>
      <c r="BD21" s="7"/>
      <c r="BE21" s="7"/>
      <c r="BF21" s="7"/>
      <c r="BG21" s="7"/>
      <c r="BH21" s="7"/>
      <c r="BI21" s="7"/>
      <c r="BK21" s="39"/>
      <c r="BL21" s="39"/>
      <c r="BM21" s="39"/>
      <c r="BN21" s="39"/>
      <c r="BO21" s="39"/>
      <c r="BP21" s="39"/>
      <c r="BQ21" s="52"/>
      <c r="BR21" s="52"/>
      <c r="BS21" s="53"/>
      <c r="BT21" s="53"/>
      <c r="BU21" s="52"/>
      <c r="BV21" s="50"/>
      <c r="BX21" s="49"/>
      <c r="BY21" s="49"/>
      <c r="BZ21" s="49"/>
      <c r="CA21" s="49"/>
      <c r="CB21" s="49"/>
      <c r="CC21" s="49"/>
      <c r="CD21" s="49"/>
      <c r="CE21" s="49"/>
      <c r="CF21" s="49"/>
      <c r="CH21" s="7"/>
      <c r="CI21" s="7"/>
      <c r="CJ21" s="7"/>
      <c r="CK21" s="7"/>
      <c r="CL21" s="7"/>
      <c r="CM21" s="7"/>
      <c r="CN21" s="7"/>
      <c r="CO21" s="7"/>
      <c r="CP21" s="7"/>
    </row>
    <row r="22" spans="1:94" ht="14.4" x14ac:dyDescent="0.3">
      <c r="A22" s="138">
        <v>18</v>
      </c>
      <c r="B22" s="4"/>
      <c r="C22" s="44">
        <f>'Life table (HE)'!B$8</f>
        <v>1.5E-3</v>
      </c>
      <c r="E22" s="45">
        <f t="shared" si="6"/>
        <v>1.5E-3</v>
      </c>
      <c r="F22" s="46">
        <f t="shared" si="7"/>
        <v>1.4988755622891148E-3</v>
      </c>
      <c r="G22" s="37">
        <f t="shared" si="8"/>
        <v>94364.994743679825</v>
      </c>
      <c r="H22" s="41">
        <f t="shared" si="9"/>
        <v>141.44138455684245</v>
      </c>
      <c r="I22" s="41">
        <f>SUM($H$4:H21)</f>
        <v>5635.0052563201361</v>
      </c>
      <c r="J22" s="37">
        <f t="shared" si="0"/>
        <v>94294.2740514014</v>
      </c>
      <c r="K22" s="37">
        <f>SUM(J22:J$113)</f>
        <v>4497029.8777534114</v>
      </c>
      <c r="L22" s="47">
        <f t="shared" si="1"/>
        <v>47.691441744405438</v>
      </c>
      <c r="M22" s="37">
        <f>(G23+0.5*H22)/(1+'General input'!$C$114)^A22</f>
        <v>39181.218504092234</v>
      </c>
      <c r="N22" s="37">
        <f>SUM(M22:M$113)</f>
        <v>704630.77374709479</v>
      </c>
      <c r="O22" s="37">
        <f t="shared" si="2"/>
        <v>17.983891278764098</v>
      </c>
      <c r="Q22" s="44">
        <f ca="1">VLOOKUP('General input'!$C$4,Lists!$EQ$8:$ES$180,3,0)*260</f>
        <v>7844.4820141565524</v>
      </c>
      <c r="S22" s="48">
        <f t="shared" ca="1" si="10"/>
        <v>739689736.83416724</v>
      </c>
      <c r="T22" s="37">
        <f ca="1">SUM(S22:S$115)</f>
        <v>30204032280.779648</v>
      </c>
      <c r="U22" s="47">
        <f t="shared" ca="1" si="3"/>
        <v>320316.71683812869</v>
      </c>
      <c r="V22" s="37">
        <f ca="1">S22/(1+'General input'!$C$113)^A22</f>
        <v>307356363.84808946</v>
      </c>
      <c r="W22" s="37">
        <f ca="1">SUM(V22:V$115)</f>
        <v>5384638703.8893251</v>
      </c>
      <c r="X22" s="202">
        <f t="shared" ca="1" si="4"/>
        <v>137429.07723318847</v>
      </c>
      <c r="Y22" s="47"/>
      <c r="Z22" s="37">
        <f t="shared" si="11"/>
        <v>18.5</v>
      </c>
      <c r="AA22" s="37">
        <f t="shared" si="5"/>
        <v>2616.6656143015853</v>
      </c>
      <c r="AC22" s="4"/>
      <c r="AF22" s="4"/>
      <c r="AI22" s="4"/>
      <c r="AM22" s="41"/>
      <c r="AN22" s="41"/>
      <c r="AO22" s="49"/>
      <c r="AP22" s="41"/>
      <c r="AQ22" s="41"/>
      <c r="AR22" s="41"/>
      <c r="AS22" s="41"/>
      <c r="AT22" s="41"/>
      <c r="AU22" s="41"/>
      <c r="AV22" s="41"/>
      <c r="AW22" s="41"/>
      <c r="AX22" s="41"/>
      <c r="AY22" s="41"/>
      <c r="BA22" s="6"/>
      <c r="BB22" s="7"/>
      <c r="BC22" s="7"/>
      <c r="BD22" s="7"/>
      <c r="BE22" s="7"/>
      <c r="BF22" s="7"/>
      <c r="BG22" s="7"/>
      <c r="BH22" s="7"/>
      <c r="BI22" s="7"/>
      <c r="BK22" s="39"/>
      <c r="BL22" s="39"/>
      <c r="BM22" s="39"/>
      <c r="BN22" s="39"/>
      <c r="BO22" s="39"/>
      <c r="BP22" s="39"/>
      <c r="BQ22" s="52"/>
      <c r="BR22" s="52"/>
      <c r="BS22" s="53"/>
      <c r="BT22" s="53"/>
      <c r="BU22" s="52"/>
      <c r="BV22" s="50"/>
      <c r="BX22" s="49"/>
      <c r="BY22" s="49"/>
      <c r="BZ22" s="49"/>
      <c r="CA22" s="49"/>
      <c r="CB22" s="49"/>
      <c r="CC22" s="49"/>
      <c r="CD22" s="49"/>
      <c r="CE22" s="49"/>
      <c r="CF22" s="49"/>
      <c r="CH22" s="7"/>
      <c r="CI22" s="7"/>
      <c r="CJ22" s="7"/>
      <c r="CK22" s="7"/>
      <c r="CL22" s="7"/>
      <c r="CM22" s="7"/>
      <c r="CN22" s="7"/>
      <c r="CO22" s="7"/>
      <c r="CP22" s="7"/>
    </row>
    <row r="23" spans="1:94" ht="14.4" x14ac:dyDescent="0.3">
      <c r="A23" s="138">
        <v>19</v>
      </c>
      <c r="B23" s="4"/>
      <c r="C23" s="44">
        <f>'Life table (HE)'!B$8</f>
        <v>1.5E-3</v>
      </c>
      <c r="E23" s="45">
        <f t="shared" si="6"/>
        <v>1.5E-3</v>
      </c>
      <c r="F23" s="46">
        <f t="shared" si="7"/>
        <v>1.4988755622891148E-3</v>
      </c>
      <c r="G23" s="37">
        <f t="shared" si="8"/>
        <v>94223.553359122976</v>
      </c>
      <c r="H23" s="41">
        <f t="shared" si="9"/>
        <v>141.22938152203386</v>
      </c>
      <c r="I23" s="41">
        <f>SUM($H$4:H22)</f>
        <v>5776.4466408769786</v>
      </c>
      <c r="J23" s="37">
        <f t="shared" si="0"/>
        <v>94152.938668361967</v>
      </c>
      <c r="K23" s="37">
        <f>SUM(J23:J$113)</f>
        <v>4402735.6037020097</v>
      </c>
      <c r="L23" s="47">
        <f t="shared" si="1"/>
        <v>46.761531461167792</v>
      </c>
      <c r="M23" s="37">
        <f>(G24+0.5*H23)/(1+'General input'!$C$114)^A23</f>
        <v>37259.514983976893</v>
      </c>
      <c r="N23" s="37">
        <f>SUM(M23:M$113)</f>
        <v>665449.5552430026</v>
      </c>
      <c r="O23" s="37">
        <f t="shared" si="2"/>
        <v>17.859855543722805</v>
      </c>
      <c r="Q23" s="44">
        <f ca="1">VLOOKUP('General input'!$C$4,Lists!$EQ$8:$ES$180,3,0)*260</f>
        <v>7844.4820141565524</v>
      </c>
      <c r="S23" s="48">
        <f t="shared" ca="1" si="10"/>
        <v>738581033.9639504</v>
      </c>
      <c r="T23" s="37">
        <f ca="1">SUM(S23:S$115)</f>
        <v>29464342543.94548</v>
      </c>
      <c r="U23" s="47">
        <f t="shared" ca="1" si="3"/>
        <v>312941.29488330381</v>
      </c>
      <c r="V23" s="37">
        <f ca="1">S23/(1+'General input'!$C$113)^A23</f>
        <v>292281595.14800334</v>
      </c>
      <c r="W23" s="37">
        <f ca="1">SUM(V23:V$115)</f>
        <v>5077282340.0412359</v>
      </c>
      <c r="X23" s="202">
        <f t="shared" ca="1" si="4"/>
        <v>136268.07386582124</v>
      </c>
      <c r="Y23" s="47"/>
      <c r="Z23" s="37">
        <f t="shared" si="11"/>
        <v>19.5</v>
      </c>
      <c r="AA23" s="37">
        <f t="shared" si="5"/>
        <v>2753.9729396796602</v>
      </c>
      <c r="AC23" s="4"/>
      <c r="AF23" s="4"/>
      <c r="AI23" s="4"/>
      <c r="AM23" s="41"/>
      <c r="AN23" s="41"/>
      <c r="AO23" s="49"/>
      <c r="AP23" s="41"/>
      <c r="AQ23" s="41"/>
      <c r="AR23" s="41"/>
      <c r="AS23" s="41"/>
      <c r="AT23" s="41"/>
      <c r="AU23" s="41"/>
      <c r="AV23" s="41"/>
      <c r="AW23" s="41"/>
      <c r="AX23" s="41"/>
      <c r="AY23" s="41"/>
      <c r="BA23" s="6"/>
      <c r="BB23" s="7"/>
      <c r="BC23" s="7"/>
      <c r="BD23" s="7"/>
      <c r="BE23" s="7"/>
      <c r="BF23" s="7"/>
      <c r="BG23" s="7"/>
      <c r="BH23" s="7"/>
      <c r="BI23" s="7"/>
      <c r="BK23" s="39"/>
      <c r="BL23" s="39"/>
      <c r="BM23" s="39"/>
      <c r="BN23" s="39"/>
      <c r="BO23" s="39"/>
      <c r="BP23" s="39"/>
      <c r="BQ23" s="52"/>
      <c r="BR23" s="52"/>
      <c r="BS23" s="53"/>
      <c r="BT23" s="53"/>
      <c r="BU23" s="52"/>
      <c r="BV23" s="50"/>
      <c r="BX23" s="49"/>
      <c r="BY23" s="49"/>
      <c r="BZ23" s="49"/>
      <c r="CA23" s="49"/>
      <c r="CB23" s="49"/>
      <c r="CC23" s="49"/>
      <c r="CD23" s="49"/>
      <c r="CE23" s="49"/>
      <c r="CF23" s="49"/>
      <c r="CH23" s="7"/>
      <c r="CI23" s="7"/>
      <c r="CJ23" s="7"/>
      <c r="CK23" s="7"/>
      <c r="CL23" s="7"/>
      <c r="CM23" s="7"/>
      <c r="CN23" s="7"/>
      <c r="CO23" s="7"/>
      <c r="CP23" s="7"/>
    </row>
    <row r="24" spans="1:94" ht="14.4" x14ac:dyDescent="0.3">
      <c r="A24" s="138">
        <v>20</v>
      </c>
      <c r="B24" s="4"/>
      <c r="C24" s="44">
        <f>'Life table (HE)'!B$9</f>
        <v>2E-3</v>
      </c>
      <c r="E24" s="45">
        <f t="shared" si="6"/>
        <v>2E-3</v>
      </c>
      <c r="F24" s="46">
        <f t="shared" si="7"/>
        <v>1.998001332666921E-3</v>
      </c>
      <c r="G24" s="37">
        <f t="shared" si="8"/>
        <v>94082.323977600943</v>
      </c>
      <c r="H24" s="41">
        <f t="shared" si="9"/>
        <v>187.97660868764771</v>
      </c>
      <c r="I24" s="41">
        <f>SUM($H$4:H23)</f>
        <v>5917.6760223990123</v>
      </c>
      <c r="J24" s="37">
        <f t="shared" si="0"/>
        <v>93988.335673257112</v>
      </c>
      <c r="K24" s="37">
        <f>SUM(J24:J$113)</f>
        <v>4308582.6650336478</v>
      </c>
      <c r="L24" s="47">
        <f t="shared" si="1"/>
        <v>45.841674226598592</v>
      </c>
      <c r="M24" s="37">
        <f>(G25+0.5*H24)/(1+'General input'!$C$114)^A24</f>
        <v>35423.215227987865</v>
      </c>
      <c r="N24" s="37">
        <f>SUM(M24:M$113)</f>
        <v>628190.04025902576</v>
      </c>
      <c r="O24" s="37">
        <f t="shared" si="2"/>
        <v>17.73385154949721</v>
      </c>
      <c r="Q24" s="44">
        <f ca="1">VLOOKUP('General input'!$C$4,Lists!$EQ$8:$ES$180,3,0)*260</f>
        <v>7844.4820141565524</v>
      </c>
      <c r="S24" s="48">
        <f t="shared" ca="1" si="10"/>
        <v>737289808.72937405</v>
      </c>
      <c r="T24" s="37">
        <f ca="1">SUM(S24:S$115)</f>
        <v>28725761509.981529</v>
      </c>
      <c r="U24" s="47">
        <f t="shared" ca="1" si="3"/>
        <v>305631.13288700342</v>
      </c>
      <c r="V24" s="37">
        <f ca="1">S24/(1+'General input'!$C$113)^A24</f>
        <v>277876774.73954731</v>
      </c>
      <c r="W24" s="37">
        <f ca="1">SUM(V24:V$115)</f>
        <v>4785000744.8932314</v>
      </c>
      <c r="X24" s="202">
        <f t="shared" ca="1" si="4"/>
        <v>135080.92684688329</v>
      </c>
      <c r="Y24" s="47"/>
      <c r="Z24" s="37">
        <f t="shared" si="11"/>
        <v>20.5</v>
      </c>
      <c r="AA24" s="37">
        <f t="shared" si="5"/>
        <v>3853.5204780967779</v>
      </c>
      <c r="AC24" s="4"/>
      <c r="AF24" s="4"/>
      <c r="AI24" s="4"/>
      <c r="AM24" s="41"/>
      <c r="AN24" s="41"/>
      <c r="AO24" s="49"/>
      <c r="AP24" s="41"/>
      <c r="AQ24" s="41"/>
      <c r="AR24" s="41"/>
      <c r="AS24" s="41"/>
      <c r="AT24" s="41"/>
      <c r="AU24" s="41"/>
      <c r="AV24" s="41"/>
      <c r="AW24" s="41"/>
      <c r="AX24" s="41"/>
      <c r="AY24" s="41"/>
      <c r="BA24" s="6"/>
      <c r="BB24" s="7"/>
      <c r="BC24" s="7"/>
      <c r="BD24" s="7"/>
      <c r="BE24" s="7"/>
      <c r="BF24" s="7"/>
      <c r="BG24" s="7"/>
      <c r="BH24" s="7"/>
      <c r="BI24" s="7"/>
      <c r="BK24" s="39"/>
      <c r="BL24" s="39"/>
      <c r="BM24" s="39"/>
      <c r="BN24" s="39"/>
      <c r="BO24" s="39"/>
      <c r="BP24" s="39"/>
      <c r="BQ24" s="52"/>
      <c r="BR24" s="52"/>
      <c r="BS24" s="53"/>
      <c r="BT24" s="53"/>
      <c r="BU24" s="52"/>
      <c r="BV24" s="50"/>
      <c r="BX24" s="49"/>
      <c r="BY24" s="49"/>
      <c r="BZ24" s="49"/>
      <c r="CA24" s="49"/>
      <c r="CB24" s="49"/>
      <c r="CC24" s="49"/>
      <c r="CD24" s="49"/>
      <c r="CE24" s="49"/>
      <c r="CF24" s="49"/>
      <c r="CH24" s="7"/>
      <c r="CI24" s="7"/>
      <c r="CJ24" s="7"/>
      <c r="CK24" s="7"/>
      <c r="CL24" s="7"/>
      <c r="CM24" s="7"/>
      <c r="CN24" s="7"/>
      <c r="CO24" s="7"/>
      <c r="CP24" s="7"/>
    </row>
    <row r="25" spans="1:94" ht="14.4" x14ac:dyDescent="0.3">
      <c r="A25" s="138">
        <v>21</v>
      </c>
      <c r="B25" s="4"/>
      <c r="C25" s="44">
        <f>'Life table (HE)'!B$9</f>
        <v>2E-3</v>
      </c>
      <c r="E25" s="45">
        <f t="shared" si="6"/>
        <v>2E-3</v>
      </c>
      <c r="F25" s="46">
        <f t="shared" si="7"/>
        <v>1.998001332666921E-3</v>
      </c>
      <c r="G25" s="37">
        <f t="shared" si="8"/>
        <v>93894.347368913295</v>
      </c>
      <c r="H25" s="41">
        <f t="shared" si="9"/>
        <v>187.60103117297959</v>
      </c>
      <c r="I25" s="41">
        <f>SUM($H$4:H24)</f>
        <v>6105.6526310866602</v>
      </c>
      <c r="J25" s="37">
        <f t="shared" si="0"/>
        <v>93800.546853326814</v>
      </c>
      <c r="K25" s="37">
        <f>SUM(J25:J$113)</f>
        <v>4214594.329360391</v>
      </c>
      <c r="L25" s="47">
        <f t="shared" si="1"/>
        <v>44.931447318219043</v>
      </c>
      <c r="M25" s="37">
        <f>(G26+0.5*H25)/(1+'General input'!$C$114)^A25</f>
        <v>33668.990092147629</v>
      </c>
      <c r="N25" s="37">
        <f>SUM(M25:M$113)</f>
        <v>592766.82503103779</v>
      </c>
      <c r="O25" s="37">
        <f t="shared" si="2"/>
        <v>17.605720379753368</v>
      </c>
      <c r="Q25" s="44">
        <f ca="1">VLOOKUP('General input'!$C$4,Lists!$EQ$8:$ES$180,3,0)*260</f>
        <v>7844.4820141565524</v>
      </c>
      <c r="S25" s="48">
        <f t="shared" ca="1" si="10"/>
        <v>735816702.70897114</v>
      </c>
      <c r="T25" s="37">
        <f ca="1">SUM(S25:S$115)</f>
        <v>27988471701.252151</v>
      </c>
      <c r="U25" s="47">
        <f t="shared" ca="1" si="3"/>
        <v>298382.82014514168</v>
      </c>
      <c r="V25" s="37">
        <f ca="1">S25/(1+'General input'!$C$113)^A25</f>
        <v>264115787.2126672</v>
      </c>
      <c r="W25" s="37">
        <f ca="1">SUM(V25:V$115)</f>
        <v>4507123970.1536837</v>
      </c>
      <c r="X25" s="202">
        <f t="shared" ca="1" si="4"/>
        <v>133865.73098326602</v>
      </c>
      <c r="Y25" s="47"/>
      <c r="Z25" s="37">
        <f t="shared" si="11"/>
        <v>21.5</v>
      </c>
      <c r="AA25" s="37">
        <f t="shared" si="5"/>
        <v>4033.4221702190612</v>
      </c>
      <c r="AC25" s="4"/>
      <c r="AF25" s="4"/>
      <c r="AI25" s="4"/>
      <c r="AM25" s="41"/>
      <c r="AN25" s="41"/>
      <c r="AO25" s="49"/>
      <c r="AP25" s="41"/>
      <c r="AQ25" s="41"/>
      <c r="AR25" s="41"/>
      <c r="AS25" s="41"/>
      <c r="AT25" s="41"/>
      <c r="AU25" s="41"/>
      <c r="AV25" s="41"/>
      <c r="AW25" s="41"/>
      <c r="AX25" s="41"/>
      <c r="AY25" s="41"/>
      <c r="BA25" s="6"/>
      <c r="BB25" s="7"/>
      <c r="BC25" s="7"/>
      <c r="BD25" s="7"/>
      <c r="BE25" s="7"/>
      <c r="BF25" s="7"/>
      <c r="BG25" s="7"/>
      <c r="BH25" s="7"/>
      <c r="BI25" s="7"/>
      <c r="BK25" s="39"/>
      <c r="BL25" s="39"/>
      <c r="BM25" s="39"/>
      <c r="BN25" s="39"/>
      <c r="BO25" s="39"/>
      <c r="BP25" s="39"/>
      <c r="BQ25" s="52"/>
      <c r="BR25" s="52"/>
      <c r="BS25" s="53"/>
      <c r="BT25" s="53"/>
      <c r="BU25" s="52"/>
      <c r="BV25" s="50"/>
      <c r="BX25" s="49"/>
      <c r="BY25" s="49"/>
      <c r="BZ25" s="49"/>
      <c r="CA25" s="49"/>
      <c r="CB25" s="49"/>
      <c r="CC25" s="49"/>
      <c r="CD25" s="49"/>
      <c r="CE25" s="49"/>
      <c r="CF25" s="49"/>
      <c r="CH25" s="7"/>
      <c r="CI25" s="7"/>
      <c r="CJ25" s="7"/>
      <c r="CK25" s="7"/>
      <c r="CL25" s="7"/>
      <c r="CM25" s="7"/>
      <c r="CN25" s="7"/>
      <c r="CO25" s="7"/>
      <c r="CP25" s="7"/>
    </row>
    <row r="26" spans="1:94" ht="14.4" x14ac:dyDescent="0.3">
      <c r="A26" s="138">
        <v>22</v>
      </c>
      <c r="B26" s="4"/>
      <c r="C26" s="44">
        <f>'Life table (HE)'!B$9</f>
        <v>2E-3</v>
      </c>
      <c r="E26" s="45">
        <f t="shared" si="6"/>
        <v>2E-3</v>
      </c>
      <c r="F26" s="46">
        <f t="shared" si="7"/>
        <v>1.998001332666921E-3</v>
      </c>
      <c r="G26" s="37">
        <f t="shared" si="8"/>
        <v>93706.746337740318</v>
      </c>
      <c r="H26" s="41">
        <f t="shared" si="9"/>
        <v>187.22620406268626</v>
      </c>
      <c r="I26" s="41">
        <f>SUM($H$4:H25)</f>
        <v>6293.2536622596399</v>
      </c>
      <c r="J26" s="37">
        <f t="shared" si="0"/>
        <v>93613.133235708985</v>
      </c>
      <c r="K26" s="37">
        <f>SUM(J26:J$113)</f>
        <v>4120793.7825070629</v>
      </c>
      <c r="L26" s="47">
        <f t="shared" si="1"/>
        <v>44.019398134354667</v>
      </c>
      <c r="M26" s="37">
        <f>(G27+0.5*H26)/(1+'General input'!$C$114)^A26</f>
        <v>32001.637528641877</v>
      </c>
      <c r="N26" s="37">
        <f>SUM(M26:M$113)</f>
        <v>559097.83493889053</v>
      </c>
      <c r="O26" s="37">
        <f t="shared" si="2"/>
        <v>17.470913306810964</v>
      </c>
      <c r="Q26" s="44">
        <f ca="1">VLOOKUP('General input'!$C$4,Lists!$EQ$8:$ES$180,3,0)*260</f>
        <v>7844.4820141565524</v>
      </c>
      <c r="S26" s="48">
        <f t="shared" ca="1" si="10"/>
        <v>734346539.9563601</v>
      </c>
      <c r="T26" s="37">
        <f ca="1">SUM(S26:S$115)</f>
        <v>27252654998.543179</v>
      </c>
      <c r="U26" s="47">
        <f t="shared" ca="1" si="3"/>
        <v>291119.99627150159</v>
      </c>
      <c r="V26" s="37">
        <f ca="1">S26/(1+'General input'!$C$113)^A26</f>
        <v>251036270.01698852</v>
      </c>
      <c r="W26" s="37">
        <f ca="1">SUM(V26:V$115)</f>
        <v>4243008182.9410167</v>
      </c>
      <c r="X26" s="202">
        <f t="shared" ca="1" si="4"/>
        <v>132587.2208615409</v>
      </c>
      <c r="Y26" s="47"/>
      <c r="Z26" s="37">
        <f t="shared" si="11"/>
        <v>22.5</v>
      </c>
      <c r="AA26" s="37">
        <f t="shared" si="5"/>
        <v>4212.5895914104412</v>
      </c>
      <c r="AC26" s="4"/>
      <c r="AF26" s="4"/>
      <c r="AI26" s="4"/>
      <c r="AM26" s="41"/>
      <c r="AN26" s="41"/>
      <c r="AO26" s="49"/>
      <c r="AP26" s="41"/>
      <c r="AQ26" s="41"/>
      <c r="AR26" s="41"/>
      <c r="AS26" s="41"/>
      <c r="AT26" s="41"/>
      <c r="AU26" s="41"/>
      <c r="AV26" s="41"/>
      <c r="AW26" s="41"/>
      <c r="AX26" s="41"/>
      <c r="AY26" s="41"/>
      <c r="BA26" s="6"/>
      <c r="BB26" s="7"/>
      <c r="BC26" s="7"/>
      <c r="BD26" s="7"/>
      <c r="BE26" s="7"/>
      <c r="BF26" s="7"/>
      <c r="BG26" s="7"/>
      <c r="BH26" s="7"/>
      <c r="BI26" s="7"/>
      <c r="BK26" s="39"/>
      <c r="BL26" s="39"/>
      <c r="BM26" s="39"/>
      <c r="BN26" s="39"/>
      <c r="BO26" s="39"/>
      <c r="BP26" s="39"/>
      <c r="BQ26" s="52"/>
      <c r="BR26" s="52"/>
      <c r="BS26" s="53"/>
      <c r="BT26" s="53"/>
      <c r="BU26" s="52"/>
      <c r="BV26" s="50"/>
      <c r="BX26" s="49"/>
      <c r="BY26" s="49"/>
      <c r="BZ26" s="49"/>
      <c r="CA26" s="49"/>
      <c r="CB26" s="49"/>
      <c r="CC26" s="49"/>
      <c r="CD26" s="49"/>
      <c r="CE26" s="49"/>
      <c r="CF26" s="49"/>
      <c r="CH26" s="7"/>
      <c r="CI26" s="7"/>
      <c r="CJ26" s="7"/>
      <c r="CK26" s="7"/>
      <c r="CL26" s="7"/>
      <c r="CM26" s="7"/>
      <c r="CN26" s="7"/>
      <c r="CO26" s="7"/>
      <c r="CP26" s="7"/>
    </row>
    <row r="27" spans="1:94" ht="14.4" x14ac:dyDescent="0.3">
      <c r="A27" s="138">
        <v>23</v>
      </c>
      <c r="B27" s="4"/>
      <c r="C27" s="44">
        <f>'Life table (HE)'!B$9</f>
        <v>2E-3</v>
      </c>
      <c r="E27" s="45">
        <f t="shared" si="6"/>
        <v>2E-3</v>
      </c>
      <c r="F27" s="46">
        <f t="shared" si="7"/>
        <v>1.998001332666921E-3</v>
      </c>
      <c r="G27" s="37">
        <f t="shared" si="8"/>
        <v>93519.520133677637</v>
      </c>
      <c r="H27" s="41">
        <f t="shared" si="9"/>
        <v>186.85212585745887</v>
      </c>
      <c r="I27" s="41">
        <f>SUM($H$4:H26)</f>
        <v>6480.4798663223264</v>
      </c>
      <c r="J27" s="37">
        <f t="shared" si="0"/>
        <v>93426.094070748906</v>
      </c>
      <c r="K27" s="37">
        <f>SUM(J27:J$113)</f>
        <v>4027180.6492713541</v>
      </c>
      <c r="L27" s="47">
        <f t="shared" si="1"/>
        <v>43.105523026807539</v>
      </c>
      <c r="M27" s="37">
        <f>(G28+0.5*H27)/(1+'General input'!$C$114)^A27</f>
        <v>30416.855442106778</v>
      </c>
      <c r="N27" s="37">
        <f>SUM(M27:M$113)</f>
        <v>527096.19741024845</v>
      </c>
      <c r="O27" s="37">
        <f t="shared" si="2"/>
        <v>17.329082502084571</v>
      </c>
      <c r="Q27" s="44">
        <f ca="1">VLOOKUP('General input'!$C$4,Lists!$EQ$8:$ES$180,3,0)*260</f>
        <v>7844.4820141565524</v>
      </c>
      <c r="S27" s="48">
        <f t="shared" ca="1" si="10"/>
        <v>732879314.5908879</v>
      </c>
      <c r="T27" s="37">
        <f ca="1">SUM(S27:S$115)</f>
        <v>26518308458.586819</v>
      </c>
      <c r="U27" s="47">
        <f t="shared" ca="1" si="3"/>
        <v>283842.63221477787</v>
      </c>
      <c r="V27" s="37">
        <f ca="1">S27/(1+'General input'!$C$113)^A27</f>
        <v>238604475.44280645</v>
      </c>
      <c r="W27" s="37">
        <f ca="1">SUM(V27:V$115)</f>
        <v>3991971912.9240284</v>
      </c>
      <c r="X27" s="202">
        <f t="shared" ca="1" si="4"/>
        <v>131242.09767581191</v>
      </c>
      <c r="Y27" s="47"/>
      <c r="Z27" s="37">
        <f t="shared" si="11"/>
        <v>23.5</v>
      </c>
      <c r="AA27" s="37">
        <f t="shared" si="5"/>
        <v>4391.0249576502838</v>
      </c>
      <c r="AC27" s="4"/>
      <c r="AF27" s="4"/>
      <c r="AI27" s="4"/>
      <c r="AM27" s="41"/>
      <c r="AN27" s="41"/>
      <c r="AO27" s="49"/>
      <c r="AP27" s="41"/>
      <c r="AQ27" s="41"/>
      <c r="AR27" s="41"/>
      <c r="AS27" s="41"/>
      <c r="AT27" s="41"/>
      <c r="AU27" s="41"/>
      <c r="AV27" s="41"/>
      <c r="AW27" s="41"/>
      <c r="AX27" s="41"/>
      <c r="AY27" s="41"/>
      <c r="BA27" s="6"/>
      <c r="BB27" s="7"/>
      <c r="BC27" s="7"/>
      <c r="BD27" s="7"/>
      <c r="BE27" s="7"/>
      <c r="BF27" s="7"/>
      <c r="BG27" s="7"/>
      <c r="BH27" s="7"/>
      <c r="BI27" s="7"/>
      <c r="BK27" s="39"/>
      <c r="BL27" s="39"/>
      <c r="BM27" s="39"/>
      <c r="BN27" s="39"/>
      <c r="BO27" s="39"/>
      <c r="BP27" s="39"/>
      <c r="BQ27" s="52"/>
      <c r="BR27" s="52"/>
      <c r="BS27" s="53"/>
      <c r="BT27" s="53"/>
      <c r="BU27" s="52"/>
      <c r="BV27" s="50"/>
      <c r="BX27" s="49"/>
      <c r="BY27" s="49"/>
      <c r="BZ27" s="49"/>
      <c r="CA27" s="49"/>
      <c r="CB27" s="49"/>
      <c r="CC27" s="49"/>
      <c r="CD27" s="49"/>
      <c r="CE27" s="49"/>
      <c r="CF27" s="49"/>
      <c r="CH27" s="7"/>
      <c r="CI27" s="7"/>
      <c r="CJ27" s="7"/>
      <c r="CK27" s="7"/>
      <c r="CL27" s="7"/>
      <c r="CM27" s="7"/>
      <c r="CN27" s="7"/>
      <c r="CO27" s="7"/>
      <c r="CP27" s="7"/>
    </row>
    <row r="28" spans="1:94" ht="14.4" x14ac:dyDescent="0.3">
      <c r="A28" s="138">
        <v>24</v>
      </c>
      <c r="B28" s="4"/>
      <c r="C28" s="44">
        <f>'Life table (HE)'!B$9</f>
        <v>2E-3</v>
      </c>
      <c r="E28" s="45">
        <f t="shared" si="6"/>
        <v>2E-3</v>
      </c>
      <c r="F28" s="46">
        <f t="shared" si="7"/>
        <v>1.998001332666921E-3</v>
      </c>
      <c r="G28" s="37">
        <f t="shared" si="8"/>
        <v>93332.668007820175</v>
      </c>
      <c r="H28" s="41">
        <f t="shared" si="9"/>
        <v>186.47879506098403</v>
      </c>
      <c r="I28" s="41">
        <f>SUM($H$4:H27)</f>
        <v>6667.3319921797856</v>
      </c>
      <c r="J28" s="37">
        <f t="shared" si="0"/>
        <v>93239.428610289673</v>
      </c>
      <c r="K28" s="37">
        <f>SUM(J28:J$113)</f>
        <v>3933754.5552006052</v>
      </c>
      <c r="L28" s="47">
        <f t="shared" si="1"/>
        <v>42.189818340075988</v>
      </c>
      <c r="M28" s="37">
        <f>(G29+0.5*H28)/(1+'General input'!$C$114)^A28</f>
        <v>28910.554785140866</v>
      </c>
      <c r="N28" s="37">
        <f>SUM(M28:M$113)</f>
        <v>496679.34196814161</v>
      </c>
      <c r="O28" s="37">
        <f t="shared" si="2"/>
        <v>17.179862014388583</v>
      </c>
      <c r="Q28" s="44">
        <f ca="1">VLOOKUP('General input'!$C$4,Lists!$EQ$8:$ES$180,3,0)*260</f>
        <v>7844.4820141565524</v>
      </c>
      <c r="S28" s="48">
        <f t="shared" ca="1" si="10"/>
        <v>731415020.74365127</v>
      </c>
      <c r="T28" s="37">
        <f ca="1">SUM(S28:S$115)</f>
        <v>25785429143.995926</v>
      </c>
      <c r="U28" s="47">
        <f t="shared" ca="1" si="3"/>
        <v>276550.69886550453</v>
      </c>
      <c r="V28" s="37">
        <f ca="1">S28/(1+'General input'!$C$113)^A28</f>
        <v>226788327.03132522</v>
      </c>
      <c r="W28" s="37">
        <f ca="1">SUM(V28:V$115)</f>
        <v>3753367437.4812222</v>
      </c>
      <c r="X28" s="202">
        <f t="shared" ca="1" si="4"/>
        <v>129826.89074546356</v>
      </c>
      <c r="Y28" s="47"/>
      <c r="Z28" s="37">
        <f t="shared" si="11"/>
        <v>24.5</v>
      </c>
      <c r="AA28" s="37">
        <f t="shared" si="5"/>
        <v>4568.730478994109</v>
      </c>
      <c r="AC28" s="4"/>
      <c r="AF28" s="4"/>
      <c r="AI28" s="4"/>
      <c r="AM28" s="41"/>
      <c r="AN28" s="41"/>
      <c r="AO28" s="49"/>
      <c r="AP28" s="41"/>
      <c r="AQ28" s="41"/>
      <c r="AR28" s="41"/>
      <c r="AS28" s="41"/>
      <c r="AT28" s="41"/>
      <c r="AU28" s="41"/>
      <c r="AV28" s="41"/>
      <c r="AW28" s="41"/>
      <c r="AX28" s="41"/>
      <c r="AY28" s="41"/>
      <c r="BA28" s="6"/>
      <c r="BB28" s="7"/>
      <c r="BC28" s="7"/>
      <c r="BD28" s="7"/>
      <c r="BE28" s="7"/>
      <c r="BF28" s="7"/>
      <c r="BG28" s="7"/>
      <c r="BH28" s="7"/>
      <c r="BI28" s="7"/>
      <c r="BK28" s="39"/>
      <c r="BL28" s="39"/>
      <c r="BM28" s="39"/>
      <c r="BN28" s="39"/>
      <c r="BO28" s="39"/>
      <c r="BP28" s="39"/>
      <c r="BQ28" s="52"/>
      <c r="BR28" s="52"/>
      <c r="BS28" s="53"/>
      <c r="BT28" s="53"/>
      <c r="BU28" s="52"/>
      <c r="BV28" s="50"/>
      <c r="BX28" s="49"/>
      <c r="BY28" s="49"/>
      <c r="BZ28" s="49"/>
      <c r="CA28" s="49"/>
      <c r="CB28" s="49"/>
      <c r="CC28" s="49"/>
      <c r="CD28" s="49"/>
      <c r="CE28" s="49"/>
      <c r="CF28" s="49"/>
      <c r="CH28" s="7"/>
      <c r="CI28" s="7"/>
      <c r="CJ28" s="7"/>
      <c r="CK28" s="7"/>
      <c r="CL28" s="7"/>
      <c r="CM28" s="7"/>
      <c r="CN28" s="7"/>
      <c r="CO28" s="7"/>
      <c r="CP28" s="7"/>
    </row>
    <row r="29" spans="1:94" ht="14.4" x14ac:dyDescent="0.3">
      <c r="A29" s="138">
        <v>25</v>
      </c>
      <c r="B29" s="4"/>
      <c r="C29" s="44">
        <f>'Life table (HE)'!B$10</f>
        <v>3.5000000000000001E-3</v>
      </c>
      <c r="E29" s="45">
        <f t="shared" si="6"/>
        <v>3.5000000000000001E-3</v>
      </c>
      <c r="F29" s="46">
        <f t="shared" si="7"/>
        <v>3.4938821395851249E-3</v>
      </c>
      <c r="G29" s="37">
        <f t="shared" si="8"/>
        <v>93146.189212759185</v>
      </c>
      <c r="H29" s="41">
        <f t="shared" si="9"/>
        <v>325.44180686087594</v>
      </c>
      <c r="I29" s="41">
        <f>SUM($H$4:H28)</f>
        <v>6853.81078724077</v>
      </c>
      <c r="J29" s="37">
        <f t="shared" si="0"/>
        <v>92983.468309328746</v>
      </c>
      <c r="K29" s="37">
        <f>SUM(J29:J$113)</f>
        <v>3840515.1265903153</v>
      </c>
      <c r="L29" s="47">
        <f t="shared" si="1"/>
        <v>41.303203638458044</v>
      </c>
      <c r="M29" s="37">
        <f>(G30+0.5*H29)/(1+'General input'!$C$114)^A29</f>
        <v>27458.275913815804</v>
      </c>
      <c r="N29" s="37">
        <f>SUM(M29:M$113)</f>
        <v>467768.78718300082</v>
      </c>
      <c r="O29" s="37">
        <f t="shared" si="2"/>
        <v>17.035621196727796</v>
      </c>
      <c r="Q29" s="44">
        <f ca="1">VLOOKUP('General input'!$C$4,Lists!$EQ$8:$ES$180,3,0)*260</f>
        <v>7844.4820141565524</v>
      </c>
      <c r="S29" s="48">
        <f t="shared" ca="1" si="10"/>
        <v>729407144.76642513</v>
      </c>
      <c r="T29" s="37">
        <f ca="1">SUM(S29:S$115)</f>
        <v>25054014123.252277</v>
      </c>
      <c r="U29" s="47">
        <f t="shared" ca="1" si="3"/>
        <v>269445.89805904974</v>
      </c>
      <c r="V29" s="37">
        <f ca="1">S29/(1+'General input'!$C$113)^A29</f>
        <v>215395951.54567614</v>
      </c>
      <c r="W29" s="37">
        <f ca="1">SUM(V29:V$115)</f>
        <v>3526579110.4498968</v>
      </c>
      <c r="X29" s="202">
        <f t="shared" ca="1" si="4"/>
        <v>128434.10567797071</v>
      </c>
      <c r="Y29" s="47"/>
      <c r="Z29" s="37">
        <f t="shared" si="11"/>
        <v>25.5</v>
      </c>
      <c r="AA29" s="37">
        <f t="shared" si="5"/>
        <v>8298.7660749523366</v>
      </c>
      <c r="AC29" s="4"/>
      <c r="AF29" s="4"/>
      <c r="AI29" s="4"/>
      <c r="AM29" s="41"/>
      <c r="AN29" s="41"/>
      <c r="AO29" s="49"/>
      <c r="AP29" s="41"/>
      <c r="AQ29" s="41"/>
      <c r="AR29" s="41"/>
      <c r="AS29" s="41"/>
      <c r="AT29" s="41"/>
      <c r="AU29" s="41"/>
      <c r="AV29" s="41"/>
      <c r="AW29" s="41"/>
      <c r="AX29" s="41"/>
      <c r="AY29" s="41"/>
      <c r="BA29" s="6"/>
      <c r="BB29" s="7"/>
      <c r="BC29" s="7"/>
      <c r="BD29" s="7"/>
      <c r="BE29" s="7"/>
      <c r="BF29" s="7"/>
      <c r="BG29" s="7"/>
      <c r="BH29" s="7"/>
      <c r="BI29" s="7"/>
      <c r="BK29" s="39"/>
      <c r="BL29" s="39"/>
      <c r="BM29" s="39"/>
      <c r="BN29" s="39"/>
      <c r="BO29" s="39"/>
      <c r="BP29" s="39"/>
      <c r="BQ29" s="52"/>
      <c r="BR29" s="52"/>
      <c r="BS29" s="53"/>
      <c r="BT29" s="53"/>
      <c r="BU29" s="52"/>
      <c r="BV29" s="50"/>
      <c r="BX29" s="49"/>
      <c r="BY29" s="49"/>
      <c r="BZ29" s="49"/>
      <c r="CA29" s="49"/>
      <c r="CB29" s="49"/>
      <c r="CC29" s="49"/>
      <c r="CD29" s="49"/>
      <c r="CE29" s="49"/>
      <c r="CF29" s="49"/>
      <c r="CH29" s="7"/>
      <c r="CI29" s="7"/>
      <c r="CJ29" s="7"/>
      <c r="CK29" s="7"/>
      <c r="CL29" s="7"/>
      <c r="CM29" s="7"/>
      <c r="CN29" s="7"/>
      <c r="CO29" s="7"/>
      <c r="CP29" s="7"/>
    </row>
    <row r="30" spans="1:94" ht="14.4" x14ac:dyDescent="0.3">
      <c r="A30" s="138">
        <v>26</v>
      </c>
      <c r="B30" s="4"/>
      <c r="C30" s="44">
        <f>'Life table (HE)'!B$10</f>
        <v>3.5000000000000001E-3</v>
      </c>
      <c r="E30" s="45">
        <f t="shared" si="6"/>
        <v>3.5000000000000001E-3</v>
      </c>
      <c r="F30" s="46">
        <f t="shared" si="7"/>
        <v>3.4938821395851249E-3</v>
      </c>
      <c r="G30" s="37">
        <f t="shared" si="8"/>
        <v>92820.747405898306</v>
      </c>
      <c r="H30" s="41">
        <f t="shared" si="9"/>
        <v>324.30475154441041</v>
      </c>
      <c r="I30" s="41">
        <f>SUM($H$4:H29)</f>
        <v>7179.2525941016456</v>
      </c>
      <c r="J30" s="37">
        <f t="shared" si="0"/>
        <v>92658.595030126104</v>
      </c>
      <c r="K30" s="37">
        <f>SUM(J30:J$113)</f>
        <v>3747531.6582809868</v>
      </c>
      <c r="L30" s="47">
        <f t="shared" si="1"/>
        <v>40.444511996567087</v>
      </c>
      <c r="M30" s="37">
        <f>(G31+0.5*H30)/(1+'General input'!$C$114)^A30</f>
        <v>26059.371365730211</v>
      </c>
      <c r="N30" s="37">
        <f>SUM(M30:M$113)</f>
        <v>440310.51126918499</v>
      </c>
      <c r="O30" s="37">
        <f t="shared" si="2"/>
        <v>16.896436413973603</v>
      </c>
      <c r="Q30" s="44">
        <f ca="1">VLOOKUP('General input'!$C$4,Lists!$EQ$8:$ES$180,3,0)*260</f>
        <v>7844.4820141565524</v>
      </c>
      <c r="S30" s="48">
        <f t="shared" ca="1" si="10"/>
        <v>726858682.17083991</v>
      </c>
      <c r="T30" s="37">
        <f ca="1">SUM(S30:S$115)</f>
        <v>24324606978.485851</v>
      </c>
      <c r="U30" s="47">
        <f t="shared" ca="1" si="3"/>
        <v>262518.62518072058</v>
      </c>
      <c r="V30" s="37">
        <f ca="1">S30/(1+'General input'!$C$113)^A30</f>
        <v>204422269.97869691</v>
      </c>
      <c r="W30" s="37">
        <f ca="1">SUM(V30:V$115)</f>
        <v>3311183158.9042206</v>
      </c>
      <c r="X30" s="202">
        <f t="shared" ca="1" si="4"/>
        <v>127063.04816157786</v>
      </c>
      <c r="Y30" s="47"/>
      <c r="Z30" s="37">
        <f t="shared" si="11"/>
        <v>26.5</v>
      </c>
      <c r="AA30" s="37">
        <f t="shared" si="5"/>
        <v>8594.0759159268764</v>
      </c>
      <c r="AC30" s="4"/>
      <c r="AF30" s="4"/>
      <c r="AI30" s="4"/>
      <c r="AM30" s="41"/>
      <c r="AN30" s="41"/>
      <c r="AO30" s="49"/>
      <c r="AP30" s="41"/>
      <c r="AQ30" s="41"/>
      <c r="AR30" s="41"/>
      <c r="AS30" s="41"/>
      <c r="AT30" s="41"/>
      <c r="AU30" s="41"/>
      <c r="AV30" s="41"/>
      <c r="AW30" s="41"/>
      <c r="AX30" s="41"/>
      <c r="AY30" s="41"/>
      <c r="BA30" s="6"/>
      <c r="BB30" s="7"/>
      <c r="BC30" s="7"/>
      <c r="BD30" s="7"/>
      <c r="BE30" s="7"/>
      <c r="BF30" s="7"/>
      <c r="BG30" s="7"/>
      <c r="BH30" s="7"/>
      <c r="BI30" s="7"/>
      <c r="BK30" s="39"/>
      <c r="BL30" s="39"/>
      <c r="BM30" s="39"/>
      <c r="BN30" s="39"/>
      <c r="BO30" s="39"/>
      <c r="BP30" s="39"/>
      <c r="BQ30" s="52"/>
      <c r="BR30" s="52"/>
      <c r="BS30" s="53"/>
      <c r="BT30" s="53"/>
      <c r="BU30" s="52"/>
      <c r="BV30" s="50"/>
      <c r="BX30" s="49"/>
      <c r="BY30" s="49"/>
      <c r="BZ30" s="49"/>
      <c r="CA30" s="49"/>
      <c r="CB30" s="49"/>
      <c r="CC30" s="49"/>
      <c r="CD30" s="49"/>
      <c r="CE30" s="49"/>
      <c r="CF30" s="49"/>
      <c r="CH30" s="7"/>
      <c r="CI30" s="7"/>
      <c r="CJ30" s="7"/>
      <c r="CK30" s="7"/>
      <c r="CL30" s="7"/>
      <c r="CM30" s="7"/>
      <c r="CN30" s="7"/>
      <c r="CO30" s="7"/>
      <c r="CP30" s="7"/>
    </row>
    <row r="31" spans="1:94" ht="14.4" x14ac:dyDescent="0.3">
      <c r="A31" s="138">
        <v>27</v>
      </c>
      <c r="B31" s="4"/>
      <c r="C31" s="44">
        <f>'Life table (HE)'!B$10</f>
        <v>3.5000000000000001E-3</v>
      </c>
      <c r="E31" s="45">
        <f t="shared" si="6"/>
        <v>3.5000000000000001E-3</v>
      </c>
      <c r="F31" s="46">
        <f t="shared" si="7"/>
        <v>3.4938821395851249E-3</v>
      </c>
      <c r="G31" s="37">
        <f t="shared" si="8"/>
        <v>92496.442654353901</v>
      </c>
      <c r="H31" s="41">
        <f t="shared" si="9"/>
        <v>323.17166896520683</v>
      </c>
      <c r="I31" s="41">
        <f>SUM($H$4:H30)</f>
        <v>7503.5573456460561</v>
      </c>
      <c r="J31" s="37">
        <f t="shared" si="0"/>
        <v>92334.856819871289</v>
      </c>
      <c r="K31" s="37">
        <f>SUM(J31:J$113)</f>
        <v>3654873.0632508607</v>
      </c>
      <c r="L31" s="47">
        <f t="shared" si="1"/>
        <v>39.582809668301771</v>
      </c>
      <c r="M31" s="37">
        <f>(G32+0.5*H31)/(1+'General input'!$C$114)^A31</f>
        <v>24731.736184330159</v>
      </c>
      <c r="N31" s="37">
        <f>SUM(M31:M$113)</f>
        <v>414251.13990345469</v>
      </c>
      <c r="O31" s="37">
        <f t="shared" si="2"/>
        <v>16.749779991827712</v>
      </c>
      <c r="Q31" s="44">
        <f ca="1">VLOOKUP('General input'!$C$4,Lists!$EQ$8:$ES$180,3,0)*260</f>
        <v>7844.4820141565524</v>
      </c>
      <c r="S31" s="48">
        <f t="shared" ca="1" si="10"/>
        <v>724319123.60320079</v>
      </c>
      <c r="T31" s="37">
        <f ca="1">SUM(S31:S$115)</f>
        <v>23597748296.31501</v>
      </c>
      <c r="U31" s="47">
        <f t="shared" ca="1" si="3"/>
        <v>255567.06436822636</v>
      </c>
      <c r="V31" s="37">
        <f ca="1">S31/(1+'General input'!$C$113)^A31</f>
        <v>194007659.67684272</v>
      </c>
      <c r="W31" s="37">
        <f ca="1">SUM(V31:V$115)</f>
        <v>3106760888.9255242</v>
      </c>
      <c r="X31" s="202">
        <f t="shared" ca="1" si="4"/>
        <v>125618.39030508276</v>
      </c>
      <c r="Y31" s="47"/>
      <c r="Z31" s="37">
        <f t="shared" si="11"/>
        <v>27.5</v>
      </c>
      <c r="AA31" s="37">
        <f t="shared" si="5"/>
        <v>8887.2208965431873</v>
      </c>
      <c r="AC31" s="4"/>
      <c r="AF31" s="4"/>
      <c r="AI31" s="4"/>
      <c r="AM31" s="41"/>
      <c r="AN31" s="41"/>
      <c r="AO31" s="49"/>
      <c r="AP31" s="41"/>
      <c r="AQ31" s="41"/>
      <c r="AR31" s="41"/>
      <c r="AS31" s="41"/>
      <c r="AT31" s="41"/>
      <c r="AU31" s="41"/>
      <c r="AV31" s="41"/>
      <c r="AW31" s="41"/>
      <c r="AX31" s="41"/>
      <c r="AY31" s="41"/>
      <c r="BA31" s="6"/>
      <c r="BB31" s="7"/>
      <c r="BC31" s="7"/>
      <c r="BD31" s="7"/>
      <c r="BE31" s="7"/>
      <c r="BF31" s="7"/>
      <c r="BG31" s="7"/>
      <c r="BH31" s="7"/>
      <c r="BI31" s="7"/>
      <c r="BK31" s="39"/>
      <c r="BL31" s="39"/>
      <c r="BM31" s="39"/>
      <c r="BN31" s="39"/>
      <c r="BO31" s="39"/>
      <c r="BP31" s="39"/>
      <c r="BQ31" s="52"/>
      <c r="BR31" s="52"/>
      <c r="BS31" s="53"/>
      <c r="BT31" s="53"/>
      <c r="BU31" s="52"/>
      <c r="BV31" s="50"/>
      <c r="BX31" s="49"/>
      <c r="BY31" s="49"/>
      <c r="BZ31" s="49"/>
      <c r="CA31" s="49"/>
      <c r="CB31" s="49"/>
      <c r="CC31" s="49"/>
      <c r="CD31" s="49"/>
      <c r="CE31" s="49"/>
      <c r="CF31" s="49"/>
      <c r="CH31" s="7"/>
      <c r="CI31" s="7"/>
      <c r="CJ31" s="7"/>
      <c r="CK31" s="7"/>
      <c r="CL31" s="7"/>
      <c r="CM31" s="7"/>
      <c r="CN31" s="7"/>
      <c r="CO31" s="7"/>
      <c r="CP31" s="7"/>
    </row>
    <row r="32" spans="1:94" ht="14.4" x14ac:dyDescent="0.3">
      <c r="A32" s="138">
        <v>28</v>
      </c>
      <c r="B32" s="4"/>
      <c r="C32" s="44">
        <f>'Life table (HE)'!B$10</f>
        <v>3.5000000000000001E-3</v>
      </c>
      <c r="E32" s="45">
        <f t="shared" si="6"/>
        <v>3.5000000000000001E-3</v>
      </c>
      <c r="F32" s="46">
        <f t="shared" si="7"/>
        <v>3.4938821395851249E-3</v>
      </c>
      <c r="G32" s="37">
        <f t="shared" si="8"/>
        <v>92173.270985388692</v>
      </c>
      <c r="H32" s="41">
        <f t="shared" si="9"/>
        <v>322.04254524298938</v>
      </c>
      <c r="I32" s="41">
        <f>SUM($H$4:H31)</f>
        <v>7826.7290146112628</v>
      </c>
      <c r="J32" s="37">
        <f t="shared" si="0"/>
        <v>92012.249712767196</v>
      </c>
      <c r="K32" s="37">
        <f>SUM(J32:J$113)</f>
        <v>3562538.2064309893</v>
      </c>
      <c r="L32" s="47">
        <f t="shared" si="1"/>
        <v>38.71808609779778</v>
      </c>
      <c r="M32" s="37">
        <f>(G33+0.5*H32)/(1+'General input'!$C$114)^A32</f>
        <v>23471.739440947429</v>
      </c>
      <c r="N32" s="37">
        <f>SUM(M32:M$113)</f>
        <v>389519.40371912462</v>
      </c>
      <c r="O32" s="37">
        <f t="shared" si="2"/>
        <v>16.595250841937677</v>
      </c>
      <c r="Q32" s="44">
        <f ca="1">VLOOKUP('General input'!$C$4,Lists!$EQ$8:$ES$180,3,0)*260</f>
        <v>7844.4820141565524</v>
      </c>
      <c r="S32" s="48">
        <f t="shared" ca="1" si="10"/>
        <v>721788437.95388365</v>
      </c>
      <c r="T32" s="37">
        <f ca="1">SUM(S32:S$115)</f>
        <v>22873429172.711811</v>
      </c>
      <c r="U32" s="47">
        <f t="shared" ca="1" si="3"/>
        <v>248591.13046486027</v>
      </c>
      <c r="V32" s="37">
        <f ca="1">S32/(1+'General input'!$C$113)^A32</f>
        <v>184123637.88548109</v>
      </c>
      <c r="W32" s="37">
        <f ca="1">SUM(V32:V$115)</f>
        <v>2912753229.2486811</v>
      </c>
      <c r="X32" s="202">
        <f t="shared" ca="1" si="4"/>
        <v>124096.18113633545</v>
      </c>
      <c r="Y32" s="47"/>
      <c r="Z32" s="37">
        <f t="shared" si="11"/>
        <v>28.5</v>
      </c>
      <c r="AA32" s="37">
        <f t="shared" si="5"/>
        <v>9178.212539425198</v>
      </c>
      <c r="AC32" s="4"/>
      <c r="AF32" s="4"/>
      <c r="AI32" s="4"/>
      <c r="AM32" s="41"/>
      <c r="AN32" s="41"/>
      <c r="AO32" s="49"/>
      <c r="AP32" s="41"/>
      <c r="AQ32" s="41"/>
      <c r="AR32" s="41"/>
      <c r="AS32" s="41"/>
      <c r="AT32" s="41"/>
      <c r="AU32" s="41"/>
      <c r="AV32" s="41"/>
      <c r="AW32" s="41"/>
      <c r="AX32" s="41"/>
      <c r="AY32" s="41"/>
      <c r="BA32" s="6"/>
      <c r="BB32" s="7"/>
      <c r="BC32" s="7"/>
      <c r="BD32" s="7"/>
      <c r="BE32" s="7"/>
      <c r="BF32" s="7"/>
      <c r="BG32" s="7"/>
      <c r="BH32" s="7"/>
      <c r="BI32" s="7"/>
      <c r="BK32" s="39"/>
      <c r="BL32" s="39"/>
      <c r="BM32" s="39"/>
      <c r="BN32" s="39"/>
      <c r="BO32" s="39"/>
      <c r="BP32" s="39"/>
      <c r="BQ32" s="52"/>
      <c r="BR32" s="52"/>
      <c r="BS32" s="53"/>
      <c r="BT32" s="53"/>
      <c r="BU32" s="52"/>
      <c r="BV32" s="50"/>
      <c r="BX32" s="49"/>
      <c r="BY32" s="49"/>
      <c r="BZ32" s="49"/>
      <c r="CA32" s="49"/>
      <c r="CB32" s="49"/>
      <c r="CC32" s="49"/>
      <c r="CD32" s="49"/>
      <c r="CE32" s="49"/>
      <c r="CF32" s="49"/>
      <c r="CH32" s="7"/>
      <c r="CI32" s="7"/>
      <c r="CJ32" s="7"/>
      <c r="CK32" s="7"/>
      <c r="CL32" s="7"/>
      <c r="CM32" s="7"/>
      <c r="CN32" s="7"/>
      <c r="CO32" s="7"/>
      <c r="CP32" s="7"/>
    </row>
    <row r="33" spans="1:94" ht="14.4" x14ac:dyDescent="0.3">
      <c r="A33" s="138">
        <v>29</v>
      </c>
      <c r="B33" s="4"/>
      <c r="C33" s="44">
        <f>'Life table (HE)'!B$10</f>
        <v>3.5000000000000001E-3</v>
      </c>
      <c r="E33" s="45">
        <f t="shared" si="6"/>
        <v>3.5000000000000001E-3</v>
      </c>
      <c r="F33" s="46">
        <f t="shared" si="7"/>
        <v>3.4938821395851249E-3</v>
      </c>
      <c r="G33" s="37">
        <f t="shared" si="8"/>
        <v>91851.2284401457</v>
      </c>
      <c r="H33" s="41">
        <f t="shared" si="9"/>
        <v>320.91736654597833</v>
      </c>
      <c r="I33" s="41">
        <f>SUM($H$4:H32)</f>
        <v>8148.7715598542518</v>
      </c>
      <c r="J33" s="37">
        <f t="shared" si="0"/>
        <v>91690.769756872702</v>
      </c>
      <c r="K33" s="37">
        <f>SUM(J33:J$113)</f>
        <v>3470525.9567182227</v>
      </c>
      <c r="L33" s="47">
        <f t="shared" si="1"/>
        <v>37.850330692180592</v>
      </c>
      <c r="M33" s="37">
        <f>(G34+0.5*H33)/(1+'General input'!$C$114)^A33</f>
        <v>22275.935190218763</v>
      </c>
      <c r="N33" s="37">
        <f>SUM(M33:M$113)</f>
        <v>366047.6642781772</v>
      </c>
      <c r="O33" s="37">
        <f t="shared" si="2"/>
        <v>16.432426344951239</v>
      </c>
      <c r="Q33" s="44">
        <f ca="1">VLOOKUP('General input'!$C$4,Lists!$EQ$8:$ES$180,3,0)*260</f>
        <v>7844.4820141565524</v>
      </c>
      <c r="S33" s="48">
        <f t="shared" ca="1" si="10"/>
        <v>719266594.22195745</v>
      </c>
      <c r="T33" s="37">
        <f ca="1">SUM(S33:S$115)</f>
        <v>22151640734.757927</v>
      </c>
      <c r="U33" s="47">
        <f t="shared" ca="1" si="3"/>
        <v>241590.73801534474</v>
      </c>
      <c r="V33" s="37">
        <f ca="1">S33/(1+'General input'!$C$113)^A33</f>
        <v>174743172.9481881</v>
      </c>
      <c r="W33" s="37">
        <f ca="1">SUM(V33:V$115)</f>
        <v>2728629591.3631997</v>
      </c>
      <c r="X33" s="202">
        <f t="shared" ca="1" si="4"/>
        <v>122492.25758931664</v>
      </c>
      <c r="Y33" s="47"/>
      <c r="Z33" s="37">
        <f t="shared" si="11"/>
        <v>29.5</v>
      </c>
      <c r="AA33" s="37">
        <f t="shared" si="5"/>
        <v>9467.0623131063603</v>
      </c>
      <c r="AC33" s="4"/>
      <c r="AF33" s="4"/>
      <c r="AI33" s="4"/>
      <c r="AM33" s="41"/>
      <c r="AN33" s="41"/>
      <c r="AO33" s="49"/>
      <c r="AP33" s="41"/>
      <c r="AQ33" s="41"/>
      <c r="AR33" s="41"/>
      <c r="AS33" s="41"/>
      <c r="AT33" s="41"/>
      <c r="AU33" s="41"/>
      <c r="AV33" s="41"/>
      <c r="AW33" s="41"/>
      <c r="AX33" s="41"/>
      <c r="AY33" s="41"/>
      <c r="BA33" s="6"/>
      <c r="BB33" s="7"/>
      <c r="BC33" s="7"/>
      <c r="BD33" s="7"/>
      <c r="BE33" s="7"/>
      <c r="BF33" s="7"/>
      <c r="BG33" s="7"/>
      <c r="BH33" s="7"/>
      <c r="BI33" s="7"/>
      <c r="BK33" s="39"/>
      <c r="BL33" s="39"/>
      <c r="BM33" s="39"/>
      <c r="BN33" s="39"/>
      <c r="BO33" s="39"/>
      <c r="BP33" s="39"/>
      <c r="BQ33" s="52"/>
      <c r="BR33" s="52"/>
      <c r="BS33" s="53"/>
      <c r="BT33" s="53"/>
      <c r="BU33" s="52"/>
      <c r="BV33" s="50"/>
      <c r="BX33" s="49"/>
      <c r="BY33" s="49"/>
      <c r="BZ33" s="49"/>
      <c r="CA33" s="49"/>
      <c r="CB33" s="49"/>
      <c r="CC33" s="49"/>
      <c r="CD33" s="49"/>
      <c r="CE33" s="49"/>
      <c r="CF33" s="49"/>
      <c r="CH33" s="7"/>
      <c r="CI33" s="7"/>
      <c r="CJ33" s="7"/>
      <c r="CK33" s="7"/>
      <c r="CL33" s="7"/>
      <c r="CM33" s="7"/>
      <c r="CN33" s="7"/>
      <c r="CO33" s="7"/>
      <c r="CP33" s="7"/>
    </row>
    <row r="34" spans="1:94" ht="14.4" x14ac:dyDescent="0.3">
      <c r="A34" s="138">
        <v>30</v>
      </c>
      <c r="B34" s="4"/>
      <c r="C34" s="44">
        <f>'Life table (HE)'!B$11</f>
        <v>6.0000000000000001E-3</v>
      </c>
      <c r="E34" s="45">
        <f t="shared" si="6"/>
        <v>6.0000000000000001E-3</v>
      </c>
      <c r="F34" s="46">
        <f t="shared" si="7"/>
        <v>5.9820359460647232E-3</v>
      </c>
      <c r="G34" s="37">
        <f t="shared" si="8"/>
        <v>91530.311073599718</v>
      </c>
      <c r="H34" s="41">
        <f t="shared" si="9"/>
        <v>547.53761099675955</v>
      </c>
      <c r="I34" s="41">
        <f>SUM($H$4:H33)</f>
        <v>8469.6889264002293</v>
      </c>
      <c r="J34" s="37">
        <f t="shared" si="0"/>
        <v>91256.54226810133</v>
      </c>
      <c r="K34" s="37">
        <f>SUM(J34:J$113)</f>
        <v>3378835.1869613496</v>
      </c>
      <c r="L34" s="47">
        <f t="shared" si="1"/>
        <v>37.02567621984533</v>
      </c>
      <c r="M34" s="37">
        <f>(G35+0.5*H34)/(1+'General input'!$C$114)^A34</f>
        <v>21114.705923148766</v>
      </c>
      <c r="N34" s="37">
        <f>SUM(M34:M$113)</f>
        <v>343771.72908795846</v>
      </c>
      <c r="O34" s="37">
        <f t="shared" si="2"/>
        <v>16.281151645643803</v>
      </c>
      <c r="Q34" s="44">
        <f ca="1">VLOOKUP('General input'!$C$4,Lists!$EQ$8:$ES$180,3,0)*260</f>
        <v>7844.4820141565524</v>
      </c>
      <c r="S34" s="48">
        <f t="shared" ca="1" si="10"/>
        <v>715860304.49623811</v>
      </c>
      <c r="T34" s="37">
        <f ca="1">SUM(S34:S$115)</f>
        <v>21432374140.535969</v>
      </c>
      <c r="U34" s="47">
        <f t="shared" ca="1" si="3"/>
        <v>234858.49461148871</v>
      </c>
      <c r="V34" s="37">
        <f ca="1">S34/(1+'General input'!$C$113)^A34</f>
        <v>165633930.84834531</v>
      </c>
      <c r="W34" s="37">
        <f ca="1">SUM(V34:V$115)</f>
        <v>2553886418.4150124</v>
      </c>
      <c r="X34" s="202">
        <f t="shared" ca="1" si="4"/>
        <v>120952.97124716762</v>
      </c>
      <c r="Y34" s="47"/>
      <c r="Z34" s="37">
        <f t="shared" si="11"/>
        <v>30.5</v>
      </c>
      <c r="AA34" s="37">
        <f t="shared" si="5"/>
        <v>16699.897135401166</v>
      </c>
      <c r="AC34" s="4"/>
      <c r="AF34" s="4"/>
      <c r="AI34" s="4"/>
      <c r="AM34" s="41"/>
      <c r="AN34" s="41"/>
      <c r="AO34" s="49"/>
      <c r="AP34" s="41"/>
      <c r="AQ34" s="41"/>
      <c r="AR34" s="41"/>
      <c r="AS34" s="41"/>
      <c r="AT34" s="41"/>
      <c r="AU34" s="41"/>
      <c r="AV34" s="41"/>
      <c r="AW34" s="41"/>
      <c r="AX34" s="41"/>
      <c r="AY34" s="41"/>
      <c r="BA34" s="6"/>
      <c r="BB34" s="7"/>
      <c r="BC34" s="7"/>
      <c r="BD34" s="7"/>
      <c r="BE34" s="7"/>
      <c r="BF34" s="7"/>
      <c r="BG34" s="7"/>
      <c r="BH34" s="7"/>
      <c r="BI34" s="7"/>
      <c r="BK34" s="39"/>
      <c r="BL34" s="39"/>
      <c r="BM34" s="39"/>
      <c r="BN34" s="39"/>
      <c r="BO34" s="39"/>
      <c r="BP34" s="39"/>
      <c r="BQ34" s="52"/>
      <c r="BR34" s="52"/>
      <c r="BS34" s="53"/>
      <c r="BT34" s="53"/>
      <c r="BU34" s="52"/>
      <c r="BV34" s="50"/>
      <c r="BX34" s="49"/>
      <c r="BY34" s="49"/>
      <c r="BZ34" s="49"/>
      <c r="CA34" s="49"/>
      <c r="CB34" s="49"/>
      <c r="CC34" s="49"/>
      <c r="CD34" s="49"/>
      <c r="CE34" s="49"/>
      <c r="CF34" s="49"/>
      <c r="CH34" s="7"/>
      <c r="CI34" s="7"/>
      <c r="CJ34" s="7"/>
      <c r="CK34" s="7"/>
      <c r="CL34" s="7"/>
      <c r="CM34" s="7"/>
      <c r="CN34" s="7"/>
      <c r="CO34" s="7"/>
      <c r="CP34" s="7"/>
    </row>
    <row r="35" spans="1:94" ht="14.4" x14ac:dyDescent="0.3">
      <c r="A35" s="138">
        <v>31</v>
      </c>
      <c r="B35" s="4"/>
      <c r="C35" s="44">
        <f>'Life table (HE)'!B$11</f>
        <v>6.0000000000000001E-3</v>
      </c>
      <c r="E35" s="45">
        <f t="shared" si="6"/>
        <v>6.0000000000000001E-3</v>
      </c>
      <c r="F35" s="46">
        <f t="shared" si="7"/>
        <v>5.9820359460647232E-3</v>
      </c>
      <c r="G35" s="37">
        <f t="shared" si="8"/>
        <v>90982.773462602956</v>
      </c>
      <c r="H35" s="41">
        <f t="shared" si="9"/>
        <v>544.26222132595444</v>
      </c>
      <c r="I35" s="41">
        <f>SUM($H$4:H34)</f>
        <v>9017.2265373969894</v>
      </c>
      <c r="J35" s="37">
        <f t="shared" si="0"/>
        <v>90710.642351939969</v>
      </c>
      <c r="K35" s="37">
        <f>SUM(J35:J$113)</f>
        <v>3287578.6446932484</v>
      </c>
      <c r="L35" s="47">
        <f t="shared" si="1"/>
        <v>36.242480038208427</v>
      </c>
      <c r="M35" s="37">
        <f>(G36+0.5*H35)/(1+'General input'!$C$114)^A35</f>
        <v>19988.949517453231</v>
      </c>
      <c r="N35" s="37">
        <f>SUM(M35:M$113)</f>
        <v>322657.02316480968</v>
      </c>
      <c r="O35" s="37">
        <f t="shared" si="2"/>
        <v>16.141769875554672</v>
      </c>
      <c r="Q35" s="44">
        <f ca="1">VLOOKUP('General input'!$C$4,Lists!$EQ$8:$ES$180,3,0)*260</f>
        <v>7844.4820141565524</v>
      </c>
      <c r="S35" s="48">
        <f t="shared" ca="1" si="10"/>
        <v>711578002.42238069</v>
      </c>
      <c r="T35" s="37">
        <f ca="1">SUM(S35:S$115)</f>
        <v>20716513836.03973</v>
      </c>
      <c r="U35" s="47">
        <f t="shared" ca="1" si="3"/>
        <v>228380.19110992085</v>
      </c>
      <c r="V35" s="37">
        <f ca="1">S35/(1+'General input'!$C$113)^A35</f>
        <v>156802954.97154516</v>
      </c>
      <c r="W35" s="37">
        <f ca="1">SUM(V35:V$115)</f>
        <v>2388252487.5666671</v>
      </c>
      <c r="X35" s="202">
        <f t="shared" ca="1" si="4"/>
        <v>119478.63920919799</v>
      </c>
      <c r="Y35" s="47"/>
      <c r="Z35" s="37">
        <f t="shared" si="11"/>
        <v>31.5</v>
      </c>
      <c r="AA35" s="37">
        <f t="shared" si="5"/>
        <v>17144.259971767566</v>
      </c>
      <c r="AC35" s="4"/>
      <c r="AF35" s="4"/>
      <c r="AI35" s="4"/>
      <c r="AM35" s="41"/>
      <c r="AN35" s="41"/>
      <c r="AO35" s="49"/>
      <c r="AP35" s="41"/>
      <c r="AQ35" s="41"/>
      <c r="AR35" s="41"/>
      <c r="AS35" s="41"/>
      <c r="AT35" s="41"/>
      <c r="AU35" s="41"/>
      <c r="AV35" s="41"/>
      <c r="AW35" s="41"/>
      <c r="AX35" s="41"/>
      <c r="AY35" s="41"/>
      <c r="BA35" s="6"/>
      <c r="BB35" s="7"/>
      <c r="BC35" s="7"/>
      <c r="BD35" s="7"/>
      <c r="BE35" s="7"/>
      <c r="BF35" s="7"/>
      <c r="BG35" s="7"/>
      <c r="BH35" s="7"/>
      <c r="BI35" s="7"/>
      <c r="BK35" s="39"/>
      <c r="BL35" s="39"/>
      <c r="BM35" s="39"/>
      <c r="BN35" s="39"/>
      <c r="BO35" s="39"/>
      <c r="BP35" s="39"/>
      <c r="BQ35" s="52"/>
      <c r="BR35" s="52"/>
      <c r="BS35" s="53"/>
      <c r="BT35" s="53"/>
      <c r="BU35" s="52"/>
      <c r="BV35" s="50"/>
      <c r="BX35" s="49"/>
      <c r="BY35" s="49"/>
      <c r="BZ35" s="49"/>
      <c r="CA35" s="49"/>
      <c r="CB35" s="49"/>
      <c r="CC35" s="49"/>
      <c r="CD35" s="49"/>
      <c r="CE35" s="49"/>
      <c r="CF35" s="49"/>
      <c r="CH35" s="7"/>
      <c r="CI35" s="7"/>
      <c r="CJ35" s="7"/>
      <c r="CK35" s="7"/>
      <c r="CL35" s="7"/>
      <c r="CM35" s="7"/>
      <c r="CN35" s="7"/>
      <c r="CO35" s="7"/>
      <c r="CP35" s="7"/>
    </row>
    <row r="36" spans="1:94" ht="14.4" x14ac:dyDescent="0.3">
      <c r="A36" s="138">
        <v>32</v>
      </c>
      <c r="B36" s="4"/>
      <c r="C36" s="44">
        <f>'Life table (HE)'!B$11</f>
        <v>6.0000000000000001E-3</v>
      </c>
      <c r="E36" s="45">
        <f t="shared" si="6"/>
        <v>6.0000000000000001E-3</v>
      </c>
      <c r="F36" s="46">
        <f t="shared" si="7"/>
        <v>5.9820359460647232E-3</v>
      </c>
      <c r="G36" s="37">
        <f t="shared" si="8"/>
        <v>90438.511241276996</v>
      </c>
      <c r="H36" s="41">
        <f t="shared" si="9"/>
        <v>541.00642515389757</v>
      </c>
      <c r="I36" s="41">
        <f>SUM($H$4:H35)</f>
        <v>9561.4887587229441</v>
      </c>
      <c r="J36" s="37">
        <f t="shared" si="0"/>
        <v>90168.008028700046</v>
      </c>
      <c r="K36" s="37">
        <f>SUM(J36:J$113)</f>
        <v>3196868.0023413086</v>
      </c>
      <c r="L36" s="47">
        <f t="shared" si="1"/>
        <v>35.454570553713026</v>
      </c>
      <c r="M36" s="37">
        <f>(G37+0.5*H36)/(1+'General input'!$C$114)^A36</f>
        <v>18923.214193253101</v>
      </c>
      <c r="N36" s="37">
        <f>SUM(M36:M$113)</f>
        <v>302668.07364735648</v>
      </c>
      <c r="O36" s="37">
        <f t="shared" si="2"/>
        <v>15.994538272217518</v>
      </c>
      <c r="Q36" s="44">
        <f ca="1">VLOOKUP('General input'!$C$4,Lists!$EQ$8:$ES$180,3,0)*260</f>
        <v>7844.4820141565524</v>
      </c>
      <c r="S36" s="48">
        <f t="shared" ca="1" si="10"/>
        <v>707321317.23346114</v>
      </c>
      <c r="T36" s="37">
        <f ca="1">SUM(S36:S$115)</f>
        <v>20004935833.617348</v>
      </c>
      <c r="U36" s="47">
        <f t="shared" ca="1" si="3"/>
        <v>221862.90094431135</v>
      </c>
      <c r="V36" s="37">
        <f ca="1">S36/(1+'General input'!$C$113)^A36</f>
        <v>148442813.38900593</v>
      </c>
      <c r="W36" s="37">
        <f ca="1">SUM(V36:V$115)</f>
        <v>2231449532.5951219</v>
      </c>
      <c r="X36" s="202">
        <f t="shared" ca="1" si="4"/>
        <v>117921.27435680164</v>
      </c>
      <c r="Y36" s="47"/>
      <c r="Z36" s="37">
        <f t="shared" si="11"/>
        <v>32.5</v>
      </c>
      <c r="AA36" s="37">
        <f t="shared" si="5"/>
        <v>17582.708817501672</v>
      </c>
      <c r="AC36" s="4"/>
      <c r="AF36" s="4"/>
      <c r="AI36" s="4"/>
      <c r="AM36" s="41"/>
      <c r="AN36" s="41"/>
      <c r="AO36" s="49"/>
      <c r="AP36" s="41"/>
      <c r="AQ36" s="41"/>
      <c r="AR36" s="41"/>
      <c r="AS36" s="41"/>
      <c r="AT36" s="41"/>
      <c r="AU36" s="41"/>
      <c r="AV36" s="41"/>
      <c r="AW36" s="41"/>
      <c r="AX36" s="41"/>
      <c r="AY36" s="41"/>
      <c r="BA36" s="6"/>
      <c r="BB36" s="7"/>
      <c r="BC36" s="7"/>
      <c r="BD36" s="7"/>
      <c r="BE36" s="7"/>
      <c r="BF36" s="7"/>
      <c r="BG36" s="7"/>
      <c r="BH36" s="7"/>
      <c r="BI36" s="7"/>
      <c r="BK36" s="39"/>
      <c r="BL36" s="39"/>
      <c r="BM36" s="39"/>
      <c r="BN36" s="39"/>
      <c r="BO36" s="39"/>
      <c r="BP36" s="39"/>
      <c r="BQ36" s="52"/>
      <c r="BR36" s="52"/>
      <c r="BS36" s="53"/>
      <c r="BT36" s="53"/>
      <c r="BU36" s="52"/>
      <c r="BV36" s="50"/>
      <c r="BX36" s="49"/>
      <c r="BY36" s="49"/>
      <c r="BZ36" s="49"/>
      <c r="CA36" s="49"/>
      <c r="CB36" s="49"/>
      <c r="CC36" s="49"/>
      <c r="CD36" s="49"/>
      <c r="CE36" s="49"/>
      <c r="CF36" s="49"/>
      <c r="CH36" s="7"/>
      <c r="CI36" s="7"/>
      <c r="CJ36" s="7"/>
      <c r="CK36" s="7"/>
      <c r="CL36" s="7"/>
      <c r="CM36" s="7"/>
      <c r="CN36" s="7"/>
      <c r="CO36" s="7"/>
      <c r="CP36" s="7"/>
    </row>
    <row r="37" spans="1:94" ht="14.4" x14ac:dyDescent="0.3">
      <c r="A37" s="138">
        <v>33</v>
      </c>
      <c r="B37" s="4"/>
      <c r="C37" s="44">
        <f>'Life table (HE)'!B$11</f>
        <v>6.0000000000000001E-3</v>
      </c>
      <c r="E37" s="45">
        <f t="shared" si="6"/>
        <v>6.0000000000000001E-3</v>
      </c>
      <c r="F37" s="46">
        <f t="shared" si="7"/>
        <v>5.9820359460647232E-3</v>
      </c>
      <c r="G37" s="37">
        <f t="shared" si="8"/>
        <v>89897.504816123095</v>
      </c>
      <c r="H37" s="41">
        <f t="shared" si="9"/>
        <v>537.77010527157495</v>
      </c>
      <c r="I37" s="41">
        <f>SUM($H$4:H36)</f>
        <v>10102.495183876841</v>
      </c>
      <c r="J37" s="37">
        <f t="shared" si="0"/>
        <v>89628.61976348731</v>
      </c>
      <c r="K37" s="37">
        <f>SUM(J37:J$113)</f>
        <v>3106699.9943126086</v>
      </c>
      <c r="L37" s="47">
        <f t="shared" si="1"/>
        <v>34.661919401532593</v>
      </c>
      <c r="M37" s="37">
        <f>(G38+0.5*H37)/(1+'General input'!$C$114)^A37</f>
        <v>17914.299853079978</v>
      </c>
      <c r="N37" s="37">
        <f>SUM(M37:M$113)</f>
        <v>283744.8594541034</v>
      </c>
      <c r="O37" s="37">
        <f t="shared" si="2"/>
        <v>15.839014741361471</v>
      </c>
      <c r="Q37" s="44">
        <f ca="1">VLOOKUP('General input'!$C$4,Lists!$EQ$8:$ES$180,3,0)*260</f>
        <v>7844.4820141565524</v>
      </c>
      <c r="S37" s="48">
        <f t="shared" ca="1" si="10"/>
        <v>703090095.6883527</v>
      </c>
      <c r="T37" s="37">
        <f ca="1">SUM(S37:S$115)</f>
        <v>19297614516.383888</v>
      </c>
      <c r="U37" s="47">
        <f t="shared" ca="1" si="3"/>
        <v>215306.38949151043</v>
      </c>
      <c r="V37" s="37">
        <f ca="1">S37/(1+'General input'!$C$113)^A37</f>
        <v>140528402.99369326</v>
      </c>
      <c r="W37" s="37">
        <f ca="1">SUM(V37:V$115)</f>
        <v>2083006719.2061155</v>
      </c>
      <c r="X37" s="202">
        <f t="shared" ca="1" si="4"/>
        <v>116276.20037006288</v>
      </c>
      <c r="Y37" s="47"/>
      <c r="Z37" s="37">
        <f t="shared" si="11"/>
        <v>33.5</v>
      </c>
      <c r="AA37" s="37">
        <f t="shared" si="5"/>
        <v>18015.298526597762</v>
      </c>
      <c r="AC37" s="4"/>
      <c r="AF37" s="4"/>
      <c r="AI37" s="4"/>
      <c r="AM37" s="41"/>
      <c r="AN37" s="41"/>
      <c r="AO37" s="49"/>
      <c r="AP37" s="41"/>
      <c r="AQ37" s="41"/>
      <c r="AR37" s="41"/>
      <c r="AS37" s="41"/>
      <c r="AT37" s="41"/>
      <c r="AU37" s="41"/>
      <c r="AV37" s="41"/>
      <c r="AW37" s="41"/>
      <c r="AX37" s="41"/>
      <c r="AY37" s="41"/>
      <c r="BA37" s="6"/>
      <c r="BB37" s="7"/>
      <c r="BC37" s="7"/>
      <c r="BD37" s="7"/>
      <c r="BE37" s="7"/>
      <c r="BF37" s="7"/>
      <c r="BG37" s="7"/>
      <c r="BH37" s="7"/>
      <c r="BI37" s="7"/>
      <c r="BK37" s="39"/>
      <c r="BL37" s="39"/>
      <c r="BM37" s="39"/>
      <c r="BN37" s="39"/>
      <c r="BO37" s="39"/>
      <c r="BP37" s="39"/>
      <c r="BQ37" s="52"/>
      <c r="BR37" s="52"/>
      <c r="BS37" s="53"/>
      <c r="BT37" s="53"/>
      <c r="BU37" s="52"/>
      <c r="BV37" s="50"/>
      <c r="BX37" s="49"/>
      <c r="BY37" s="49"/>
      <c r="BZ37" s="49"/>
      <c r="CA37" s="49"/>
      <c r="CB37" s="49"/>
      <c r="CC37" s="49"/>
      <c r="CD37" s="49"/>
      <c r="CE37" s="49"/>
      <c r="CF37" s="49"/>
      <c r="CH37" s="7"/>
      <c r="CI37" s="7"/>
      <c r="CJ37" s="7"/>
      <c r="CK37" s="7"/>
      <c r="CL37" s="7"/>
      <c r="CM37" s="7"/>
      <c r="CN37" s="7"/>
      <c r="CO37" s="7"/>
      <c r="CP37" s="7"/>
    </row>
    <row r="38" spans="1:94" ht="14.4" x14ac:dyDescent="0.3">
      <c r="A38" s="138">
        <v>34</v>
      </c>
      <c r="B38" s="4"/>
      <c r="C38" s="44">
        <f>'Life table (HE)'!B$11</f>
        <v>6.0000000000000001E-3</v>
      </c>
      <c r="E38" s="45">
        <f t="shared" si="6"/>
        <v>6.0000000000000001E-3</v>
      </c>
      <c r="F38" s="46">
        <f t="shared" si="7"/>
        <v>5.9820359460647232E-3</v>
      </c>
      <c r="G38" s="37">
        <f t="shared" si="8"/>
        <v>89359.734710851524</v>
      </c>
      <c r="H38" s="41">
        <f t="shared" si="9"/>
        <v>534.5531451711214</v>
      </c>
      <c r="I38" s="41">
        <f>SUM($H$4:H37)</f>
        <v>10640.265289148416</v>
      </c>
      <c r="J38" s="37">
        <f t="shared" si="0"/>
        <v>89092.458138265953</v>
      </c>
      <c r="K38" s="37">
        <f>SUM(J38:J$113)</f>
        <v>3017071.3745491211</v>
      </c>
      <c r="L38" s="47">
        <f t="shared" si="1"/>
        <v>33.864498046140042</v>
      </c>
      <c r="M38" s="37">
        <f>(G39+0.5*H38)/(1+'General input'!$C$114)^A38</f>
        <v>16959.177016581212</v>
      </c>
      <c r="N38" s="37">
        <f>SUM(M38:M$113)</f>
        <v>265830.55960102339</v>
      </c>
      <c r="O38" s="37">
        <f t="shared" si="2"/>
        <v>15.67473229043587</v>
      </c>
      <c r="Q38" s="44">
        <f ca="1">VLOOKUP('General input'!$C$4,Lists!$EQ$8:$ES$180,3,0)*260</f>
        <v>7844.4820141565524</v>
      </c>
      <c r="S38" s="48">
        <f t="shared" ca="1" si="10"/>
        <v>698884185.46262288</v>
      </c>
      <c r="T38" s="37">
        <f ca="1">SUM(S38:S$115)</f>
        <v>18594524420.695534</v>
      </c>
      <c r="U38" s="47">
        <f t="shared" ca="1" si="3"/>
        <v>208710.42071639767</v>
      </c>
      <c r="V38" s="37">
        <f ca="1">S38/(1+'General input'!$C$113)^A38</f>
        <v>133035959.08146849</v>
      </c>
      <c r="W38" s="37">
        <f ca="1">SUM(V38:V$115)</f>
        <v>1942478316.2124221</v>
      </c>
      <c r="X38" s="202">
        <f t="shared" ca="1" si="4"/>
        <v>114538.47756369518</v>
      </c>
      <c r="Y38" s="47"/>
      <c r="Z38" s="37">
        <f t="shared" si="11"/>
        <v>34.5</v>
      </c>
      <c r="AA38" s="37">
        <f t="shared" si="5"/>
        <v>18442.083508403688</v>
      </c>
      <c r="AC38" s="4"/>
      <c r="AF38" s="4"/>
      <c r="AI38" s="4"/>
      <c r="AM38" s="41"/>
      <c r="AN38" s="41"/>
      <c r="AO38" s="49"/>
      <c r="AP38" s="41"/>
      <c r="AQ38" s="41"/>
      <c r="AR38" s="41"/>
      <c r="AS38" s="41"/>
      <c r="AT38" s="41"/>
      <c r="AU38" s="41"/>
      <c r="AV38" s="41"/>
      <c r="AW38" s="41"/>
      <c r="AX38" s="41"/>
      <c r="AY38" s="41"/>
      <c r="BA38" s="6"/>
      <c r="BB38" s="7"/>
      <c r="BC38" s="7"/>
      <c r="BD38" s="7"/>
      <c r="BE38" s="7"/>
      <c r="BF38" s="7"/>
      <c r="BG38" s="7"/>
      <c r="BH38" s="7"/>
      <c r="BI38" s="7"/>
      <c r="BK38" s="39"/>
      <c r="BL38" s="39"/>
      <c r="BM38" s="39"/>
      <c r="BN38" s="39"/>
      <c r="BO38" s="39"/>
      <c r="BP38" s="39"/>
      <c r="BQ38" s="52"/>
      <c r="BR38" s="52"/>
      <c r="BS38" s="53"/>
      <c r="BT38" s="53"/>
      <c r="BU38" s="52"/>
      <c r="BV38" s="50"/>
      <c r="BX38" s="49"/>
      <c r="BY38" s="49"/>
      <c r="BZ38" s="49"/>
      <c r="CA38" s="49"/>
      <c r="CB38" s="49"/>
      <c r="CC38" s="49"/>
      <c r="CD38" s="49"/>
      <c r="CE38" s="49"/>
      <c r="CF38" s="49"/>
      <c r="CH38" s="7"/>
      <c r="CI38" s="7"/>
      <c r="CJ38" s="7"/>
      <c r="CK38" s="7"/>
      <c r="CL38" s="7"/>
      <c r="CM38" s="7"/>
      <c r="CN38" s="7"/>
      <c r="CO38" s="7"/>
      <c r="CP38" s="7"/>
    </row>
    <row r="39" spans="1:94" ht="14.4" x14ac:dyDescent="0.3">
      <c r="A39" s="138">
        <v>35</v>
      </c>
      <c r="B39" s="4"/>
      <c r="C39" s="44">
        <f>'Life table (HE)'!B$12</f>
        <v>9.4999999999999998E-3</v>
      </c>
      <c r="E39" s="45">
        <f t="shared" si="6"/>
        <v>9.4999999999999998E-3</v>
      </c>
      <c r="F39" s="46">
        <f t="shared" si="7"/>
        <v>9.4550175570995432E-3</v>
      </c>
      <c r="G39" s="37">
        <f t="shared" si="8"/>
        <v>88825.181565680396</v>
      </c>
      <c r="H39" s="41">
        <f t="shared" si="9"/>
        <v>839.84365121606288</v>
      </c>
      <c r="I39" s="41">
        <f>SUM($H$4:H38)</f>
        <v>11174.818434319537</v>
      </c>
      <c r="J39" s="37">
        <f t="shared" si="0"/>
        <v>88405.259740072361</v>
      </c>
      <c r="K39" s="37">
        <f>SUM(J39:J$113)</f>
        <v>2927978.916410855</v>
      </c>
      <c r="L39" s="47">
        <f t="shared" si="1"/>
        <v>33.11996282822593</v>
      </c>
      <c r="M39" s="37">
        <f>(G40+0.5*H39)/(1+'General input'!$C$114)^A39</f>
        <v>16027.01476494642</v>
      </c>
      <c r="N39" s="37">
        <f>SUM(M39:M$113)</f>
        <v>248871.38258444218</v>
      </c>
      <c r="O39" s="37">
        <f t="shared" si="2"/>
        <v>15.528243171570709</v>
      </c>
      <c r="Q39" s="44">
        <f ca="1">VLOOKUP('General input'!$C$4,Lists!$EQ$8:$ES$180,3,0)*260</f>
        <v>7844.4820141565524</v>
      </c>
      <c r="S39" s="48">
        <f t="shared" ca="1" si="10"/>
        <v>693493469.987836</v>
      </c>
      <c r="T39" s="37">
        <f ca="1">SUM(S39:S$115)</f>
        <v>17895640235.23291</v>
      </c>
      <c r="U39" s="47">
        <f t="shared" ca="1" si="3"/>
        <v>202427.32488824043</v>
      </c>
      <c r="V39" s="37">
        <f ca="1">S39/(1+'General input'!$C$113)^A39</f>
        <v>125723629.06424369</v>
      </c>
      <c r="W39" s="37">
        <f ca="1">SUM(V39:V$115)</f>
        <v>1809442357.1309536</v>
      </c>
      <c r="X39" s="202">
        <f t="shared" ca="1" si="4"/>
        <v>112899.52518721616</v>
      </c>
      <c r="Y39" s="47"/>
      <c r="Z39" s="37">
        <f t="shared" si="11"/>
        <v>35.5</v>
      </c>
      <c r="AA39" s="37">
        <f t="shared" si="5"/>
        <v>29814.449618170231</v>
      </c>
      <c r="AC39" s="4"/>
      <c r="AF39" s="4"/>
      <c r="AI39" s="4"/>
      <c r="AM39" s="41"/>
      <c r="AN39" s="41"/>
      <c r="AO39" s="49"/>
      <c r="AP39" s="41"/>
      <c r="AQ39" s="41"/>
      <c r="AR39" s="41"/>
      <c r="AS39" s="41"/>
      <c r="AT39" s="41"/>
      <c r="AU39" s="41"/>
      <c r="AV39" s="41"/>
      <c r="AW39" s="41"/>
      <c r="AX39" s="41"/>
      <c r="AY39" s="41"/>
      <c r="BA39" s="6"/>
      <c r="BB39" s="7"/>
      <c r="BC39" s="7"/>
      <c r="BD39" s="7"/>
      <c r="BE39" s="7"/>
      <c r="BF39" s="7"/>
      <c r="BG39" s="7"/>
      <c r="BH39" s="7"/>
      <c r="BI39" s="7"/>
      <c r="BK39" s="39"/>
      <c r="BL39" s="39"/>
      <c r="BM39" s="39"/>
      <c r="BN39" s="39"/>
      <c r="BO39" s="39"/>
      <c r="BP39" s="39"/>
      <c r="BQ39" s="52"/>
      <c r="BR39" s="52"/>
      <c r="BS39" s="53"/>
      <c r="BT39" s="53"/>
      <c r="BU39" s="52"/>
      <c r="BV39" s="50"/>
      <c r="BX39" s="49"/>
      <c r="BY39" s="49"/>
      <c r="BZ39" s="49"/>
      <c r="CA39" s="49"/>
      <c r="CB39" s="49"/>
      <c r="CC39" s="49"/>
      <c r="CD39" s="49"/>
      <c r="CE39" s="49"/>
      <c r="CF39" s="49"/>
      <c r="CH39" s="7"/>
      <c r="CI39" s="7"/>
      <c r="CJ39" s="7"/>
      <c r="CK39" s="7"/>
      <c r="CL39" s="7"/>
      <c r="CM39" s="7"/>
      <c r="CN39" s="7"/>
      <c r="CO39" s="7"/>
      <c r="CP39" s="7"/>
    </row>
    <row r="40" spans="1:94" ht="14.4" x14ac:dyDescent="0.3">
      <c r="A40" s="138">
        <v>36</v>
      </c>
      <c r="B40" s="4"/>
      <c r="C40" s="44">
        <f>'Life table (HE)'!B$12</f>
        <v>9.4999999999999998E-3</v>
      </c>
      <c r="E40" s="45">
        <f t="shared" si="6"/>
        <v>9.4999999999999998E-3</v>
      </c>
      <c r="F40" s="46">
        <f t="shared" si="7"/>
        <v>9.4550175570995432E-3</v>
      </c>
      <c r="G40" s="37">
        <f t="shared" si="8"/>
        <v>87985.337914464326</v>
      </c>
      <c r="H40" s="41">
        <f t="shared" si="9"/>
        <v>831.90291474859634</v>
      </c>
      <c r="I40" s="41">
        <f>SUM($H$4:H39)</f>
        <v>12014.6620855356</v>
      </c>
      <c r="J40" s="37">
        <f t="shared" si="0"/>
        <v>87569.386457090019</v>
      </c>
      <c r="K40" s="37">
        <f>SUM(J40:J$113)</f>
        <v>2839573.6566707827</v>
      </c>
      <c r="L40" s="47">
        <f t="shared" si="1"/>
        <v>32.426556489147103</v>
      </c>
      <c r="M40" s="37">
        <f>(G41+0.5*H40)/(1+'General input'!$C$114)^A40</f>
        <v>15119.503865672341</v>
      </c>
      <c r="N40" s="37">
        <f>SUM(M40:M$113)</f>
        <v>232844.36781949576</v>
      </c>
      <c r="O40" s="37">
        <f t="shared" si="2"/>
        <v>15.400265107121061</v>
      </c>
      <c r="Q40" s="44">
        <f ca="1">VLOOKUP('General input'!$C$4,Lists!$EQ$8:$ES$180,3,0)*260</f>
        <v>7844.4820141565524</v>
      </c>
      <c r="S40" s="48">
        <f t="shared" ca="1" si="10"/>
        <v>686936477.05336702</v>
      </c>
      <c r="T40" s="37">
        <f ca="1">SUM(S40:S$115)</f>
        <v>17202146765.245075</v>
      </c>
      <c r="U40" s="47">
        <f t="shared" ca="1" si="3"/>
        <v>196440.18830341264</v>
      </c>
      <c r="V40" s="37">
        <f ca="1">S40/(1+'General input'!$C$113)^A40</f>
        <v>118604676.13723713</v>
      </c>
      <c r="W40" s="37">
        <f ca="1">SUM(V40:V$115)</f>
        <v>1683718728.0667098</v>
      </c>
      <c r="X40" s="202">
        <f t="shared" ca="1" si="4"/>
        <v>111360.71282665977</v>
      </c>
      <c r="Y40" s="47"/>
      <c r="Z40" s="37">
        <f t="shared" si="11"/>
        <v>36.5</v>
      </c>
      <c r="AA40" s="37">
        <f t="shared" si="5"/>
        <v>30364.456388323768</v>
      </c>
      <c r="AC40" s="4"/>
      <c r="AF40" s="4"/>
      <c r="AI40" s="4"/>
      <c r="AM40" s="41"/>
      <c r="AN40" s="41"/>
      <c r="AO40" s="49"/>
      <c r="AP40" s="41"/>
      <c r="AQ40" s="41"/>
      <c r="AR40" s="41"/>
      <c r="AS40" s="41"/>
      <c r="AT40" s="41"/>
      <c r="AU40" s="41"/>
      <c r="AV40" s="41"/>
      <c r="AW40" s="41"/>
      <c r="AX40" s="41"/>
      <c r="AY40" s="41"/>
      <c r="BA40" s="6"/>
      <c r="BB40" s="7"/>
      <c r="BC40" s="7"/>
      <c r="BD40" s="7"/>
      <c r="BE40" s="7"/>
      <c r="BF40" s="7"/>
      <c r="BG40" s="7"/>
      <c r="BH40" s="7"/>
      <c r="BI40" s="7"/>
      <c r="BK40" s="39"/>
      <c r="BL40" s="39"/>
      <c r="BM40" s="39"/>
      <c r="BN40" s="39"/>
      <c r="BO40" s="39"/>
      <c r="BP40" s="39"/>
      <c r="BQ40" s="52"/>
      <c r="BR40" s="52"/>
      <c r="BS40" s="53"/>
      <c r="BT40" s="53"/>
      <c r="BU40" s="52"/>
      <c r="BV40" s="50"/>
      <c r="BX40" s="49"/>
      <c r="BY40" s="49"/>
      <c r="BZ40" s="49"/>
      <c r="CA40" s="49"/>
      <c r="CB40" s="49"/>
      <c r="CC40" s="49"/>
      <c r="CD40" s="49"/>
      <c r="CE40" s="49"/>
      <c r="CF40" s="49"/>
      <c r="CH40" s="7"/>
      <c r="CI40" s="7"/>
      <c r="CJ40" s="7"/>
      <c r="CK40" s="7"/>
      <c r="CL40" s="7"/>
      <c r="CM40" s="7"/>
      <c r="CN40" s="7"/>
      <c r="CO40" s="7"/>
      <c r="CP40" s="7"/>
    </row>
    <row r="41" spans="1:94" ht="14.4" x14ac:dyDescent="0.3">
      <c r="A41" s="138">
        <v>37</v>
      </c>
      <c r="B41" s="4"/>
      <c r="C41" s="44">
        <f>'Life table (HE)'!B$12</f>
        <v>9.4999999999999998E-3</v>
      </c>
      <c r="E41" s="45">
        <f t="shared" si="6"/>
        <v>9.4999999999999998E-3</v>
      </c>
      <c r="F41" s="46">
        <f t="shared" si="7"/>
        <v>9.4550175570995432E-3</v>
      </c>
      <c r="G41" s="37">
        <f t="shared" si="8"/>
        <v>87153.434999715726</v>
      </c>
      <c r="H41" s="41">
        <f t="shared" si="9"/>
        <v>824.03725808384604</v>
      </c>
      <c r="I41" s="41">
        <f>SUM($H$4:H40)</f>
        <v>12846.565000284196</v>
      </c>
      <c r="J41" s="37">
        <f t="shared" si="0"/>
        <v>86741.416370673804</v>
      </c>
      <c r="K41" s="37">
        <f>SUM(J41:J$113)</f>
        <v>2752004.2702136924</v>
      </c>
      <c r="L41" s="47">
        <f t="shared" si="1"/>
        <v>31.726531400565314</v>
      </c>
      <c r="M41" s="37">
        <f>(G42+0.5*H41)/(1+'General input'!$C$114)^A41</f>
        <v>14263.379705874069</v>
      </c>
      <c r="N41" s="37">
        <f>SUM(M41:M$113)</f>
        <v>217724.8639538234</v>
      </c>
      <c r="O41" s="37">
        <f t="shared" si="2"/>
        <v>15.26460547524778</v>
      </c>
      <c r="Q41" s="44">
        <f ca="1">VLOOKUP('General input'!$C$4,Lists!$EQ$8:$ES$180,3,0)*260</f>
        <v>7844.4820141565524</v>
      </c>
      <c r="S41" s="48">
        <f t="shared" ca="1" si="10"/>
        <v>680441480.60221541</v>
      </c>
      <c r="T41" s="37">
        <f ca="1">SUM(S41:S$115)</f>
        <v>16515210288.191711</v>
      </c>
      <c r="U41" s="47">
        <f t="shared" ca="1" si="3"/>
        <v>190395.90289391793</v>
      </c>
      <c r="V41" s="37">
        <f ca="1">S41/(1+'General input'!$C$113)^A41</f>
        <v>111888825.56381473</v>
      </c>
      <c r="W41" s="37">
        <f ca="1">SUM(V41:V$115)</f>
        <v>1565114051.9294727</v>
      </c>
      <c r="X41" s="202">
        <f t="shared" ca="1" si="4"/>
        <v>109729.53705249212</v>
      </c>
      <c r="Y41" s="47"/>
      <c r="Z41" s="37">
        <f t="shared" si="11"/>
        <v>37.5</v>
      </c>
      <c r="AA41" s="37">
        <f t="shared" si="5"/>
        <v>30901.397178144227</v>
      </c>
      <c r="AC41" s="4"/>
      <c r="AF41" s="4"/>
      <c r="AI41" s="4"/>
      <c r="AM41" s="41"/>
      <c r="AN41" s="41"/>
      <c r="AO41" s="49"/>
      <c r="AP41" s="41"/>
      <c r="AQ41" s="41"/>
      <c r="AR41" s="41"/>
      <c r="AS41" s="41"/>
      <c r="AT41" s="41"/>
      <c r="AU41" s="41"/>
      <c r="AV41" s="41"/>
      <c r="AW41" s="41"/>
      <c r="AX41" s="41"/>
      <c r="AY41" s="41"/>
      <c r="BA41" s="6"/>
      <c r="BB41" s="7"/>
      <c r="BC41" s="7"/>
      <c r="BD41" s="7"/>
      <c r="BE41" s="7"/>
      <c r="BF41" s="7"/>
      <c r="BG41" s="7"/>
      <c r="BH41" s="7"/>
      <c r="BI41" s="7"/>
      <c r="BK41" s="39"/>
      <c r="BL41" s="39"/>
      <c r="BM41" s="39"/>
      <c r="BN41" s="39"/>
      <c r="BO41" s="39"/>
      <c r="BP41" s="39"/>
      <c r="BQ41" s="52"/>
      <c r="BR41" s="52"/>
      <c r="BS41" s="53"/>
      <c r="BT41" s="53"/>
      <c r="BU41" s="52"/>
      <c r="BV41" s="50"/>
      <c r="BX41" s="49"/>
      <c r="BY41" s="49"/>
      <c r="BZ41" s="49"/>
      <c r="CA41" s="49"/>
      <c r="CB41" s="49"/>
      <c r="CC41" s="49"/>
      <c r="CD41" s="49"/>
      <c r="CE41" s="49"/>
      <c r="CF41" s="49"/>
      <c r="CH41" s="7"/>
      <c r="CI41" s="7"/>
      <c r="CJ41" s="7"/>
      <c r="CK41" s="7"/>
      <c r="CL41" s="7"/>
      <c r="CM41" s="7"/>
      <c r="CN41" s="7"/>
      <c r="CO41" s="7"/>
      <c r="CP41" s="7"/>
    </row>
    <row r="42" spans="1:94" ht="14.4" x14ac:dyDescent="0.3">
      <c r="A42" s="138">
        <v>38</v>
      </c>
      <c r="B42" s="4"/>
      <c r="C42" s="44">
        <f>'Life table (HE)'!B$12</f>
        <v>9.4999999999999998E-3</v>
      </c>
      <c r="E42" s="45">
        <f t="shared" si="6"/>
        <v>9.4999999999999998E-3</v>
      </c>
      <c r="F42" s="46">
        <f t="shared" si="7"/>
        <v>9.4550175570995432E-3</v>
      </c>
      <c r="G42" s="37">
        <f t="shared" si="8"/>
        <v>86329.397741631881</v>
      </c>
      <c r="H42" s="41">
        <f t="shared" si="9"/>
        <v>816.24597134095904</v>
      </c>
      <c r="I42" s="41">
        <f>SUM($H$4:H41)</f>
        <v>13670.602258368042</v>
      </c>
      <c r="J42" s="37">
        <f t="shared" si="0"/>
        <v>85921.274755961393</v>
      </c>
      <c r="K42" s="37">
        <f>SUM(J42:J$113)</f>
        <v>2665262.8538430189</v>
      </c>
      <c r="L42" s="47">
        <f t="shared" si="1"/>
        <v>31.019824384741192</v>
      </c>
      <c r="M42" s="37">
        <f>(G43+0.5*H42)/(1+'General input'!$C$114)^A42</f>
        <v>13455.732571744242</v>
      </c>
      <c r="N42" s="37">
        <f>SUM(M42:M$113)</f>
        <v>203461.48424794929</v>
      </c>
      <c r="O42" s="37">
        <f t="shared" si="2"/>
        <v>15.120803208827073</v>
      </c>
      <c r="Q42" s="44">
        <f ca="1">VLOOKUP('General input'!$C$4,Lists!$EQ$8:$ES$180,3,0)*260</f>
        <v>7844.4820141565524</v>
      </c>
      <c r="S42" s="48">
        <f t="shared" ca="1" si="10"/>
        <v>674007894.45654261</v>
      </c>
      <c r="T42" s="37">
        <f ca="1">SUM(S42:S$115)</f>
        <v>15834768807.589497</v>
      </c>
      <c r="U42" s="47">
        <f t="shared" ca="1" si="3"/>
        <v>184293.92315889549</v>
      </c>
      <c r="V42" s="37">
        <f ca="1">S42/(1+'General input'!$C$113)^A42</f>
        <v>105553252.14634821</v>
      </c>
      <c r="W42" s="37">
        <f ca="1">SUM(V42:V$115)</f>
        <v>1453225226.365658</v>
      </c>
      <c r="X42" s="202">
        <f t="shared" ca="1" si="4"/>
        <v>108000.45397879658</v>
      </c>
      <c r="Y42" s="47"/>
      <c r="Z42" s="37">
        <f t="shared" si="11"/>
        <v>38.5</v>
      </c>
      <c r="AA42" s="37">
        <f t="shared" si="5"/>
        <v>31425.469896626924</v>
      </c>
      <c r="AC42" s="4"/>
      <c r="AF42" s="4"/>
      <c r="AI42" s="4"/>
      <c r="AM42" s="41"/>
      <c r="AN42" s="41"/>
      <c r="AO42" s="49"/>
      <c r="AP42" s="41"/>
      <c r="AQ42" s="41"/>
      <c r="AR42" s="41"/>
      <c r="AS42" s="41"/>
      <c r="AT42" s="41"/>
      <c r="AU42" s="41"/>
      <c r="AV42" s="41"/>
      <c r="AW42" s="41"/>
      <c r="AX42" s="41"/>
      <c r="AY42" s="41"/>
      <c r="BA42" s="6"/>
      <c r="BB42" s="7"/>
      <c r="BC42" s="7"/>
      <c r="BD42" s="7"/>
      <c r="BE42" s="7"/>
      <c r="BF42" s="7"/>
      <c r="BG42" s="7"/>
      <c r="BH42" s="7"/>
      <c r="BI42" s="7"/>
      <c r="BK42" s="39"/>
      <c r="BL42" s="39"/>
      <c r="BM42" s="39"/>
      <c r="BN42" s="39"/>
      <c r="BO42" s="39"/>
      <c r="BP42" s="39"/>
      <c r="BQ42" s="52"/>
      <c r="BR42" s="52"/>
      <c r="BS42" s="53"/>
      <c r="BT42" s="53"/>
      <c r="BU42" s="52"/>
      <c r="BV42" s="50"/>
      <c r="BX42" s="49"/>
      <c r="BY42" s="49"/>
      <c r="BZ42" s="49"/>
      <c r="CA42" s="49"/>
      <c r="CB42" s="49"/>
      <c r="CC42" s="49"/>
      <c r="CD42" s="49"/>
      <c r="CE42" s="49"/>
      <c r="CF42" s="49"/>
      <c r="CH42" s="7"/>
      <c r="CI42" s="7"/>
      <c r="CJ42" s="7"/>
      <c r="CK42" s="7"/>
      <c r="CL42" s="7"/>
      <c r="CM42" s="7"/>
      <c r="CN42" s="7"/>
      <c r="CO42" s="7"/>
      <c r="CP42" s="7"/>
    </row>
    <row r="43" spans="1:94" ht="14.4" x14ac:dyDescent="0.3">
      <c r="A43" s="138">
        <v>39</v>
      </c>
      <c r="B43" s="4"/>
      <c r="C43" s="44">
        <f>'Life table (HE)'!B$12</f>
        <v>9.4999999999999998E-3</v>
      </c>
      <c r="E43" s="45">
        <f t="shared" si="6"/>
        <v>9.4999999999999998E-3</v>
      </c>
      <c r="F43" s="46">
        <f t="shared" si="7"/>
        <v>9.4550175570995432E-3</v>
      </c>
      <c r="G43" s="37">
        <f t="shared" si="8"/>
        <v>85513.151770290919</v>
      </c>
      <c r="H43" s="41">
        <f t="shared" si="9"/>
        <v>808.5283513510185</v>
      </c>
      <c r="I43" s="41">
        <f>SUM($H$4:H42)</f>
        <v>14486.848229709001</v>
      </c>
      <c r="J43" s="37">
        <f t="shared" si="0"/>
        <v>85108.8875946154</v>
      </c>
      <c r="K43" s="37">
        <f>SUM(J43:J$113)</f>
        <v>2579341.5790870576</v>
      </c>
      <c r="L43" s="47">
        <f t="shared" si="1"/>
        <v>30.306371660886864</v>
      </c>
      <c r="M43" s="37">
        <f>(G44+0.5*H43)/(1+'General input'!$C$114)^A43</f>
        <v>12693.817508604534</v>
      </c>
      <c r="N43" s="37">
        <f>SUM(M43:M$113)</f>
        <v>190005.75167620505</v>
      </c>
      <c r="O43" s="37">
        <f t="shared" si="2"/>
        <v>14.968369566319131</v>
      </c>
      <c r="Q43" s="44">
        <f ca="1">VLOOKUP('General input'!$C$4,Lists!$EQ$8:$ES$180,3,0)*260</f>
        <v>7844.4820141565524</v>
      </c>
      <c r="S43" s="48">
        <f t="shared" ca="1" si="10"/>
        <v>667635137.98083222</v>
      </c>
      <c r="T43" s="37">
        <f ca="1">SUM(S43:S$115)</f>
        <v>15160760913.132954</v>
      </c>
      <c r="U43" s="47">
        <f t="shared" ca="1" si="3"/>
        <v>178133.69839053252</v>
      </c>
      <c r="V43" s="37">
        <f ca="1">S43/(1+'General input'!$C$113)^A43</f>
        <v>99576423.137233809</v>
      </c>
      <c r="W43" s="37">
        <f ca="1">SUM(V43:V$115)</f>
        <v>1347671974.2193096</v>
      </c>
      <c r="X43" s="202">
        <f t="shared" ca="1" si="4"/>
        <v>106167.58696158873</v>
      </c>
      <c r="Y43" s="47"/>
      <c r="Z43" s="37">
        <f t="shared" si="11"/>
        <v>39.5</v>
      </c>
      <c r="AA43" s="37">
        <f t="shared" si="5"/>
        <v>31936.869878365229</v>
      </c>
      <c r="AC43" s="4"/>
      <c r="AF43" s="4"/>
      <c r="AI43" s="4"/>
      <c r="AM43" s="41"/>
      <c r="AN43" s="41"/>
      <c r="AO43" s="49"/>
      <c r="AP43" s="41"/>
      <c r="AQ43" s="41"/>
      <c r="AR43" s="41"/>
      <c r="AS43" s="41"/>
      <c r="AT43" s="41"/>
      <c r="AU43" s="41"/>
      <c r="AV43" s="41"/>
      <c r="AW43" s="41"/>
      <c r="AX43" s="41"/>
      <c r="AY43" s="41"/>
      <c r="BA43" s="6"/>
      <c r="BB43" s="7"/>
      <c r="BC43" s="7"/>
      <c r="BD43" s="7"/>
      <c r="BE43" s="7"/>
      <c r="BF43" s="7"/>
      <c r="BG43" s="7"/>
      <c r="BH43" s="7"/>
      <c r="BI43" s="7"/>
      <c r="BK43" s="39"/>
      <c r="BL43" s="39"/>
      <c r="BM43" s="39"/>
      <c r="BN43" s="39"/>
      <c r="BO43" s="39"/>
      <c r="BP43" s="39"/>
      <c r="BQ43" s="52"/>
      <c r="BR43" s="52"/>
      <c r="BS43" s="53"/>
      <c r="BT43" s="53"/>
      <c r="BU43" s="52"/>
      <c r="BV43" s="50"/>
      <c r="BX43" s="49"/>
      <c r="BY43" s="49"/>
      <c r="BZ43" s="49"/>
      <c r="CA43" s="49"/>
      <c r="CB43" s="49"/>
      <c r="CC43" s="49"/>
      <c r="CD43" s="49"/>
      <c r="CE43" s="49"/>
      <c r="CF43" s="49"/>
      <c r="CH43" s="7"/>
      <c r="CI43" s="7"/>
      <c r="CJ43" s="7"/>
      <c r="CK43" s="7"/>
      <c r="CL43" s="7"/>
      <c r="CM43" s="7"/>
      <c r="CN43" s="7"/>
      <c r="CO43" s="7"/>
      <c r="CP43" s="7"/>
    </row>
    <row r="44" spans="1:94" ht="14.4" x14ac:dyDescent="0.3">
      <c r="A44" s="138">
        <v>40</v>
      </c>
      <c r="B44" s="4"/>
      <c r="C44" s="44">
        <f>'Life table (HE)'!B$13</f>
        <v>1.0499999999999999E-2</v>
      </c>
      <c r="E44" s="45">
        <f t="shared" si="6"/>
        <v>1.0499999999999999E-2</v>
      </c>
      <c r="F44" s="46">
        <f t="shared" si="7"/>
        <v>1.0445067432100719E-2</v>
      </c>
      <c r="G44" s="37">
        <f t="shared" si="8"/>
        <v>84704.623418939897</v>
      </c>
      <c r="H44" s="41">
        <f t="shared" si="9"/>
        <v>884.74550342152497</v>
      </c>
      <c r="I44" s="41">
        <f>SUM($H$4:H43)</f>
        <v>15295.37658106002</v>
      </c>
      <c r="J44" s="37">
        <f t="shared" si="0"/>
        <v>84262.250667229135</v>
      </c>
      <c r="K44" s="37">
        <f>SUM(J44:J$113)</f>
        <v>2494232.691492442</v>
      </c>
      <c r="L44" s="47">
        <f t="shared" si="1"/>
        <v>29.60083159115624</v>
      </c>
      <c r="M44" s="37">
        <f>(G45+0.5*H44)/(1+'General input'!$C$114)^A44</f>
        <v>11969.088888183604</v>
      </c>
      <c r="N44" s="37">
        <f>SUM(M44:M$113)</f>
        <v>177311.93416760053</v>
      </c>
      <c r="O44" s="37">
        <f t="shared" si="2"/>
        <v>14.81415467994815</v>
      </c>
      <c r="Q44" s="44">
        <f ca="1">VLOOKUP('General input'!$C$4,Lists!$EQ$8:$ES$180,3,0)*260</f>
        <v>7844.4820141565524</v>
      </c>
      <c r="S44" s="48">
        <f t="shared" ca="1" si="10"/>
        <v>660993709.83142996</v>
      </c>
      <c r="T44" s="37">
        <f ca="1">SUM(S44:S$115)</f>
        <v>14493125775.152119</v>
      </c>
      <c r="U44" s="47">
        <f t="shared" ca="1" si="3"/>
        <v>172000.22145609168</v>
      </c>
      <c r="V44" s="37">
        <f ca="1">S44/(1+'General input'!$C$113)^A44</f>
        <v>93891302.509197325</v>
      </c>
      <c r="W44" s="37">
        <f ca="1">SUM(V44:V$115)</f>
        <v>1248095551.0820758</v>
      </c>
      <c r="X44" s="202">
        <f t="shared" ca="1" si="4"/>
        <v>104276.57131983113</v>
      </c>
      <c r="Y44" s="47"/>
      <c r="Z44" s="37">
        <f t="shared" si="11"/>
        <v>40.5</v>
      </c>
      <c r="AA44" s="37">
        <f t="shared" si="5"/>
        <v>35832.192888571764</v>
      </c>
      <c r="AC44" s="4"/>
      <c r="AF44" s="4"/>
      <c r="AI44" s="4"/>
      <c r="AM44" s="41"/>
      <c r="AN44" s="41"/>
      <c r="AO44" s="49"/>
      <c r="AP44" s="41"/>
      <c r="AQ44" s="41"/>
      <c r="AR44" s="41"/>
      <c r="AS44" s="41"/>
      <c r="AT44" s="41"/>
      <c r="AU44" s="41"/>
      <c r="AV44" s="41"/>
      <c r="AW44" s="41"/>
      <c r="AX44" s="41"/>
      <c r="AY44" s="41"/>
      <c r="BA44" s="6"/>
      <c r="BB44" s="7"/>
      <c r="BC44" s="7"/>
      <c r="BD44" s="7"/>
      <c r="BE44" s="7"/>
      <c r="BF44" s="7"/>
      <c r="BG44" s="7"/>
      <c r="BH44" s="7"/>
      <c r="BI44" s="7"/>
      <c r="BK44" s="39"/>
      <c r="BL44" s="39"/>
      <c r="BM44" s="39"/>
      <c r="BN44" s="39"/>
      <c r="BO44" s="39"/>
      <c r="BP44" s="39"/>
      <c r="BQ44" s="52"/>
      <c r="BR44" s="52"/>
      <c r="BS44" s="53"/>
      <c r="BT44" s="53"/>
      <c r="BU44" s="52"/>
      <c r="BV44" s="50"/>
      <c r="BX44" s="49"/>
      <c r="BY44" s="49"/>
      <c r="BZ44" s="49"/>
      <c r="CA44" s="49"/>
      <c r="CB44" s="49"/>
      <c r="CC44" s="49"/>
      <c r="CD44" s="49"/>
      <c r="CE44" s="49"/>
      <c r="CF44" s="49"/>
      <c r="CH44" s="7"/>
      <c r="CI44" s="7"/>
      <c r="CJ44" s="7"/>
      <c r="CK44" s="7"/>
      <c r="CL44" s="7"/>
      <c r="CM44" s="7"/>
      <c r="CN44" s="7"/>
      <c r="CO44" s="7"/>
      <c r="CP44" s="7"/>
    </row>
    <row r="45" spans="1:94" ht="14.4" x14ac:dyDescent="0.3">
      <c r="A45" s="138">
        <v>41</v>
      </c>
      <c r="B45" s="4"/>
      <c r="C45" s="44">
        <f>'Life table (HE)'!B$13</f>
        <v>1.0499999999999999E-2</v>
      </c>
      <c r="E45" s="45">
        <f t="shared" si="6"/>
        <v>1.0499999999999999E-2</v>
      </c>
      <c r="F45" s="46">
        <f t="shared" si="7"/>
        <v>1.0445067432100719E-2</v>
      </c>
      <c r="G45" s="37">
        <f t="shared" si="8"/>
        <v>83819.877915518373</v>
      </c>
      <c r="H45" s="41">
        <f t="shared" si="9"/>
        <v>875.50427697803923</v>
      </c>
      <c r="I45" s="41">
        <f>SUM($H$4:H44)</f>
        <v>16180.122084481545</v>
      </c>
      <c r="J45" s="37">
        <f t="shared" si="0"/>
        <v>83382.125777029345</v>
      </c>
      <c r="K45" s="37">
        <f>SUM(J45:J$113)</f>
        <v>2409970.4408252132</v>
      </c>
      <c r="L45" s="47">
        <f t="shared" si="1"/>
        <v>28.902722476393468</v>
      </c>
      <c r="M45" s="37">
        <f>(G46+0.5*H45)/(1+'General input'!$C$114)^A45</f>
        <v>11280.067569186396</v>
      </c>
      <c r="N45" s="37">
        <f>SUM(M45:M$113)</f>
        <v>165342.84527941688</v>
      </c>
      <c r="O45" s="37">
        <f t="shared" si="2"/>
        <v>14.657965855726045</v>
      </c>
      <c r="Q45" s="44">
        <f ca="1">VLOOKUP('General input'!$C$4,Lists!$EQ$8:$ES$180,3,0)*260</f>
        <v>7844.4820141565524</v>
      </c>
      <c r="S45" s="48">
        <f t="shared" ca="1" si="10"/>
        <v>654089585.96004617</v>
      </c>
      <c r="T45" s="37">
        <f ca="1">SUM(S45:S$115)</f>
        <v>13832132065.32069</v>
      </c>
      <c r="U45" s="47">
        <f t="shared" ca="1" si="3"/>
        <v>165888.45554632353</v>
      </c>
      <c r="V45" s="37">
        <f ca="1">S45/(1+'General input'!$C$113)^A45</f>
        <v>88486287.164953306</v>
      </c>
      <c r="W45" s="37">
        <f ca="1">SUM(V45:V$115)</f>
        <v>1154204248.5728786</v>
      </c>
      <c r="X45" s="202">
        <f t="shared" ca="1" si="4"/>
        <v>102322.45875244598</v>
      </c>
      <c r="Y45" s="47"/>
      <c r="Z45" s="37">
        <f t="shared" si="11"/>
        <v>41.5</v>
      </c>
      <c r="AA45" s="37">
        <f t="shared" si="5"/>
        <v>36333.427494588628</v>
      </c>
      <c r="AC45" s="4"/>
      <c r="AF45" s="4"/>
      <c r="AI45" s="4"/>
      <c r="AM45" s="41"/>
      <c r="AN45" s="41"/>
      <c r="AO45" s="49"/>
      <c r="AP45" s="41"/>
      <c r="AQ45" s="41"/>
      <c r="AR45" s="41"/>
      <c r="AS45" s="41"/>
      <c r="AT45" s="41"/>
      <c r="AU45" s="41"/>
      <c r="AV45" s="41"/>
      <c r="AW45" s="41"/>
      <c r="AX45" s="41"/>
      <c r="AY45" s="41"/>
      <c r="BA45" s="6"/>
      <c r="BB45" s="7"/>
      <c r="BC45" s="7"/>
      <c r="BD45" s="7"/>
      <c r="BE45" s="7"/>
      <c r="BF45" s="7"/>
      <c r="BG45" s="7"/>
      <c r="BH45" s="7"/>
      <c r="BI45" s="7"/>
      <c r="BK45" s="39"/>
      <c r="BL45" s="39"/>
      <c r="BM45" s="39"/>
      <c r="BN45" s="39"/>
      <c r="BO45" s="39"/>
      <c r="BP45" s="39"/>
      <c r="BQ45" s="52"/>
      <c r="BR45" s="52"/>
      <c r="BS45" s="53"/>
      <c r="BT45" s="53"/>
      <c r="BU45" s="52"/>
      <c r="BV45" s="50"/>
      <c r="BX45" s="49"/>
      <c r="BY45" s="49"/>
      <c r="BZ45" s="49"/>
      <c r="CA45" s="49"/>
      <c r="CB45" s="49"/>
      <c r="CC45" s="49"/>
      <c r="CD45" s="49"/>
      <c r="CE45" s="49"/>
      <c r="CF45" s="49"/>
      <c r="CH45" s="7"/>
      <c r="CI45" s="7"/>
      <c r="CJ45" s="7"/>
      <c r="CK45" s="7"/>
      <c r="CL45" s="7"/>
      <c r="CM45" s="7"/>
      <c r="CN45" s="7"/>
      <c r="CO45" s="7"/>
      <c r="CP45" s="7"/>
    </row>
    <row r="46" spans="1:94" ht="14.4" x14ac:dyDescent="0.3">
      <c r="A46" s="138">
        <v>42</v>
      </c>
      <c r="B46" s="4"/>
      <c r="C46" s="44">
        <f>'Life table (HE)'!B$13</f>
        <v>1.0499999999999999E-2</v>
      </c>
      <c r="E46" s="45">
        <f t="shared" si="6"/>
        <v>1.0499999999999999E-2</v>
      </c>
      <c r="F46" s="46">
        <f t="shared" si="7"/>
        <v>1.0445067432100719E-2</v>
      </c>
      <c r="G46" s="37">
        <f t="shared" si="8"/>
        <v>82944.373638540332</v>
      </c>
      <c r="H46" s="41">
        <f t="shared" si="9"/>
        <v>866.359575767911</v>
      </c>
      <c r="I46" s="41">
        <f>SUM($H$4:H45)</f>
        <v>17055.626361459585</v>
      </c>
      <c r="J46" s="37">
        <f t="shared" si="0"/>
        <v>82511.193850656375</v>
      </c>
      <c r="K46" s="37">
        <f>SUM(J46:J$113)</f>
        <v>2326588.3150481838</v>
      </c>
      <c r="L46" s="47">
        <f t="shared" si="1"/>
        <v>28.19724459761499</v>
      </c>
      <c r="M46" s="37">
        <f>(G47+0.5*H46)/(1+'General input'!$C$114)^A46</f>
        <v>10630.710955035802</v>
      </c>
      <c r="N46" s="37">
        <f>SUM(M46:M$113)</f>
        <v>154062.77771023053</v>
      </c>
      <c r="O46" s="37">
        <f t="shared" si="2"/>
        <v>14.49223653637676</v>
      </c>
      <c r="Q46" s="44">
        <f ca="1">VLOOKUP('General input'!$C$4,Lists!$EQ$8:$ES$180,3,0)*260</f>
        <v>7844.4820141565524</v>
      </c>
      <c r="S46" s="48">
        <f t="shared" ca="1" si="10"/>
        <v>647257576.12805867</v>
      </c>
      <c r="T46" s="37">
        <f ca="1">SUM(S46:S$115)</f>
        <v>13178042479.360645</v>
      </c>
      <c r="U46" s="47">
        <f t="shared" ca="1" si="3"/>
        <v>159712.17800111632</v>
      </c>
      <c r="V46" s="37">
        <f ca="1">S46/(1+'General input'!$C$113)^A46</f>
        <v>83392420.88447538</v>
      </c>
      <c r="W46" s="37">
        <f ca="1">SUM(V46:V$115)</f>
        <v>1065717961.4079256</v>
      </c>
      <c r="X46" s="202">
        <f t="shared" ca="1" si="4"/>
        <v>100248.98296224409</v>
      </c>
      <c r="Y46" s="47"/>
      <c r="Z46" s="37">
        <f t="shared" si="11"/>
        <v>42.5</v>
      </c>
      <c r="AA46" s="37">
        <f t="shared" si="5"/>
        <v>36820.281970136217</v>
      </c>
      <c r="AC46" s="4"/>
      <c r="AF46" s="4"/>
      <c r="AI46" s="4"/>
      <c r="AM46" s="41"/>
      <c r="AN46" s="41"/>
      <c r="AO46" s="49"/>
      <c r="AP46" s="41"/>
      <c r="AQ46" s="41"/>
      <c r="AR46" s="41"/>
      <c r="AS46" s="41"/>
      <c r="AT46" s="41"/>
      <c r="AU46" s="41"/>
      <c r="AV46" s="41"/>
      <c r="AW46" s="41"/>
      <c r="AX46" s="41"/>
      <c r="AY46" s="41"/>
      <c r="BA46" s="6"/>
      <c r="BB46" s="7"/>
      <c r="BC46" s="7"/>
      <c r="BD46" s="7"/>
      <c r="BE46" s="7"/>
      <c r="BF46" s="7"/>
      <c r="BG46" s="7"/>
      <c r="BH46" s="7"/>
      <c r="BI46" s="7"/>
      <c r="BK46" s="39"/>
      <c r="BL46" s="39"/>
      <c r="BM46" s="39"/>
      <c r="BN46" s="39"/>
      <c r="BO46" s="39"/>
      <c r="BP46" s="39"/>
      <c r="BQ46" s="52"/>
      <c r="BR46" s="52"/>
      <c r="BS46" s="53"/>
      <c r="BT46" s="53"/>
      <c r="BU46" s="52"/>
      <c r="BV46" s="50"/>
      <c r="BX46" s="49"/>
      <c r="BY46" s="49"/>
      <c r="BZ46" s="49"/>
      <c r="CA46" s="49"/>
      <c r="CB46" s="49"/>
      <c r="CC46" s="49"/>
      <c r="CD46" s="49"/>
      <c r="CE46" s="49"/>
      <c r="CF46" s="49"/>
      <c r="CH46" s="7"/>
      <c r="CI46" s="7"/>
      <c r="CJ46" s="7"/>
      <c r="CK46" s="7"/>
      <c r="CL46" s="7"/>
      <c r="CM46" s="7"/>
      <c r="CN46" s="7"/>
      <c r="CO46" s="7"/>
      <c r="CP46" s="7"/>
    </row>
    <row r="47" spans="1:94" ht="14.4" x14ac:dyDescent="0.3">
      <c r="A47" s="138">
        <v>43</v>
      </c>
      <c r="B47" s="4"/>
      <c r="C47" s="44">
        <f>'Life table (HE)'!B$13</f>
        <v>1.0499999999999999E-2</v>
      </c>
      <c r="E47" s="45">
        <f t="shared" si="6"/>
        <v>1.0499999999999999E-2</v>
      </c>
      <c r="F47" s="46">
        <f t="shared" si="7"/>
        <v>1.0445067432100719E-2</v>
      </c>
      <c r="G47" s="37">
        <f t="shared" si="8"/>
        <v>82078.014062772418</v>
      </c>
      <c r="H47" s="41">
        <f t="shared" si="9"/>
        <v>857.31039157856901</v>
      </c>
      <c r="I47" s="41">
        <f>SUM($H$4:H46)</f>
        <v>17921.985937227495</v>
      </c>
      <c r="J47" s="37">
        <f t="shared" si="0"/>
        <v>81649.358866983122</v>
      </c>
      <c r="K47" s="37">
        <f>SUM(J47:J$113)</f>
        <v>2244077.1211975273</v>
      </c>
      <c r="L47" s="47">
        <f t="shared" si="1"/>
        <v>27.48432017517009</v>
      </c>
      <c r="M47" s="37">
        <f>(G48+0.5*H47)/(1+'General input'!$C$114)^A47</f>
        <v>10018.735678342171</v>
      </c>
      <c r="N47" s="37">
        <f>SUM(M47:M$113)</f>
        <v>143432.06675519474</v>
      </c>
      <c r="O47" s="37">
        <f t="shared" si="2"/>
        <v>14.316383959031532</v>
      </c>
      <c r="Q47" s="44">
        <f ca="1">VLOOKUP('General input'!$C$4,Lists!$EQ$8:$ES$180,3,0)*260</f>
        <v>7844.4820141565524</v>
      </c>
      <c r="S47" s="48">
        <f t="shared" ca="1" si="10"/>
        <v>640496927.09946287</v>
      </c>
      <c r="T47" s="37">
        <f ca="1">SUM(S47:S$115)</f>
        <v>12530784903.232586</v>
      </c>
      <c r="U47" s="47">
        <f t="shared" ca="1" si="3"/>
        <v>153470.70787961458</v>
      </c>
      <c r="V47" s="37">
        <f ca="1">S47/(1+'General input'!$C$113)^A47</f>
        <v>78591791.8333437</v>
      </c>
      <c r="W47" s="37">
        <f ca="1">SUM(V47:V$115)</f>
        <v>982325540.52345002</v>
      </c>
      <c r="X47" s="202">
        <f t="shared" ca="1" si="4"/>
        <v>98048.852875415745</v>
      </c>
      <c r="Y47" s="47"/>
      <c r="Z47" s="37">
        <f t="shared" si="11"/>
        <v>43.5</v>
      </c>
      <c r="AA47" s="37">
        <f t="shared" si="5"/>
        <v>37293.002033667755</v>
      </c>
      <c r="AC47" s="4"/>
      <c r="AF47" s="4"/>
      <c r="AI47" s="4"/>
      <c r="AM47" s="41"/>
      <c r="AN47" s="41"/>
      <c r="AO47" s="49"/>
      <c r="AP47" s="41"/>
      <c r="AQ47" s="41"/>
      <c r="AR47" s="41"/>
      <c r="AS47" s="41"/>
      <c r="AT47" s="41"/>
      <c r="AU47" s="41"/>
      <c r="AV47" s="41"/>
      <c r="AW47" s="41"/>
      <c r="AX47" s="41"/>
      <c r="AY47" s="41"/>
      <c r="BA47" s="6"/>
      <c r="BB47" s="7"/>
      <c r="BC47" s="7"/>
      <c r="BD47" s="7"/>
      <c r="BE47" s="7"/>
      <c r="BF47" s="7"/>
      <c r="BG47" s="7"/>
      <c r="BH47" s="7"/>
      <c r="BI47" s="7"/>
      <c r="BK47" s="39"/>
      <c r="BL47" s="39"/>
      <c r="BM47" s="39"/>
      <c r="BN47" s="39"/>
      <c r="BO47" s="39"/>
      <c r="BP47" s="39"/>
      <c r="BQ47" s="52"/>
      <c r="BR47" s="52"/>
      <c r="BS47" s="53"/>
      <c r="BT47" s="53"/>
      <c r="BU47" s="52"/>
      <c r="BV47" s="50"/>
      <c r="BX47" s="49"/>
      <c r="BY47" s="49"/>
      <c r="BZ47" s="49"/>
      <c r="CA47" s="49"/>
      <c r="CB47" s="49"/>
      <c r="CC47" s="49"/>
      <c r="CD47" s="49"/>
      <c r="CE47" s="49"/>
      <c r="CF47" s="49"/>
      <c r="CH47" s="7"/>
      <c r="CI47" s="7"/>
      <c r="CJ47" s="7"/>
      <c r="CK47" s="7"/>
      <c r="CL47" s="7"/>
      <c r="CM47" s="7"/>
      <c r="CN47" s="7"/>
      <c r="CO47" s="7"/>
      <c r="CP47" s="7"/>
    </row>
    <row r="48" spans="1:94" ht="14.4" x14ac:dyDescent="0.3">
      <c r="A48" s="138">
        <v>44</v>
      </c>
      <c r="B48" s="4"/>
      <c r="C48" s="44">
        <f>'Life table (HE)'!B$13</f>
        <v>1.0499999999999999E-2</v>
      </c>
      <c r="E48" s="45">
        <f t="shared" si="6"/>
        <v>1.0499999999999999E-2</v>
      </c>
      <c r="F48" s="46">
        <f t="shared" si="7"/>
        <v>1.0445067432100719E-2</v>
      </c>
      <c r="G48" s="37">
        <f t="shared" si="8"/>
        <v>81220.703671193842</v>
      </c>
      <c r="H48" s="41">
        <f t="shared" si="9"/>
        <v>848.35572672829005</v>
      </c>
      <c r="I48" s="41">
        <f>SUM($H$4:H47)</f>
        <v>18779.296328806064</v>
      </c>
      <c r="J48" s="37">
        <f t="shared" si="0"/>
        <v>80796.525807829705</v>
      </c>
      <c r="K48" s="37">
        <f>SUM(J48:J$113)</f>
        <v>2162427.7623305437</v>
      </c>
      <c r="L48" s="47">
        <f t="shared" si="1"/>
        <v>26.763870608419037</v>
      </c>
      <c r="M48" s="37">
        <f>(G49+0.5*H48)/(1+'General input'!$C$114)^A48</f>
        <v>9441.9898177119012</v>
      </c>
      <c r="N48" s="37">
        <f>SUM(M48:M$113)</f>
        <v>133413.33107685257</v>
      </c>
      <c r="O48" s="37">
        <f t="shared" si="2"/>
        <v>14.129789763868112</v>
      </c>
      <c r="Q48" s="44">
        <f ca="1">VLOOKUP('General input'!$C$4,Lists!$EQ$8:$ES$180,3,0)*260</f>
        <v>7844.4820141565524</v>
      </c>
      <c r="S48" s="48">
        <f t="shared" ca="1" si="10"/>
        <v>633806893.5058558</v>
      </c>
      <c r="T48" s="37">
        <f ca="1">SUM(S48:S$115)</f>
        <v>11890287976.133121</v>
      </c>
      <c r="U48" s="47">
        <f t="shared" ca="1" si="3"/>
        <v>147163.35705341524</v>
      </c>
      <c r="V48" s="37">
        <f ca="1">S48/(1+'General input'!$C$113)^A48</f>
        <v>74067519.302890301</v>
      </c>
      <c r="W48" s="37">
        <f ca="1">SUM(V48:V$115)</f>
        <v>903733748.69010639</v>
      </c>
      <c r="X48" s="202">
        <f t="shared" ca="1" si="4"/>
        <v>95714.332056874671</v>
      </c>
      <c r="Y48" s="47"/>
      <c r="Z48" s="37">
        <f t="shared" si="11"/>
        <v>44.5</v>
      </c>
      <c r="AA48" s="37">
        <f t="shared" si="5"/>
        <v>37751.829839408907</v>
      </c>
      <c r="AC48" s="4"/>
      <c r="AF48" s="4"/>
      <c r="AI48" s="4"/>
      <c r="AM48" s="41"/>
      <c r="AN48" s="41"/>
      <c r="AO48" s="49"/>
      <c r="AP48" s="41"/>
      <c r="AQ48" s="41"/>
      <c r="AR48" s="41"/>
      <c r="AS48" s="41"/>
      <c r="AT48" s="41"/>
      <c r="AU48" s="41"/>
      <c r="AV48" s="41"/>
      <c r="AW48" s="41"/>
      <c r="AX48" s="41"/>
      <c r="AY48" s="41"/>
      <c r="BA48" s="6"/>
      <c r="BB48" s="7"/>
      <c r="BC48" s="7"/>
      <c r="BD48" s="7"/>
      <c r="BE48" s="7"/>
      <c r="BF48" s="7"/>
      <c r="BG48" s="7"/>
      <c r="BH48" s="7"/>
      <c r="BI48" s="7"/>
      <c r="BK48" s="39"/>
      <c r="BL48" s="39"/>
      <c r="BM48" s="39"/>
      <c r="BN48" s="39"/>
      <c r="BO48" s="39"/>
      <c r="BP48" s="39"/>
      <c r="BQ48" s="52"/>
      <c r="BR48" s="52"/>
      <c r="BS48" s="53"/>
      <c r="BT48" s="53"/>
      <c r="BU48" s="52"/>
      <c r="BV48" s="50"/>
      <c r="BX48" s="49"/>
      <c r="BY48" s="49"/>
      <c r="BZ48" s="49"/>
      <c r="CA48" s="49"/>
      <c r="CB48" s="49"/>
      <c r="CC48" s="49"/>
      <c r="CD48" s="49"/>
      <c r="CE48" s="49"/>
      <c r="CF48" s="49"/>
      <c r="CH48" s="7"/>
      <c r="CI48" s="7"/>
      <c r="CJ48" s="7"/>
      <c r="CK48" s="7"/>
      <c r="CL48" s="7"/>
      <c r="CM48" s="7"/>
      <c r="CN48" s="7"/>
      <c r="CO48" s="7"/>
      <c r="CP48" s="7"/>
    </row>
    <row r="49" spans="1:94" ht="14.4" x14ac:dyDescent="0.3">
      <c r="A49" s="138">
        <v>45</v>
      </c>
      <c r="B49" s="4"/>
      <c r="C49" s="44">
        <f>'Life table (HE)'!B$14</f>
        <v>1.2E-2</v>
      </c>
      <c r="E49" s="45">
        <f t="shared" si="6"/>
        <v>1.2E-2</v>
      </c>
      <c r="F49" s="46">
        <f t="shared" si="7"/>
        <v>1.1928287138069482E-2</v>
      </c>
      <c r="G49" s="37">
        <f t="shared" si="8"/>
        <v>80372.347944465553</v>
      </c>
      <c r="H49" s="41">
        <f t="shared" si="9"/>
        <v>958.70444424241362</v>
      </c>
      <c r="I49" s="41">
        <f>SUM($H$4:H48)</f>
        <v>19627.652055534352</v>
      </c>
      <c r="J49" s="37">
        <f t="shared" si="0"/>
        <v>79892.995722344349</v>
      </c>
      <c r="K49" s="37">
        <f>SUM(J49:J$113)</f>
        <v>2081631.2365227141</v>
      </c>
      <c r="L49" s="47">
        <f t="shared" si="1"/>
        <v>26.055240734207779</v>
      </c>
      <c r="M49" s="37">
        <f>(G50+0.5*H49)/(1+'General input'!$C$114)^A49</f>
        <v>8891.8115107484973</v>
      </c>
      <c r="N49" s="37">
        <f>SUM(M49:M$113)</f>
        <v>123971.3412591407</v>
      </c>
      <c r="O49" s="37">
        <f t="shared" si="2"/>
        <v>13.942191769279306</v>
      </c>
      <c r="Q49" s="44">
        <f ca="1">VLOOKUP('General input'!$C$4,Lists!$EQ$8:$ES$180,3,0)*260</f>
        <v>7844.4820141565524</v>
      </c>
      <c r="S49" s="48">
        <f t="shared" ca="1" si="10"/>
        <v>626719168.00101662</v>
      </c>
      <c r="T49" s="37">
        <f ca="1">SUM(S49:S$115)</f>
        <v>11256481082.627266</v>
      </c>
      <c r="U49" s="47">
        <f t="shared" ca="1" si="3"/>
        <v>140894.46741673589</v>
      </c>
      <c r="V49" s="37">
        <f ca="1">S49/(1+'General input'!$C$113)^A49</f>
        <v>69751655.469336793</v>
      </c>
      <c r="W49" s="37">
        <f ca="1">SUM(V49:V$115)</f>
        <v>829666229.38721609</v>
      </c>
      <c r="X49" s="202">
        <f t="shared" ca="1" si="4"/>
        <v>93306.77200976522</v>
      </c>
      <c r="Y49" s="47"/>
      <c r="Z49" s="37">
        <f t="shared" si="11"/>
        <v>45.5</v>
      </c>
      <c r="AA49" s="37">
        <f t="shared" si="5"/>
        <v>43621.05221302982</v>
      </c>
      <c r="AC49" s="4"/>
      <c r="AF49" s="4"/>
      <c r="AI49" s="4"/>
      <c r="AM49" s="41"/>
      <c r="AN49" s="41"/>
      <c r="AO49" s="49"/>
      <c r="AP49" s="41"/>
      <c r="AQ49" s="41"/>
      <c r="AR49" s="41"/>
      <c r="AS49" s="41"/>
      <c r="AT49" s="41"/>
      <c r="AU49" s="41"/>
      <c r="AV49" s="41"/>
      <c r="AW49" s="41"/>
      <c r="AX49" s="41"/>
      <c r="AY49" s="41"/>
      <c r="BA49" s="6"/>
      <c r="BB49" s="7"/>
      <c r="BC49" s="7"/>
      <c r="BD49" s="7"/>
      <c r="BE49" s="7"/>
      <c r="BF49" s="7"/>
      <c r="BG49" s="7"/>
      <c r="BH49" s="7"/>
      <c r="BI49" s="7"/>
      <c r="BK49" s="39"/>
      <c r="BL49" s="39"/>
      <c r="BM49" s="39"/>
      <c r="BN49" s="39"/>
      <c r="BO49" s="39"/>
      <c r="BP49" s="39"/>
      <c r="BQ49" s="52"/>
      <c r="BR49" s="52"/>
      <c r="BS49" s="53"/>
      <c r="BT49" s="53"/>
      <c r="BU49" s="52"/>
      <c r="BV49" s="50"/>
      <c r="BX49" s="49"/>
      <c r="BY49" s="49"/>
      <c r="BZ49" s="49"/>
      <c r="CA49" s="49"/>
      <c r="CB49" s="49"/>
      <c r="CC49" s="49"/>
      <c r="CD49" s="49"/>
      <c r="CE49" s="49"/>
      <c r="CF49" s="49"/>
      <c r="CH49" s="7"/>
      <c r="CI49" s="7"/>
      <c r="CJ49" s="7"/>
      <c r="CK49" s="7"/>
      <c r="CL49" s="7"/>
      <c r="CM49" s="7"/>
      <c r="CN49" s="7"/>
      <c r="CO49" s="7"/>
      <c r="CP49" s="7"/>
    </row>
    <row r="50" spans="1:94" ht="14.4" x14ac:dyDescent="0.3">
      <c r="A50" s="138">
        <v>46</v>
      </c>
      <c r="B50" s="4"/>
      <c r="C50" s="44">
        <f>'Life table (HE)'!B$14</f>
        <v>1.2E-2</v>
      </c>
      <c r="E50" s="45">
        <f t="shared" si="6"/>
        <v>1.2E-2</v>
      </c>
      <c r="F50" s="46">
        <f t="shared" si="7"/>
        <v>1.1928287138069482E-2</v>
      </c>
      <c r="G50" s="37">
        <f t="shared" si="8"/>
        <v>79413.643500223145</v>
      </c>
      <c r="H50" s="41">
        <f t="shared" si="9"/>
        <v>947.26874235094692</v>
      </c>
      <c r="I50" s="41">
        <f>SUM($H$4:H49)</f>
        <v>20586.356499776764</v>
      </c>
      <c r="J50" s="37">
        <f t="shared" si="0"/>
        <v>78940.00912904767</v>
      </c>
      <c r="K50" s="37">
        <f>SUM(J50:J$113)</f>
        <v>2001738.2408003698</v>
      </c>
      <c r="L50" s="47">
        <f t="shared" si="1"/>
        <v>25.357714837960252</v>
      </c>
      <c r="M50" s="37">
        <f>(G51+0.5*H50)/(1+'General input'!$C$114)^A50</f>
        <v>8367.378504638762</v>
      </c>
      <c r="N50" s="37">
        <f>SUM(M50:M$113)</f>
        <v>115079.5297483922</v>
      </c>
      <c r="O50" s="37">
        <f t="shared" si="2"/>
        <v>13.75335532922213</v>
      </c>
      <c r="Q50" s="44">
        <f ca="1">VLOOKUP('General input'!$C$4,Lists!$EQ$8:$ES$180,3,0)*260</f>
        <v>7844.4820141565524</v>
      </c>
      <c r="S50" s="48">
        <f t="shared" ca="1" si="10"/>
        <v>619243481.8101685</v>
      </c>
      <c r="T50" s="37">
        <f ca="1">SUM(S50:S$115)</f>
        <v>10629761914.626249</v>
      </c>
      <c r="U50" s="47">
        <f t="shared" ca="1" si="3"/>
        <v>134656.20325998671</v>
      </c>
      <c r="V50" s="37">
        <f ca="1">S50/(1+'General input'!$C$113)^A50</f>
        <v>65637750.185278922</v>
      </c>
      <c r="W50" s="37">
        <f ca="1">SUM(V50:V$115)</f>
        <v>759914573.91787934</v>
      </c>
      <c r="X50" s="202">
        <f t="shared" ca="1" si="4"/>
        <v>90818.716219971757</v>
      </c>
      <c r="Y50" s="47"/>
      <c r="Z50" s="37">
        <f t="shared" si="11"/>
        <v>46.5</v>
      </c>
      <c r="AA50" s="37">
        <f t="shared" si="5"/>
        <v>44047.996519319029</v>
      </c>
      <c r="AC50" s="4"/>
      <c r="AF50" s="4"/>
      <c r="AI50" s="4"/>
      <c r="AM50" s="41"/>
      <c r="AN50" s="41"/>
      <c r="AO50" s="49"/>
      <c r="AP50" s="41"/>
      <c r="AQ50" s="41"/>
      <c r="AR50" s="41"/>
      <c r="AS50" s="41"/>
      <c r="AT50" s="41"/>
      <c r="AU50" s="41"/>
      <c r="AV50" s="41"/>
      <c r="AW50" s="41"/>
      <c r="AX50" s="41"/>
      <c r="AY50" s="41"/>
      <c r="BA50" s="6"/>
      <c r="BB50" s="7"/>
      <c r="BC50" s="7"/>
      <c r="BD50" s="7"/>
      <c r="BE50" s="7"/>
      <c r="BF50" s="7"/>
      <c r="BG50" s="7"/>
      <c r="BH50" s="7"/>
      <c r="BI50" s="7"/>
      <c r="BK50" s="39"/>
      <c r="BL50" s="39"/>
      <c r="BM50" s="39"/>
      <c r="BN50" s="39"/>
      <c r="BO50" s="39"/>
      <c r="BP50" s="39"/>
      <c r="BQ50" s="52"/>
      <c r="BR50" s="52"/>
      <c r="BS50" s="53"/>
      <c r="BT50" s="53"/>
      <c r="BU50" s="52"/>
      <c r="BV50" s="50"/>
      <c r="BX50" s="49"/>
      <c r="BY50" s="49"/>
      <c r="BZ50" s="49"/>
      <c r="CA50" s="49"/>
      <c r="CB50" s="49"/>
      <c r="CC50" s="49"/>
      <c r="CD50" s="49"/>
      <c r="CE50" s="49"/>
      <c r="CF50" s="49"/>
      <c r="CH50" s="7"/>
      <c r="CI50" s="7"/>
      <c r="CJ50" s="7"/>
      <c r="CK50" s="7"/>
      <c r="CL50" s="7"/>
      <c r="CM50" s="7"/>
      <c r="CN50" s="7"/>
      <c r="CO50" s="7"/>
      <c r="CP50" s="7"/>
    </row>
    <row r="51" spans="1:94" ht="14.4" x14ac:dyDescent="0.3">
      <c r="A51" s="138">
        <v>47</v>
      </c>
      <c r="B51" s="4"/>
      <c r="C51" s="44">
        <f>'Life table (HE)'!B$14</f>
        <v>1.2E-2</v>
      </c>
      <c r="E51" s="45">
        <f t="shared" si="6"/>
        <v>1.2E-2</v>
      </c>
      <c r="F51" s="46">
        <f t="shared" si="7"/>
        <v>1.1928287138069482E-2</v>
      </c>
      <c r="G51" s="37">
        <f t="shared" si="8"/>
        <v>78466.374757872196</v>
      </c>
      <c r="H51" s="41">
        <f t="shared" si="9"/>
        <v>935.96944879526677</v>
      </c>
      <c r="I51" s="41">
        <f>SUM($H$4:H50)</f>
        <v>21533.625242127709</v>
      </c>
      <c r="J51" s="37">
        <f t="shared" si="0"/>
        <v>77998.39003347457</v>
      </c>
      <c r="K51" s="37">
        <f>SUM(J51:J$113)</f>
        <v>1922798.2316713219</v>
      </c>
      <c r="L51" s="47">
        <f t="shared" si="1"/>
        <v>24.651768207601652</v>
      </c>
      <c r="M51" s="37">
        <f>(G52+0.5*H51)/(1+'General input'!$C$114)^A51</f>
        <v>7873.8762011833514</v>
      </c>
      <c r="N51" s="37">
        <f>SUM(M51:M$113)</f>
        <v>106712.15124375345</v>
      </c>
      <c r="O51" s="37">
        <f t="shared" si="2"/>
        <v>13.552683394706646</v>
      </c>
      <c r="Q51" s="44">
        <f ca="1">VLOOKUP('General input'!$C$4,Lists!$EQ$8:$ES$180,3,0)*260</f>
        <v>7844.4820141565524</v>
      </c>
      <c r="S51" s="48">
        <f t="shared" ca="1" si="10"/>
        <v>611856967.75075901</v>
      </c>
      <c r="T51" s="37">
        <f ca="1">SUM(S51:S$115)</f>
        <v>10010518432.816082</v>
      </c>
      <c r="U51" s="47">
        <f t="shared" ca="1" si="3"/>
        <v>128342.62897631436</v>
      </c>
      <c r="V51" s="37">
        <f ca="1">S51/(1+'General input'!$C$113)^A51</f>
        <v>61766480.241878122</v>
      </c>
      <c r="W51" s="37">
        <f ca="1">SUM(V51:V$115)</f>
        <v>694276823.73260045</v>
      </c>
      <c r="X51" s="202">
        <f t="shared" ca="1" si="4"/>
        <v>88174.719286068881</v>
      </c>
      <c r="Y51" s="47"/>
      <c r="Z51" s="37">
        <f t="shared" si="11"/>
        <v>47.5</v>
      </c>
      <c r="AA51" s="37">
        <f t="shared" si="5"/>
        <v>44458.548817775169</v>
      </c>
      <c r="AC51" s="4"/>
      <c r="AF51" s="4"/>
      <c r="AI51" s="4"/>
      <c r="AM51" s="41"/>
      <c r="AN51" s="41"/>
      <c r="AO51" s="49"/>
      <c r="AP51" s="41"/>
      <c r="AQ51" s="41"/>
      <c r="AR51" s="41"/>
      <c r="AS51" s="41"/>
      <c r="AT51" s="41"/>
      <c r="AU51" s="41"/>
      <c r="AV51" s="41"/>
      <c r="AW51" s="41"/>
      <c r="AX51" s="41"/>
      <c r="AY51" s="41"/>
      <c r="BA51" s="6"/>
      <c r="BB51" s="7"/>
      <c r="BC51" s="7"/>
      <c r="BD51" s="7"/>
      <c r="BE51" s="7"/>
      <c r="BF51" s="7"/>
      <c r="BG51" s="7"/>
      <c r="BH51" s="7"/>
      <c r="BI51" s="7"/>
      <c r="BK51" s="39"/>
      <c r="BL51" s="39"/>
      <c r="BM51" s="39"/>
      <c r="BN51" s="39"/>
      <c r="BO51" s="39"/>
      <c r="BP51" s="39"/>
      <c r="BQ51" s="52"/>
      <c r="BR51" s="52"/>
      <c r="BS51" s="53"/>
      <c r="BT51" s="53"/>
      <c r="BU51" s="52"/>
      <c r="BV51" s="50"/>
      <c r="BX51" s="49"/>
      <c r="BY51" s="49"/>
      <c r="BZ51" s="49"/>
      <c r="CA51" s="49"/>
      <c r="CB51" s="49"/>
      <c r="CC51" s="49"/>
      <c r="CD51" s="49"/>
      <c r="CE51" s="49"/>
      <c r="CF51" s="49"/>
      <c r="CH51" s="7"/>
      <c r="CI51" s="7"/>
      <c r="CJ51" s="7"/>
      <c r="CK51" s="7"/>
      <c r="CL51" s="7"/>
      <c r="CM51" s="7"/>
      <c r="CN51" s="7"/>
      <c r="CO51" s="7"/>
      <c r="CP51" s="7"/>
    </row>
    <row r="52" spans="1:94" ht="14.4" x14ac:dyDescent="0.3">
      <c r="A52" s="138">
        <v>48</v>
      </c>
      <c r="B52" s="4"/>
      <c r="C52" s="44">
        <f>'Life table (HE)'!B$14</f>
        <v>1.2E-2</v>
      </c>
      <c r="E52" s="45">
        <f t="shared" si="6"/>
        <v>1.2E-2</v>
      </c>
      <c r="F52" s="46">
        <f t="shared" si="7"/>
        <v>1.1928287138069482E-2</v>
      </c>
      <c r="G52" s="37">
        <f t="shared" si="8"/>
        <v>77530.40530907693</v>
      </c>
      <c r="H52" s="41">
        <f t="shared" si="9"/>
        <v>924.80493645757622</v>
      </c>
      <c r="I52" s="41">
        <f>SUM($H$4:H51)</f>
        <v>22469.594690922975</v>
      </c>
      <c r="J52" s="37">
        <f t="shared" si="0"/>
        <v>77068.002840848145</v>
      </c>
      <c r="K52" s="37">
        <f>SUM(J52:J$113)</f>
        <v>1844799.8416378475</v>
      </c>
      <c r="L52" s="47">
        <f t="shared" si="1"/>
        <v>23.937299185597336</v>
      </c>
      <c r="M52" s="37">
        <f>(G53+0.5*H52)/(1+'General input'!$C$114)^A52</f>
        <v>7409.4803285390708</v>
      </c>
      <c r="N52" s="37">
        <f>SUM(M52:M$113)</f>
        <v>98838.275042570094</v>
      </c>
      <c r="O52" s="37">
        <f t="shared" si="2"/>
        <v>13.33943416542656</v>
      </c>
      <c r="Q52" s="44">
        <f ca="1">VLOOKUP('General input'!$C$4,Lists!$EQ$8:$ES$180,3,0)*260</f>
        <v>7844.4820141565524</v>
      </c>
      <c r="S52" s="48">
        <f t="shared" ca="1" si="10"/>
        <v>604558562.15199935</v>
      </c>
      <c r="T52" s="37">
        <f ca="1">SUM(S52:S$115)</f>
        <v>9398661465.0653229</v>
      </c>
      <c r="U52" s="47">
        <f t="shared" ca="1" si="3"/>
        <v>121952.83540011206</v>
      </c>
      <c r="V52" s="37">
        <f ca="1">S52/(1+'General input'!$C$113)^A52</f>
        <v>58123535.171471529</v>
      </c>
      <c r="W52" s="37">
        <f ca="1">SUM(V52:V$115)</f>
        <v>632510343.49072218</v>
      </c>
      <c r="X52" s="202">
        <f t="shared" ca="1" si="4"/>
        <v>85365.007455986371</v>
      </c>
      <c r="Y52" s="47"/>
      <c r="Z52" s="37">
        <f t="shared" si="11"/>
        <v>48.5</v>
      </c>
      <c r="AA52" s="37">
        <f t="shared" si="5"/>
        <v>44853.039418192449</v>
      </c>
      <c r="AC52" s="4"/>
      <c r="AF52" s="4"/>
      <c r="AI52" s="4"/>
      <c r="AM52" s="41"/>
      <c r="AN52" s="41"/>
      <c r="AO52" s="49"/>
      <c r="AP52" s="41"/>
      <c r="AQ52" s="41"/>
      <c r="AR52" s="41"/>
      <c r="AS52" s="41"/>
      <c r="AT52" s="41"/>
      <c r="AU52" s="41"/>
      <c r="AV52" s="41"/>
      <c r="AW52" s="41"/>
      <c r="AX52" s="41"/>
      <c r="AY52" s="41"/>
      <c r="BA52" s="6"/>
      <c r="BB52" s="7"/>
      <c r="BC52" s="7"/>
      <c r="BD52" s="7"/>
      <c r="BE52" s="7"/>
      <c r="BF52" s="7"/>
      <c r="BG52" s="7"/>
      <c r="BH52" s="7"/>
      <c r="BI52" s="7"/>
      <c r="BK52" s="39"/>
      <c r="BL52" s="39"/>
      <c r="BM52" s="39"/>
      <c r="BN52" s="39"/>
      <c r="BO52" s="39"/>
      <c r="BP52" s="39"/>
      <c r="BQ52" s="52"/>
      <c r="BR52" s="52"/>
      <c r="BS52" s="53"/>
      <c r="BT52" s="53"/>
      <c r="BU52" s="52"/>
      <c r="BV52" s="50"/>
      <c r="BX52" s="49"/>
      <c r="BY52" s="49"/>
      <c r="BZ52" s="49"/>
      <c r="CA52" s="49"/>
      <c r="CB52" s="49"/>
      <c r="CC52" s="49"/>
      <c r="CD52" s="49"/>
      <c r="CE52" s="49"/>
      <c r="CF52" s="49"/>
      <c r="CH52" s="7"/>
      <c r="CI52" s="7"/>
      <c r="CJ52" s="7"/>
      <c r="CK52" s="7"/>
      <c r="CL52" s="7"/>
      <c r="CM52" s="7"/>
      <c r="CN52" s="7"/>
      <c r="CO52" s="7"/>
      <c r="CP52" s="7"/>
    </row>
    <row r="53" spans="1:94" ht="14.4" x14ac:dyDescent="0.3">
      <c r="A53" s="138">
        <v>49</v>
      </c>
      <c r="B53" s="4"/>
      <c r="C53" s="44">
        <f>'Life table (HE)'!B$14</f>
        <v>1.2E-2</v>
      </c>
      <c r="E53" s="45">
        <f t="shared" si="6"/>
        <v>1.2E-2</v>
      </c>
      <c r="F53" s="46">
        <f t="shared" si="7"/>
        <v>1.1928287138069482E-2</v>
      </c>
      <c r="G53" s="37">
        <f t="shared" si="8"/>
        <v>76605.600372619359</v>
      </c>
      <c r="H53" s="41">
        <f t="shared" si="9"/>
        <v>913.77359762880621</v>
      </c>
      <c r="I53" s="41">
        <f>SUM($H$4:H52)</f>
        <v>23394.39962738055</v>
      </c>
      <c r="J53" s="37">
        <f t="shared" si="0"/>
        <v>76148.713573804955</v>
      </c>
      <c r="K53" s="37">
        <f>SUM(J53:J$113)</f>
        <v>1767731.8387969993</v>
      </c>
      <c r="L53" s="47">
        <f t="shared" si="1"/>
        <v>23.214204887173516</v>
      </c>
      <c r="M53" s="37">
        <f>(G54+0.5*H53)/(1+'General input'!$C$114)^A53</f>
        <v>6972.4742091775042</v>
      </c>
      <c r="N53" s="37">
        <f>SUM(M53:M$113)</f>
        <v>91428.794714031028</v>
      </c>
      <c r="O53" s="37">
        <f t="shared" si="2"/>
        <v>13.112819348071316</v>
      </c>
      <c r="Q53" s="44">
        <f ca="1">VLOOKUP('General input'!$C$4,Lists!$EQ$8:$ES$180,3,0)*260</f>
        <v>7844.4820141565524</v>
      </c>
      <c r="S53" s="48">
        <f t="shared" ca="1" si="10"/>
        <v>597347214.03087187</v>
      </c>
      <c r="T53" s="37">
        <f ca="1">SUM(S53:S$115)</f>
        <v>8794102902.9133205</v>
      </c>
      <c r="U53" s="47">
        <f t="shared" ca="1" si="3"/>
        <v>115485.90239006322</v>
      </c>
      <c r="V53" s="37">
        <f ca="1">S53/(1+'General input'!$C$113)^A53</f>
        <v>54695448.528063357</v>
      </c>
      <c r="W53" s="37">
        <f ca="1">SUM(V53:V$115)</f>
        <v>574386808.3192507</v>
      </c>
      <c r="X53" s="202">
        <f t="shared" ca="1" si="4"/>
        <v>82379.19439891442</v>
      </c>
      <c r="Y53" s="47"/>
      <c r="Z53" s="37">
        <f t="shared" si="11"/>
        <v>49.5</v>
      </c>
      <c r="AA53" s="37">
        <f t="shared" si="5"/>
        <v>45231.793082625911</v>
      </c>
      <c r="AB53" s="54">
        <f>SUM(AA19:AA53)/SUM(H19:H53)</f>
        <v>38.036343947054299</v>
      </c>
      <c r="AC53" s="4"/>
      <c r="AF53" s="4"/>
      <c r="AI53" s="4"/>
      <c r="AM53" s="41"/>
      <c r="AN53" s="41"/>
      <c r="AO53" s="49"/>
      <c r="AP53" s="41"/>
      <c r="AQ53" s="41"/>
      <c r="AR53" s="41"/>
      <c r="AS53" s="41"/>
      <c r="AT53" s="41"/>
      <c r="AU53" s="41"/>
      <c r="AV53" s="41"/>
      <c r="AW53" s="41"/>
      <c r="AX53" s="41"/>
      <c r="AY53" s="41"/>
      <c r="BA53" s="6"/>
      <c r="BB53" s="7"/>
      <c r="BC53" s="7"/>
      <c r="BD53" s="7"/>
      <c r="BE53" s="7"/>
      <c r="BF53" s="7"/>
      <c r="BG53" s="7"/>
      <c r="BH53" s="7"/>
      <c r="BI53" s="7"/>
      <c r="BK53" s="39"/>
      <c r="BL53" s="39"/>
      <c r="BM53" s="39"/>
      <c r="BN53" s="39"/>
      <c r="BO53" s="39"/>
      <c r="BP53" s="39"/>
      <c r="BQ53" s="52"/>
      <c r="BR53" s="52"/>
      <c r="BS53" s="53"/>
      <c r="BT53" s="53"/>
      <c r="BU53" s="52"/>
      <c r="BV53" s="50"/>
      <c r="BX53" s="49"/>
      <c r="BY53" s="49"/>
      <c r="BZ53" s="49"/>
      <c r="CA53" s="49"/>
      <c r="CB53" s="49"/>
      <c r="CC53" s="49"/>
      <c r="CD53" s="49"/>
      <c r="CE53" s="49"/>
      <c r="CF53" s="49"/>
      <c r="CH53" s="7"/>
      <c r="CI53" s="7"/>
      <c r="CJ53" s="7"/>
      <c r="CK53" s="7"/>
      <c r="CL53" s="7"/>
      <c r="CM53" s="7"/>
      <c r="CN53" s="7"/>
      <c r="CO53" s="7"/>
      <c r="CP53" s="7"/>
    </row>
    <row r="54" spans="1:94" ht="14.4" x14ac:dyDescent="0.3">
      <c r="A54" s="138">
        <v>50</v>
      </c>
      <c r="B54" s="4"/>
      <c r="C54" s="44">
        <f>'Life table (HE)'!B$15</f>
        <v>1.55E-2</v>
      </c>
      <c r="E54" s="45">
        <f t="shared" si="6"/>
        <v>1.55E-2</v>
      </c>
      <c r="F54" s="46">
        <f t="shared" si="7"/>
        <v>1.5380493248267069E-2</v>
      </c>
      <c r="G54" s="37">
        <f t="shared" si="8"/>
        <v>75691.82677499055</v>
      </c>
      <c r="H54" s="41">
        <f t="shared" si="9"/>
        <v>1164.1776306617426</v>
      </c>
      <c r="I54" s="41">
        <f>SUM($H$4:H53)</f>
        <v>24308.173225009356</v>
      </c>
      <c r="J54" s="37">
        <f t="shared" si="0"/>
        <v>75109.737959659687</v>
      </c>
      <c r="K54" s="37">
        <f>SUM(J54:J$113)</f>
        <v>1691583.1252231945</v>
      </c>
      <c r="L54" s="47">
        <f t="shared" si="1"/>
        <v>22.521488839858801</v>
      </c>
      <c r="M54" s="37">
        <f>(G55+0.5*H54)/(1+'General input'!$C$114)^A54</f>
        <v>6549.8490820012139</v>
      </c>
      <c r="N54" s="37">
        <f>SUM(M54:M$113)</f>
        <v>84456.320504853516</v>
      </c>
      <c r="O54" s="37">
        <f t="shared" si="2"/>
        <v>12.894391832162503</v>
      </c>
      <c r="Q54" s="44">
        <f ca="1">VLOOKUP('General input'!$C$4,Lists!$EQ$8:$ES$180,3,0)*260</f>
        <v>7844.4820141565524</v>
      </c>
      <c r="S54" s="48">
        <f t="shared" ca="1" si="10"/>
        <v>589196988.51256204</v>
      </c>
      <c r="T54" s="37">
        <f ca="1">SUM(S54:S$115)</f>
        <v>8196755688.8824501</v>
      </c>
      <c r="U54" s="47">
        <f t="shared" ca="1" si="3"/>
        <v>109130.39922046865</v>
      </c>
      <c r="V54" s="37">
        <f ca="1">S54/(1+'General input'!$C$113)^A54</f>
        <v>51380173.319198325</v>
      </c>
      <c r="W54" s="37">
        <f ca="1">SUM(V54:V$115)</f>
        <v>519691359.79118735</v>
      </c>
      <c r="X54" s="202">
        <f t="shared" ca="1" si="4"/>
        <v>79344.020493431424</v>
      </c>
      <c r="Y54" s="47"/>
      <c r="Z54" s="37">
        <f t="shared" si="11"/>
        <v>50.5</v>
      </c>
      <c r="AA54" s="37">
        <f t="shared" si="5"/>
        <v>58790.970348417999</v>
      </c>
      <c r="AC54" s="4"/>
      <c r="AF54" s="4"/>
      <c r="AI54" s="4"/>
      <c r="AM54" s="41"/>
      <c r="AN54" s="41"/>
      <c r="AO54" s="49"/>
      <c r="AP54" s="41"/>
      <c r="AQ54" s="41"/>
      <c r="AR54" s="41"/>
      <c r="AS54" s="41"/>
      <c r="AT54" s="41"/>
      <c r="AU54" s="41"/>
      <c r="AV54" s="41"/>
      <c r="AW54" s="41"/>
      <c r="AX54" s="41"/>
      <c r="AY54" s="41"/>
      <c r="BA54" s="6"/>
      <c r="BB54" s="7"/>
      <c r="BC54" s="7"/>
      <c r="BD54" s="7"/>
      <c r="BE54" s="7"/>
      <c r="BF54" s="7"/>
      <c r="BG54" s="7"/>
      <c r="BH54" s="7"/>
      <c r="BI54" s="7"/>
      <c r="BK54" s="39"/>
      <c r="BL54" s="39"/>
      <c r="BM54" s="39"/>
      <c r="BN54" s="39"/>
      <c r="BO54" s="39"/>
      <c r="BP54" s="39"/>
      <c r="BQ54" s="52"/>
      <c r="BR54" s="52"/>
      <c r="BS54" s="53"/>
      <c r="BT54" s="53"/>
      <c r="BU54" s="52"/>
      <c r="BV54" s="50"/>
      <c r="BX54" s="49"/>
      <c r="BY54" s="49"/>
      <c r="BZ54" s="49"/>
      <c r="CA54" s="49"/>
      <c r="CB54" s="49"/>
      <c r="CC54" s="49"/>
      <c r="CD54" s="49"/>
      <c r="CE54" s="49"/>
      <c r="CF54" s="49"/>
      <c r="CH54" s="7"/>
      <c r="CI54" s="7"/>
      <c r="CJ54" s="7"/>
      <c r="CK54" s="7"/>
      <c r="CL54" s="7"/>
      <c r="CM54" s="7"/>
      <c r="CN54" s="7"/>
      <c r="CO54" s="7"/>
      <c r="CP54" s="7"/>
    </row>
    <row r="55" spans="1:94" ht="14.4" x14ac:dyDescent="0.3">
      <c r="A55" s="138">
        <v>51</v>
      </c>
      <c r="B55" s="4"/>
      <c r="C55" s="44">
        <f>'Life table (HE)'!B$15</f>
        <v>1.55E-2</v>
      </c>
      <c r="E55" s="45">
        <f t="shared" si="6"/>
        <v>1.55E-2</v>
      </c>
      <c r="F55" s="46">
        <f t="shared" si="7"/>
        <v>1.5380493248267069E-2</v>
      </c>
      <c r="G55" s="37">
        <f t="shared" si="8"/>
        <v>74527.649144328811</v>
      </c>
      <c r="H55" s="41">
        <f t="shared" si="9"/>
        <v>1146.2720044735663</v>
      </c>
      <c r="I55" s="41">
        <f>SUM($H$4:H54)</f>
        <v>25472.350855671099</v>
      </c>
      <c r="J55" s="37">
        <f t="shared" si="0"/>
        <v>73954.513142092037</v>
      </c>
      <c r="K55" s="37">
        <f>SUM(J55:J$113)</f>
        <v>1616473.3872635346</v>
      </c>
      <c r="L55" s="47">
        <f t="shared" si="1"/>
        <v>21.857670594865976</v>
      </c>
      <c r="M55" s="37">
        <f>(G56+0.5*H55)/(1+'General input'!$C$114)^A55</f>
        <v>6142.0087356365011</v>
      </c>
      <c r="N55" s="37">
        <f>SUM(M55:M$113)</f>
        <v>77906.471422852293</v>
      </c>
      <c r="O55" s="37">
        <f t="shared" si="2"/>
        <v>12.684200686793519</v>
      </c>
      <c r="Q55" s="44">
        <f ca="1">VLOOKUP('General input'!$C$4,Lists!$EQ$8:$ES$180,3,0)*260</f>
        <v>7844.4820141565524</v>
      </c>
      <c r="S55" s="48">
        <f t="shared" ca="1" si="10"/>
        <v>580134848.20884538</v>
      </c>
      <c r="T55" s="37">
        <f ca="1">SUM(S55:S$115)</f>
        <v>7607558700.3698883</v>
      </c>
      <c r="U55" s="47">
        <f t="shared" ca="1" si="3"/>
        <v>102868.07900084682</v>
      </c>
      <c r="V55" s="37">
        <f ca="1">S55/(1+'General input'!$C$113)^A55</f>
        <v>48180877.057492964</v>
      </c>
      <c r="W55" s="37">
        <f ca="1">SUM(V55:V$115)</f>
        <v>468311186.47198892</v>
      </c>
      <c r="X55" s="202">
        <f t="shared" ca="1" si="4"/>
        <v>76247.235493952365</v>
      </c>
      <c r="Y55" s="47"/>
      <c r="Z55" s="37">
        <f t="shared" si="11"/>
        <v>51.5</v>
      </c>
      <c r="AA55" s="37">
        <f t="shared" si="5"/>
        <v>59033.008230388667</v>
      </c>
      <c r="AC55" s="4"/>
      <c r="AF55" s="4"/>
      <c r="AI55" s="4"/>
      <c r="AM55" s="41"/>
      <c r="AN55" s="41"/>
      <c r="AO55" s="49"/>
      <c r="AP55" s="41"/>
      <c r="AQ55" s="41"/>
      <c r="AR55" s="41"/>
      <c r="AS55" s="41"/>
      <c r="AT55" s="41"/>
      <c r="AU55" s="41"/>
      <c r="AV55" s="41"/>
      <c r="AW55" s="41"/>
      <c r="AX55" s="41"/>
      <c r="AY55" s="41"/>
      <c r="BA55" s="6"/>
      <c r="BB55" s="7"/>
      <c r="BC55" s="7"/>
      <c r="BD55" s="7"/>
      <c r="BE55" s="7"/>
      <c r="BF55" s="7"/>
      <c r="BG55" s="7"/>
      <c r="BH55" s="7"/>
      <c r="BI55" s="7"/>
      <c r="BK55" s="39"/>
      <c r="BL55" s="39"/>
      <c r="BM55" s="39"/>
      <c r="BN55" s="39"/>
      <c r="BO55" s="39"/>
      <c r="BP55" s="39"/>
      <c r="BQ55" s="52"/>
      <c r="BR55" s="52"/>
      <c r="BS55" s="53"/>
      <c r="BT55" s="53"/>
      <c r="BU55" s="52"/>
      <c r="BV55" s="50"/>
      <c r="BX55" s="49"/>
      <c r="BY55" s="49"/>
      <c r="BZ55" s="49"/>
      <c r="CA55" s="49"/>
      <c r="CB55" s="49"/>
      <c r="CC55" s="49"/>
      <c r="CD55" s="49"/>
      <c r="CE55" s="49"/>
      <c r="CF55" s="49"/>
      <c r="CH55" s="7"/>
      <c r="CI55" s="7"/>
      <c r="CJ55" s="7"/>
      <c r="CK55" s="7"/>
      <c r="CL55" s="7"/>
      <c r="CM55" s="7"/>
      <c r="CN55" s="7"/>
      <c r="CO55" s="7"/>
      <c r="CP55" s="7"/>
    </row>
    <row r="56" spans="1:94" ht="14.4" x14ac:dyDescent="0.3">
      <c r="A56" s="138">
        <v>52</v>
      </c>
      <c r="B56" s="4"/>
      <c r="C56" s="44">
        <f>'Life table (HE)'!B$15</f>
        <v>1.55E-2</v>
      </c>
      <c r="E56" s="45">
        <f t="shared" si="6"/>
        <v>1.55E-2</v>
      </c>
      <c r="F56" s="46">
        <f t="shared" si="7"/>
        <v>1.5380493248267069E-2</v>
      </c>
      <c r="G56" s="37">
        <f t="shared" si="8"/>
        <v>73381.377139855249</v>
      </c>
      <c r="H56" s="41">
        <f t="shared" si="9"/>
        <v>1128.641775648083</v>
      </c>
      <c r="I56" s="41">
        <f>SUM($H$4:H55)</f>
        <v>26618.622860144664</v>
      </c>
      <c r="J56" s="37">
        <f t="shared" si="0"/>
        <v>72817.056252031209</v>
      </c>
      <c r="K56" s="37">
        <f>SUM(J56:J$113)</f>
        <v>1542518.8741214424</v>
      </c>
      <c r="L56" s="47">
        <f t="shared" si="1"/>
        <v>21.183483012311616</v>
      </c>
      <c r="M56" s="37">
        <f>(G57+0.5*H56)/(1+'General input'!$C$114)^A56</f>
        <v>5759.5634397592821</v>
      </c>
      <c r="N56" s="37">
        <f>SUM(M56:M$113)</f>
        <v>71764.462687215753</v>
      </c>
      <c r="O56" s="37">
        <f t="shared" si="2"/>
        <v>12.460052474083888</v>
      </c>
      <c r="Q56" s="44">
        <f ca="1">VLOOKUP('General input'!$C$4,Lists!$EQ$8:$ES$180,3,0)*260</f>
        <v>7844.4820141565524</v>
      </c>
      <c r="S56" s="48">
        <f t="shared" ca="1" si="10"/>
        <v>571212088.09288478</v>
      </c>
      <c r="T56" s="37">
        <f ca="1">SUM(S56:S$115)</f>
        <v>7027423852.1610432</v>
      </c>
      <c r="U56" s="47">
        <f t="shared" ca="1" si="3"/>
        <v>96507.936654813835</v>
      </c>
      <c r="V56" s="37">
        <f ca="1">S56/(1+'General input'!$C$113)^A56</f>
        <v>45180791.812585339</v>
      </c>
      <c r="W56" s="37">
        <f ca="1">SUM(V56:V$115)</f>
        <v>420130309.41449606</v>
      </c>
      <c r="X56" s="202">
        <f t="shared" ca="1" si="4"/>
        <v>72944.818441318392</v>
      </c>
      <c r="Y56" s="47"/>
      <c r="Z56" s="37">
        <f t="shared" si="11"/>
        <v>52.5</v>
      </c>
      <c r="AA56" s="37">
        <f t="shared" si="5"/>
        <v>59253.693221524358</v>
      </c>
      <c r="AC56" s="4"/>
      <c r="AF56" s="4"/>
      <c r="AI56" s="4"/>
      <c r="AM56" s="41"/>
      <c r="AN56" s="41"/>
      <c r="AO56" s="49"/>
      <c r="AP56" s="41"/>
      <c r="AQ56" s="41"/>
      <c r="AR56" s="41"/>
      <c r="AS56" s="41"/>
      <c r="AT56" s="41"/>
      <c r="AU56" s="41"/>
      <c r="AV56" s="41"/>
      <c r="AW56" s="41"/>
      <c r="AX56" s="41"/>
      <c r="AY56" s="41"/>
      <c r="BA56" s="6"/>
      <c r="BB56" s="7"/>
      <c r="BC56" s="7"/>
      <c r="BD56" s="7"/>
      <c r="BE56" s="7"/>
      <c r="BF56" s="7"/>
      <c r="BG56" s="7"/>
      <c r="BH56" s="7"/>
      <c r="BI56" s="7"/>
      <c r="BK56" s="39"/>
      <c r="BL56" s="39"/>
      <c r="BM56" s="39"/>
      <c r="BN56" s="39"/>
      <c r="BO56" s="39"/>
      <c r="BP56" s="39"/>
      <c r="BQ56" s="52"/>
      <c r="BR56" s="52"/>
      <c r="BS56" s="53"/>
      <c r="BT56" s="53"/>
      <c r="BU56" s="52"/>
      <c r="BV56" s="50"/>
      <c r="BX56" s="49"/>
      <c r="BY56" s="49"/>
      <c r="BZ56" s="49"/>
      <c r="CA56" s="49"/>
      <c r="CB56" s="49"/>
      <c r="CC56" s="49"/>
      <c r="CD56" s="49"/>
      <c r="CE56" s="49"/>
      <c r="CF56" s="49"/>
      <c r="CH56" s="7"/>
      <c r="CI56" s="7"/>
      <c r="CJ56" s="7"/>
      <c r="CK56" s="7"/>
      <c r="CL56" s="7"/>
      <c r="CM56" s="7"/>
      <c r="CN56" s="7"/>
      <c r="CO56" s="7"/>
      <c r="CP56" s="7"/>
    </row>
    <row r="57" spans="1:94" ht="14.4" x14ac:dyDescent="0.3">
      <c r="A57" s="138">
        <v>53</v>
      </c>
      <c r="B57" s="4"/>
      <c r="C57" s="44">
        <f>'Life table (HE)'!B$15</f>
        <v>1.55E-2</v>
      </c>
      <c r="E57" s="45">
        <f t="shared" si="6"/>
        <v>1.55E-2</v>
      </c>
      <c r="F57" s="46">
        <f t="shared" si="7"/>
        <v>1.5380493248267069E-2</v>
      </c>
      <c r="G57" s="37">
        <f t="shared" si="8"/>
        <v>72252.735364207168</v>
      </c>
      <c r="H57" s="41">
        <f t="shared" si="9"/>
        <v>1111.2827084380156</v>
      </c>
      <c r="I57" s="41">
        <f>SUM($H$4:H56)</f>
        <v>27747.264635792748</v>
      </c>
      <c r="J57" s="37">
        <f t="shared" si="0"/>
        <v>71697.09400998817</v>
      </c>
      <c r="K57" s="37">
        <f>SUM(J57:J$113)</f>
        <v>1469701.8178694113</v>
      </c>
      <c r="L57" s="47">
        <f t="shared" si="1"/>
        <v>20.49876411538613</v>
      </c>
      <c r="M57" s="37">
        <f>(G58+0.5*H57)/(1+'General input'!$C$114)^A57</f>
        <v>5400.931917296286</v>
      </c>
      <c r="N57" s="37">
        <f>SUM(M57:M$113)</f>
        <v>66004.899247456473</v>
      </c>
      <c r="O57" s="37">
        <f t="shared" si="2"/>
        <v>12.2210204198424</v>
      </c>
      <c r="Q57" s="44">
        <f ca="1">VLOOKUP('General input'!$C$4,Lists!$EQ$8:$ES$180,3,0)*260</f>
        <v>7844.4820141565524</v>
      </c>
      <c r="S57" s="48">
        <f t="shared" ca="1" si="10"/>
        <v>562426564.4286437</v>
      </c>
      <c r="T57" s="37">
        <f ca="1">SUM(S57:S$115)</f>
        <v>6456211764.0681581</v>
      </c>
      <c r="U57" s="47">
        <f t="shared" ca="1" si="3"/>
        <v>90048.444127578434</v>
      </c>
      <c r="V57" s="37">
        <f ca="1">S57/(1+'General input'!$C$113)^A57</f>
        <v>42367513.284914777</v>
      </c>
      <c r="W57" s="37">
        <f ca="1">SUM(V57:V$115)</f>
        <v>374949517.60191077</v>
      </c>
      <c r="X57" s="202">
        <f t="shared" ca="1" si="4"/>
        <v>69423.115000051883</v>
      </c>
      <c r="Y57" s="47"/>
      <c r="Z57" s="37">
        <f t="shared" si="11"/>
        <v>53.5</v>
      </c>
      <c r="AA57" s="37">
        <f t="shared" si="5"/>
        <v>59453.624901433832</v>
      </c>
      <c r="AC57" s="4"/>
      <c r="AF57" s="4"/>
      <c r="AI57" s="4"/>
      <c r="AM57" s="41"/>
      <c r="AN57" s="41"/>
      <c r="AO57" s="49"/>
      <c r="AP57" s="41"/>
      <c r="AQ57" s="41"/>
      <c r="AR57" s="41"/>
      <c r="AS57" s="41"/>
      <c r="AT57" s="41"/>
      <c r="AU57" s="41"/>
      <c r="AV57" s="41"/>
      <c r="AW57" s="41"/>
      <c r="AX57" s="41"/>
      <c r="AY57" s="41"/>
      <c r="BA57" s="6"/>
      <c r="BB57" s="7"/>
      <c r="BC57" s="7"/>
      <c r="BD57" s="7"/>
      <c r="BE57" s="7"/>
      <c r="BF57" s="7"/>
      <c r="BG57" s="7"/>
      <c r="BH57" s="7"/>
      <c r="BI57" s="7"/>
      <c r="BK57" s="39"/>
      <c r="BL57" s="39"/>
      <c r="BM57" s="39"/>
      <c r="BN57" s="39"/>
      <c r="BO57" s="39"/>
      <c r="BP57" s="39"/>
      <c r="BQ57" s="52"/>
      <c r="BR57" s="52"/>
      <c r="BS57" s="53"/>
      <c r="BT57" s="53"/>
      <c r="BU57" s="52"/>
      <c r="BV57" s="50"/>
      <c r="BX57" s="49"/>
      <c r="BY57" s="49"/>
      <c r="BZ57" s="49"/>
      <c r="CA57" s="49"/>
      <c r="CB57" s="49"/>
      <c r="CC57" s="49"/>
      <c r="CD57" s="49"/>
      <c r="CE57" s="49"/>
      <c r="CF57" s="49"/>
      <c r="CH57" s="7"/>
      <c r="CI57" s="7"/>
      <c r="CJ57" s="7"/>
      <c r="CK57" s="7"/>
      <c r="CL57" s="7"/>
      <c r="CM57" s="7"/>
      <c r="CN57" s="7"/>
      <c r="CO57" s="7"/>
      <c r="CP57" s="7"/>
    </row>
    <row r="58" spans="1:94" ht="14.4" x14ac:dyDescent="0.3">
      <c r="A58" s="138">
        <v>54</v>
      </c>
      <c r="B58" s="4"/>
      <c r="C58" s="44">
        <f>'Life table (HE)'!B$15</f>
        <v>1.55E-2</v>
      </c>
      <c r="E58" s="45">
        <f t="shared" si="6"/>
        <v>1.55E-2</v>
      </c>
      <c r="F58" s="46">
        <f t="shared" si="7"/>
        <v>1.5380493248267069E-2</v>
      </c>
      <c r="G58" s="37">
        <f t="shared" si="8"/>
        <v>71141.452655769157</v>
      </c>
      <c r="H58" s="41">
        <f t="shared" si="9"/>
        <v>1094.1906322439688</v>
      </c>
      <c r="I58" s="41">
        <f>SUM($H$4:H57)</f>
        <v>28858.547344230763</v>
      </c>
      <c r="J58" s="37">
        <f t="shared" si="0"/>
        <v>70594.357339647162</v>
      </c>
      <c r="K58" s="37">
        <f>SUM(J58:J$113)</f>
        <v>1398004.7238594231</v>
      </c>
      <c r="L58" s="47">
        <f t="shared" si="1"/>
        <v>19.803349397081011</v>
      </c>
      <c r="M58" s="37">
        <f>(G59+0.5*H58)/(1+'General input'!$C$114)^A58</f>
        <v>5064.6313527694847</v>
      </c>
      <c r="N58" s="37">
        <f>SUM(M58:M$113)</f>
        <v>60603.967330160194</v>
      </c>
      <c r="O58" s="37">
        <f t="shared" si="2"/>
        <v>11.966116210416819</v>
      </c>
      <c r="Q58" s="44">
        <f ca="1">VLOOKUP('General input'!$C$4,Lists!$EQ$8:$ES$180,3,0)*260</f>
        <v>7844.4820141565524</v>
      </c>
      <c r="S58" s="48">
        <f t="shared" ca="1" si="10"/>
        <v>553776166.45180273</v>
      </c>
      <c r="T58" s="37">
        <f ca="1">SUM(S58:S$115)</f>
        <v>5893785199.639514</v>
      </c>
      <c r="U58" s="47">
        <f t="shared" ca="1" si="3"/>
        <v>83488.049494990584</v>
      </c>
      <c r="V58" s="37">
        <f ca="1">S58/(1+'General input'!$C$113)^A58</f>
        <v>39729409.555133589</v>
      </c>
      <c r="W58" s="37">
        <f ca="1">SUM(V58:V$115)</f>
        <v>332582004.31699598</v>
      </c>
      <c r="X58" s="202">
        <f t="shared" ca="1" si="4"/>
        <v>65667.564162420356</v>
      </c>
      <c r="Y58" s="47"/>
      <c r="Z58" s="37">
        <f t="shared" si="11"/>
        <v>54.5</v>
      </c>
      <c r="AA58" s="37">
        <f t="shared" si="5"/>
        <v>59633.389457296304</v>
      </c>
      <c r="AC58" s="4"/>
      <c r="AF58" s="4"/>
      <c r="AI58" s="4"/>
      <c r="AM58" s="41"/>
      <c r="AN58" s="41"/>
      <c r="AO58" s="49"/>
      <c r="AP58" s="41"/>
      <c r="AQ58" s="41"/>
      <c r="AR58" s="41"/>
      <c r="AS58" s="41"/>
      <c r="AT58" s="41"/>
      <c r="AU58" s="41"/>
      <c r="AV58" s="41"/>
      <c r="AW58" s="41"/>
      <c r="AX58" s="41"/>
      <c r="AY58" s="41"/>
      <c r="BA58" s="6"/>
      <c r="BB58" s="7"/>
      <c r="BC58" s="7"/>
      <c r="BD58" s="7"/>
      <c r="BE58" s="7"/>
      <c r="BF58" s="7"/>
      <c r="BG58" s="7"/>
      <c r="BH58" s="7"/>
      <c r="BI58" s="7"/>
      <c r="BK58" s="39"/>
      <c r="BL58" s="39"/>
      <c r="BM58" s="39"/>
      <c r="BN58" s="39"/>
      <c r="BO58" s="39"/>
      <c r="BP58" s="39"/>
      <c r="BQ58" s="52"/>
      <c r="BR58" s="52"/>
      <c r="BS58" s="53"/>
      <c r="BT58" s="53"/>
      <c r="BU58" s="52"/>
      <c r="BV58" s="50"/>
      <c r="BX58" s="49"/>
      <c r="BY58" s="49"/>
      <c r="BZ58" s="49"/>
      <c r="CA58" s="49"/>
      <c r="CB58" s="49"/>
      <c r="CC58" s="49"/>
      <c r="CD58" s="49"/>
      <c r="CE58" s="49"/>
      <c r="CF58" s="49"/>
      <c r="CH58" s="7"/>
      <c r="CI58" s="7"/>
      <c r="CJ58" s="7"/>
      <c r="CK58" s="7"/>
      <c r="CL58" s="7"/>
      <c r="CM58" s="7"/>
      <c r="CN58" s="7"/>
      <c r="CO58" s="7"/>
      <c r="CP58" s="7"/>
    </row>
    <row r="59" spans="1:94" ht="14.4" x14ac:dyDescent="0.3">
      <c r="A59" s="138">
        <v>55</v>
      </c>
      <c r="B59" s="4"/>
      <c r="C59" s="44">
        <f>'Life table (HE)'!B$16</f>
        <v>2.0500000000000001E-2</v>
      </c>
      <c r="E59" s="45">
        <f t="shared" si="6"/>
        <v>2.0500000000000001E-2</v>
      </c>
      <c r="F59" s="46">
        <f t="shared" si="7"/>
        <v>2.0291303525482141E-2</v>
      </c>
      <c r="G59" s="37">
        <f t="shared" si="8"/>
        <v>70047.262023525182</v>
      </c>
      <c r="H59" s="41">
        <f t="shared" si="9"/>
        <v>1421.3502548483277</v>
      </c>
      <c r="I59" s="41">
        <f>SUM($H$4:H58)</f>
        <v>29952.737976474731</v>
      </c>
      <c r="J59" s="37">
        <f t="shared" si="0"/>
        <v>69336.586896101027</v>
      </c>
      <c r="K59" s="37">
        <f>SUM(J59:J$113)</f>
        <v>1327410.3665197759</v>
      </c>
      <c r="L59" s="47">
        <f t="shared" si="1"/>
        <v>19.144443445260205</v>
      </c>
      <c r="M59" s="37">
        <f>(G60+0.5*H59)/(1+'General input'!$C$114)^A59</f>
        <v>4737.5195023898459</v>
      </c>
      <c r="N59" s="37">
        <f>SUM(M59:M$113)</f>
        <v>55539.335977390692</v>
      </c>
      <c r="O59" s="37">
        <f t="shared" si="2"/>
        <v>11.723294426413196</v>
      </c>
      <c r="Q59" s="44">
        <f ca="1">VLOOKUP('General input'!$C$4,Lists!$EQ$8:$ES$180,3,0)*260</f>
        <v>7844.4820141565524</v>
      </c>
      <c r="S59" s="48">
        <f t="shared" ca="1" si="10"/>
        <v>543909608.82946742</v>
      </c>
      <c r="T59" s="37">
        <f ca="1">SUM(S59:S$115)</f>
        <v>5340009033.1877117</v>
      </c>
      <c r="U59" s="47">
        <f t="shared" ca="1" si="3"/>
        <v>77015.746984915313</v>
      </c>
      <c r="V59" s="37">
        <f ca="1">S59/(1+'General input'!$C$113)^A59</f>
        <v>37163386.528213046</v>
      </c>
      <c r="W59" s="37">
        <f ca="1">SUM(V59:V$115)</f>
        <v>292852594.7618624</v>
      </c>
      <c r="X59" s="202">
        <f t="shared" ca="1" si="4"/>
        <v>61815.59666701797</v>
      </c>
      <c r="Y59" s="47"/>
      <c r="Z59" s="37">
        <f t="shared" si="11"/>
        <v>55.5</v>
      </c>
      <c r="AA59" s="37">
        <f t="shared" si="5"/>
        <v>78884.939144082193</v>
      </c>
      <c r="AC59" s="4"/>
      <c r="AF59" s="4"/>
      <c r="AI59" s="4"/>
      <c r="AM59" s="41"/>
      <c r="AN59" s="41"/>
      <c r="AO59" s="49"/>
      <c r="AP59" s="41"/>
      <c r="AQ59" s="41"/>
      <c r="AR59" s="41"/>
      <c r="AS59" s="41"/>
      <c r="AT59" s="41"/>
      <c r="AU59" s="41"/>
      <c r="AV59" s="41"/>
      <c r="AW59" s="41"/>
      <c r="AX59" s="41"/>
      <c r="AY59" s="41"/>
      <c r="BA59" s="6"/>
      <c r="BB59" s="7"/>
      <c r="BC59" s="7"/>
      <c r="BD59" s="7"/>
      <c r="BE59" s="7"/>
      <c r="BF59" s="7"/>
      <c r="BG59" s="7"/>
      <c r="BH59" s="7"/>
      <c r="BI59" s="7"/>
      <c r="BK59" s="39"/>
      <c r="BL59" s="39"/>
      <c r="BM59" s="39"/>
      <c r="BN59" s="39"/>
      <c r="BO59" s="39"/>
      <c r="BP59" s="39"/>
      <c r="BQ59" s="52"/>
      <c r="BR59" s="52"/>
      <c r="BS59" s="53"/>
      <c r="BT59" s="53"/>
      <c r="BU59" s="52"/>
      <c r="BV59" s="50"/>
      <c r="BX59" s="49"/>
      <c r="BY59" s="49"/>
      <c r="BZ59" s="49"/>
      <c r="CA59" s="49"/>
      <c r="CB59" s="49"/>
      <c r="CC59" s="49"/>
      <c r="CD59" s="49"/>
      <c r="CE59" s="49"/>
      <c r="CF59" s="49"/>
      <c r="CH59" s="7"/>
      <c r="CI59" s="7"/>
      <c r="CJ59" s="7"/>
      <c r="CK59" s="7"/>
      <c r="CL59" s="7"/>
      <c r="CM59" s="7"/>
      <c r="CN59" s="7"/>
      <c r="CO59" s="7"/>
      <c r="CP59" s="7"/>
    </row>
    <row r="60" spans="1:94" ht="14.4" x14ac:dyDescent="0.3">
      <c r="A60" s="138">
        <v>56</v>
      </c>
      <c r="B60" s="4"/>
      <c r="C60" s="44">
        <f>'Life table (HE)'!B$16</f>
        <v>2.0500000000000001E-2</v>
      </c>
      <c r="E60" s="45">
        <f t="shared" si="6"/>
        <v>2.0500000000000001E-2</v>
      </c>
      <c r="F60" s="46">
        <f t="shared" si="7"/>
        <v>2.0291303525482141E-2</v>
      </c>
      <c r="G60" s="37">
        <f t="shared" si="8"/>
        <v>68625.911768676859</v>
      </c>
      <c r="H60" s="41">
        <f t="shared" si="9"/>
        <v>1392.509205411179</v>
      </c>
      <c r="I60" s="41">
        <f>SUM($H$4:H59)</f>
        <v>31374.088231323058</v>
      </c>
      <c r="J60" s="37">
        <f t="shared" si="0"/>
        <v>67929.657165971279</v>
      </c>
      <c r="K60" s="37">
        <f>SUM(J60:J$113)</f>
        <v>1258073.7796236749</v>
      </c>
      <c r="L60" s="47">
        <f t="shared" si="1"/>
        <v>18.520243323911476</v>
      </c>
      <c r="M60" s="37">
        <f>(G61+0.5*H60)/(1+'General input'!$C$114)^A60</f>
        <v>4420.3705297228225</v>
      </c>
      <c r="N60" s="37">
        <f>SUM(M60:M$113)</f>
        <v>50801.816475000851</v>
      </c>
      <c r="O60" s="37">
        <f t="shared" si="2"/>
        <v>11.492660204253591</v>
      </c>
      <c r="Q60" s="44">
        <f ca="1">VLOOKUP('General input'!$C$4,Lists!$EQ$8:$ES$180,3,0)*260</f>
        <v>7844.4820141565524</v>
      </c>
      <c r="S60" s="48">
        <f t="shared" ca="1" si="10"/>
        <v>532872973.86628246</v>
      </c>
      <c r="T60" s="37">
        <f ca="1">SUM(S60:S$115)</f>
        <v>4796099424.3582449</v>
      </c>
      <c r="U60" s="47">
        <f t="shared" ca="1" si="3"/>
        <v>70603.910345668657</v>
      </c>
      <c r="V60" s="37">
        <f ca="1">S60/(1+'General input'!$C$113)^A60</f>
        <v>34675517.116318353</v>
      </c>
      <c r="W60" s="37">
        <f ca="1">SUM(V60:V$115)</f>
        <v>255689208.23364931</v>
      </c>
      <c r="X60" s="202">
        <f t="shared" ca="1" si="4"/>
        <v>57843.388131013126</v>
      </c>
      <c r="Y60" s="47"/>
      <c r="Z60" s="37">
        <f t="shared" si="11"/>
        <v>56.5</v>
      </c>
      <c r="AA60" s="37">
        <f t="shared" si="5"/>
        <v>78676.770105731615</v>
      </c>
      <c r="AC60" s="4"/>
      <c r="AF60" s="4"/>
      <c r="AI60" s="4"/>
      <c r="AM60" s="41"/>
      <c r="AN60" s="41"/>
      <c r="AO60" s="49"/>
      <c r="AP60" s="41"/>
      <c r="AQ60" s="41"/>
      <c r="AR60" s="41"/>
      <c r="AS60" s="41"/>
      <c r="AT60" s="41"/>
      <c r="AU60" s="41"/>
      <c r="AV60" s="41"/>
      <c r="AW60" s="41"/>
      <c r="AX60" s="41"/>
      <c r="AY60" s="41"/>
      <c r="BA60" s="6"/>
      <c r="BB60" s="7"/>
      <c r="BC60" s="7"/>
      <c r="BD60" s="7"/>
      <c r="BE60" s="7"/>
      <c r="BF60" s="7"/>
      <c r="BG60" s="7"/>
      <c r="BH60" s="7"/>
      <c r="BI60" s="7"/>
      <c r="BK60" s="39"/>
      <c r="BL60" s="39"/>
      <c r="BM60" s="39"/>
      <c r="BN60" s="39"/>
      <c r="BO60" s="39"/>
      <c r="BP60" s="39"/>
      <c r="BQ60" s="52"/>
      <c r="BR60" s="52"/>
      <c r="BS60" s="53"/>
      <c r="BT60" s="53"/>
      <c r="BU60" s="52"/>
      <c r="BV60" s="50"/>
      <c r="BX60" s="49"/>
      <c r="BY60" s="49"/>
      <c r="BZ60" s="49"/>
      <c r="CA60" s="49"/>
      <c r="CB60" s="49"/>
      <c r="CC60" s="49"/>
      <c r="CD60" s="49"/>
      <c r="CE60" s="49"/>
      <c r="CF60" s="49"/>
      <c r="CH60" s="7"/>
      <c r="CI60" s="7"/>
      <c r="CJ60" s="7"/>
      <c r="CK60" s="7"/>
      <c r="CL60" s="7"/>
      <c r="CM60" s="7"/>
      <c r="CN60" s="7"/>
      <c r="CO60" s="7"/>
      <c r="CP60" s="7"/>
    </row>
    <row r="61" spans="1:94" ht="14.4" x14ac:dyDescent="0.3">
      <c r="A61" s="138">
        <v>57</v>
      </c>
      <c r="B61" s="4"/>
      <c r="C61" s="44">
        <f>'Life table (HE)'!B$16</f>
        <v>2.0500000000000001E-2</v>
      </c>
      <c r="E61" s="45">
        <f t="shared" si="6"/>
        <v>2.0500000000000001E-2</v>
      </c>
      <c r="F61" s="46">
        <f t="shared" si="7"/>
        <v>2.0291303525482141E-2</v>
      </c>
      <c r="G61" s="37">
        <f t="shared" si="8"/>
        <v>67233.402563265685</v>
      </c>
      <c r="H61" s="41">
        <f t="shared" si="9"/>
        <v>1364.253378462153</v>
      </c>
      <c r="I61" s="41">
        <f>SUM($H$4:H60)</f>
        <v>32766.597436734235</v>
      </c>
      <c r="J61" s="37">
        <f t="shared" si="0"/>
        <v>66551.275874034618</v>
      </c>
      <c r="K61" s="37">
        <f>SUM(J61:J$113)</f>
        <v>1190144.1224577033</v>
      </c>
      <c r="L61" s="47">
        <f t="shared" si="1"/>
        <v>17.883115039152017</v>
      </c>
      <c r="M61" s="37">
        <f>(G62+0.5*H61)/(1+'General input'!$C$114)^A61</f>
        <v>4124.4528091515431</v>
      </c>
      <c r="N61" s="37">
        <f>SUM(M61:M$113)</f>
        <v>46381.445945278036</v>
      </c>
      <c r="O61" s="37">
        <f t="shared" si="2"/>
        <v>11.245478634732965</v>
      </c>
      <c r="Q61" s="44">
        <f ca="1">VLOOKUP('General input'!$C$4,Lists!$EQ$8:$ES$180,3,0)*260</f>
        <v>7844.4820141565524</v>
      </c>
      <c r="S61" s="48">
        <f t="shared" ca="1" si="10"/>
        <v>522060286.61303544</v>
      </c>
      <c r="T61" s="37">
        <f ca="1">SUM(S61:S$115)</f>
        <v>4263226450.4919624</v>
      </c>
      <c r="U61" s="47">
        <f t="shared" ca="1" si="3"/>
        <v>64059.27451430403</v>
      </c>
      <c r="V61" s="37">
        <f ca="1">S61/(1+'General input'!$C$113)^A61</f>
        <v>32354195.879626747</v>
      </c>
      <c r="W61" s="37">
        <f ca="1">SUM(V61:V$115)</f>
        <v>221013691.11733097</v>
      </c>
      <c r="X61" s="202">
        <f t="shared" ca="1" si="4"/>
        <v>53586.184966629924</v>
      </c>
      <c r="Y61" s="47"/>
      <c r="Z61" s="37">
        <f t="shared" si="11"/>
        <v>57.5</v>
      </c>
      <c r="AA61" s="37">
        <f t="shared" si="5"/>
        <v>78444.569261573793</v>
      </c>
      <c r="AC61" s="4"/>
      <c r="AF61" s="4"/>
      <c r="AI61" s="4"/>
      <c r="AM61" s="41"/>
      <c r="AN61" s="41"/>
      <c r="AO61" s="49"/>
      <c r="AP61" s="41"/>
      <c r="AQ61" s="41"/>
      <c r="AR61" s="41"/>
      <c r="AS61" s="41"/>
      <c r="AT61" s="41"/>
      <c r="AU61" s="41"/>
      <c r="AV61" s="41"/>
      <c r="AW61" s="41"/>
      <c r="AX61" s="41"/>
      <c r="AY61" s="41"/>
      <c r="BA61" s="6"/>
      <c r="BB61" s="7"/>
      <c r="BC61" s="7"/>
      <c r="BD61" s="7"/>
      <c r="BE61" s="7"/>
      <c r="BF61" s="7"/>
      <c r="BG61" s="7"/>
      <c r="BH61" s="7"/>
      <c r="BI61" s="7"/>
      <c r="BK61" s="39"/>
      <c r="BL61" s="39"/>
      <c r="BM61" s="39"/>
      <c r="BN61" s="39"/>
      <c r="BO61" s="39"/>
      <c r="BP61" s="39"/>
      <c r="BQ61" s="52"/>
      <c r="BR61" s="52"/>
      <c r="BS61" s="53"/>
      <c r="BT61" s="53"/>
      <c r="BU61" s="52"/>
      <c r="BV61" s="50"/>
      <c r="BX61" s="49"/>
      <c r="BY61" s="49"/>
      <c r="BZ61" s="49"/>
      <c r="CA61" s="49"/>
      <c r="CB61" s="49"/>
      <c r="CC61" s="49"/>
      <c r="CD61" s="49"/>
      <c r="CE61" s="49"/>
      <c r="CF61" s="49"/>
      <c r="CH61" s="7"/>
      <c r="CI61" s="7"/>
      <c r="CJ61" s="7"/>
      <c r="CK61" s="7"/>
      <c r="CL61" s="7"/>
      <c r="CM61" s="7"/>
      <c r="CN61" s="7"/>
      <c r="CO61" s="7"/>
      <c r="CP61" s="7"/>
    </row>
    <row r="62" spans="1:94" ht="14.4" x14ac:dyDescent="0.3">
      <c r="A62" s="138">
        <v>58</v>
      </c>
      <c r="B62" s="4"/>
      <c r="C62" s="44">
        <f>'Life table (HE)'!B$16</f>
        <v>2.0500000000000001E-2</v>
      </c>
      <c r="E62" s="45">
        <f t="shared" si="6"/>
        <v>2.0500000000000001E-2</v>
      </c>
      <c r="F62" s="46">
        <f t="shared" si="7"/>
        <v>2.0291303525482141E-2</v>
      </c>
      <c r="G62" s="37">
        <f t="shared" si="8"/>
        <v>65869.149184803537</v>
      </c>
      <c r="H62" s="41">
        <f t="shared" si="9"/>
        <v>1336.570899074113</v>
      </c>
      <c r="I62" s="41">
        <f>SUM($H$4:H61)</f>
        <v>34130.850815196391</v>
      </c>
      <c r="J62" s="37">
        <f t="shared" si="0"/>
        <v>65200.863735266481</v>
      </c>
      <c r="K62" s="37">
        <f>SUM(J62:J$113)</f>
        <v>1123592.8465836691</v>
      </c>
      <c r="L62" s="47">
        <f t="shared" si="1"/>
        <v>17.232790828443108</v>
      </c>
      <c r="M62" s="37">
        <f>(G63+0.5*H62)/(1+'General input'!$C$114)^A62</f>
        <v>3848.3450336424012</v>
      </c>
      <c r="N62" s="37">
        <f>SUM(M62:M$113)</f>
        <v>42256.993136126497</v>
      </c>
      <c r="O62" s="37">
        <f t="shared" si="2"/>
        <v>10.980562492893441</v>
      </c>
      <c r="Q62" s="44">
        <f ca="1">VLOOKUP('General input'!$C$4,Lists!$EQ$8:$ES$180,3,0)*260</f>
        <v>7844.4820141565524</v>
      </c>
      <c r="S62" s="48">
        <f t="shared" ca="1" si="10"/>
        <v>511467002.87877011</v>
      </c>
      <c r="T62" s="37">
        <f ca="1">SUM(S62:S$115)</f>
        <v>3741166163.8789272</v>
      </c>
      <c r="U62" s="47">
        <f t="shared" ca="1" si="3"/>
        <v>57379.089011291253</v>
      </c>
      <c r="V62" s="37">
        <f ca="1">S62/(1+'General input'!$C$113)^A62</f>
        <v>30188273.400676508</v>
      </c>
      <c r="W62" s="37">
        <f ca="1">SUM(V62:V$115)</f>
        <v>188659495.23770422</v>
      </c>
      <c r="X62" s="202">
        <f t="shared" ca="1" si="4"/>
        <v>49023.539622470082</v>
      </c>
      <c r="Y62" s="47"/>
      <c r="Z62" s="37">
        <f t="shared" si="11"/>
        <v>58.5</v>
      </c>
      <c r="AA62" s="37">
        <f t="shared" si="5"/>
        <v>78189.397595835602</v>
      </c>
      <c r="AC62" s="4"/>
      <c r="AF62" s="4"/>
      <c r="AI62" s="4"/>
      <c r="AM62" s="41"/>
      <c r="AN62" s="41"/>
      <c r="AO62" s="49"/>
      <c r="AP62" s="41"/>
      <c r="AQ62" s="41"/>
      <c r="AR62" s="41"/>
      <c r="AS62" s="41"/>
      <c r="AT62" s="41"/>
      <c r="AU62" s="41"/>
      <c r="AV62" s="41"/>
      <c r="AW62" s="41"/>
      <c r="AX62" s="41"/>
      <c r="AY62" s="41"/>
      <c r="BA62" s="6"/>
      <c r="BB62" s="7"/>
      <c r="BC62" s="7"/>
      <c r="BD62" s="7"/>
      <c r="BE62" s="7"/>
      <c r="BF62" s="7"/>
      <c r="BG62" s="7"/>
      <c r="BH62" s="7"/>
      <c r="BI62" s="7"/>
      <c r="BK62" s="39"/>
      <c r="BL62" s="39"/>
      <c r="BM62" s="39"/>
      <c r="BN62" s="39"/>
      <c r="BO62" s="39"/>
      <c r="BP62" s="39"/>
      <c r="BQ62" s="52"/>
      <c r="BR62" s="52"/>
      <c r="BS62" s="53"/>
      <c r="BT62" s="53"/>
      <c r="BU62" s="52"/>
      <c r="BV62" s="50"/>
      <c r="BX62" s="49"/>
      <c r="BY62" s="49"/>
      <c r="BZ62" s="49"/>
      <c r="CA62" s="49"/>
      <c r="CB62" s="49"/>
      <c r="CC62" s="49"/>
      <c r="CD62" s="49"/>
      <c r="CE62" s="49"/>
      <c r="CF62" s="49"/>
      <c r="CH62" s="7"/>
      <c r="CI62" s="7"/>
      <c r="CJ62" s="7"/>
      <c r="CK62" s="7"/>
      <c r="CL62" s="7"/>
      <c r="CM62" s="7"/>
      <c r="CN62" s="7"/>
      <c r="CO62" s="7"/>
      <c r="CP62" s="7"/>
    </row>
    <row r="63" spans="1:94" ht="14.4" x14ac:dyDescent="0.3">
      <c r="A63" s="138">
        <v>59</v>
      </c>
      <c r="B63" s="4"/>
      <c r="C63" s="44">
        <f>'Life table (HE)'!B$16</f>
        <v>2.0500000000000001E-2</v>
      </c>
      <c r="E63" s="45">
        <f t="shared" si="6"/>
        <v>2.0500000000000001E-2</v>
      </c>
      <c r="F63" s="46">
        <f t="shared" si="7"/>
        <v>2.0291303525482141E-2</v>
      </c>
      <c r="G63" s="37">
        <f t="shared" si="8"/>
        <v>64532.578285729425</v>
      </c>
      <c r="H63" s="41">
        <f t="shared" si="9"/>
        <v>1309.4501332776738</v>
      </c>
      <c r="I63" s="41">
        <f>SUM($H$4:H62)</f>
        <v>35467.421714270502</v>
      </c>
      <c r="J63" s="37">
        <f t="shared" si="0"/>
        <v>63877.85321909059</v>
      </c>
      <c r="K63" s="37">
        <f>SUM(J63:J$113)</f>
        <v>1058391.9828484026</v>
      </c>
      <c r="L63" s="47">
        <f t="shared" si="1"/>
        <v>16.568997383463891</v>
      </c>
      <c r="M63" s="37">
        <f>(G64+0.5*H63)/(1+'General input'!$C$114)^A63</f>
        <v>3590.7210442799824</v>
      </c>
      <c r="N63" s="37">
        <f>SUM(M63:M$113)</f>
        <v>38408.648102484105</v>
      </c>
      <c r="O63" s="37">
        <f t="shared" si="2"/>
        <v>10.696639373773987</v>
      </c>
      <c r="Q63" s="44">
        <f ca="1">VLOOKUP('General input'!$C$4,Lists!$EQ$8:$ES$180,3,0)*260</f>
        <v>7844.4820141565524</v>
      </c>
      <c r="S63" s="48">
        <f t="shared" ca="1" si="10"/>
        <v>501088670.68008834</v>
      </c>
      <c r="T63" s="37">
        <f ca="1">SUM(S63:S$115)</f>
        <v>3229699161.0001564</v>
      </c>
      <c r="U63" s="47">
        <f t="shared" ca="1" si="3"/>
        <v>50560.546390355616</v>
      </c>
      <c r="V63" s="37">
        <f ca="1">S63/(1+'General input'!$C$113)^A63</f>
        <v>28167346.649707753</v>
      </c>
      <c r="W63" s="37">
        <f ca="1">SUM(V63:V$115)</f>
        <v>158471221.83702773</v>
      </c>
      <c r="X63" s="202">
        <f t="shared" ca="1" si="4"/>
        <v>44133.537493666445</v>
      </c>
      <c r="Y63" s="47"/>
      <c r="Z63" s="37">
        <f t="shared" si="11"/>
        <v>59.5</v>
      </c>
      <c r="AA63" s="37">
        <f t="shared" si="5"/>
        <v>77912.282930021596</v>
      </c>
      <c r="AC63" s="4"/>
      <c r="AF63" s="4"/>
      <c r="AI63" s="4"/>
      <c r="AM63" s="41"/>
      <c r="AN63" s="41"/>
      <c r="AO63" s="49"/>
      <c r="AP63" s="41"/>
      <c r="AQ63" s="41"/>
      <c r="AR63" s="41"/>
      <c r="AS63" s="41"/>
      <c r="AT63" s="41"/>
      <c r="AU63" s="41"/>
      <c r="AV63" s="41"/>
      <c r="AW63" s="41"/>
      <c r="AX63" s="41"/>
      <c r="AY63" s="41"/>
      <c r="BA63" s="6"/>
      <c r="BB63" s="7"/>
      <c r="BC63" s="7"/>
      <c r="BD63" s="7"/>
      <c r="BE63" s="7"/>
      <c r="BF63" s="7"/>
      <c r="BG63" s="7"/>
      <c r="BH63" s="7"/>
      <c r="BI63" s="7"/>
      <c r="BK63" s="39"/>
      <c r="BL63" s="39"/>
      <c r="BM63" s="39"/>
      <c r="BN63" s="39"/>
      <c r="BO63" s="39"/>
      <c r="BP63" s="39"/>
      <c r="BQ63" s="52"/>
      <c r="BR63" s="52"/>
      <c r="BS63" s="53"/>
      <c r="BT63" s="53"/>
      <c r="BU63" s="52"/>
      <c r="BV63" s="50"/>
      <c r="BX63" s="49"/>
      <c r="BY63" s="49"/>
      <c r="BZ63" s="49"/>
      <c r="CA63" s="49"/>
      <c r="CB63" s="49"/>
      <c r="CC63" s="49"/>
      <c r="CD63" s="49"/>
      <c r="CE63" s="49"/>
      <c r="CF63" s="49"/>
      <c r="CH63" s="7"/>
      <c r="CI63" s="7"/>
      <c r="CJ63" s="7"/>
      <c r="CK63" s="7"/>
      <c r="CL63" s="7"/>
      <c r="CM63" s="7"/>
      <c r="CN63" s="7"/>
      <c r="CO63" s="7"/>
      <c r="CP63" s="7"/>
    </row>
    <row r="64" spans="1:94" ht="14.4" x14ac:dyDescent="0.3">
      <c r="A64" s="138">
        <v>60</v>
      </c>
      <c r="B64" s="4"/>
      <c r="C64" s="44">
        <f>'Life table (HE)'!B$17</f>
        <v>2.8999999999999998E-2</v>
      </c>
      <c r="E64" s="45">
        <f t="shared" si="6"/>
        <v>2.8999999999999998E-2</v>
      </c>
      <c r="F64" s="46">
        <f t="shared" si="7"/>
        <v>2.858353553339521E-2</v>
      </c>
      <c r="G64" s="37">
        <f t="shared" si="8"/>
        <v>63223.128152451754</v>
      </c>
      <c r="H64" s="41">
        <f t="shared" si="9"/>
        <v>1807.1405300780038</v>
      </c>
      <c r="I64" s="41">
        <f>SUM($H$4:H63)</f>
        <v>36776.871847548173</v>
      </c>
      <c r="J64" s="37">
        <f t="shared" si="0"/>
        <v>62319.557887412753</v>
      </c>
      <c r="K64" s="37">
        <f>SUM(J64:J$113)</f>
        <v>994514.12962931243</v>
      </c>
      <c r="L64" s="47">
        <f t="shared" si="1"/>
        <v>15.958298860624355</v>
      </c>
      <c r="M64" s="37">
        <f>(G65+0.5*H64)/(1+'General input'!$C$114)^A64</f>
        <v>3336.3101711526083</v>
      </c>
      <c r="N64" s="37">
        <f>SUM(M64:M$113)</f>
        <v>34817.927058204128</v>
      </c>
      <c r="O64" s="37">
        <f t="shared" si="2"/>
        <v>10.436058181657446</v>
      </c>
      <c r="Q64" s="44">
        <f ca="1">VLOOKUP('General input'!$C$4,Lists!$EQ$8:$ES$180,3,0)*260</f>
        <v>7844.4820141565524</v>
      </c>
      <c r="S64" s="48">
        <f t="shared" ca="1" si="10"/>
        <v>488864650.97799748</v>
      </c>
      <c r="T64" s="37">
        <f ca="1">SUM(S64:S$115)</f>
        <v>2728610490.3200684</v>
      </c>
      <c r="U64" s="47">
        <f t="shared" ca="1" si="3"/>
        <v>43784.175992544879</v>
      </c>
      <c r="V64" s="37">
        <f ca="1">S64/(1+'General input'!$C$113)^A64</f>
        <v>26171625.131254204</v>
      </c>
      <c r="W64" s="37">
        <f ca="1">SUM(V64:V$115)</f>
        <v>130303875.18731995</v>
      </c>
      <c r="X64" s="202">
        <f t="shared" ca="1" si="4"/>
        <v>39056.28328984273</v>
      </c>
      <c r="Y64" s="47"/>
      <c r="Z64" s="37">
        <f t="shared" si="11"/>
        <v>60.5</v>
      </c>
      <c r="AA64" s="37">
        <f t="shared" si="5"/>
        <v>109332.00206971924</v>
      </c>
      <c r="AC64" s="4"/>
      <c r="AF64" s="4"/>
      <c r="AI64" s="4"/>
      <c r="AM64" s="41"/>
      <c r="AN64" s="41"/>
      <c r="AO64" s="49"/>
      <c r="AP64" s="41"/>
      <c r="AQ64" s="41"/>
      <c r="AR64" s="41"/>
      <c r="AS64" s="41"/>
      <c r="AT64" s="41"/>
      <c r="AU64" s="41"/>
      <c r="AV64" s="41"/>
      <c r="AW64" s="41"/>
      <c r="AX64" s="41"/>
      <c r="AY64" s="41"/>
      <c r="BA64" s="6"/>
      <c r="BB64" s="7"/>
      <c r="BC64" s="7"/>
      <c r="BD64" s="7"/>
      <c r="BE64" s="7"/>
      <c r="BF64" s="7"/>
      <c r="BG64" s="7"/>
      <c r="BH64" s="7"/>
      <c r="BI64" s="7"/>
      <c r="BK64" s="39"/>
      <c r="BL64" s="39"/>
      <c r="BM64" s="39"/>
      <c r="BN64" s="39"/>
      <c r="BO64" s="39"/>
      <c r="BP64" s="39"/>
      <c r="BQ64" s="52"/>
      <c r="BR64" s="52"/>
      <c r="BS64" s="53"/>
      <c r="BT64" s="53"/>
      <c r="BU64" s="52"/>
      <c r="BV64" s="50"/>
      <c r="BX64" s="49"/>
      <c r="BY64" s="49"/>
      <c r="BZ64" s="49"/>
      <c r="CA64" s="49"/>
      <c r="CB64" s="49"/>
      <c r="CC64" s="49"/>
      <c r="CD64" s="49"/>
      <c r="CE64" s="49"/>
      <c r="CF64" s="49"/>
      <c r="CH64" s="7"/>
      <c r="CI64" s="7"/>
      <c r="CJ64" s="7"/>
      <c r="CK64" s="7"/>
      <c r="CL64" s="7"/>
      <c r="CM64" s="7"/>
      <c r="CN64" s="7"/>
      <c r="CO64" s="7"/>
      <c r="CP64" s="7"/>
    </row>
    <row r="65" spans="1:94" ht="14.4" x14ac:dyDescent="0.3">
      <c r="A65" s="138">
        <v>61</v>
      </c>
      <c r="B65" s="4"/>
      <c r="C65" s="44">
        <f>'Life table (HE)'!B$17</f>
        <v>2.8999999999999998E-2</v>
      </c>
      <c r="E65" s="45">
        <f t="shared" si="6"/>
        <v>2.8999999999999998E-2</v>
      </c>
      <c r="F65" s="46">
        <f t="shared" si="7"/>
        <v>2.858353553339521E-2</v>
      </c>
      <c r="G65" s="37">
        <f t="shared" si="8"/>
        <v>61415.987622373752</v>
      </c>
      <c r="H65" s="41">
        <f t="shared" si="9"/>
        <v>1755.4860645226806</v>
      </c>
      <c r="I65" s="41">
        <f>SUM($H$4:H64)</f>
        <v>38584.012377626175</v>
      </c>
      <c r="J65" s="37">
        <f t="shared" si="0"/>
        <v>60538.244590112416</v>
      </c>
      <c r="K65" s="37">
        <f>SUM(J65:J$113)</f>
        <v>932194.57174189982</v>
      </c>
      <c r="L65" s="47">
        <f t="shared" si="1"/>
        <v>15.398440738636038</v>
      </c>
      <c r="M65" s="37">
        <f>(G66+0.5*H65)/(1+'General input'!$C$114)^A65</f>
        <v>3086.6158388809895</v>
      </c>
      <c r="N65" s="37">
        <f>SUM(M65:M$113)</f>
        <v>31481.616887051521</v>
      </c>
      <c r="O65" s="37">
        <f t="shared" si="2"/>
        <v>10.199395885451281</v>
      </c>
      <c r="Q65" s="44">
        <f ca="1">VLOOKUP('General input'!$C$4,Lists!$EQ$8:$ES$180,3,0)*260</f>
        <v>7844.4820141565524</v>
      </c>
      <c r="S65" s="48">
        <f t="shared" ca="1" si="10"/>
        <v>474891170.85574704</v>
      </c>
      <c r="T65" s="37">
        <f ca="1">SUM(S65:S$115)</f>
        <v>2239745839.3420706</v>
      </c>
      <c r="U65" s="47">
        <f t="shared" ca="1" si="3"/>
        <v>36997.204899262695</v>
      </c>
      <c r="V65" s="37">
        <f ca="1">S65/(1+'General input'!$C$113)^A65</f>
        <v>24212902.432712663</v>
      </c>
      <c r="W65" s="37">
        <f ca="1">SUM(V65:V$115)</f>
        <v>104132250.05606575</v>
      </c>
      <c r="X65" s="202">
        <f t="shared" ca="1" si="4"/>
        <v>33736.70566461471</v>
      </c>
      <c r="Y65" s="47"/>
      <c r="Z65" s="37">
        <f t="shared" si="11"/>
        <v>61.5</v>
      </c>
      <c r="AA65" s="37">
        <f t="shared" si="5"/>
        <v>107962.39296814486</v>
      </c>
      <c r="AC65" s="4"/>
      <c r="AF65" s="4"/>
      <c r="AI65" s="4"/>
      <c r="AM65" s="41"/>
      <c r="AN65" s="41"/>
      <c r="AO65" s="49"/>
      <c r="AP65" s="41"/>
      <c r="AQ65" s="41"/>
      <c r="AR65" s="41"/>
      <c r="AS65" s="41"/>
      <c r="AT65" s="41"/>
      <c r="AU65" s="41"/>
      <c r="AV65" s="41"/>
      <c r="AW65" s="41"/>
      <c r="AX65" s="41"/>
      <c r="AY65" s="41"/>
      <c r="BA65" s="6"/>
      <c r="BB65" s="7"/>
      <c r="BC65" s="7"/>
      <c r="BD65" s="7"/>
      <c r="BE65" s="7"/>
      <c r="BF65" s="7"/>
      <c r="BG65" s="7"/>
      <c r="BH65" s="7"/>
      <c r="BI65" s="7"/>
      <c r="BK65" s="39"/>
      <c r="BL65" s="39"/>
      <c r="BM65" s="39"/>
      <c r="BN65" s="39"/>
      <c r="BO65" s="39"/>
      <c r="BP65" s="39"/>
      <c r="BQ65" s="52"/>
      <c r="BR65" s="52"/>
      <c r="BS65" s="53"/>
      <c r="BT65" s="53"/>
      <c r="BU65" s="52"/>
      <c r="BV65" s="50"/>
      <c r="BX65" s="49"/>
      <c r="BY65" s="49"/>
      <c r="BZ65" s="49"/>
      <c r="CA65" s="49"/>
      <c r="CB65" s="49"/>
      <c r="CC65" s="49"/>
      <c r="CD65" s="49"/>
      <c r="CE65" s="49"/>
      <c r="CF65" s="49"/>
      <c r="CH65" s="7"/>
      <c r="CI65" s="7"/>
      <c r="CJ65" s="7"/>
      <c r="CK65" s="7"/>
      <c r="CL65" s="7"/>
      <c r="CM65" s="7"/>
      <c r="CN65" s="7"/>
      <c r="CO65" s="7"/>
      <c r="CP65" s="7"/>
    </row>
    <row r="66" spans="1:94" ht="14.4" x14ac:dyDescent="0.3">
      <c r="A66" s="138">
        <v>62</v>
      </c>
      <c r="B66" s="4"/>
      <c r="C66" s="44">
        <f>'Life table (HE)'!B$17</f>
        <v>2.8999999999999998E-2</v>
      </c>
      <c r="E66" s="45">
        <f t="shared" si="6"/>
        <v>2.8999999999999998E-2</v>
      </c>
      <c r="F66" s="46">
        <f t="shared" si="7"/>
        <v>2.858353553339521E-2</v>
      </c>
      <c r="G66" s="37">
        <f t="shared" si="8"/>
        <v>59660.501557851072</v>
      </c>
      <c r="H66" s="41">
        <f t="shared" si="9"/>
        <v>1705.3080662190164</v>
      </c>
      <c r="I66" s="41">
        <f>SUM($H$4:H65)</f>
        <v>40339.498442148855</v>
      </c>
      <c r="J66" s="37">
        <f t="shared" si="0"/>
        <v>58807.847524741563</v>
      </c>
      <c r="K66" s="37">
        <f>SUM(J66:J$113)</f>
        <v>871656.32715178735</v>
      </c>
      <c r="L66" s="47">
        <f t="shared" si="1"/>
        <v>14.822109018444609</v>
      </c>
      <c r="M66" s="37">
        <f>(G67+0.5*H66)/(1+'General input'!$C$114)^A66</f>
        <v>2855.6089955927578</v>
      </c>
      <c r="N66" s="37">
        <f>SUM(M66:M$113)</f>
        <v>28395.001048170529</v>
      </c>
      <c r="O66" s="37">
        <f t="shared" si="2"/>
        <v>9.9435885977367118</v>
      </c>
      <c r="Q66" s="44">
        <f ca="1">VLOOKUP('General input'!$C$4,Lists!$EQ$8:$ES$180,3,0)*260</f>
        <v>7844.4820141565524</v>
      </c>
      <c r="S66" s="48">
        <f t="shared" ca="1" si="10"/>
        <v>461317102.19909614</v>
      </c>
      <c r="T66" s="37">
        <f ca="1">SUM(S66:S$115)</f>
        <v>1764854668.4863236</v>
      </c>
      <c r="U66" s="47">
        <f t="shared" ca="1" si="3"/>
        <v>30010.529933846265</v>
      </c>
      <c r="V66" s="37">
        <f ca="1">S66/(1+'General input'!$C$113)^A66</f>
        <v>22400773.405391045</v>
      </c>
      <c r="W66" s="37">
        <f ca="1">SUM(V66:V$115)</f>
        <v>79919347.623353079</v>
      </c>
      <c r="X66" s="202">
        <f t="shared" ca="1" si="4"/>
        <v>27986.796423003874</v>
      </c>
      <c r="Y66" s="47"/>
      <c r="Z66" s="37">
        <f t="shared" si="11"/>
        <v>62.5</v>
      </c>
      <c r="AA66" s="37">
        <f t="shared" si="5"/>
        <v>106581.75413868853</v>
      </c>
      <c r="AC66" s="4"/>
      <c r="AF66" s="4"/>
      <c r="AI66" s="4"/>
      <c r="AM66" s="41"/>
      <c r="AN66" s="41"/>
      <c r="AO66" s="49"/>
      <c r="AP66" s="41"/>
      <c r="AQ66" s="41"/>
      <c r="AR66" s="41"/>
      <c r="AS66" s="41"/>
      <c r="AT66" s="41"/>
      <c r="AU66" s="41"/>
      <c r="AV66" s="41"/>
      <c r="AW66" s="41"/>
      <c r="AX66" s="41"/>
      <c r="AY66" s="41"/>
      <c r="BA66" s="6"/>
      <c r="BB66" s="7"/>
      <c r="BC66" s="7"/>
      <c r="BD66" s="7"/>
      <c r="BE66" s="7"/>
      <c r="BF66" s="7"/>
      <c r="BG66" s="7"/>
      <c r="BH66" s="7"/>
      <c r="BI66" s="7"/>
      <c r="BK66" s="39"/>
      <c r="BL66" s="39"/>
      <c r="BM66" s="39"/>
      <c r="BN66" s="39"/>
      <c r="BO66" s="39"/>
      <c r="BP66" s="39"/>
      <c r="BQ66" s="52"/>
      <c r="BR66" s="52"/>
      <c r="BS66" s="53"/>
      <c r="BT66" s="53"/>
      <c r="BU66" s="52"/>
      <c r="BV66" s="50"/>
      <c r="BX66" s="49"/>
      <c r="BY66" s="49"/>
      <c r="BZ66" s="49"/>
      <c r="CA66" s="49"/>
      <c r="CB66" s="49"/>
      <c r="CC66" s="49"/>
      <c r="CD66" s="49"/>
      <c r="CE66" s="49"/>
      <c r="CF66" s="49"/>
      <c r="CH66" s="7"/>
      <c r="CI66" s="7"/>
      <c r="CJ66" s="7"/>
      <c r="CK66" s="7"/>
      <c r="CL66" s="7"/>
      <c r="CM66" s="7"/>
      <c r="CN66" s="7"/>
      <c r="CO66" s="7"/>
      <c r="CP66" s="7"/>
    </row>
    <row r="67" spans="1:94" ht="14.4" x14ac:dyDescent="0.3">
      <c r="A67" s="138">
        <v>63</v>
      </c>
      <c r="B67" s="4"/>
      <c r="C67" s="44">
        <f>'Life table (HE)'!B$17</f>
        <v>2.8999999999999998E-2</v>
      </c>
      <c r="E67" s="45">
        <f t="shared" si="6"/>
        <v>2.8999999999999998E-2</v>
      </c>
      <c r="F67" s="46">
        <f t="shared" si="7"/>
        <v>2.858353553339521E-2</v>
      </c>
      <c r="G67" s="37">
        <f t="shared" si="8"/>
        <v>57955.193491632053</v>
      </c>
      <c r="H67" s="41">
        <f t="shared" si="9"/>
        <v>1656.5643325128597</v>
      </c>
      <c r="I67" s="41">
        <f>SUM($H$4:H66)</f>
        <v>42044.806508367874</v>
      </c>
      <c r="J67" s="37">
        <f t="shared" si="0"/>
        <v>57126.911325375622</v>
      </c>
      <c r="K67" s="37">
        <f>SUM(J67:J$113)</f>
        <v>812848.47962704569</v>
      </c>
      <c r="L67" s="47">
        <f t="shared" si="1"/>
        <v>14.228818971103388</v>
      </c>
      <c r="M67" s="37">
        <f>(G68+0.5*H67)/(1+'General input'!$C$114)^A67</f>
        <v>2641.8910422835693</v>
      </c>
      <c r="N67" s="37">
        <f>SUM(M67:M$113)</f>
        <v>25539.392052577768</v>
      </c>
      <c r="O67" s="37">
        <f t="shared" si="2"/>
        <v>9.667087568646398</v>
      </c>
      <c r="Q67" s="44">
        <f ca="1">VLOOKUP('General input'!$C$4,Lists!$EQ$8:$ES$180,3,0)*260</f>
        <v>7844.4820141565524</v>
      </c>
      <c r="S67" s="48">
        <f t="shared" ca="1" si="10"/>
        <v>448131028.41622531</v>
      </c>
      <c r="T67" s="37">
        <f ca="1">SUM(S67:S$115)</f>
        <v>1303537566.2872276</v>
      </c>
      <c r="U67" s="47">
        <f t="shared" ca="1" si="3"/>
        <v>22818.274890842902</v>
      </c>
      <c r="V67" s="37">
        <f ca="1">S67/(1+'General input'!$C$113)^A67</f>
        <v>20724266.764554765</v>
      </c>
      <c r="W67" s="37">
        <f ca="1">SUM(V67:V$115)</f>
        <v>57518574.217962041</v>
      </c>
      <c r="X67" s="202">
        <f t="shared" ca="1" si="4"/>
        <v>21771.743534224166</v>
      </c>
      <c r="Y67" s="47"/>
      <c r="Z67" s="37">
        <f t="shared" si="11"/>
        <v>63.5</v>
      </c>
      <c r="AA67" s="37">
        <f t="shared" si="5"/>
        <v>105191.83511456659</v>
      </c>
      <c r="AC67" s="4"/>
      <c r="AF67" s="4"/>
      <c r="AI67" s="4"/>
      <c r="AM67" s="41"/>
      <c r="AN67" s="41"/>
      <c r="AO67" s="49"/>
      <c r="AP67" s="41"/>
      <c r="AQ67" s="41"/>
      <c r="AR67" s="41"/>
      <c r="AS67" s="41"/>
      <c r="AT67" s="41"/>
      <c r="AU67" s="41"/>
      <c r="AV67" s="41"/>
      <c r="AW67" s="41"/>
      <c r="AX67" s="41"/>
      <c r="AY67" s="41"/>
      <c r="BA67" s="6"/>
      <c r="BB67" s="7"/>
      <c r="BC67" s="7"/>
      <c r="BD67" s="7"/>
      <c r="BE67" s="7"/>
      <c r="BF67" s="7"/>
      <c r="BG67" s="7"/>
      <c r="BH67" s="7"/>
      <c r="BI67" s="7"/>
      <c r="BK67" s="39"/>
      <c r="BL67" s="39"/>
      <c r="BM67" s="39"/>
      <c r="BN67" s="39"/>
      <c r="BO67" s="39"/>
      <c r="BP67" s="39"/>
      <c r="BQ67" s="52"/>
      <c r="BR67" s="52"/>
      <c r="BS67" s="53"/>
      <c r="BT67" s="53"/>
      <c r="BU67" s="52"/>
      <c r="BV67" s="50"/>
      <c r="BX67" s="49"/>
      <c r="BY67" s="49"/>
      <c r="BZ67" s="49"/>
      <c r="CA67" s="49"/>
      <c r="CB67" s="49"/>
      <c r="CC67" s="49"/>
      <c r="CD67" s="49"/>
      <c r="CE67" s="49"/>
      <c r="CF67" s="49"/>
      <c r="CH67" s="7"/>
      <c r="CI67" s="7"/>
      <c r="CJ67" s="7"/>
      <c r="CK67" s="7"/>
      <c r="CL67" s="7"/>
      <c r="CM67" s="7"/>
      <c r="CN67" s="7"/>
      <c r="CO67" s="7"/>
      <c r="CP67" s="7"/>
    </row>
    <row r="68" spans="1:94" ht="14.4" x14ac:dyDescent="0.3">
      <c r="A68" s="138">
        <v>64</v>
      </c>
      <c r="B68" s="4"/>
      <c r="C68" s="44">
        <f>'Life table (HE)'!B$17</f>
        <v>2.8999999999999998E-2</v>
      </c>
      <c r="E68" s="45">
        <f t="shared" si="6"/>
        <v>2.8999999999999998E-2</v>
      </c>
      <c r="F68" s="46">
        <f t="shared" si="7"/>
        <v>2.858353553339521E-2</v>
      </c>
      <c r="G68" s="37">
        <f t="shared" si="8"/>
        <v>56298.629159119191</v>
      </c>
      <c r="H68" s="41">
        <f t="shared" si="9"/>
        <v>1609.2138670511231</v>
      </c>
      <c r="I68" s="41">
        <f>SUM($H$4:H67)</f>
        <v>43701.370840880736</v>
      </c>
      <c r="J68" s="37">
        <f t="shared" ref="J68:J113" si="12">G69+0.5*H68</f>
        <v>55494.022225593624</v>
      </c>
      <c r="K68" s="37">
        <f>SUM(J68:J$113)</f>
        <v>755721.56830167014</v>
      </c>
      <c r="L68" s="47">
        <f t="shared" ref="L68:L113" si="13">K68/J68</f>
        <v>13.618071604713027</v>
      </c>
      <c r="M68" s="37">
        <f>(G69+0.5*H68)/(1+'General input'!$C$114)^A68</f>
        <v>2444.1680531439029</v>
      </c>
      <c r="N68" s="37">
        <f>SUM(M68:M$113)</f>
        <v>22897.5010102942</v>
      </c>
      <c r="O68" s="37">
        <f t="shared" ref="O68:O113" si="14">N68/M68</f>
        <v>9.3682187609159815</v>
      </c>
      <c r="Q68" s="44">
        <f ca="1">VLOOKUP('General input'!$C$4,Lists!$EQ$8:$ES$180,3,0)*260</f>
        <v>7844.4820141565524</v>
      </c>
      <c r="S68" s="48">
        <f t="shared" ca="1" si="10"/>
        <v>435321859.24187315</v>
      </c>
      <c r="T68" s="37">
        <f ca="1">SUM(S68:S$115)</f>
        <v>855406537.87100232</v>
      </c>
      <c r="U68" s="47">
        <f t="shared" ref="U68:U113" ca="1" si="15">T68/J68</f>
        <v>15414.390659837452</v>
      </c>
      <c r="V68" s="37">
        <f ca="1">S68/(1+'General input'!$C$113)^A68</f>
        <v>19173232.332463384</v>
      </c>
      <c r="W68" s="37">
        <f ca="1">SUM(V68:V$115)</f>
        <v>36794307.453407273</v>
      </c>
      <c r="X68" s="202">
        <f t="shared" ref="X68:X113" ca="1" si="16">W68/M68</f>
        <v>15053.918819566934</v>
      </c>
      <c r="Y68" s="47"/>
      <c r="Z68" s="37">
        <f t="shared" si="11"/>
        <v>64.5</v>
      </c>
      <c r="AA68" s="37">
        <f t="shared" ref="AA68:AA113" si="17">Z68*H68</f>
        <v>103794.29442479744</v>
      </c>
      <c r="AB68" s="54">
        <f>SUM(AA54:AA68)/SUM(H54:H68)</f>
        <v>58.142605429150485</v>
      </c>
      <c r="AC68" s="4"/>
      <c r="AF68" s="4"/>
      <c r="AI68" s="4"/>
      <c r="AM68" s="41"/>
      <c r="AN68" s="41"/>
      <c r="AO68" s="49"/>
      <c r="AP68" s="41"/>
      <c r="AQ68" s="41"/>
      <c r="AR68" s="41"/>
      <c r="AS68" s="41"/>
      <c r="AT68" s="41"/>
      <c r="AU68" s="41"/>
      <c r="AV68" s="41"/>
      <c r="AW68" s="41"/>
      <c r="AX68" s="41"/>
      <c r="AY68" s="41"/>
      <c r="BA68" s="6"/>
      <c r="BB68" s="7"/>
      <c r="BC68" s="7"/>
      <c r="BD68" s="7"/>
      <c r="BE68" s="7"/>
      <c r="BF68" s="7"/>
      <c r="BG68" s="7"/>
      <c r="BH68" s="7"/>
      <c r="BI68" s="7"/>
      <c r="BK68" s="39"/>
      <c r="BL68" s="39"/>
      <c r="BM68" s="39"/>
      <c r="BN68" s="39"/>
      <c r="BO68" s="39"/>
      <c r="BP68" s="39"/>
      <c r="BQ68" s="52"/>
      <c r="BR68" s="52"/>
      <c r="BS68" s="53"/>
      <c r="BT68" s="53"/>
      <c r="BU68" s="52"/>
      <c r="BV68" s="50"/>
      <c r="BX68" s="49"/>
      <c r="BY68" s="49"/>
      <c r="BZ68" s="49"/>
      <c r="CA68" s="49"/>
      <c r="CB68" s="49"/>
      <c r="CC68" s="49"/>
      <c r="CD68" s="49"/>
      <c r="CE68" s="49"/>
      <c r="CF68" s="49"/>
      <c r="CH68" s="7"/>
      <c r="CI68" s="7"/>
      <c r="CJ68" s="7"/>
      <c r="CK68" s="7"/>
      <c r="CL68" s="7"/>
      <c r="CM68" s="7"/>
      <c r="CN68" s="7"/>
      <c r="CO68" s="7"/>
      <c r="CP68" s="7"/>
    </row>
    <row r="69" spans="1:94" ht="14.4" x14ac:dyDescent="0.3">
      <c r="A69" s="138">
        <v>65</v>
      </c>
      <c r="B69" s="4"/>
      <c r="C69" s="44">
        <f>'Life table (HE)'!B$18</f>
        <v>4.2500000000000003E-2</v>
      </c>
      <c r="E69" s="45">
        <f t="shared" ref="E69:E113" si="18">C69</f>
        <v>4.2500000000000003E-2</v>
      </c>
      <c r="F69" s="46">
        <f t="shared" ref="F69:F113" si="19">1-EXP(-E69)</f>
        <v>4.1609534479053023E-2</v>
      </c>
      <c r="G69" s="37">
        <f t="shared" ref="G69:G113" si="20">G68-H68</f>
        <v>54689.415292068064</v>
      </c>
      <c r="H69" s="41">
        <f t="shared" ref="H69:H113" si="21">F69*G69</f>
        <v>2275.6011112345559</v>
      </c>
      <c r="I69" s="41">
        <f>SUM($H$4:H68)</f>
        <v>45310.584707931863</v>
      </c>
      <c r="J69" s="37">
        <f t="shared" si="12"/>
        <v>53551.614736450785</v>
      </c>
      <c r="K69" s="37">
        <f>SUM(J69:J$113)</f>
        <v>700227.54607607657</v>
      </c>
      <c r="L69" s="47">
        <f t="shared" si="13"/>
        <v>13.075750367606659</v>
      </c>
      <c r="M69" s="37">
        <f>(G70+0.5*H69)/(1+'General input'!$C$114)^A69</f>
        <v>2246.3019341677368</v>
      </c>
      <c r="N69" s="37">
        <f>SUM(M69:M$113)</f>
        <v>20453.332957150291</v>
      </c>
      <c r="O69" s="37">
        <f t="shared" si="14"/>
        <v>9.105335594490473</v>
      </c>
      <c r="Q69" s="44">
        <f ca="1">VLOOKUP('General input'!$C$4,Lists!$EQ$8:$ES$180,3,0)*260</f>
        <v>7844.4820141565524</v>
      </c>
      <c r="S69" s="48">
        <f t="shared" ref="S69:S113" ca="1" si="22">J69*Q69</f>
        <v>420084678.62912917</v>
      </c>
      <c r="T69" s="37">
        <f ca="1">SUM(S69:S$115)</f>
        <v>420084678.62912917</v>
      </c>
      <c r="U69" s="47">
        <f t="shared" ca="1" si="15"/>
        <v>7844.4820141565524</v>
      </c>
      <c r="V69" s="37">
        <f ca="1">S69/(1+'General input'!$C$113)^A69</f>
        <v>17621075.120943889</v>
      </c>
      <c r="W69" s="37">
        <f ca="1">SUM(V69:V$115)</f>
        <v>17621075.120943889</v>
      </c>
      <c r="X69" s="202">
        <f t="shared" ca="1" si="16"/>
        <v>7844.4820141565533</v>
      </c>
      <c r="Y69" s="47"/>
      <c r="Z69" s="37">
        <f t="shared" ref="Z69:Z113" si="23">A69+0.5</f>
        <v>65.5</v>
      </c>
      <c r="AA69" s="37">
        <f t="shared" si="17"/>
        <v>149051.87278586341</v>
      </c>
      <c r="AC69" s="4"/>
      <c r="AF69" s="4"/>
      <c r="AI69" s="4"/>
      <c r="AM69" s="41"/>
      <c r="AN69" s="41"/>
      <c r="AO69" s="49"/>
      <c r="AP69" s="41"/>
      <c r="AQ69" s="41"/>
      <c r="AR69" s="41"/>
      <c r="AS69" s="41"/>
      <c r="AT69" s="41"/>
      <c r="AU69" s="41"/>
      <c r="AV69" s="41"/>
      <c r="AW69" s="41"/>
      <c r="AX69" s="41"/>
      <c r="AY69" s="41"/>
      <c r="BA69" s="6"/>
      <c r="BB69" s="7"/>
      <c r="BC69" s="7"/>
      <c r="BD69" s="7"/>
      <c r="BE69" s="7"/>
      <c r="BF69" s="7"/>
      <c r="BG69" s="7"/>
      <c r="BH69" s="7"/>
      <c r="BI69" s="7"/>
      <c r="BK69" s="39"/>
      <c r="BL69" s="39"/>
      <c r="BM69" s="39"/>
      <c r="BN69" s="39"/>
      <c r="BO69" s="39"/>
      <c r="BP69" s="39"/>
      <c r="BQ69" s="52"/>
      <c r="BR69" s="52"/>
      <c r="BS69" s="53"/>
      <c r="BT69" s="53"/>
      <c r="BU69" s="52"/>
      <c r="BV69" s="50"/>
      <c r="BX69" s="49"/>
      <c r="BY69" s="49"/>
      <c r="BZ69" s="49"/>
      <c r="CA69" s="49"/>
      <c r="CB69" s="49"/>
      <c r="CC69" s="49"/>
      <c r="CD69" s="49"/>
      <c r="CE69" s="49"/>
      <c r="CF69" s="49"/>
      <c r="CH69" s="7"/>
      <c r="CI69" s="7"/>
      <c r="CJ69" s="7"/>
      <c r="CK69" s="7"/>
      <c r="CL69" s="7"/>
      <c r="CM69" s="7"/>
      <c r="CN69" s="7"/>
      <c r="CO69" s="7"/>
      <c r="CP69" s="7"/>
    </row>
    <row r="70" spans="1:94" ht="14.4" x14ac:dyDescent="0.3">
      <c r="A70" s="138">
        <v>66</v>
      </c>
      <c r="B70" s="4"/>
      <c r="C70" s="44">
        <f>'Life table (HE)'!B$18</f>
        <v>4.2500000000000003E-2</v>
      </c>
      <c r="E70" s="45">
        <f t="shared" si="18"/>
        <v>4.2500000000000003E-2</v>
      </c>
      <c r="F70" s="46">
        <f t="shared" si="19"/>
        <v>4.1609534479053023E-2</v>
      </c>
      <c r="G70" s="37">
        <f t="shared" si="20"/>
        <v>52413.814180833506</v>
      </c>
      <c r="H70" s="41">
        <f t="shared" si="21"/>
        <v>2180.9144083360702</v>
      </c>
      <c r="I70" s="41">
        <f>SUM($H$4:H69)</f>
        <v>47586.185819166421</v>
      </c>
      <c r="J70" s="37">
        <f t="shared" si="12"/>
        <v>51323.356976665469</v>
      </c>
      <c r="K70" s="37">
        <f>SUM(J70:J$113)</f>
        <v>646675.93133962573</v>
      </c>
      <c r="L70" s="47">
        <f t="shared" si="13"/>
        <v>12.600031826321134</v>
      </c>
      <c r="M70" s="37">
        <f>(G71+0.5*H70)/(1+'General input'!$C$114)^A70</f>
        <v>2050.3184346548769</v>
      </c>
      <c r="N70" s="37">
        <f>SUM(M70:M$113)</f>
        <v>18207.031022982559</v>
      </c>
      <c r="O70" s="37">
        <f t="shared" si="14"/>
        <v>8.8800991666678772</v>
      </c>
      <c r="Q70" s="44">
        <v>0</v>
      </c>
      <c r="S70" s="48">
        <f t="shared" si="22"/>
        <v>0</v>
      </c>
      <c r="T70" s="37">
        <f>SUM(S70:S$115)</f>
        <v>0</v>
      </c>
      <c r="U70" s="47">
        <f t="shared" si="15"/>
        <v>0</v>
      </c>
      <c r="V70" s="37">
        <f>S70/(1+'General input'!$C$113)^A70</f>
        <v>0</v>
      </c>
      <c r="W70" s="37">
        <f>SUM(V70:V$115)</f>
        <v>0</v>
      </c>
      <c r="X70" s="202">
        <f t="shared" si="16"/>
        <v>0</v>
      </c>
      <c r="Y70" s="47"/>
      <c r="Z70" s="37">
        <f t="shared" si="23"/>
        <v>66.5</v>
      </c>
      <c r="AA70" s="37">
        <f t="shared" si="17"/>
        <v>145030.80815434866</v>
      </c>
      <c r="AC70" s="4"/>
      <c r="AF70" s="4"/>
      <c r="AI70" s="4"/>
      <c r="AM70" s="41"/>
      <c r="AN70" s="41"/>
      <c r="AO70" s="49"/>
      <c r="AP70" s="41"/>
      <c r="AQ70" s="41"/>
      <c r="AR70" s="41"/>
      <c r="AS70" s="41"/>
      <c r="AT70" s="41"/>
      <c r="AU70" s="41"/>
      <c r="AV70" s="41"/>
      <c r="AW70" s="41"/>
      <c r="AX70" s="41"/>
      <c r="AY70" s="41"/>
      <c r="BA70" s="6"/>
      <c r="BB70" s="7"/>
      <c r="BC70" s="7"/>
      <c r="BD70" s="7"/>
      <c r="BE70" s="7"/>
      <c r="BF70" s="7"/>
      <c r="BG70" s="7"/>
      <c r="BH70" s="7"/>
      <c r="BI70" s="7"/>
      <c r="BK70" s="39"/>
      <c r="BL70" s="39"/>
      <c r="BM70" s="39"/>
      <c r="BN70" s="39"/>
      <c r="BO70" s="39"/>
      <c r="BP70" s="39"/>
      <c r="BQ70" s="52"/>
      <c r="BR70" s="52"/>
      <c r="BS70" s="53"/>
      <c r="BT70" s="53"/>
      <c r="BU70" s="52"/>
      <c r="BV70" s="50"/>
      <c r="BX70" s="49"/>
      <c r="BY70" s="49"/>
      <c r="BZ70" s="49"/>
      <c r="CA70" s="49"/>
      <c r="CB70" s="49"/>
      <c r="CC70" s="49"/>
      <c r="CD70" s="49"/>
      <c r="CE70" s="49"/>
      <c r="CF70" s="49"/>
      <c r="CH70" s="7"/>
      <c r="CI70" s="7"/>
      <c r="CJ70" s="7"/>
      <c r="CK70" s="7"/>
      <c r="CL70" s="7"/>
      <c r="CM70" s="7"/>
      <c r="CN70" s="7"/>
      <c r="CO70" s="7"/>
      <c r="CP70" s="7"/>
    </row>
    <row r="71" spans="1:94" ht="14.4" x14ac:dyDescent="0.3">
      <c r="A71" s="138">
        <v>67</v>
      </c>
      <c r="B71" s="4"/>
      <c r="C71" s="44">
        <f>'Life table (HE)'!B$18</f>
        <v>4.2500000000000003E-2</v>
      </c>
      <c r="E71" s="45">
        <f t="shared" si="18"/>
        <v>4.2500000000000003E-2</v>
      </c>
      <c r="F71" s="46">
        <f t="shared" si="19"/>
        <v>4.1609534479053023E-2</v>
      </c>
      <c r="G71" s="37">
        <f t="shared" si="20"/>
        <v>50232.899772497432</v>
      </c>
      <c r="H71" s="41">
        <f t="shared" si="21"/>
        <v>2090.1675750665468</v>
      </c>
      <c r="I71" s="41">
        <f>SUM($H$4:H70)</f>
        <v>49767.100227502495</v>
      </c>
      <c r="J71" s="37">
        <f t="shared" si="12"/>
        <v>49187.81598496416</v>
      </c>
      <c r="K71" s="37">
        <f>SUM(J71:J$113)</f>
        <v>595352.57436296029</v>
      </c>
      <c r="L71" s="47">
        <f t="shared" si="13"/>
        <v>12.103659462029153</v>
      </c>
      <c r="M71" s="37">
        <f>(G72+0.5*H71)/(1+'General input'!$C$114)^A71</f>
        <v>1871.4339419572063</v>
      </c>
      <c r="N71" s="37">
        <f>SUM(M71:M$113)</f>
        <v>16156.712588327689</v>
      </c>
      <c r="O71" s="37">
        <f t="shared" si="14"/>
        <v>8.6333330961340131</v>
      </c>
      <c r="Q71" s="44">
        <v>0</v>
      </c>
      <c r="S71" s="48">
        <f t="shared" si="22"/>
        <v>0</v>
      </c>
      <c r="T71" s="37">
        <f>SUM(S71:S$115)</f>
        <v>0</v>
      </c>
      <c r="U71" s="47">
        <f t="shared" si="15"/>
        <v>0</v>
      </c>
      <c r="V71" s="37">
        <f>S71/(1+'General input'!$C$113)^A71</f>
        <v>0</v>
      </c>
      <c r="W71" s="37">
        <f>SUM(V71:V$115)</f>
        <v>0</v>
      </c>
      <c r="X71" s="202">
        <f t="shared" si="16"/>
        <v>0</v>
      </c>
      <c r="Y71" s="47"/>
      <c r="Z71" s="37">
        <f t="shared" si="23"/>
        <v>67.5</v>
      </c>
      <c r="AA71" s="37">
        <f t="shared" si="17"/>
        <v>141086.31131699189</v>
      </c>
      <c r="AC71" s="4"/>
      <c r="AF71" s="4"/>
      <c r="AI71" s="4"/>
      <c r="AM71" s="41"/>
      <c r="AN71" s="41"/>
      <c r="AO71" s="49"/>
      <c r="AP71" s="41"/>
      <c r="AQ71" s="41"/>
      <c r="AR71" s="41"/>
      <c r="AS71" s="41"/>
      <c r="AT71" s="41"/>
      <c r="AU71" s="41"/>
      <c r="AV71" s="41"/>
      <c r="AW71" s="41"/>
      <c r="AX71" s="41"/>
      <c r="AY71" s="41"/>
      <c r="BA71" s="6"/>
      <c r="BB71" s="7"/>
      <c r="BC71" s="7"/>
      <c r="BD71" s="7"/>
      <c r="BE71" s="7"/>
      <c r="BF71" s="7"/>
      <c r="BG71" s="7"/>
      <c r="BH71" s="7"/>
      <c r="BI71" s="7"/>
      <c r="BK71" s="39"/>
      <c r="BL71" s="39"/>
      <c r="BM71" s="39"/>
      <c r="BN71" s="39"/>
      <c r="BO71" s="39"/>
      <c r="BP71" s="39"/>
      <c r="BQ71" s="52"/>
      <c r="BR71" s="52"/>
      <c r="BS71" s="53"/>
      <c r="BT71" s="53"/>
      <c r="BU71" s="52"/>
      <c r="BV71" s="50"/>
      <c r="BX71" s="49"/>
      <c r="BY71" s="49"/>
      <c r="BZ71" s="49"/>
      <c r="CA71" s="49"/>
      <c r="CB71" s="49"/>
      <c r="CC71" s="49"/>
      <c r="CD71" s="49"/>
      <c r="CE71" s="49"/>
      <c r="CF71" s="49"/>
      <c r="CH71" s="7"/>
      <c r="CI71" s="7"/>
      <c r="CJ71" s="7"/>
      <c r="CK71" s="7"/>
      <c r="CL71" s="7"/>
      <c r="CM71" s="7"/>
      <c r="CN71" s="7"/>
      <c r="CO71" s="7"/>
      <c r="CP71" s="7"/>
    </row>
    <row r="72" spans="1:94" ht="14.4" x14ac:dyDescent="0.3">
      <c r="A72" s="138">
        <v>68</v>
      </c>
      <c r="B72" s="4"/>
      <c r="C72" s="44">
        <f>'Life table (HE)'!B$18</f>
        <v>4.2500000000000003E-2</v>
      </c>
      <c r="E72" s="45">
        <f t="shared" si="18"/>
        <v>4.2500000000000003E-2</v>
      </c>
      <c r="F72" s="46">
        <f t="shared" si="19"/>
        <v>4.1609534479053023E-2</v>
      </c>
      <c r="G72" s="37">
        <f t="shared" si="20"/>
        <v>48142.732197430887</v>
      </c>
      <c r="H72" s="41">
        <f t="shared" si="21"/>
        <v>2003.1966752848166</v>
      </c>
      <c r="I72" s="41">
        <f>SUM($H$4:H71)</f>
        <v>51857.26780256904</v>
      </c>
      <c r="J72" s="37">
        <f t="shared" si="12"/>
        <v>47141.133859788475</v>
      </c>
      <c r="K72" s="37">
        <f>SUM(J72:J$113)</f>
        <v>546164.75837799616</v>
      </c>
      <c r="L72" s="47">
        <f t="shared" si="13"/>
        <v>11.585736567186736</v>
      </c>
      <c r="M72" s="37">
        <f>(G73+0.5*H72)/(1+'General input'!$C$114)^A72</f>
        <v>1708.1566160229218</v>
      </c>
      <c r="N72" s="37">
        <f>SUM(M72:M$113)</f>
        <v>14285.278646370483</v>
      </c>
      <c r="O72" s="37">
        <f t="shared" si="14"/>
        <v>8.3629794319625717</v>
      </c>
      <c r="Q72" s="44">
        <v>0</v>
      </c>
      <c r="S72" s="48">
        <f t="shared" si="22"/>
        <v>0</v>
      </c>
      <c r="T72" s="37">
        <f>SUM(S72:S$115)</f>
        <v>0</v>
      </c>
      <c r="U72" s="47">
        <f t="shared" si="15"/>
        <v>0</v>
      </c>
      <c r="V72" s="37">
        <f>S72/(1+'General input'!$C$113)^A72</f>
        <v>0</v>
      </c>
      <c r="W72" s="37">
        <f>SUM(V72:V$115)</f>
        <v>0</v>
      </c>
      <c r="X72" s="202">
        <f t="shared" si="16"/>
        <v>0</v>
      </c>
      <c r="Y72" s="47"/>
      <c r="Z72" s="37">
        <f t="shared" si="23"/>
        <v>68.5</v>
      </c>
      <c r="AA72" s="37">
        <f t="shared" si="17"/>
        <v>137218.97225700994</v>
      </c>
      <c r="AC72" s="4"/>
      <c r="AF72" s="4"/>
      <c r="AI72" s="4"/>
      <c r="AM72" s="41"/>
      <c r="AN72" s="41"/>
      <c r="AO72" s="49"/>
      <c r="AP72" s="41"/>
      <c r="AQ72" s="41"/>
      <c r="AR72" s="41"/>
      <c r="AS72" s="41"/>
      <c r="AT72" s="41"/>
      <c r="AU72" s="41"/>
      <c r="AV72" s="41"/>
      <c r="AW72" s="41"/>
      <c r="AX72" s="41"/>
      <c r="AY72" s="41"/>
      <c r="BA72" s="6"/>
      <c r="BB72" s="7"/>
      <c r="BC72" s="7"/>
      <c r="BD72" s="7"/>
      <c r="BE72" s="7"/>
      <c r="BF72" s="7"/>
      <c r="BG72" s="7"/>
      <c r="BH72" s="7"/>
      <c r="BI72" s="7"/>
      <c r="BK72" s="39"/>
      <c r="BL72" s="39"/>
      <c r="BM72" s="39"/>
      <c r="BN72" s="39"/>
      <c r="BO72" s="39"/>
      <c r="BP72" s="39"/>
      <c r="BQ72" s="52"/>
      <c r="BR72" s="52"/>
      <c r="BS72" s="53"/>
      <c r="BT72" s="53"/>
      <c r="BU72" s="52"/>
      <c r="BV72" s="50"/>
      <c r="BX72" s="49"/>
      <c r="BY72" s="49"/>
      <c r="BZ72" s="49"/>
      <c r="CA72" s="49"/>
      <c r="CB72" s="49"/>
      <c r="CC72" s="49"/>
      <c r="CD72" s="49"/>
      <c r="CE72" s="49"/>
      <c r="CF72" s="49"/>
      <c r="CH72" s="7"/>
      <c r="CI72" s="7"/>
      <c r="CJ72" s="7"/>
      <c r="CK72" s="7"/>
      <c r="CL72" s="7"/>
      <c r="CM72" s="7"/>
      <c r="CN72" s="7"/>
      <c r="CO72" s="7"/>
      <c r="CP72" s="7"/>
    </row>
    <row r="73" spans="1:94" ht="14.4" x14ac:dyDescent="0.3">
      <c r="A73" s="138">
        <v>69</v>
      </c>
      <c r="B73" s="4"/>
      <c r="C73" s="44">
        <f>'Life table (HE)'!B$18</f>
        <v>4.2500000000000003E-2</v>
      </c>
      <c r="E73" s="45">
        <f t="shared" si="18"/>
        <v>4.2500000000000003E-2</v>
      </c>
      <c r="F73" s="46">
        <f t="shared" si="19"/>
        <v>4.1609534479053023E-2</v>
      </c>
      <c r="G73" s="37">
        <f t="shared" si="20"/>
        <v>46139.53552214607</v>
      </c>
      <c r="H73" s="41">
        <f t="shared" si="21"/>
        <v>1919.8445941562286</v>
      </c>
      <c r="I73" s="41">
        <f>SUM($H$4:H72)</f>
        <v>53860.464477853857</v>
      </c>
      <c r="J73" s="37">
        <f t="shared" si="12"/>
        <v>45179.613225067951</v>
      </c>
      <c r="K73" s="37">
        <f>SUM(J73:J$113)</f>
        <v>499023.62451820768</v>
      </c>
      <c r="L73" s="47">
        <f t="shared" si="13"/>
        <v>11.045327502744621</v>
      </c>
      <c r="M73" s="37">
        <f>(G74+0.5*H73)/(1+'General input'!$C$114)^A73</f>
        <v>1559.1247756313271</v>
      </c>
      <c r="N73" s="37">
        <f>SUM(M73:M$113)</f>
        <v>12577.122030347562</v>
      </c>
      <c r="O73" s="37">
        <f t="shared" si="14"/>
        <v>8.0667835101618355</v>
      </c>
      <c r="Q73" s="44">
        <v>0</v>
      </c>
      <c r="S73" s="48">
        <f t="shared" si="22"/>
        <v>0</v>
      </c>
      <c r="T73" s="37">
        <f>SUM(S73:S$115)</f>
        <v>0</v>
      </c>
      <c r="U73" s="47">
        <f t="shared" si="15"/>
        <v>0</v>
      </c>
      <c r="V73" s="37">
        <f>S73/(1+'General input'!$C$113)^A73</f>
        <v>0</v>
      </c>
      <c r="W73" s="37">
        <f>SUM(V73:V$115)</f>
        <v>0</v>
      </c>
      <c r="X73" s="202">
        <f t="shared" si="16"/>
        <v>0</v>
      </c>
      <c r="Y73" s="47"/>
      <c r="Z73" s="37">
        <f t="shared" si="23"/>
        <v>69.5</v>
      </c>
      <c r="AA73" s="37">
        <f t="shared" si="17"/>
        <v>133429.19929385788</v>
      </c>
      <c r="AC73" s="4"/>
      <c r="AF73" s="4"/>
      <c r="AI73" s="4"/>
      <c r="AM73" s="41"/>
      <c r="AN73" s="41"/>
      <c r="AO73" s="49"/>
      <c r="AP73" s="41"/>
      <c r="AQ73" s="41"/>
      <c r="AR73" s="41"/>
      <c r="AS73" s="41"/>
      <c r="AT73" s="41"/>
      <c r="AU73" s="41"/>
      <c r="AV73" s="41"/>
      <c r="AW73" s="41"/>
      <c r="AX73" s="41"/>
      <c r="AY73" s="41"/>
      <c r="BA73" s="6"/>
      <c r="BB73" s="7"/>
      <c r="BC73" s="7"/>
      <c r="BD73" s="7"/>
      <c r="BE73" s="7"/>
      <c r="BF73" s="7"/>
      <c r="BG73" s="7"/>
      <c r="BH73" s="7"/>
      <c r="BI73" s="7"/>
      <c r="BK73" s="39"/>
      <c r="BL73" s="39"/>
      <c r="BM73" s="39"/>
      <c r="BN73" s="39"/>
      <c r="BO73" s="39"/>
      <c r="BP73" s="39"/>
      <c r="BQ73" s="52"/>
      <c r="BR73" s="52"/>
      <c r="BS73" s="53"/>
      <c r="BT73" s="53"/>
      <c r="BU73" s="52"/>
      <c r="BV73" s="50"/>
      <c r="BX73" s="49"/>
      <c r="BY73" s="49"/>
      <c r="BZ73" s="49"/>
      <c r="CA73" s="49"/>
      <c r="CB73" s="49"/>
      <c r="CC73" s="49"/>
      <c r="CD73" s="49"/>
      <c r="CE73" s="49"/>
      <c r="CF73" s="49"/>
      <c r="CH73" s="7"/>
      <c r="CI73" s="7"/>
      <c r="CJ73" s="7"/>
      <c r="CK73" s="7"/>
      <c r="CL73" s="7"/>
      <c r="CM73" s="7"/>
      <c r="CN73" s="7"/>
      <c r="CO73" s="7"/>
      <c r="CP73" s="7"/>
    </row>
    <row r="74" spans="1:94" ht="14.4" x14ac:dyDescent="0.3">
      <c r="A74" s="138">
        <v>70</v>
      </c>
      <c r="B74" s="4"/>
      <c r="C74" s="44">
        <f>'Life table (HE)'!B$19</f>
        <v>6.0999999999999999E-2</v>
      </c>
      <c r="E74" s="45">
        <f t="shared" si="18"/>
        <v>6.0999999999999999E-2</v>
      </c>
      <c r="F74" s="46">
        <f t="shared" si="19"/>
        <v>5.9176760223990321E-2</v>
      </c>
      <c r="G74" s="37">
        <f t="shared" si="20"/>
        <v>44219.690927989839</v>
      </c>
      <c r="H74" s="41">
        <f t="shared" si="21"/>
        <v>2616.778047224615</v>
      </c>
      <c r="I74" s="41">
        <f>SUM($H$4:H73)</f>
        <v>55780.309072010088</v>
      </c>
      <c r="J74" s="37">
        <f t="shared" si="12"/>
        <v>42911.301904377528</v>
      </c>
      <c r="K74" s="37">
        <f>SUM(J74:J$113)</f>
        <v>453844.01129313972</v>
      </c>
      <c r="L74" s="47">
        <f t="shared" si="13"/>
        <v>10.576328173507164</v>
      </c>
      <c r="M74" s="37">
        <f>(G75+0.5*H74)/(1+'General input'!$C$114)^A74</f>
        <v>1410.3300387451443</v>
      </c>
      <c r="N74" s="37">
        <f>SUM(M74:M$113)</f>
        <v>11017.997254716234</v>
      </c>
      <c r="O74" s="37">
        <f t="shared" si="14"/>
        <v>7.8123538122463954</v>
      </c>
      <c r="Q74" s="44">
        <v>0</v>
      </c>
      <c r="S74" s="48">
        <f t="shared" si="22"/>
        <v>0</v>
      </c>
      <c r="T74" s="37">
        <f>SUM(S74:S$115)</f>
        <v>0</v>
      </c>
      <c r="U74" s="47">
        <f t="shared" si="15"/>
        <v>0</v>
      </c>
      <c r="V74" s="37">
        <f>S74/(1+'General input'!$C$113)^A74</f>
        <v>0</v>
      </c>
      <c r="W74" s="37">
        <f>SUM(V74:V$115)</f>
        <v>0</v>
      </c>
      <c r="X74" s="202">
        <f t="shared" si="16"/>
        <v>0</v>
      </c>
      <c r="Y74" s="47"/>
      <c r="Z74" s="37">
        <f t="shared" si="23"/>
        <v>70.5</v>
      </c>
      <c r="AA74" s="37">
        <f t="shared" si="17"/>
        <v>184482.85232933535</v>
      </c>
      <c r="AC74" s="4"/>
      <c r="AF74" s="4"/>
      <c r="AI74" s="4"/>
      <c r="AM74" s="41"/>
      <c r="AN74" s="41"/>
      <c r="AO74" s="49"/>
      <c r="AP74" s="41"/>
      <c r="AQ74" s="41"/>
      <c r="AR74" s="41"/>
      <c r="AS74" s="41"/>
      <c r="AT74" s="41"/>
      <c r="AU74" s="41"/>
      <c r="AV74" s="41"/>
      <c r="AW74" s="41"/>
      <c r="AX74" s="41"/>
      <c r="AY74" s="41"/>
      <c r="BA74" s="6"/>
      <c r="BB74" s="7"/>
      <c r="BC74" s="7"/>
      <c r="BD74" s="7"/>
      <c r="BE74" s="7"/>
      <c r="BF74" s="7"/>
      <c r="BG74" s="7"/>
      <c r="BH74" s="7"/>
      <c r="BI74" s="7"/>
      <c r="BK74" s="39"/>
      <c r="BL74" s="39"/>
      <c r="BM74" s="39"/>
      <c r="BN74" s="39"/>
      <c r="BO74" s="39"/>
      <c r="BP74" s="39"/>
      <c r="BQ74" s="52"/>
      <c r="BR74" s="52"/>
      <c r="BS74" s="53"/>
      <c r="BT74" s="53"/>
      <c r="BU74" s="52"/>
      <c r="BV74" s="50"/>
      <c r="BX74" s="49"/>
      <c r="BY74" s="49"/>
      <c r="BZ74" s="49"/>
      <c r="CA74" s="49"/>
      <c r="CB74" s="49"/>
      <c r="CC74" s="49"/>
      <c r="CD74" s="49"/>
      <c r="CE74" s="49"/>
      <c r="CF74" s="49"/>
      <c r="CH74" s="7"/>
      <c r="CI74" s="7"/>
      <c r="CJ74" s="7"/>
      <c r="CK74" s="7"/>
      <c r="CL74" s="7"/>
      <c r="CM74" s="7"/>
      <c r="CN74" s="7"/>
      <c r="CO74" s="7"/>
      <c r="CP74" s="7"/>
    </row>
    <row r="75" spans="1:94" ht="14.4" x14ac:dyDescent="0.3">
      <c r="A75" s="138">
        <v>71</v>
      </c>
      <c r="B75" s="4"/>
      <c r="C75" s="44">
        <f>'Life table (HE)'!B$19</f>
        <v>6.0999999999999999E-2</v>
      </c>
      <c r="E75" s="45">
        <f t="shared" si="18"/>
        <v>6.0999999999999999E-2</v>
      </c>
      <c r="F75" s="46">
        <f t="shared" si="19"/>
        <v>5.9176760223990321E-2</v>
      </c>
      <c r="G75" s="37">
        <f t="shared" si="20"/>
        <v>41602.912880765223</v>
      </c>
      <c r="H75" s="41">
        <f t="shared" si="21"/>
        <v>2461.9256001646022</v>
      </c>
      <c r="I75" s="41">
        <f>SUM($H$4:H74)</f>
        <v>58397.087119234704</v>
      </c>
      <c r="J75" s="37">
        <f t="shared" si="12"/>
        <v>40371.950080682924</v>
      </c>
      <c r="K75" s="37">
        <f>SUM(J75:J$113)</f>
        <v>410932.70938876213</v>
      </c>
      <c r="L75" s="47">
        <f t="shared" si="13"/>
        <v>10.178668817521011</v>
      </c>
      <c r="M75" s="37">
        <f>(G76+0.5*H75)/(1+'General input'!$C$114)^A75</f>
        <v>1263.6869297196495</v>
      </c>
      <c r="N75" s="37">
        <f>SUM(M75:M$113)</f>
        <v>9607.667215971087</v>
      </c>
      <c r="O75" s="37">
        <f t="shared" si="14"/>
        <v>7.6028856436004766</v>
      </c>
      <c r="Q75" s="44">
        <v>0</v>
      </c>
      <c r="S75" s="48">
        <f t="shared" si="22"/>
        <v>0</v>
      </c>
      <c r="T75" s="37">
        <f>SUM(S75:S$115)</f>
        <v>0</v>
      </c>
      <c r="U75" s="47">
        <f t="shared" si="15"/>
        <v>0</v>
      </c>
      <c r="V75" s="37">
        <f>S75/(1+'General input'!$C$113)^A75</f>
        <v>0</v>
      </c>
      <c r="W75" s="37">
        <f>SUM(V75:V$115)</f>
        <v>0</v>
      </c>
      <c r="X75" s="202">
        <f t="shared" si="16"/>
        <v>0</v>
      </c>
      <c r="Y75" s="47"/>
      <c r="Z75" s="37">
        <f t="shared" si="23"/>
        <v>71.5</v>
      </c>
      <c r="AA75" s="37">
        <f t="shared" si="17"/>
        <v>176027.68041176905</v>
      </c>
      <c r="AC75" s="4"/>
      <c r="AF75" s="4"/>
      <c r="AI75" s="4"/>
      <c r="AM75" s="41"/>
      <c r="AN75" s="41"/>
      <c r="AO75" s="49"/>
      <c r="AP75" s="41"/>
      <c r="AQ75" s="41"/>
      <c r="AR75" s="41"/>
      <c r="AS75" s="41"/>
      <c r="AT75" s="41"/>
      <c r="AU75" s="41"/>
      <c r="AV75" s="41"/>
      <c r="AW75" s="41"/>
      <c r="AX75" s="41"/>
      <c r="AY75" s="41"/>
      <c r="BA75" s="6"/>
      <c r="BB75" s="7"/>
      <c r="BC75" s="7"/>
      <c r="BD75" s="7"/>
      <c r="BE75" s="7"/>
      <c r="BF75" s="7"/>
      <c r="BG75" s="7"/>
      <c r="BH75" s="7"/>
      <c r="BI75" s="7"/>
      <c r="BK75" s="39"/>
      <c r="BL75" s="39"/>
      <c r="BM75" s="39"/>
      <c r="BN75" s="39"/>
      <c r="BO75" s="39"/>
      <c r="BP75" s="39"/>
      <c r="BQ75" s="52"/>
      <c r="BR75" s="52"/>
      <c r="BS75" s="53"/>
      <c r="BT75" s="53"/>
      <c r="BU75" s="52"/>
      <c r="BV75" s="50"/>
      <c r="BX75" s="49"/>
      <c r="BY75" s="49"/>
      <c r="BZ75" s="49"/>
      <c r="CA75" s="49"/>
      <c r="CB75" s="49"/>
      <c r="CC75" s="49"/>
      <c r="CD75" s="49"/>
      <c r="CE75" s="49"/>
      <c r="CF75" s="49"/>
      <c r="CH75" s="7"/>
      <c r="CI75" s="7"/>
      <c r="CJ75" s="7"/>
      <c r="CK75" s="7"/>
      <c r="CL75" s="7"/>
      <c r="CM75" s="7"/>
      <c r="CN75" s="7"/>
      <c r="CO75" s="7"/>
      <c r="CP75" s="7"/>
    </row>
    <row r="76" spans="1:94" ht="14.4" x14ac:dyDescent="0.3">
      <c r="A76" s="138">
        <v>72</v>
      </c>
      <c r="B76" s="4"/>
      <c r="C76" s="44">
        <f>'Life table (HE)'!B$19</f>
        <v>6.0999999999999999E-2</v>
      </c>
      <c r="E76" s="45">
        <f t="shared" si="18"/>
        <v>6.0999999999999999E-2</v>
      </c>
      <c r="F76" s="46">
        <f t="shared" si="19"/>
        <v>5.9176760223990321E-2</v>
      </c>
      <c r="G76" s="37">
        <f t="shared" si="20"/>
        <v>39140.987280600624</v>
      </c>
      <c r="H76" s="41">
        <f t="shared" si="21"/>
        <v>2316.2368192343583</v>
      </c>
      <c r="I76" s="41">
        <f>SUM($H$4:H75)</f>
        <v>60859.012719399303</v>
      </c>
      <c r="J76" s="37">
        <f t="shared" si="12"/>
        <v>37982.868870983446</v>
      </c>
      <c r="K76" s="37">
        <f>SUM(J76:J$113)</f>
        <v>370560.7593080792</v>
      </c>
      <c r="L76" s="47">
        <f t="shared" si="13"/>
        <v>9.7559971198269491</v>
      </c>
      <c r="M76" s="37">
        <f>(G77+0.5*H76)/(1+'General input'!$C$114)^A76</f>
        <v>1132.2914583632755</v>
      </c>
      <c r="N76" s="37">
        <f>SUM(M76:M$113)</f>
        <v>8343.9802862514389</v>
      </c>
      <c r="O76" s="37">
        <f t="shared" si="14"/>
        <v>7.3691099801394255</v>
      </c>
      <c r="Q76" s="44">
        <v>0</v>
      </c>
      <c r="S76" s="48">
        <f t="shared" si="22"/>
        <v>0</v>
      </c>
      <c r="T76" s="37">
        <f>SUM(S76:S$115)</f>
        <v>0</v>
      </c>
      <c r="U76" s="47">
        <f t="shared" si="15"/>
        <v>0</v>
      </c>
      <c r="V76" s="37">
        <f>S76/(1+'General input'!$C$113)^A76</f>
        <v>0</v>
      </c>
      <c r="W76" s="37">
        <f>SUM(V76:V$115)</f>
        <v>0</v>
      </c>
      <c r="X76" s="202">
        <f t="shared" si="16"/>
        <v>0</v>
      </c>
      <c r="Y76" s="47"/>
      <c r="Z76" s="37">
        <f t="shared" si="23"/>
        <v>72.5</v>
      </c>
      <c r="AA76" s="37">
        <f t="shared" si="17"/>
        <v>167927.16939449098</v>
      </c>
      <c r="AC76" s="4"/>
      <c r="AF76" s="4"/>
      <c r="AI76" s="4"/>
      <c r="AM76" s="41"/>
      <c r="AN76" s="41"/>
      <c r="AO76" s="49"/>
      <c r="AP76" s="41"/>
      <c r="AQ76" s="41"/>
      <c r="AR76" s="41"/>
      <c r="AS76" s="41"/>
      <c r="AT76" s="41"/>
      <c r="AU76" s="41"/>
      <c r="AV76" s="41"/>
      <c r="AW76" s="41"/>
      <c r="AX76" s="41"/>
      <c r="AY76" s="41"/>
      <c r="BA76" s="6"/>
      <c r="BB76" s="7"/>
      <c r="BC76" s="7"/>
      <c r="BD76" s="7"/>
      <c r="BE76" s="7"/>
      <c r="BF76" s="7"/>
      <c r="BG76" s="7"/>
      <c r="BH76" s="7"/>
      <c r="BI76" s="7"/>
      <c r="BK76" s="39"/>
      <c r="BL76" s="39"/>
      <c r="BM76" s="39"/>
      <c r="BN76" s="39"/>
      <c r="BO76" s="39"/>
      <c r="BP76" s="39"/>
      <c r="BQ76" s="52"/>
      <c r="BR76" s="52"/>
      <c r="BS76" s="53"/>
      <c r="BT76" s="53"/>
      <c r="BU76" s="52"/>
      <c r="BV76" s="50"/>
      <c r="BX76" s="49"/>
      <c r="BY76" s="49"/>
      <c r="BZ76" s="49"/>
      <c r="CA76" s="49"/>
      <c r="CB76" s="49"/>
      <c r="CC76" s="49"/>
      <c r="CD76" s="49"/>
      <c r="CE76" s="49"/>
      <c r="CF76" s="49"/>
      <c r="CH76" s="7"/>
      <c r="CI76" s="7"/>
      <c r="CJ76" s="7"/>
      <c r="CK76" s="7"/>
      <c r="CL76" s="7"/>
      <c r="CM76" s="7"/>
      <c r="CN76" s="7"/>
      <c r="CO76" s="7"/>
      <c r="CP76" s="7"/>
    </row>
    <row r="77" spans="1:94" ht="14.4" x14ac:dyDescent="0.3">
      <c r="A77" s="138">
        <v>73</v>
      </c>
      <c r="B77" s="4"/>
      <c r="C77" s="44">
        <f>'Life table (HE)'!B$19</f>
        <v>6.0999999999999999E-2</v>
      </c>
      <c r="E77" s="45">
        <f t="shared" si="18"/>
        <v>6.0999999999999999E-2</v>
      </c>
      <c r="F77" s="46">
        <f t="shared" si="19"/>
        <v>5.9176760223990321E-2</v>
      </c>
      <c r="G77" s="37">
        <f t="shared" si="20"/>
        <v>36824.750461366268</v>
      </c>
      <c r="H77" s="41">
        <f t="shared" si="21"/>
        <v>2179.1694283605484</v>
      </c>
      <c r="I77" s="41">
        <f>SUM($H$4:H76)</f>
        <v>63175.24953863366</v>
      </c>
      <c r="J77" s="37">
        <f t="shared" si="12"/>
        <v>35735.165747185994</v>
      </c>
      <c r="K77" s="37">
        <f>SUM(J77:J$113)</f>
        <v>332577.89043709578</v>
      </c>
      <c r="L77" s="47">
        <f t="shared" si="13"/>
        <v>9.3067398312902743</v>
      </c>
      <c r="M77" s="37">
        <f>(G78+0.5*H77)/(1+'General input'!$C$114)^A77</f>
        <v>1014.5582078362283</v>
      </c>
      <c r="N77" s="37">
        <f>SUM(M77:M$113)</f>
        <v>7211.6888278881643</v>
      </c>
      <c r="O77" s="37">
        <f t="shared" si="14"/>
        <v>7.1082060863404761</v>
      </c>
      <c r="Q77" s="44">
        <v>0</v>
      </c>
      <c r="S77" s="48">
        <f t="shared" si="22"/>
        <v>0</v>
      </c>
      <c r="T77" s="37">
        <f>SUM(S77:S$115)</f>
        <v>0</v>
      </c>
      <c r="U77" s="47">
        <f t="shared" si="15"/>
        <v>0</v>
      </c>
      <c r="V77" s="37">
        <f>S77/(1+'General input'!$C$113)^A77</f>
        <v>0</v>
      </c>
      <c r="W77" s="37">
        <f>SUM(V77:V$115)</f>
        <v>0</v>
      </c>
      <c r="X77" s="202">
        <f t="shared" si="16"/>
        <v>0</v>
      </c>
      <c r="Y77" s="47"/>
      <c r="Z77" s="37">
        <f t="shared" si="23"/>
        <v>73.5</v>
      </c>
      <c r="AA77" s="37">
        <f t="shared" si="17"/>
        <v>160168.9529845003</v>
      </c>
      <c r="AC77" s="4"/>
      <c r="AF77" s="4"/>
      <c r="AI77" s="4"/>
      <c r="AM77" s="41"/>
      <c r="AN77" s="41"/>
      <c r="AO77" s="49"/>
      <c r="AP77" s="41"/>
      <c r="AQ77" s="41"/>
      <c r="AR77" s="41"/>
      <c r="AS77" s="41"/>
      <c r="AT77" s="41"/>
      <c r="AU77" s="41"/>
      <c r="AV77" s="41"/>
      <c r="AW77" s="41"/>
      <c r="AX77" s="41"/>
      <c r="AY77" s="41"/>
      <c r="BA77" s="6"/>
      <c r="BB77" s="7"/>
      <c r="BC77" s="7"/>
      <c r="BD77" s="7"/>
      <c r="BE77" s="7"/>
      <c r="BF77" s="7"/>
      <c r="BG77" s="7"/>
      <c r="BH77" s="7"/>
      <c r="BI77" s="7"/>
      <c r="BK77" s="39"/>
      <c r="BL77" s="39"/>
      <c r="BM77" s="39"/>
      <c r="BN77" s="39"/>
      <c r="BO77" s="39"/>
      <c r="BP77" s="39"/>
      <c r="BQ77" s="52"/>
      <c r="BR77" s="52"/>
      <c r="BS77" s="53"/>
      <c r="BT77" s="53"/>
      <c r="BU77" s="52"/>
      <c r="BV77" s="50"/>
      <c r="BX77" s="49"/>
      <c r="BY77" s="49"/>
      <c r="BZ77" s="49"/>
      <c r="CA77" s="49"/>
      <c r="CB77" s="49"/>
      <c r="CC77" s="49"/>
      <c r="CD77" s="49"/>
      <c r="CE77" s="49"/>
      <c r="CF77" s="49"/>
      <c r="CH77" s="7"/>
      <c r="CI77" s="7"/>
      <c r="CJ77" s="7"/>
      <c r="CK77" s="7"/>
      <c r="CL77" s="7"/>
      <c r="CM77" s="7"/>
      <c r="CN77" s="7"/>
      <c r="CO77" s="7"/>
      <c r="CP77" s="7"/>
    </row>
    <row r="78" spans="1:94" ht="14.4" x14ac:dyDescent="0.3">
      <c r="A78" s="138">
        <v>74</v>
      </c>
      <c r="B78" s="4"/>
      <c r="C78" s="44">
        <f>'Life table (HE)'!B$19</f>
        <v>6.0999999999999999E-2</v>
      </c>
      <c r="E78" s="45">
        <f t="shared" si="18"/>
        <v>6.0999999999999999E-2</v>
      </c>
      <c r="F78" s="46">
        <f t="shared" si="19"/>
        <v>5.9176760223990321E-2</v>
      </c>
      <c r="G78" s="37">
        <f t="shared" si="20"/>
        <v>34645.581033005721</v>
      </c>
      <c r="H78" s="41">
        <f t="shared" si="21"/>
        <v>2050.2132416110067</v>
      </c>
      <c r="I78" s="41">
        <f>SUM($H$4:H77)</f>
        <v>65354.418966994206</v>
      </c>
      <c r="J78" s="37">
        <f t="shared" si="12"/>
        <v>33620.474412200216</v>
      </c>
      <c r="K78" s="37">
        <f>SUM(J78:J$113)</f>
        <v>296842.72468990984</v>
      </c>
      <c r="L78" s="47">
        <f t="shared" si="13"/>
        <v>8.82922474711396</v>
      </c>
      <c r="M78" s="37">
        <f>(G79+0.5*H78)/(1+'General input'!$C$114)^A78</f>
        <v>909.06660955983102</v>
      </c>
      <c r="N78" s="37">
        <f>SUM(M78:M$113)</f>
        <v>6197.1306200519348</v>
      </c>
      <c r="O78" s="37">
        <f t="shared" si="14"/>
        <v>6.8170258976430542</v>
      </c>
      <c r="Q78" s="44">
        <v>0</v>
      </c>
      <c r="S78" s="48">
        <f t="shared" si="22"/>
        <v>0</v>
      </c>
      <c r="T78" s="37">
        <f>SUM(S78:S$115)</f>
        <v>0</v>
      </c>
      <c r="U78" s="47">
        <f t="shared" si="15"/>
        <v>0</v>
      </c>
      <c r="V78" s="37">
        <f>S78/(1+'General input'!$C$113)^A78</f>
        <v>0</v>
      </c>
      <c r="W78" s="37">
        <f>SUM(V78:V$115)</f>
        <v>0</v>
      </c>
      <c r="X78" s="202">
        <f t="shared" si="16"/>
        <v>0</v>
      </c>
      <c r="Y78" s="47"/>
      <c r="Z78" s="37">
        <f t="shared" si="23"/>
        <v>74.5</v>
      </c>
      <c r="AA78" s="37">
        <f t="shared" si="17"/>
        <v>152740.88650001999</v>
      </c>
      <c r="AC78" s="4"/>
      <c r="AF78" s="4"/>
      <c r="AI78" s="4"/>
      <c r="AM78" s="41"/>
      <c r="AN78" s="41"/>
      <c r="AO78" s="49"/>
      <c r="AP78" s="41"/>
      <c r="AQ78" s="41"/>
      <c r="AR78" s="41"/>
      <c r="AS78" s="41"/>
      <c r="AT78" s="41"/>
      <c r="AU78" s="41"/>
      <c r="AV78" s="41"/>
      <c r="AW78" s="41"/>
      <c r="AX78" s="41"/>
      <c r="AY78" s="41"/>
      <c r="BA78" s="6"/>
      <c r="BB78" s="7"/>
      <c r="BC78" s="7"/>
      <c r="BD78" s="7"/>
      <c r="BE78" s="7"/>
      <c r="BF78" s="7"/>
      <c r="BG78" s="7"/>
      <c r="BH78" s="7"/>
      <c r="BI78" s="7"/>
      <c r="BK78" s="39"/>
      <c r="BL78" s="39"/>
      <c r="BM78" s="39"/>
      <c r="BN78" s="39"/>
      <c r="BO78" s="39"/>
      <c r="BP78" s="39"/>
      <c r="BQ78" s="52"/>
      <c r="BR78" s="52"/>
      <c r="BS78" s="53"/>
      <c r="BT78" s="53"/>
      <c r="BU78" s="52"/>
      <c r="BV78" s="50"/>
      <c r="BX78" s="49"/>
      <c r="BY78" s="49"/>
      <c r="BZ78" s="49"/>
      <c r="CA78" s="49"/>
      <c r="CB78" s="49"/>
      <c r="CC78" s="49"/>
      <c r="CD78" s="49"/>
      <c r="CE78" s="49"/>
      <c r="CF78" s="49"/>
      <c r="CH78" s="7"/>
      <c r="CI78" s="7"/>
      <c r="CJ78" s="7"/>
      <c r="CK78" s="7"/>
      <c r="CL78" s="7"/>
      <c r="CM78" s="7"/>
      <c r="CN78" s="7"/>
      <c r="CO78" s="7"/>
      <c r="CP78" s="7"/>
    </row>
    <row r="79" spans="1:94" ht="14.4" x14ac:dyDescent="0.3">
      <c r="A79" s="138">
        <v>75</v>
      </c>
      <c r="B79" s="4"/>
      <c r="C79" s="44">
        <f>'Life table (HE)'!B$20</f>
        <v>8.6999999999999994E-2</v>
      </c>
      <c r="E79" s="45">
        <f t="shared" si="18"/>
        <v>8.6999999999999994E-2</v>
      </c>
      <c r="F79" s="46">
        <f t="shared" si="19"/>
        <v>8.332290436684775E-2</v>
      </c>
      <c r="G79" s="37">
        <f t="shared" si="20"/>
        <v>32595.367791394714</v>
      </c>
      <c r="H79" s="41">
        <f t="shared" si="21"/>
        <v>2715.9407132846113</v>
      </c>
      <c r="I79" s="41">
        <f>SUM($H$4:H78)</f>
        <v>67404.63220860521</v>
      </c>
      <c r="J79" s="37">
        <f t="shared" si="12"/>
        <v>31237.397434752409</v>
      </c>
      <c r="K79" s="37">
        <f>SUM(J79:J$113)</f>
        <v>263222.25027770951</v>
      </c>
      <c r="L79" s="47">
        <f t="shared" si="13"/>
        <v>8.4265102695421081</v>
      </c>
      <c r="M79" s="37">
        <f>(G80+0.5*H79)/(1+'General input'!$C$114)^A79</f>
        <v>804.40991117854173</v>
      </c>
      <c r="N79" s="37">
        <f>SUM(M79:M$113)</f>
        <v>5288.0640104921049</v>
      </c>
      <c r="O79" s="37">
        <f t="shared" si="14"/>
        <v>6.5738424365564532</v>
      </c>
      <c r="Q79" s="44">
        <v>0</v>
      </c>
      <c r="S79" s="48">
        <f t="shared" si="22"/>
        <v>0</v>
      </c>
      <c r="T79" s="37">
        <f>SUM(S79:S$115)</f>
        <v>0</v>
      </c>
      <c r="U79" s="47">
        <f t="shared" si="15"/>
        <v>0</v>
      </c>
      <c r="V79" s="37">
        <f>S79/(1+'General input'!$C$113)^A79</f>
        <v>0</v>
      </c>
      <c r="W79" s="37">
        <f>SUM(V79:V$115)</f>
        <v>0</v>
      </c>
      <c r="X79" s="202">
        <f t="shared" si="16"/>
        <v>0</v>
      </c>
      <c r="Y79" s="47"/>
      <c r="Z79" s="37">
        <f t="shared" si="23"/>
        <v>75.5</v>
      </c>
      <c r="AA79" s="37">
        <f t="shared" si="17"/>
        <v>205053.52385298815</v>
      </c>
      <c r="AC79" s="4"/>
      <c r="AF79" s="4"/>
      <c r="AI79" s="4"/>
      <c r="AM79" s="41"/>
      <c r="AN79" s="41"/>
      <c r="AO79" s="49"/>
      <c r="AP79" s="41"/>
      <c r="AQ79" s="41"/>
      <c r="AR79" s="41"/>
      <c r="AS79" s="41"/>
      <c r="AT79" s="41"/>
      <c r="AU79" s="41"/>
      <c r="AV79" s="41"/>
      <c r="AW79" s="41"/>
      <c r="AX79" s="41"/>
      <c r="AY79" s="41"/>
      <c r="BA79" s="6"/>
      <c r="BB79" s="7"/>
      <c r="BC79" s="7"/>
      <c r="BD79" s="7"/>
      <c r="BE79" s="7"/>
      <c r="BF79" s="7"/>
      <c r="BG79" s="7"/>
      <c r="BH79" s="7"/>
      <c r="BI79" s="7"/>
      <c r="BK79"/>
      <c r="BL79"/>
      <c r="BM79"/>
      <c r="BN79"/>
      <c r="BO79"/>
      <c r="BP79"/>
      <c r="BQ79" s="52"/>
      <c r="BR79" s="52"/>
      <c r="BS79" s="55"/>
      <c r="BT79" s="55"/>
      <c r="BU79" s="52"/>
      <c r="BV79" s="50"/>
      <c r="BX79" s="49"/>
      <c r="BY79" s="49"/>
      <c r="BZ79" s="49"/>
      <c r="CA79" s="49"/>
      <c r="CB79" s="49"/>
      <c r="CC79" s="49"/>
      <c r="CD79" s="49"/>
      <c r="CE79" s="49"/>
      <c r="CF79" s="49"/>
      <c r="CH79" s="7"/>
      <c r="CI79" s="7"/>
      <c r="CJ79" s="7"/>
      <c r="CK79" s="7"/>
      <c r="CL79" s="7"/>
      <c r="CM79" s="7"/>
      <c r="CN79" s="7"/>
      <c r="CO79" s="7"/>
      <c r="CP79" s="7"/>
    </row>
    <row r="80" spans="1:94" ht="14.4" x14ac:dyDescent="0.3">
      <c r="A80" s="138">
        <v>76</v>
      </c>
      <c r="B80" s="4"/>
      <c r="C80" s="44">
        <f>'Life table (HE)'!B$20</f>
        <v>8.6999999999999994E-2</v>
      </c>
      <c r="E80" s="45">
        <f t="shared" si="18"/>
        <v>8.6999999999999994E-2</v>
      </c>
      <c r="F80" s="46">
        <f t="shared" si="19"/>
        <v>8.332290436684775E-2</v>
      </c>
      <c r="G80" s="37">
        <f t="shared" si="20"/>
        <v>29879.427078110104</v>
      </c>
      <c r="H80" s="41">
        <f t="shared" si="21"/>
        <v>2489.6406449655692</v>
      </c>
      <c r="I80" s="41">
        <f>SUM($H$4:H79)</f>
        <v>70120.57292188982</v>
      </c>
      <c r="J80" s="37">
        <f t="shared" si="12"/>
        <v>28634.606755627319</v>
      </c>
      <c r="K80" s="37">
        <f>SUM(J80:J$113)</f>
        <v>231984.8528429571</v>
      </c>
      <c r="L80" s="47">
        <f t="shared" si="13"/>
        <v>8.1015553949371792</v>
      </c>
      <c r="M80" s="37">
        <f>(G81+0.5*H80)/(1+'General input'!$C$114)^A80</f>
        <v>702.27061055015974</v>
      </c>
      <c r="N80" s="37">
        <f>SUM(M80:M$113)</f>
        <v>4483.6540993135623</v>
      </c>
      <c r="O80" s="37">
        <f t="shared" si="14"/>
        <v>6.3845105176778816</v>
      </c>
      <c r="Q80" s="44">
        <v>0</v>
      </c>
      <c r="S80" s="48">
        <f t="shared" si="22"/>
        <v>0</v>
      </c>
      <c r="T80" s="37">
        <f>SUM(S80:S$115)</f>
        <v>0</v>
      </c>
      <c r="U80" s="47">
        <f t="shared" si="15"/>
        <v>0</v>
      </c>
      <c r="V80" s="37">
        <f>S80/(1+'General input'!$C$113)^A80</f>
        <v>0</v>
      </c>
      <c r="W80" s="37">
        <f>SUM(V80:V$115)</f>
        <v>0</v>
      </c>
      <c r="X80" s="202">
        <f t="shared" si="16"/>
        <v>0</v>
      </c>
      <c r="Y80" s="47"/>
      <c r="Z80" s="37">
        <f t="shared" si="23"/>
        <v>76.5</v>
      </c>
      <c r="AA80" s="37">
        <f t="shared" si="17"/>
        <v>190457.50933986605</v>
      </c>
      <c r="AC80" s="4"/>
      <c r="AF80" s="4"/>
      <c r="AI80" s="4"/>
      <c r="AM80" s="41"/>
      <c r="AN80" s="41"/>
      <c r="AO80" s="49"/>
      <c r="AP80" s="41"/>
      <c r="AQ80" s="41"/>
      <c r="AR80" s="41"/>
      <c r="AS80" s="41"/>
      <c r="AT80" s="41"/>
      <c r="AU80" s="41"/>
      <c r="AV80" s="41"/>
      <c r="AW80" s="41"/>
      <c r="AX80" s="41"/>
      <c r="AY80" s="41"/>
      <c r="BA80" s="6"/>
      <c r="BB80" s="7"/>
      <c r="BC80" s="7"/>
      <c r="BD80" s="7"/>
      <c r="BE80" s="7"/>
      <c r="BF80" s="7"/>
      <c r="BG80" s="7"/>
      <c r="BH80" s="7"/>
      <c r="BI80" s="7"/>
      <c r="BK80"/>
      <c r="BL80"/>
      <c r="BM80"/>
      <c r="BN80"/>
      <c r="BO80"/>
      <c r="BP80"/>
      <c r="BQ80" s="52"/>
      <c r="BR80" s="52"/>
      <c r="BS80" s="55"/>
      <c r="BT80" s="55"/>
      <c r="BU80" s="52"/>
      <c r="BV80" s="50"/>
      <c r="BX80" s="49"/>
      <c r="BY80" s="49"/>
      <c r="BZ80" s="49"/>
      <c r="CA80" s="49"/>
      <c r="CB80" s="49"/>
      <c r="CC80" s="49"/>
      <c r="CD80" s="49"/>
      <c r="CE80" s="49"/>
      <c r="CF80" s="49"/>
      <c r="CH80" s="7"/>
      <c r="CI80" s="7"/>
      <c r="CJ80" s="7"/>
      <c r="CK80" s="7"/>
      <c r="CL80" s="7"/>
      <c r="CM80" s="7"/>
      <c r="CN80" s="7"/>
      <c r="CO80" s="7"/>
      <c r="CP80" s="7"/>
    </row>
    <row r="81" spans="1:94" ht="14.4" x14ac:dyDescent="0.3">
      <c r="A81" s="138">
        <v>77</v>
      </c>
      <c r="B81" s="4"/>
      <c r="C81" s="44">
        <f>'Life table (HE)'!B$20</f>
        <v>8.6999999999999994E-2</v>
      </c>
      <c r="E81" s="45">
        <f t="shared" si="18"/>
        <v>8.6999999999999994E-2</v>
      </c>
      <c r="F81" s="46">
        <f t="shared" si="19"/>
        <v>8.332290436684775E-2</v>
      </c>
      <c r="G81" s="37">
        <f t="shared" si="20"/>
        <v>27389.786433144534</v>
      </c>
      <c r="H81" s="41">
        <f t="shared" si="21"/>
        <v>2282.1965555972861</v>
      </c>
      <c r="I81" s="41">
        <f>SUM($H$4:H80)</f>
        <v>72610.213566855382</v>
      </c>
      <c r="J81" s="37">
        <f t="shared" si="12"/>
        <v>26248.688155345892</v>
      </c>
      <c r="K81" s="37">
        <f>SUM(J81:J$113)</f>
        <v>203350.24608732975</v>
      </c>
      <c r="L81" s="47">
        <f t="shared" si="13"/>
        <v>7.7470632011723906</v>
      </c>
      <c r="M81" s="37">
        <f>(G82+0.5*H81)/(1+'General input'!$C$114)^A81</f>
        <v>613.10036535965799</v>
      </c>
      <c r="N81" s="37">
        <f>SUM(M81:M$113)</f>
        <v>3781.3834887633993</v>
      </c>
      <c r="O81" s="37">
        <f t="shared" si="14"/>
        <v>6.1676418779250897</v>
      </c>
      <c r="Q81" s="44">
        <v>0</v>
      </c>
      <c r="S81" s="48">
        <f t="shared" si="22"/>
        <v>0</v>
      </c>
      <c r="T81" s="37">
        <f>SUM(S81:S$115)</f>
        <v>0</v>
      </c>
      <c r="U81" s="47">
        <f t="shared" si="15"/>
        <v>0</v>
      </c>
      <c r="V81" s="37">
        <f>S81/(1+'General input'!$C$113)^A81</f>
        <v>0</v>
      </c>
      <c r="W81" s="37">
        <f>SUM(V81:V$115)</f>
        <v>0</v>
      </c>
      <c r="X81" s="202">
        <f t="shared" si="16"/>
        <v>0</v>
      </c>
      <c r="Y81" s="47"/>
      <c r="Z81" s="37">
        <f t="shared" si="23"/>
        <v>77.5</v>
      </c>
      <c r="AA81" s="37">
        <f t="shared" si="17"/>
        <v>176870.23305878966</v>
      </c>
      <c r="AC81" s="4"/>
      <c r="AF81" s="4"/>
      <c r="AI81" s="4"/>
      <c r="AM81" s="41"/>
      <c r="AN81" s="41"/>
      <c r="AO81" s="49"/>
      <c r="AP81" s="41"/>
      <c r="AQ81" s="41"/>
      <c r="AR81" s="41"/>
      <c r="AS81" s="41"/>
      <c r="AT81" s="41"/>
      <c r="AU81" s="41"/>
      <c r="AV81" s="41"/>
      <c r="AW81" s="41"/>
      <c r="AX81" s="41"/>
      <c r="AY81" s="41"/>
      <c r="BA81" s="6"/>
      <c r="BB81" s="7"/>
      <c r="BC81" s="7"/>
      <c r="BD81" s="7"/>
      <c r="BE81" s="7"/>
      <c r="BF81" s="7"/>
      <c r="BG81" s="7"/>
      <c r="BH81" s="7"/>
      <c r="BI81" s="7"/>
      <c r="BK81"/>
      <c r="BL81"/>
      <c r="BM81"/>
      <c r="BN81"/>
      <c r="BO81"/>
      <c r="BP81"/>
      <c r="BQ81" s="52"/>
      <c r="BR81" s="52"/>
      <c r="BS81" s="55"/>
      <c r="BT81" s="55"/>
      <c r="BU81" s="52"/>
      <c r="BV81" s="50"/>
      <c r="BX81" s="49"/>
      <c r="BY81" s="49"/>
      <c r="BZ81" s="49"/>
      <c r="CA81" s="49"/>
      <c r="CB81" s="49"/>
      <c r="CC81" s="49"/>
      <c r="CD81" s="49"/>
      <c r="CE81" s="49"/>
      <c r="CF81" s="49"/>
      <c r="CH81" s="7"/>
      <c r="CI81" s="7"/>
      <c r="CJ81" s="7"/>
      <c r="CK81" s="7"/>
      <c r="CL81" s="7"/>
      <c r="CM81" s="7"/>
      <c r="CN81" s="7"/>
      <c r="CO81" s="7"/>
      <c r="CP81" s="7"/>
    </row>
    <row r="82" spans="1:94" ht="14.4" x14ac:dyDescent="0.3">
      <c r="A82" s="138">
        <v>78</v>
      </c>
      <c r="B82" s="4"/>
      <c r="C82" s="44">
        <f>'Life table (HE)'!B$20</f>
        <v>8.6999999999999994E-2</v>
      </c>
      <c r="E82" s="45">
        <f t="shared" si="18"/>
        <v>8.6999999999999994E-2</v>
      </c>
      <c r="F82" s="46">
        <f t="shared" si="19"/>
        <v>8.332290436684775E-2</v>
      </c>
      <c r="G82" s="37">
        <f t="shared" si="20"/>
        <v>25107.589877547249</v>
      </c>
      <c r="H82" s="41">
        <f t="shared" si="21"/>
        <v>2092.0373102489039</v>
      </c>
      <c r="I82" s="41">
        <f>SUM($H$4:H81)</f>
        <v>74892.410122452668</v>
      </c>
      <c r="J82" s="37">
        <f t="shared" si="12"/>
        <v>24061.571222422797</v>
      </c>
      <c r="K82" s="37">
        <f>SUM(J82:J$113)</f>
        <v>177101.55793198384</v>
      </c>
      <c r="L82" s="47">
        <f t="shared" si="13"/>
        <v>7.3603488440083344</v>
      </c>
      <c r="M82" s="37">
        <f>(G83+0.5*H82)/(1+'General input'!$C$114)^A82</f>
        <v>535.25244023763423</v>
      </c>
      <c r="N82" s="37">
        <f>SUM(M82:M$113)</f>
        <v>3168.2831234037417</v>
      </c>
      <c r="O82" s="37">
        <f t="shared" si="14"/>
        <v>5.9192315349316846</v>
      </c>
      <c r="Q82" s="44">
        <v>0</v>
      </c>
      <c r="S82" s="48">
        <f t="shared" si="22"/>
        <v>0</v>
      </c>
      <c r="T82" s="37">
        <f>SUM(S82:S$115)</f>
        <v>0</v>
      </c>
      <c r="U82" s="47">
        <f t="shared" si="15"/>
        <v>0</v>
      </c>
      <c r="V82" s="37">
        <f>S82/(1+'General input'!$C$113)^A82</f>
        <v>0</v>
      </c>
      <c r="W82" s="37">
        <f>SUM(V82:V$115)</f>
        <v>0</v>
      </c>
      <c r="X82" s="202">
        <f t="shared" si="16"/>
        <v>0</v>
      </c>
      <c r="Y82" s="47"/>
      <c r="Z82" s="37">
        <f t="shared" si="23"/>
        <v>78.5</v>
      </c>
      <c r="AA82" s="37">
        <f t="shared" si="17"/>
        <v>164224.92885453894</v>
      </c>
      <c r="AC82" s="4"/>
      <c r="AF82" s="4"/>
      <c r="AI82" s="4"/>
      <c r="AM82" s="41"/>
      <c r="AN82" s="41"/>
      <c r="AO82" s="49"/>
      <c r="AP82" s="41"/>
      <c r="AQ82" s="41"/>
      <c r="AR82" s="41"/>
      <c r="AS82" s="41"/>
      <c r="AT82" s="41"/>
      <c r="AU82" s="41"/>
      <c r="AV82" s="41"/>
      <c r="AW82" s="41"/>
      <c r="AX82" s="41"/>
      <c r="AY82" s="41"/>
      <c r="BA82" s="6"/>
      <c r="BB82" s="7"/>
      <c r="BC82" s="7"/>
      <c r="BD82" s="7"/>
      <c r="BE82" s="7"/>
      <c r="BF82" s="7"/>
      <c r="BG82" s="7"/>
      <c r="BH82" s="7"/>
      <c r="BI82" s="7"/>
      <c r="BK82"/>
      <c r="BL82"/>
      <c r="BM82"/>
      <c r="BN82"/>
      <c r="BO82"/>
      <c r="BP82"/>
      <c r="BQ82" s="52"/>
      <c r="BR82" s="52"/>
      <c r="BS82" s="55"/>
      <c r="BT82" s="55"/>
      <c r="BU82" s="52"/>
      <c r="BV82" s="50"/>
      <c r="BX82" s="49"/>
      <c r="BY82" s="49"/>
      <c r="BZ82" s="49"/>
      <c r="CA82" s="49"/>
      <c r="CB82" s="49"/>
      <c r="CC82" s="49"/>
      <c r="CD82" s="49"/>
      <c r="CE82" s="49"/>
      <c r="CF82" s="49"/>
      <c r="CH82" s="7"/>
      <c r="CI82" s="7"/>
      <c r="CJ82" s="7"/>
      <c r="CK82" s="7"/>
      <c r="CL82" s="7"/>
      <c r="CM82" s="7"/>
      <c r="CN82" s="7"/>
      <c r="CO82" s="7"/>
      <c r="CP82" s="7"/>
    </row>
    <row r="83" spans="1:94" ht="14.4" x14ac:dyDescent="0.3">
      <c r="A83" s="138">
        <v>79</v>
      </c>
      <c r="B83" s="4"/>
      <c r="C83" s="44">
        <f>'Life table (HE)'!B$20</f>
        <v>8.6999999999999994E-2</v>
      </c>
      <c r="E83" s="45">
        <f t="shared" si="18"/>
        <v>8.6999999999999994E-2</v>
      </c>
      <c r="F83" s="46">
        <f t="shared" si="19"/>
        <v>8.332290436684775E-2</v>
      </c>
      <c r="G83" s="37">
        <f t="shared" si="20"/>
        <v>23015.552567298346</v>
      </c>
      <c r="H83" s="41">
        <f t="shared" si="21"/>
        <v>1917.7226855151573</v>
      </c>
      <c r="I83" s="41">
        <f>SUM($H$4:H82)</f>
        <v>76984.447432701578</v>
      </c>
      <c r="J83" s="37">
        <f t="shared" si="12"/>
        <v>22056.691224540769</v>
      </c>
      <c r="K83" s="37">
        <f>SUM(J83:J$113)</f>
        <v>153039.98670956102</v>
      </c>
      <c r="L83" s="47">
        <f t="shared" si="13"/>
        <v>6.9384834357786769</v>
      </c>
      <c r="M83" s="37">
        <f>(G84+0.5*H83)/(1+'General input'!$C$114)^A83</f>
        <v>467.28919271199226</v>
      </c>
      <c r="N83" s="37">
        <f>SUM(M83:M$113)</f>
        <v>2633.0306831661073</v>
      </c>
      <c r="O83" s="37">
        <f t="shared" si="14"/>
        <v>5.6346920156335445</v>
      </c>
      <c r="Q83" s="44">
        <v>0</v>
      </c>
      <c r="S83" s="48">
        <f t="shared" si="22"/>
        <v>0</v>
      </c>
      <c r="T83" s="37">
        <f>SUM(S83:S$115)</f>
        <v>0</v>
      </c>
      <c r="U83" s="47">
        <f t="shared" si="15"/>
        <v>0</v>
      </c>
      <c r="V83" s="37">
        <f>S83/(1+'General input'!$C$113)^A83</f>
        <v>0</v>
      </c>
      <c r="W83" s="37">
        <f>SUM(V83:V$115)</f>
        <v>0</v>
      </c>
      <c r="X83" s="202">
        <f t="shared" si="16"/>
        <v>0</v>
      </c>
      <c r="Y83" s="47"/>
      <c r="Z83" s="37">
        <f t="shared" si="23"/>
        <v>79.5</v>
      </c>
      <c r="AA83" s="37">
        <f t="shared" si="17"/>
        <v>152458.953498455</v>
      </c>
      <c r="AC83" s="4"/>
      <c r="AF83" s="4"/>
      <c r="AI83" s="4"/>
      <c r="AM83" s="41"/>
      <c r="AN83" s="41"/>
      <c r="AO83" s="49"/>
      <c r="AP83" s="41"/>
      <c r="AQ83" s="41"/>
      <c r="AR83" s="41"/>
      <c r="AS83" s="41"/>
      <c r="AT83" s="41"/>
      <c r="AU83" s="41"/>
      <c r="AV83" s="41"/>
      <c r="AW83" s="41"/>
      <c r="AX83" s="41"/>
      <c r="AY83" s="41"/>
      <c r="BA83" s="6"/>
      <c r="BB83" s="7"/>
      <c r="BC83" s="7"/>
      <c r="BD83" s="7"/>
      <c r="BE83" s="7"/>
      <c r="BF83" s="7"/>
      <c r="BG83" s="7"/>
      <c r="BH83" s="7"/>
      <c r="BI83" s="7"/>
      <c r="BK83"/>
      <c r="BL83"/>
      <c r="BM83"/>
      <c r="BN83"/>
      <c r="BO83"/>
      <c r="BP83"/>
      <c r="BQ83" s="52"/>
      <c r="BR83" s="52"/>
      <c r="BS83" s="55"/>
      <c r="BT83" s="55"/>
      <c r="BU83" s="52"/>
      <c r="BV83" s="50"/>
      <c r="BX83" s="49"/>
      <c r="BY83" s="49"/>
      <c r="BZ83" s="49"/>
      <c r="CA83" s="49"/>
      <c r="CB83" s="49"/>
      <c r="CC83" s="49"/>
      <c r="CD83" s="49"/>
      <c r="CE83" s="49"/>
      <c r="CF83" s="49"/>
      <c r="CH83" s="7"/>
      <c r="CI83" s="7"/>
      <c r="CJ83" s="7"/>
      <c r="CK83" s="7"/>
      <c r="CL83" s="7"/>
      <c r="CM83" s="7"/>
      <c r="CN83" s="7"/>
      <c r="CO83" s="7"/>
      <c r="CP83" s="7"/>
    </row>
    <row r="84" spans="1:94" ht="14.4" x14ac:dyDescent="0.3">
      <c r="A84" s="138">
        <v>80</v>
      </c>
      <c r="B84" s="4"/>
      <c r="C84" s="44">
        <f>'Life table (HE)'!B$21</f>
        <v>0.127</v>
      </c>
      <c r="E84" s="45">
        <f t="shared" si="18"/>
        <v>0.127</v>
      </c>
      <c r="F84" s="46">
        <f t="shared" si="19"/>
        <v>0.11926632740284304</v>
      </c>
      <c r="G84" s="37">
        <f t="shared" si="20"/>
        <v>21097.829881783189</v>
      </c>
      <c r="H84" s="41">
        <f t="shared" si="21"/>
        <v>2516.2606861702393</v>
      </c>
      <c r="I84" s="41">
        <f>SUM($H$4:H83)</f>
        <v>78902.170118216731</v>
      </c>
      <c r="J84" s="37">
        <f t="shared" si="12"/>
        <v>19839.699538698067</v>
      </c>
      <c r="K84" s="37">
        <f>SUM(J84:J$113)</f>
        <v>130983.29548502025</v>
      </c>
      <c r="L84" s="47">
        <f t="shared" si="13"/>
        <v>6.6020806025581429</v>
      </c>
      <c r="M84" s="37">
        <f>(G85+0.5*H84)/(1+'General input'!$C$114)^A84</f>
        <v>400.30513866496887</v>
      </c>
      <c r="N84" s="37">
        <f>SUM(M84:M$113)</f>
        <v>2165.7414904541151</v>
      </c>
      <c r="O84" s="37">
        <f t="shared" si="14"/>
        <v>5.4102265528664857</v>
      </c>
      <c r="Q84" s="44">
        <v>0</v>
      </c>
      <c r="S84" s="48">
        <f t="shared" si="22"/>
        <v>0</v>
      </c>
      <c r="T84" s="37">
        <f>SUM(S84:S$115)</f>
        <v>0</v>
      </c>
      <c r="U84" s="47">
        <f t="shared" si="15"/>
        <v>0</v>
      </c>
      <c r="V84" s="37">
        <f>S84/(1+'General input'!$C$113)^A84</f>
        <v>0</v>
      </c>
      <c r="W84" s="37">
        <f>SUM(V84:V$115)</f>
        <v>0</v>
      </c>
      <c r="X84" s="202">
        <f t="shared" si="16"/>
        <v>0</v>
      </c>
      <c r="Y84" s="47"/>
      <c r="Z84" s="37">
        <f t="shared" si="23"/>
        <v>80.5</v>
      </c>
      <c r="AA84" s="37">
        <f t="shared" si="17"/>
        <v>202558.98523670426</v>
      </c>
      <c r="AC84" s="4"/>
      <c r="AF84" s="4"/>
      <c r="AI84" s="4"/>
      <c r="AM84" s="41"/>
      <c r="AN84" s="41"/>
      <c r="AO84" s="49"/>
      <c r="AP84" s="41"/>
      <c r="AQ84" s="41"/>
      <c r="AR84" s="41"/>
      <c r="AS84" s="41"/>
      <c r="AT84" s="41"/>
      <c r="AU84" s="41"/>
      <c r="AV84" s="41"/>
      <c r="AW84" s="41"/>
      <c r="AX84" s="41"/>
      <c r="AY84" s="41"/>
      <c r="BA84" s="6"/>
      <c r="BB84" s="7"/>
      <c r="BC84" s="7"/>
      <c r="BD84" s="7"/>
      <c r="BE84" s="7"/>
      <c r="BF84" s="7"/>
      <c r="BG84" s="7"/>
      <c r="BH84" s="7"/>
      <c r="BI84" s="7"/>
      <c r="BK84"/>
      <c r="BL84"/>
      <c r="BM84"/>
      <c r="BN84"/>
      <c r="BO84"/>
      <c r="BP84"/>
      <c r="BQ84" s="52"/>
      <c r="BR84" s="52"/>
      <c r="BS84" s="55"/>
      <c r="BT84" s="55"/>
      <c r="BU84" s="52"/>
      <c r="BV84" s="50"/>
      <c r="BX84" s="49"/>
      <c r="BY84" s="49"/>
      <c r="BZ84" s="49"/>
      <c r="CA84" s="49"/>
      <c r="CB84" s="49"/>
      <c r="CC84" s="49"/>
      <c r="CD84" s="49"/>
      <c r="CE84" s="49"/>
      <c r="CF84" s="49"/>
      <c r="CH84" s="7"/>
      <c r="CI84" s="7"/>
      <c r="CJ84" s="7"/>
      <c r="CK84" s="7"/>
      <c r="CL84" s="7"/>
      <c r="CM84" s="7"/>
      <c r="CN84" s="7"/>
      <c r="CO84" s="7"/>
      <c r="CP84" s="7"/>
    </row>
    <row r="85" spans="1:94" ht="14.4" x14ac:dyDescent="0.3">
      <c r="A85" s="138">
        <v>81</v>
      </c>
      <c r="B85" s="4"/>
      <c r="C85" s="44">
        <f>'Life table (HE)'!B$21</f>
        <v>0.127</v>
      </c>
      <c r="E85" s="45">
        <f t="shared" si="18"/>
        <v>0.127</v>
      </c>
      <c r="F85" s="46">
        <f t="shared" si="19"/>
        <v>0.11926632740284304</v>
      </c>
      <c r="G85" s="37">
        <f t="shared" si="20"/>
        <v>18581.569195612949</v>
      </c>
      <c r="H85" s="41">
        <f t="shared" si="21"/>
        <v>2216.1555153425566</v>
      </c>
      <c r="I85" s="41">
        <f>SUM($H$4:H84)</f>
        <v>81418.430804386968</v>
      </c>
      <c r="J85" s="37">
        <f t="shared" si="12"/>
        <v>17473.49143794167</v>
      </c>
      <c r="K85" s="37">
        <f>SUM(J85:J$113)</f>
        <v>111143.59594632218</v>
      </c>
      <c r="L85" s="47">
        <f t="shared" si="13"/>
        <v>6.3606976511280795</v>
      </c>
      <c r="M85" s="37">
        <f>(G86+0.5*H85)/(1+'General input'!$C$114)^A85</f>
        <v>335.77353803420209</v>
      </c>
      <c r="N85" s="37">
        <f>SUM(M85:M$113)</f>
        <v>1765.4363517891459</v>
      </c>
      <c r="O85" s="37">
        <f t="shared" si="14"/>
        <v>5.257818594416209</v>
      </c>
      <c r="Q85" s="44">
        <v>0</v>
      </c>
      <c r="S85" s="48">
        <f t="shared" si="22"/>
        <v>0</v>
      </c>
      <c r="T85" s="37">
        <f>SUM(S85:S$115)</f>
        <v>0</v>
      </c>
      <c r="U85" s="47">
        <f t="shared" si="15"/>
        <v>0</v>
      </c>
      <c r="V85" s="37">
        <f>S85/(1+'General input'!$C$113)^A85</f>
        <v>0</v>
      </c>
      <c r="W85" s="37">
        <f>SUM(V85:V$115)</f>
        <v>0</v>
      </c>
      <c r="X85" s="202">
        <f t="shared" si="16"/>
        <v>0</v>
      </c>
      <c r="Y85" s="47"/>
      <c r="Z85" s="37">
        <f t="shared" si="23"/>
        <v>81.5</v>
      </c>
      <c r="AA85" s="37">
        <f t="shared" si="17"/>
        <v>180616.67450041836</v>
      </c>
      <c r="AC85" s="4"/>
      <c r="AF85" s="4"/>
      <c r="AI85" s="4"/>
      <c r="AM85" s="41"/>
      <c r="AN85" s="41"/>
      <c r="AO85" s="49"/>
      <c r="AP85" s="41"/>
      <c r="AQ85" s="41"/>
      <c r="AR85" s="41"/>
      <c r="AS85" s="41"/>
      <c r="AT85" s="41"/>
      <c r="AU85" s="41"/>
      <c r="AV85" s="41"/>
      <c r="AW85" s="41"/>
      <c r="AX85" s="41"/>
      <c r="AY85" s="41"/>
      <c r="AZ85" s="41"/>
      <c r="BA85" s="6"/>
      <c r="BB85" s="7"/>
      <c r="BC85" s="7"/>
      <c r="BD85" s="7"/>
      <c r="BE85" s="7"/>
      <c r="BF85" s="7"/>
      <c r="BG85" s="7"/>
      <c r="BH85" s="7"/>
      <c r="BI85" s="7"/>
      <c r="BK85"/>
      <c r="BL85"/>
      <c r="BM85"/>
      <c r="BN85"/>
      <c r="BO85"/>
      <c r="BP85"/>
      <c r="BQ85" s="52"/>
      <c r="BR85" s="52"/>
      <c r="BS85" s="55"/>
      <c r="BT85" s="55"/>
      <c r="BU85" s="52"/>
      <c r="BV85" s="50"/>
      <c r="BX85" s="49"/>
      <c r="BY85" s="49"/>
      <c r="BZ85" s="49"/>
      <c r="CA85" s="49"/>
      <c r="CB85" s="49"/>
      <c r="CC85" s="49"/>
      <c r="CD85" s="49"/>
      <c r="CE85" s="49"/>
      <c r="CF85" s="49"/>
      <c r="CG85" s="41"/>
      <c r="CH85" s="7"/>
      <c r="CI85" s="7"/>
      <c r="CJ85" s="7"/>
      <c r="CK85" s="7"/>
      <c r="CL85" s="7"/>
      <c r="CM85" s="7"/>
      <c r="CN85" s="7"/>
      <c r="CO85" s="7"/>
      <c r="CP85" s="7"/>
    </row>
    <row r="86" spans="1:94" ht="14.4" x14ac:dyDescent="0.3">
      <c r="A86" s="138">
        <v>82</v>
      </c>
      <c r="B86" s="4"/>
      <c r="C86" s="44">
        <f>'Life table (HE)'!B$21</f>
        <v>0.127</v>
      </c>
      <c r="E86" s="45">
        <f t="shared" si="18"/>
        <v>0.127</v>
      </c>
      <c r="F86" s="46">
        <f t="shared" si="19"/>
        <v>0.11926632740284304</v>
      </c>
      <c r="G86" s="37">
        <f t="shared" si="20"/>
        <v>16365.413680270392</v>
      </c>
      <c r="H86" s="41">
        <f t="shared" si="21"/>
        <v>1951.8427860740951</v>
      </c>
      <c r="I86" s="41">
        <f>SUM($H$4:H85)</f>
        <v>83634.586319729526</v>
      </c>
      <c r="J86" s="37">
        <f t="shared" si="12"/>
        <v>15389.492287233345</v>
      </c>
      <c r="K86" s="37">
        <f>SUM(J86:J$113)</f>
        <v>93670.104508380507</v>
      </c>
      <c r="L86" s="47">
        <f t="shared" si="13"/>
        <v>6.0866273402720621</v>
      </c>
      <c r="M86" s="37">
        <f>(G87+0.5*H86)/(1+'General input'!$C$114)^A86</f>
        <v>281.64482029886096</v>
      </c>
      <c r="N86" s="37">
        <f>SUM(M86:M$113)</f>
        <v>1429.662813754944</v>
      </c>
      <c r="O86" s="37">
        <f t="shared" si="14"/>
        <v>5.0761196752629427</v>
      </c>
      <c r="Q86" s="44">
        <v>0</v>
      </c>
      <c r="S86" s="48">
        <f t="shared" si="22"/>
        <v>0</v>
      </c>
      <c r="T86" s="37">
        <f>SUM(S86:S$115)</f>
        <v>0</v>
      </c>
      <c r="U86" s="47">
        <f t="shared" si="15"/>
        <v>0</v>
      </c>
      <c r="V86" s="37">
        <f>S86/(1+'General input'!$C$113)^A86</f>
        <v>0</v>
      </c>
      <c r="W86" s="37">
        <f>SUM(V86:V$115)</f>
        <v>0</v>
      </c>
      <c r="X86" s="202">
        <f t="shared" si="16"/>
        <v>0</v>
      </c>
      <c r="Y86" s="47"/>
      <c r="Z86" s="37">
        <f t="shared" si="23"/>
        <v>82.5</v>
      </c>
      <c r="AA86" s="37">
        <f t="shared" si="17"/>
        <v>161027.02985111283</v>
      </c>
      <c r="AC86" s="4"/>
      <c r="AF86" s="4"/>
      <c r="AI86" s="4"/>
      <c r="AM86" s="41"/>
      <c r="AN86" s="41"/>
      <c r="AO86" s="49"/>
      <c r="AP86" s="41"/>
      <c r="AQ86" s="41"/>
      <c r="AR86" s="41"/>
      <c r="AS86" s="41"/>
      <c r="AT86" s="41"/>
      <c r="AU86" s="41"/>
      <c r="AV86" s="41"/>
      <c r="AW86" s="41"/>
      <c r="AX86" s="41"/>
      <c r="AY86" s="41"/>
      <c r="AZ86" s="41"/>
      <c r="BA86" s="6"/>
      <c r="BB86" s="7"/>
      <c r="BC86" s="7"/>
      <c r="BD86" s="7"/>
      <c r="BE86" s="7"/>
      <c r="BF86" s="7"/>
      <c r="BG86" s="7"/>
      <c r="BH86" s="7"/>
      <c r="BI86" s="7"/>
      <c r="BK86"/>
      <c r="BL86"/>
      <c r="BM86"/>
      <c r="BN86"/>
      <c r="BO86"/>
      <c r="BP86"/>
      <c r="BQ86" s="52"/>
      <c r="BR86" s="52"/>
      <c r="BS86" s="55"/>
      <c r="BT86" s="55"/>
      <c r="BU86" s="52"/>
      <c r="BV86" s="50"/>
      <c r="BX86" s="49"/>
      <c r="BY86" s="49"/>
      <c r="BZ86" s="49"/>
      <c r="CA86" s="49"/>
      <c r="CB86" s="49"/>
      <c r="CC86" s="49"/>
      <c r="CD86" s="49"/>
      <c r="CE86" s="49"/>
      <c r="CF86" s="49"/>
      <c r="CG86" s="41"/>
      <c r="CH86" s="7"/>
      <c r="CI86" s="7"/>
      <c r="CJ86" s="7"/>
      <c r="CK86" s="7"/>
      <c r="CL86" s="7"/>
      <c r="CM86" s="7"/>
      <c r="CN86" s="7"/>
      <c r="CO86" s="7"/>
      <c r="CP86" s="7"/>
    </row>
    <row r="87" spans="1:94" ht="14.4" x14ac:dyDescent="0.3">
      <c r="A87" s="138">
        <v>83</v>
      </c>
      <c r="B87" s="4"/>
      <c r="C87" s="44">
        <f>'Life table (HE)'!B$21</f>
        <v>0.127</v>
      </c>
      <c r="E87" s="45">
        <f t="shared" si="18"/>
        <v>0.127</v>
      </c>
      <c r="F87" s="46">
        <f t="shared" si="19"/>
        <v>0.11926632740284304</v>
      </c>
      <c r="G87" s="37">
        <f t="shared" si="20"/>
        <v>14413.570894196297</v>
      </c>
      <c r="H87" s="41">
        <f t="shared" si="21"/>
        <v>1719.0536653113047</v>
      </c>
      <c r="I87" s="41">
        <f>SUM($H$4:H86)</f>
        <v>85586.429105803618</v>
      </c>
      <c r="J87" s="37">
        <f t="shared" si="12"/>
        <v>13554.044061540644</v>
      </c>
      <c r="K87" s="37">
        <f>SUM(J87:J$113)</f>
        <v>78280.612221147181</v>
      </c>
      <c r="L87" s="47">
        <f t="shared" si="13"/>
        <v>5.7754432452574802</v>
      </c>
      <c r="M87" s="37">
        <f>(G88+0.5*H87)/(1+'General input'!$C$114)^A87</f>
        <v>236.24197804741152</v>
      </c>
      <c r="N87" s="37">
        <f>SUM(M87:M$113)</f>
        <v>1148.0179934560829</v>
      </c>
      <c r="O87" s="37">
        <f t="shared" si="14"/>
        <v>4.8595004280978653</v>
      </c>
      <c r="Q87" s="44">
        <v>0</v>
      </c>
      <c r="S87" s="48">
        <f t="shared" si="22"/>
        <v>0</v>
      </c>
      <c r="T87" s="37">
        <f>SUM(S87:S$115)</f>
        <v>0</v>
      </c>
      <c r="U87" s="47">
        <f t="shared" si="15"/>
        <v>0</v>
      </c>
      <c r="V87" s="37">
        <f>S87/(1+'General input'!$C$113)^A87</f>
        <v>0</v>
      </c>
      <c r="W87" s="37">
        <f>SUM(V87:V$115)</f>
        <v>0</v>
      </c>
      <c r="X87" s="202">
        <f t="shared" si="16"/>
        <v>0</v>
      </c>
      <c r="Y87" s="47"/>
      <c r="Z87" s="37">
        <f t="shared" si="23"/>
        <v>83.5</v>
      </c>
      <c r="AA87" s="37">
        <f t="shared" si="17"/>
        <v>143540.98105349395</v>
      </c>
      <c r="AC87" s="4"/>
      <c r="AF87" s="4"/>
      <c r="AI87" s="4"/>
      <c r="AM87" s="41"/>
      <c r="AN87" s="41"/>
      <c r="AO87" s="49"/>
      <c r="AP87" s="41"/>
      <c r="AQ87" s="41"/>
      <c r="AR87" s="41"/>
      <c r="AS87" s="41"/>
      <c r="AT87" s="41"/>
      <c r="AU87" s="41"/>
      <c r="AV87" s="41"/>
      <c r="AW87" s="41"/>
      <c r="AX87" s="41"/>
      <c r="AY87" s="41"/>
      <c r="AZ87" s="41"/>
      <c r="BA87" s="6"/>
      <c r="BB87" s="7"/>
      <c r="BC87" s="7"/>
      <c r="BD87" s="7"/>
      <c r="BE87" s="7"/>
      <c r="BF87" s="7"/>
      <c r="BG87" s="7"/>
      <c r="BH87" s="7"/>
      <c r="BI87" s="7"/>
      <c r="BK87"/>
      <c r="BL87"/>
      <c r="BM87"/>
      <c r="BN87"/>
      <c r="BO87"/>
      <c r="BP87"/>
      <c r="BQ87" s="52"/>
      <c r="BR87" s="52"/>
      <c r="BS87" s="55"/>
      <c r="BT87" s="55"/>
      <c r="BU87" s="52"/>
      <c r="BV87" s="50"/>
      <c r="BX87" s="49"/>
      <c r="BY87" s="49"/>
      <c r="BZ87" s="49"/>
      <c r="CA87" s="49"/>
      <c r="CB87" s="49"/>
      <c r="CC87" s="49"/>
      <c r="CD87" s="49"/>
      <c r="CE87" s="49"/>
      <c r="CF87" s="49"/>
      <c r="CG87" s="41"/>
      <c r="CH87" s="7"/>
      <c r="CI87" s="7"/>
      <c r="CJ87" s="7"/>
      <c r="CK87" s="7"/>
      <c r="CL87" s="7"/>
      <c r="CM87" s="7"/>
      <c r="CN87" s="7"/>
      <c r="CO87" s="7"/>
      <c r="CP87" s="7"/>
    </row>
    <row r="88" spans="1:94" ht="14.4" x14ac:dyDescent="0.3">
      <c r="A88" s="138">
        <v>84</v>
      </c>
      <c r="B88" s="4"/>
      <c r="C88" s="44">
        <f>'Life table (HE)'!B$21</f>
        <v>0.127</v>
      </c>
      <c r="E88" s="45">
        <f t="shared" si="18"/>
        <v>0.127</v>
      </c>
      <c r="F88" s="46">
        <f t="shared" si="19"/>
        <v>0.11926632740284304</v>
      </c>
      <c r="G88" s="37">
        <f t="shared" si="20"/>
        <v>12694.517228884992</v>
      </c>
      <c r="H88" s="41">
        <f t="shared" si="21"/>
        <v>1514.0284480412292</v>
      </c>
      <c r="I88" s="41">
        <f>SUM($H$4:H87)</f>
        <v>87305.482771114926</v>
      </c>
      <c r="J88" s="37">
        <f t="shared" si="12"/>
        <v>11937.503004864378</v>
      </c>
      <c r="K88" s="37">
        <f>SUM(J88:J$113)</f>
        <v>64726.568159606541</v>
      </c>
      <c r="L88" s="47">
        <f t="shared" si="13"/>
        <v>5.4221195281149921</v>
      </c>
      <c r="M88" s="37">
        <f>(G89+0.5*H88)/(1+'General input'!$C$114)^A88</f>
        <v>198.1583475688702</v>
      </c>
      <c r="N88" s="37">
        <f>SUM(M88:M$113)</f>
        <v>911.77601540867147</v>
      </c>
      <c r="O88" s="37">
        <f t="shared" si="14"/>
        <v>4.6012495895071108</v>
      </c>
      <c r="Q88" s="44">
        <v>0</v>
      </c>
      <c r="S88" s="48">
        <f t="shared" si="22"/>
        <v>0</v>
      </c>
      <c r="T88" s="37">
        <f>SUM(S88:S$115)</f>
        <v>0</v>
      </c>
      <c r="U88" s="47">
        <f t="shared" si="15"/>
        <v>0</v>
      </c>
      <c r="V88" s="37">
        <f>S88/(1+'General input'!$C$113)^A88</f>
        <v>0</v>
      </c>
      <c r="W88" s="37">
        <f>SUM(V88:V$115)</f>
        <v>0</v>
      </c>
      <c r="X88" s="202">
        <f t="shared" si="16"/>
        <v>0</v>
      </c>
      <c r="Y88" s="47"/>
      <c r="Z88" s="37">
        <f t="shared" si="23"/>
        <v>84.5</v>
      </c>
      <c r="AA88" s="37">
        <f t="shared" si="17"/>
        <v>127935.40385948386</v>
      </c>
      <c r="AC88" s="4"/>
      <c r="AF88" s="4"/>
      <c r="AI88" s="4"/>
      <c r="AM88" s="41"/>
      <c r="AN88" s="41"/>
      <c r="AO88" s="49"/>
      <c r="AP88" s="41"/>
      <c r="AQ88" s="41"/>
      <c r="AR88" s="41"/>
      <c r="AS88" s="41"/>
      <c r="AT88" s="41"/>
      <c r="AU88" s="41"/>
      <c r="AV88" s="41"/>
      <c r="AW88" s="41"/>
      <c r="AX88" s="41"/>
      <c r="AY88" s="41"/>
      <c r="AZ88" s="41"/>
      <c r="BA88" s="6"/>
      <c r="BB88" s="7"/>
      <c r="BC88" s="7"/>
      <c r="BD88" s="7"/>
      <c r="BE88" s="7"/>
      <c r="BF88" s="7"/>
      <c r="BG88" s="7"/>
      <c r="BH88" s="7"/>
      <c r="BI88" s="7"/>
      <c r="BK88"/>
      <c r="BL88"/>
      <c r="BM88"/>
      <c r="BN88"/>
      <c r="BO88"/>
      <c r="BP88"/>
      <c r="BQ88" s="52"/>
      <c r="BR88" s="52"/>
      <c r="BS88" s="55"/>
      <c r="BT88" s="55"/>
      <c r="BU88" s="52"/>
      <c r="BV88" s="50"/>
      <c r="BX88" s="49"/>
      <c r="BY88" s="49"/>
      <c r="BZ88" s="49"/>
      <c r="CA88" s="49"/>
      <c r="CB88" s="49"/>
      <c r="CC88" s="49"/>
      <c r="CD88" s="49"/>
      <c r="CE88" s="49"/>
      <c r="CF88" s="49"/>
      <c r="CG88" s="41"/>
      <c r="CH88" s="7"/>
      <c r="CI88" s="7"/>
      <c r="CJ88" s="7"/>
      <c r="CK88" s="7"/>
      <c r="CL88" s="7"/>
      <c r="CM88" s="7"/>
      <c r="CN88" s="7"/>
      <c r="CO88" s="7"/>
      <c r="CP88" s="7"/>
    </row>
    <row r="89" spans="1:94" ht="14.4" x14ac:dyDescent="0.3">
      <c r="A89" s="138">
        <v>85</v>
      </c>
      <c r="B89" s="4"/>
      <c r="C89" s="44">
        <f>'Life table (HE)'!B$22</f>
        <v>0.1825</v>
      </c>
      <c r="E89" s="45">
        <f t="shared" si="18"/>
        <v>0.1825</v>
      </c>
      <c r="F89" s="46">
        <f t="shared" si="19"/>
        <v>0.16681535607166953</v>
      </c>
      <c r="G89" s="37">
        <f t="shared" si="20"/>
        <v>11180.488780843763</v>
      </c>
      <c r="H89" s="41">
        <f t="shared" si="21"/>
        <v>1865.0772170317587</v>
      </c>
      <c r="I89" s="41">
        <f>SUM($H$4:H88)</f>
        <v>88819.511219156149</v>
      </c>
      <c r="J89" s="37">
        <f t="shared" si="12"/>
        <v>10247.950172327885</v>
      </c>
      <c r="K89" s="37">
        <f>SUM(J89:J$113)</f>
        <v>52789.065154742158</v>
      </c>
      <c r="L89" s="47">
        <f t="shared" si="13"/>
        <v>5.151182847989082</v>
      </c>
      <c r="M89" s="37">
        <f>(G90+0.5*H89)/(1+'General input'!$C$114)^A89</f>
        <v>162.01177649081231</v>
      </c>
      <c r="N89" s="37">
        <f>SUM(M89:M$113)</f>
        <v>713.61766783980136</v>
      </c>
      <c r="O89" s="37">
        <f t="shared" si="14"/>
        <v>4.4047271334023712</v>
      </c>
      <c r="Q89" s="44">
        <v>0</v>
      </c>
      <c r="S89" s="48">
        <f t="shared" si="22"/>
        <v>0</v>
      </c>
      <c r="T89" s="37">
        <f>SUM(S89:S$115)</f>
        <v>0</v>
      </c>
      <c r="U89" s="47">
        <f t="shared" si="15"/>
        <v>0</v>
      </c>
      <c r="V89" s="37">
        <f>S89/(1+'General input'!$C$113)^A89</f>
        <v>0</v>
      </c>
      <c r="W89" s="37">
        <f>SUM(V89:V$115)</f>
        <v>0</v>
      </c>
      <c r="X89" s="202">
        <f t="shared" si="16"/>
        <v>0</v>
      </c>
      <c r="Y89" s="47"/>
      <c r="Z89" s="37">
        <f t="shared" si="23"/>
        <v>85.5</v>
      </c>
      <c r="AA89" s="37">
        <f t="shared" si="17"/>
        <v>159464.10205621537</v>
      </c>
      <c r="AC89" s="4"/>
      <c r="AF89" s="4"/>
      <c r="AI89" s="4"/>
      <c r="AM89" s="41"/>
      <c r="AN89" s="41"/>
      <c r="AO89" s="49"/>
      <c r="AP89" s="41"/>
      <c r="AQ89" s="41"/>
      <c r="AR89" s="41"/>
      <c r="AS89" s="41"/>
      <c r="AT89" s="41"/>
      <c r="AU89" s="41"/>
      <c r="AV89" s="41"/>
      <c r="AW89" s="41"/>
      <c r="AX89" s="41"/>
      <c r="AY89" s="41"/>
      <c r="AZ89" s="41"/>
      <c r="BA89" s="6"/>
      <c r="BB89" s="7"/>
      <c r="BC89" s="7"/>
      <c r="BD89" s="7"/>
      <c r="BE89" s="7"/>
      <c r="BF89" s="7"/>
      <c r="BG89" s="7"/>
      <c r="BH89" s="7"/>
      <c r="BI89" s="7"/>
      <c r="BK89"/>
      <c r="BL89"/>
      <c r="BM89"/>
      <c r="BN89"/>
      <c r="BO89"/>
      <c r="BP89"/>
      <c r="BQ89" s="52"/>
      <c r="BR89" s="52"/>
      <c r="BS89" s="55"/>
      <c r="BT89" s="55"/>
      <c r="BU89" s="52"/>
      <c r="BV89" s="50"/>
      <c r="BX89" s="49"/>
      <c r="BY89" s="49"/>
      <c r="BZ89" s="49"/>
      <c r="CA89" s="49"/>
      <c r="CB89" s="49"/>
      <c r="CC89" s="49"/>
      <c r="CD89" s="49"/>
      <c r="CE89" s="49"/>
      <c r="CF89" s="49"/>
      <c r="CG89" s="41"/>
      <c r="CH89" s="7"/>
      <c r="CI89" s="7"/>
      <c r="CJ89" s="7"/>
      <c r="CK89" s="7"/>
      <c r="CL89" s="7"/>
      <c r="CM89" s="7"/>
      <c r="CN89" s="7"/>
      <c r="CO89" s="7"/>
      <c r="CP89" s="7"/>
    </row>
    <row r="90" spans="1:94" ht="14.4" x14ac:dyDescent="0.3">
      <c r="A90" s="138">
        <v>86</v>
      </c>
      <c r="B90" s="4"/>
      <c r="C90" s="44">
        <f>'Life table (HE)'!B$22</f>
        <v>0.1825</v>
      </c>
      <c r="E90" s="45">
        <f t="shared" si="18"/>
        <v>0.1825</v>
      </c>
      <c r="F90" s="46">
        <f t="shared" si="19"/>
        <v>0.16681535607166953</v>
      </c>
      <c r="G90" s="37">
        <f t="shared" si="20"/>
        <v>9315.4115638120056</v>
      </c>
      <c r="H90" s="41">
        <f t="shared" si="21"/>
        <v>1553.9536969714477</v>
      </c>
      <c r="I90" s="41">
        <f>SUM($H$4:H89)</f>
        <v>90684.588436187914</v>
      </c>
      <c r="J90" s="37">
        <f t="shared" si="12"/>
        <v>8538.4347153262806</v>
      </c>
      <c r="K90" s="37">
        <f>SUM(J90:J$113)</f>
        <v>42541.114982414278</v>
      </c>
      <c r="L90" s="47">
        <f t="shared" si="13"/>
        <v>4.9823083973522708</v>
      </c>
      <c r="M90" s="37">
        <f>(G91+0.5*H90)/(1+'General input'!$C$114)^A90</f>
        <v>128.557832673994</v>
      </c>
      <c r="N90" s="37">
        <f>SUM(M90:M$113)</f>
        <v>551.60589134898896</v>
      </c>
      <c r="O90" s="37">
        <f t="shared" si="14"/>
        <v>4.2907217699273916</v>
      </c>
      <c r="Q90" s="44">
        <v>0</v>
      </c>
      <c r="S90" s="48">
        <f t="shared" si="22"/>
        <v>0</v>
      </c>
      <c r="T90" s="37">
        <f>SUM(S90:S$115)</f>
        <v>0</v>
      </c>
      <c r="U90" s="47">
        <f t="shared" si="15"/>
        <v>0</v>
      </c>
      <c r="V90" s="37">
        <f>S90/(1+'General input'!$C$113)^A90</f>
        <v>0</v>
      </c>
      <c r="W90" s="37">
        <f>SUM(V90:V$115)</f>
        <v>0</v>
      </c>
      <c r="X90" s="202">
        <f t="shared" si="16"/>
        <v>0</v>
      </c>
      <c r="Y90" s="47"/>
      <c r="Z90" s="37">
        <f t="shared" si="23"/>
        <v>86.5</v>
      </c>
      <c r="AA90" s="37">
        <f t="shared" si="17"/>
        <v>134416.99478803022</v>
      </c>
      <c r="AC90" s="4"/>
      <c r="AF90" s="4"/>
      <c r="AI90" s="4"/>
      <c r="AM90" s="41"/>
      <c r="AN90" s="41"/>
      <c r="AO90" s="49"/>
      <c r="AP90" s="41"/>
      <c r="AQ90" s="41"/>
      <c r="AR90" s="41"/>
      <c r="AS90" s="41"/>
      <c r="AT90" s="41"/>
      <c r="AU90" s="41"/>
      <c r="AV90" s="41"/>
      <c r="AW90" s="41"/>
      <c r="AX90" s="41"/>
      <c r="AY90" s="41"/>
      <c r="AZ90" s="41"/>
      <c r="BA90" s="6"/>
      <c r="BB90" s="7"/>
      <c r="BC90" s="7"/>
      <c r="BD90" s="7"/>
      <c r="BE90" s="7"/>
      <c r="BF90" s="7"/>
      <c r="BG90" s="7"/>
      <c r="BH90" s="7"/>
      <c r="BI90" s="7"/>
      <c r="BK90"/>
      <c r="BL90"/>
      <c r="BM90"/>
      <c r="BN90"/>
      <c r="BO90"/>
      <c r="BP90"/>
      <c r="BQ90" s="52"/>
      <c r="BR90" s="52"/>
      <c r="BS90" s="55"/>
      <c r="BT90" s="55"/>
      <c r="BU90" s="52"/>
      <c r="BV90" s="50"/>
      <c r="BX90" s="49"/>
      <c r="BY90" s="49"/>
      <c r="BZ90" s="49"/>
      <c r="CA90" s="49"/>
      <c r="CB90" s="49"/>
      <c r="CC90" s="49"/>
      <c r="CD90" s="49"/>
      <c r="CE90" s="49"/>
      <c r="CF90" s="49"/>
      <c r="CG90" s="41"/>
      <c r="CH90" s="7"/>
      <c r="CI90" s="7"/>
      <c r="CJ90" s="7"/>
      <c r="CK90" s="7"/>
      <c r="CL90" s="7"/>
      <c r="CM90" s="7"/>
      <c r="CN90" s="7"/>
      <c r="CO90" s="7"/>
      <c r="CP90" s="7"/>
    </row>
    <row r="91" spans="1:94" ht="14.4" x14ac:dyDescent="0.3">
      <c r="A91" s="138">
        <v>87</v>
      </c>
      <c r="B91" s="4"/>
      <c r="C91" s="44">
        <f>'Life table (HE)'!B$22</f>
        <v>0.1825</v>
      </c>
      <c r="E91" s="45">
        <f t="shared" si="18"/>
        <v>0.1825</v>
      </c>
      <c r="F91" s="46">
        <f t="shared" si="19"/>
        <v>0.16681535607166953</v>
      </c>
      <c r="G91" s="37">
        <f t="shared" si="20"/>
        <v>7761.4578668405575</v>
      </c>
      <c r="H91" s="41">
        <f t="shared" si="21"/>
        <v>1294.7303576922682</v>
      </c>
      <c r="I91" s="41">
        <f>SUM($H$4:H90)</f>
        <v>92238.542133159368</v>
      </c>
      <c r="J91" s="37">
        <f t="shared" si="12"/>
        <v>7114.0926879944236</v>
      </c>
      <c r="K91" s="37">
        <f>SUM(J91:J$113)</f>
        <v>34002.680267087999</v>
      </c>
      <c r="L91" s="47">
        <f t="shared" si="13"/>
        <v>4.7796228919634585</v>
      </c>
      <c r="M91" s="37">
        <f>(G92+0.5*H91)/(1+'General input'!$C$114)^A91</f>
        <v>102.0118209911234</v>
      </c>
      <c r="N91" s="37">
        <f>SUM(M91:M$113)</f>
        <v>423.04805867499516</v>
      </c>
      <c r="O91" s="37">
        <f t="shared" si="14"/>
        <v>4.1470493768737535</v>
      </c>
      <c r="Q91" s="44">
        <v>0</v>
      </c>
      <c r="S91" s="48">
        <f t="shared" si="22"/>
        <v>0</v>
      </c>
      <c r="T91" s="37">
        <f>SUM(S91:S$115)</f>
        <v>0</v>
      </c>
      <c r="U91" s="47">
        <f t="shared" si="15"/>
        <v>0</v>
      </c>
      <c r="V91" s="37">
        <f>S91/(1+'General input'!$C$113)^A91</f>
        <v>0</v>
      </c>
      <c r="W91" s="37">
        <f>SUM(V91:V$115)</f>
        <v>0</v>
      </c>
      <c r="X91" s="202">
        <f t="shared" si="16"/>
        <v>0</v>
      </c>
      <c r="Y91" s="47"/>
      <c r="Z91" s="37">
        <f t="shared" si="23"/>
        <v>87.5</v>
      </c>
      <c r="AA91" s="37">
        <f t="shared" si="17"/>
        <v>113288.90629807346</v>
      </c>
      <c r="AC91" s="4"/>
      <c r="AF91" s="4"/>
      <c r="AI91" s="4"/>
      <c r="AM91" s="41"/>
      <c r="AN91" s="41"/>
      <c r="AO91" s="49"/>
      <c r="AP91" s="41"/>
      <c r="AQ91" s="41"/>
      <c r="AR91" s="41"/>
      <c r="AS91" s="41"/>
      <c r="AT91" s="41"/>
      <c r="AU91" s="41"/>
      <c r="AV91" s="41"/>
      <c r="AW91" s="41"/>
      <c r="AX91" s="41"/>
      <c r="AY91" s="41"/>
      <c r="AZ91" s="41"/>
      <c r="BA91" s="6"/>
      <c r="BB91" s="7"/>
      <c r="BC91" s="7"/>
      <c r="BD91" s="7"/>
      <c r="BE91" s="7"/>
      <c r="BF91" s="7"/>
      <c r="BG91" s="7"/>
      <c r="BH91" s="7"/>
      <c r="BI91" s="7"/>
      <c r="BK91"/>
      <c r="BL91"/>
      <c r="BM91"/>
      <c r="BN91"/>
      <c r="BO91"/>
      <c r="BP91"/>
      <c r="BQ91" s="52"/>
      <c r="BR91" s="52"/>
      <c r="BS91" s="55"/>
      <c r="BT91" s="55"/>
      <c r="BU91" s="52"/>
      <c r="BV91" s="50"/>
      <c r="BX91" s="49"/>
      <c r="BY91" s="49"/>
      <c r="BZ91" s="49"/>
      <c r="CA91" s="49"/>
      <c r="CB91" s="49"/>
      <c r="CC91" s="49"/>
      <c r="CD91" s="49"/>
      <c r="CE91" s="49"/>
      <c r="CF91" s="49"/>
      <c r="CG91" s="41"/>
      <c r="CH91" s="7"/>
      <c r="CI91" s="7"/>
      <c r="CJ91" s="7"/>
      <c r="CK91" s="7"/>
      <c r="CL91" s="7"/>
      <c r="CM91" s="7"/>
      <c r="CN91" s="7"/>
      <c r="CO91" s="7"/>
      <c r="CP91" s="7"/>
    </row>
    <row r="92" spans="1:94" ht="14.4" x14ac:dyDescent="0.3">
      <c r="A92" s="138">
        <v>88</v>
      </c>
      <c r="B92" s="4"/>
      <c r="C92" s="44">
        <f>'Life table (HE)'!B$22</f>
        <v>0.1825</v>
      </c>
      <c r="E92" s="45">
        <f t="shared" si="18"/>
        <v>0.1825</v>
      </c>
      <c r="F92" s="46">
        <f t="shared" si="19"/>
        <v>0.16681535607166953</v>
      </c>
      <c r="G92" s="37">
        <f t="shared" si="20"/>
        <v>6466.7275091482898</v>
      </c>
      <c r="H92" s="41">
        <f t="shared" si="21"/>
        <v>1078.7494520570326</v>
      </c>
      <c r="I92" s="41">
        <f>SUM($H$4:H91)</f>
        <v>93533.272490851639</v>
      </c>
      <c r="J92" s="37">
        <f t="shared" si="12"/>
        <v>5927.3527831197734</v>
      </c>
      <c r="K92" s="37">
        <f>SUM(J92:J$113)</f>
        <v>26888.587579093582</v>
      </c>
      <c r="L92" s="47">
        <f t="shared" si="13"/>
        <v>4.5363568802026286</v>
      </c>
      <c r="M92" s="37">
        <f>(G93+0.5*H92)/(1+'General input'!$C$114)^A92</f>
        <v>80.947316903780717</v>
      </c>
      <c r="N92" s="37">
        <f>SUM(M92:M$113)</f>
        <v>321.03623768387178</v>
      </c>
      <c r="O92" s="37">
        <f t="shared" si="14"/>
        <v>3.9659898556671926</v>
      </c>
      <c r="Q92" s="44">
        <v>0</v>
      </c>
      <c r="S92" s="48">
        <f t="shared" si="22"/>
        <v>0</v>
      </c>
      <c r="T92" s="37">
        <f>SUM(S92:S$115)</f>
        <v>0</v>
      </c>
      <c r="U92" s="47">
        <f t="shared" si="15"/>
        <v>0</v>
      </c>
      <c r="V92" s="37">
        <f>S92/(1+'General input'!$C$113)^A92</f>
        <v>0</v>
      </c>
      <c r="W92" s="37">
        <f>SUM(V92:V$115)</f>
        <v>0</v>
      </c>
      <c r="X92" s="202">
        <f t="shared" si="16"/>
        <v>0</v>
      </c>
      <c r="Y92" s="47"/>
      <c r="Z92" s="37">
        <f t="shared" si="23"/>
        <v>88.5</v>
      </c>
      <c r="AA92" s="37">
        <f t="shared" si="17"/>
        <v>95469.326507047386</v>
      </c>
      <c r="AC92" s="4"/>
      <c r="AF92" s="4"/>
      <c r="AI92" s="4"/>
      <c r="AM92" s="41"/>
      <c r="AN92" s="41"/>
      <c r="AO92" s="49"/>
      <c r="AP92" s="41"/>
      <c r="AQ92" s="41"/>
      <c r="AR92" s="41"/>
      <c r="AS92" s="41"/>
      <c r="AT92" s="41"/>
      <c r="AU92" s="41"/>
      <c r="AV92" s="41"/>
      <c r="AW92" s="41"/>
      <c r="AX92" s="41"/>
      <c r="AY92" s="41"/>
      <c r="AZ92" s="41"/>
      <c r="BA92" s="6"/>
      <c r="BB92" s="7"/>
      <c r="BC92" s="7"/>
      <c r="BD92" s="7"/>
      <c r="BE92" s="7"/>
      <c r="BF92" s="7"/>
      <c r="BG92" s="7"/>
      <c r="BH92" s="7"/>
      <c r="BI92" s="7"/>
      <c r="BK92"/>
      <c r="BL92"/>
      <c r="BM92"/>
      <c r="BN92"/>
      <c r="BO92"/>
      <c r="BP92"/>
      <c r="BQ92" s="52"/>
      <c r="BR92" s="52"/>
      <c r="BS92" s="55"/>
      <c r="BT92" s="55"/>
      <c r="BU92" s="52"/>
      <c r="BV92" s="50"/>
      <c r="BX92" s="49"/>
      <c r="BY92" s="49"/>
      <c r="BZ92" s="49"/>
      <c r="CA92" s="49"/>
      <c r="CB92" s="49"/>
      <c r="CC92" s="49"/>
      <c r="CD92" s="49"/>
      <c r="CE92" s="49"/>
      <c r="CF92" s="49"/>
      <c r="CG92" s="41"/>
      <c r="CH92" s="7"/>
      <c r="CI92" s="7"/>
      <c r="CJ92" s="7"/>
      <c r="CK92" s="7"/>
      <c r="CL92" s="7"/>
      <c r="CM92" s="7"/>
      <c r="CN92" s="7"/>
      <c r="CO92" s="7"/>
      <c r="CP92" s="7"/>
    </row>
    <row r="93" spans="1:94" ht="14.4" x14ac:dyDescent="0.3">
      <c r="A93" s="138">
        <v>89</v>
      </c>
      <c r="B93" s="4"/>
      <c r="C93" s="44">
        <f>'Life table (HE)'!B$22</f>
        <v>0.1825</v>
      </c>
      <c r="E93" s="45">
        <f t="shared" si="18"/>
        <v>0.1825</v>
      </c>
      <c r="F93" s="46">
        <f t="shared" si="19"/>
        <v>0.16681535607166953</v>
      </c>
      <c r="G93" s="37">
        <f t="shared" si="20"/>
        <v>5387.9780570912571</v>
      </c>
      <c r="H93" s="41">
        <f t="shared" si="21"/>
        <v>898.79747810002027</v>
      </c>
      <c r="I93" s="41">
        <f>SUM($H$4:H92)</f>
        <v>94612.021942908672</v>
      </c>
      <c r="J93" s="37">
        <f t="shared" si="12"/>
        <v>4938.5793180412475</v>
      </c>
      <c r="K93" s="37">
        <f>SUM(J93:J$113)</f>
        <v>20961.234795973811</v>
      </c>
      <c r="L93" s="47">
        <f t="shared" si="13"/>
        <v>4.2443855704412403</v>
      </c>
      <c r="M93" s="37">
        <f>(G94+0.5*H93)/(1+'General input'!$C$114)^A93</f>
        <v>64.232439439457394</v>
      </c>
      <c r="N93" s="37">
        <f>SUM(M93:M$113)</f>
        <v>240.08892078009106</v>
      </c>
      <c r="O93" s="37">
        <f t="shared" si="14"/>
        <v>3.7378141461743497</v>
      </c>
      <c r="Q93" s="44">
        <v>0</v>
      </c>
      <c r="S93" s="48">
        <f t="shared" si="22"/>
        <v>0</v>
      </c>
      <c r="T93" s="37">
        <f>SUM(S93:S$115)</f>
        <v>0</v>
      </c>
      <c r="U93" s="47">
        <f t="shared" si="15"/>
        <v>0</v>
      </c>
      <c r="V93" s="37">
        <f>S93/(1+'General input'!$C$113)^A93</f>
        <v>0</v>
      </c>
      <c r="W93" s="37">
        <f>SUM(V93:V$115)</f>
        <v>0</v>
      </c>
      <c r="X93" s="202">
        <f t="shared" si="16"/>
        <v>0</v>
      </c>
      <c r="Y93" s="47"/>
      <c r="Z93" s="37">
        <f t="shared" si="23"/>
        <v>89.5</v>
      </c>
      <c r="AA93" s="37">
        <f t="shared" si="17"/>
        <v>80442.374289951811</v>
      </c>
      <c r="AC93" s="4"/>
      <c r="AF93" s="4"/>
      <c r="AI93" s="4"/>
      <c r="AM93" s="41"/>
      <c r="AN93" s="41"/>
      <c r="AO93" s="49"/>
      <c r="AP93" s="41"/>
      <c r="AQ93" s="41"/>
      <c r="AR93" s="41"/>
      <c r="AS93" s="41"/>
      <c r="AT93" s="41"/>
      <c r="AU93" s="41"/>
      <c r="AV93" s="41"/>
      <c r="AW93" s="41"/>
      <c r="AX93" s="41"/>
      <c r="AY93" s="41"/>
      <c r="AZ93" s="41"/>
      <c r="BA93" s="6"/>
      <c r="BB93" s="7"/>
      <c r="BC93" s="7"/>
      <c r="BD93" s="7"/>
      <c r="BE93" s="7"/>
      <c r="BF93" s="7"/>
      <c r="BG93" s="7"/>
      <c r="BH93" s="7"/>
      <c r="BI93" s="7"/>
      <c r="BK93"/>
      <c r="BL93"/>
      <c r="BM93"/>
      <c r="BN93"/>
      <c r="BO93"/>
      <c r="BP93"/>
      <c r="BQ93" s="52"/>
      <c r="BR93" s="52"/>
      <c r="BS93" s="55"/>
      <c r="BT93" s="55"/>
      <c r="BU93" s="52"/>
      <c r="BV93" s="50"/>
      <c r="BX93" s="49"/>
      <c r="BY93" s="49"/>
      <c r="BZ93" s="49"/>
      <c r="CA93" s="49"/>
      <c r="CB93" s="49"/>
      <c r="CC93" s="49"/>
      <c r="CD93" s="49"/>
      <c r="CE93" s="49"/>
      <c r="CF93" s="49"/>
      <c r="CG93" s="41"/>
      <c r="CH93" s="7"/>
      <c r="CI93" s="7"/>
      <c r="CJ93" s="7"/>
      <c r="CK93" s="7"/>
      <c r="CL93" s="7"/>
      <c r="CM93" s="7"/>
      <c r="CN93" s="7"/>
      <c r="CO93" s="7"/>
      <c r="CP93" s="7"/>
    </row>
    <row r="94" spans="1:94" ht="14.4" x14ac:dyDescent="0.3">
      <c r="A94" s="138">
        <v>90</v>
      </c>
      <c r="B94" s="4"/>
      <c r="C94" s="44">
        <f>'Life table (HE)'!B$23</f>
        <v>0.25850000000000001</v>
      </c>
      <c r="E94" s="45">
        <f t="shared" si="18"/>
        <v>0.25850000000000001</v>
      </c>
      <c r="F94" s="46">
        <f t="shared" si="19"/>
        <v>0.22779096895081519</v>
      </c>
      <c r="G94" s="37">
        <f t="shared" si="20"/>
        <v>4489.1805789912369</v>
      </c>
      <c r="H94" s="41">
        <f t="shared" si="21"/>
        <v>1022.5947938835953</v>
      </c>
      <c r="I94" s="41">
        <f>SUM($H$4:H93)</f>
        <v>95510.819421008695</v>
      </c>
      <c r="J94" s="37">
        <f t="shared" si="12"/>
        <v>3977.8831820494393</v>
      </c>
      <c r="K94" s="37">
        <f>SUM(J94:J$113)</f>
        <v>16022.655477932567</v>
      </c>
      <c r="L94" s="47">
        <f t="shared" si="13"/>
        <v>4.0279351465714885</v>
      </c>
      <c r="M94" s="37">
        <f>(G95+0.5*H94)/(1+'General input'!$C$114)^A94</f>
        <v>49.273692490165161</v>
      </c>
      <c r="N94" s="37">
        <f>SUM(M94:M$113)</f>
        <v>175.85648134063368</v>
      </c>
      <c r="O94" s="37">
        <f t="shared" si="14"/>
        <v>3.5689730656117149</v>
      </c>
      <c r="Q94" s="44">
        <v>0</v>
      </c>
      <c r="S94" s="48">
        <f t="shared" si="22"/>
        <v>0</v>
      </c>
      <c r="T94" s="37">
        <f>SUM(S94:S$115)</f>
        <v>0</v>
      </c>
      <c r="U94" s="47">
        <f t="shared" si="15"/>
        <v>0</v>
      </c>
      <c r="V94" s="37">
        <f>S94/(1+'General input'!$C$113)^A94</f>
        <v>0</v>
      </c>
      <c r="W94" s="37">
        <f>SUM(V94:V$115)</f>
        <v>0</v>
      </c>
      <c r="X94" s="202">
        <f t="shared" si="16"/>
        <v>0</v>
      </c>
      <c r="Y94" s="47"/>
      <c r="Z94" s="37">
        <f t="shared" si="23"/>
        <v>90.5</v>
      </c>
      <c r="AA94" s="37">
        <f t="shared" si="17"/>
        <v>92544.828846465374</v>
      </c>
      <c r="AC94" s="4"/>
      <c r="AF94" s="4"/>
      <c r="AI94" s="4"/>
      <c r="AM94" s="41"/>
      <c r="AN94" s="41"/>
      <c r="AO94" s="49"/>
      <c r="AP94" s="41"/>
      <c r="AQ94" s="41"/>
      <c r="AR94" s="41"/>
      <c r="AS94" s="41"/>
      <c r="AT94" s="41"/>
      <c r="AU94" s="41"/>
      <c r="AV94" s="41"/>
      <c r="AW94" s="41"/>
      <c r="AX94" s="41"/>
      <c r="AY94" s="41"/>
      <c r="AZ94" s="41"/>
      <c r="BA94" s="6"/>
      <c r="BB94" s="7"/>
      <c r="BC94" s="7"/>
      <c r="BD94" s="7"/>
      <c r="BE94" s="7"/>
      <c r="BF94" s="7"/>
      <c r="BG94" s="7"/>
      <c r="BH94" s="7"/>
      <c r="BI94" s="7"/>
      <c r="BK94"/>
      <c r="BL94"/>
      <c r="BM94"/>
      <c r="BN94"/>
      <c r="BO94"/>
      <c r="BP94"/>
      <c r="BQ94" s="52"/>
      <c r="BR94" s="52"/>
      <c r="BS94" s="55"/>
      <c r="BT94" s="55"/>
      <c r="BU94" s="52"/>
      <c r="BV94" s="50"/>
      <c r="BX94" s="49"/>
      <c r="BY94" s="49"/>
      <c r="BZ94" s="49"/>
      <c r="CA94" s="49"/>
      <c r="CB94" s="49"/>
      <c r="CC94" s="49"/>
      <c r="CD94" s="49"/>
      <c r="CE94" s="49"/>
      <c r="CF94" s="49"/>
      <c r="CG94" s="41"/>
      <c r="CH94" s="7"/>
      <c r="CI94" s="7"/>
      <c r="CJ94" s="7"/>
      <c r="CK94" s="7"/>
      <c r="CL94" s="7"/>
      <c r="CM94" s="7"/>
      <c r="CN94" s="7"/>
      <c r="CO94" s="7"/>
      <c r="CP94" s="7"/>
    </row>
    <row r="95" spans="1:94" ht="14.4" x14ac:dyDescent="0.3">
      <c r="A95" s="138">
        <v>91</v>
      </c>
      <c r="B95" s="4"/>
      <c r="C95" s="44">
        <f>'Life table (HE)'!B$23</f>
        <v>0.25850000000000001</v>
      </c>
      <c r="E95" s="45">
        <f t="shared" si="18"/>
        <v>0.25850000000000001</v>
      </c>
      <c r="F95" s="46">
        <f t="shared" si="19"/>
        <v>0.22779096895081519</v>
      </c>
      <c r="G95" s="37">
        <f t="shared" si="20"/>
        <v>3466.5857851076416</v>
      </c>
      <c r="H95" s="41">
        <f t="shared" si="21"/>
        <v>789.6569349407921</v>
      </c>
      <c r="I95" s="41">
        <f>SUM($H$4:H94)</f>
        <v>96533.414214892284</v>
      </c>
      <c r="J95" s="37">
        <f t="shared" si="12"/>
        <v>3071.7573176372457</v>
      </c>
      <c r="K95" s="37">
        <f>SUM(J95:J$113)</f>
        <v>12044.772295883125</v>
      </c>
      <c r="L95" s="47">
        <f t="shared" si="13"/>
        <v>3.9211340774627996</v>
      </c>
      <c r="M95" s="37">
        <f>(G96+0.5*H95)/(1+'General input'!$C$114)^A95</f>
        <v>36.237705080043739</v>
      </c>
      <c r="N95" s="37">
        <f>SUM(M95:M$113)</f>
        <v>126.58278885046846</v>
      </c>
      <c r="O95" s="37">
        <f t="shared" si="14"/>
        <v>3.4931237662778529</v>
      </c>
      <c r="Q95" s="44">
        <v>0</v>
      </c>
      <c r="S95" s="48">
        <f t="shared" si="22"/>
        <v>0</v>
      </c>
      <c r="T95" s="37">
        <f>SUM(S95:S$115)</f>
        <v>0</v>
      </c>
      <c r="U95" s="47">
        <f t="shared" si="15"/>
        <v>0</v>
      </c>
      <c r="V95" s="37">
        <f>S95/(1+'General input'!$C$113)^A95</f>
        <v>0</v>
      </c>
      <c r="W95" s="37">
        <f>SUM(V95:V$115)</f>
        <v>0</v>
      </c>
      <c r="X95" s="202">
        <f t="shared" si="16"/>
        <v>0</v>
      </c>
      <c r="Y95" s="47"/>
      <c r="Z95" s="37">
        <f t="shared" si="23"/>
        <v>91.5</v>
      </c>
      <c r="AA95" s="37">
        <f t="shared" si="17"/>
        <v>72253.60954708248</v>
      </c>
      <c r="AC95" s="4"/>
      <c r="AF95" s="4"/>
      <c r="AI95" s="4"/>
      <c r="AM95" s="41"/>
      <c r="AN95" s="41"/>
      <c r="AO95" s="49"/>
      <c r="AP95" s="41"/>
      <c r="AQ95" s="41"/>
      <c r="AR95" s="41"/>
      <c r="AS95" s="41"/>
      <c r="AT95" s="41"/>
      <c r="AU95" s="41"/>
      <c r="AV95" s="41"/>
      <c r="AW95" s="41"/>
      <c r="AX95" s="41"/>
      <c r="AY95" s="41"/>
      <c r="AZ95" s="41"/>
      <c r="BA95" s="6"/>
      <c r="BB95" s="7"/>
      <c r="BC95" s="7"/>
      <c r="BD95" s="7"/>
      <c r="BE95" s="7"/>
      <c r="BF95" s="7"/>
      <c r="BG95" s="7"/>
      <c r="BH95" s="7"/>
      <c r="BI95" s="7"/>
      <c r="BK95"/>
      <c r="BL95"/>
      <c r="BM95"/>
      <c r="BN95"/>
      <c r="BO95"/>
      <c r="BP95"/>
      <c r="BQ95" s="52"/>
      <c r="BR95" s="52"/>
      <c r="BS95" s="55"/>
      <c r="BT95" s="55"/>
      <c r="BU95" s="52"/>
      <c r="BV95" s="50"/>
      <c r="BX95" s="49"/>
      <c r="BY95" s="49"/>
      <c r="BZ95" s="49"/>
      <c r="CA95" s="49"/>
      <c r="CB95" s="49"/>
      <c r="CC95" s="49"/>
      <c r="CD95" s="49"/>
      <c r="CE95" s="49"/>
      <c r="CF95" s="49"/>
      <c r="CG95" s="41"/>
      <c r="CH95" s="7"/>
      <c r="CI95" s="7"/>
      <c r="CJ95" s="7"/>
      <c r="CK95" s="7"/>
      <c r="CL95" s="7"/>
      <c r="CM95" s="7"/>
      <c r="CN95" s="7"/>
      <c r="CO95" s="7"/>
      <c r="CP95" s="7"/>
    </row>
    <row r="96" spans="1:94" ht="14.4" x14ac:dyDescent="0.3">
      <c r="A96" s="138">
        <v>92</v>
      </c>
      <c r="B96" s="4"/>
      <c r="C96" s="44">
        <f>'Life table (HE)'!B$23</f>
        <v>0.25850000000000001</v>
      </c>
      <c r="E96" s="45">
        <f t="shared" si="18"/>
        <v>0.25850000000000001</v>
      </c>
      <c r="F96" s="46">
        <f t="shared" si="19"/>
        <v>0.22779096895081519</v>
      </c>
      <c r="G96" s="37">
        <f t="shared" si="20"/>
        <v>2676.9288501668498</v>
      </c>
      <c r="H96" s="41">
        <f t="shared" si="21"/>
        <v>609.78021659189824</v>
      </c>
      <c r="I96" s="41">
        <f>SUM($H$4:H95)</f>
        <v>97323.071149833078</v>
      </c>
      <c r="J96" s="37">
        <f t="shared" si="12"/>
        <v>2372.0387418709006</v>
      </c>
      <c r="K96" s="37">
        <f>SUM(J96:J$113)</f>
        <v>8973.014978245883</v>
      </c>
      <c r="L96" s="47">
        <f t="shared" si="13"/>
        <v>3.7828281721775707</v>
      </c>
      <c r="M96" s="37">
        <f>(G97+0.5*H96)/(1+'General input'!$C$114)^A96</f>
        <v>26.65055535933972</v>
      </c>
      <c r="N96" s="37">
        <f>SUM(M96:M$113)</f>
        <v>90.345083770424736</v>
      </c>
      <c r="O96" s="37">
        <f t="shared" si="14"/>
        <v>3.3899887845587875</v>
      </c>
      <c r="Q96" s="44">
        <v>0</v>
      </c>
      <c r="S96" s="48">
        <f t="shared" si="22"/>
        <v>0</v>
      </c>
      <c r="T96" s="37">
        <f>SUM(S96:S$115)</f>
        <v>0</v>
      </c>
      <c r="U96" s="47">
        <f t="shared" si="15"/>
        <v>0</v>
      </c>
      <c r="V96" s="37">
        <f>S96/(1+'General input'!$C$113)^A96</f>
        <v>0</v>
      </c>
      <c r="W96" s="37">
        <f>SUM(V96:V$115)</f>
        <v>0</v>
      </c>
      <c r="X96" s="202">
        <f t="shared" si="16"/>
        <v>0</v>
      </c>
      <c r="Y96" s="47"/>
      <c r="Z96" s="37">
        <f t="shared" si="23"/>
        <v>92.5</v>
      </c>
      <c r="AA96" s="37">
        <f t="shared" si="17"/>
        <v>56404.67003475059</v>
      </c>
      <c r="AC96" s="4"/>
      <c r="AF96" s="4"/>
      <c r="AI96" s="4"/>
      <c r="AM96" s="41"/>
      <c r="AN96" s="41"/>
      <c r="AO96" s="49"/>
      <c r="AP96" s="41"/>
      <c r="AQ96" s="41"/>
      <c r="AR96" s="41"/>
      <c r="AS96" s="41"/>
      <c r="AT96" s="41"/>
      <c r="AU96" s="41"/>
      <c r="AV96" s="41"/>
      <c r="AW96" s="41"/>
      <c r="AX96" s="41"/>
      <c r="AY96" s="41"/>
      <c r="AZ96" s="41"/>
      <c r="BA96" s="6"/>
      <c r="BB96" s="7"/>
      <c r="BC96" s="7"/>
      <c r="BD96" s="7"/>
      <c r="BE96" s="7"/>
      <c r="BF96" s="7"/>
      <c r="BG96" s="7"/>
      <c r="BH96" s="7"/>
      <c r="BI96" s="7"/>
      <c r="BK96"/>
      <c r="BL96"/>
      <c r="BM96"/>
      <c r="BN96"/>
      <c r="BO96"/>
      <c r="BP96"/>
      <c r="BQ96" s="52"/>
      <c r="BR96" s="52"/>
      <c r="BS96" s="55"/>
      <c r="BT96" s="55"/>
      <c r="BU96" s="52"/>
      <c r="BV96" s="50"/>
      <c r="BX96" s="49"/>
      <c r="BY96" s="49"/>
      <c r="BZ96" s="49"/>
      <c r="CA96" s="49"/>
      <c r="CB96" s="49"/>
      <c r="CC96" s="49"/>
      <c r="CD96" s="49"/>
      <c r="CE96" s="49"/>
      <c r="CF96" s="49"/>
      <c r="CG96" s="41"/>
      <c r="CH96" s="7"/>
      <c r="CI96" s="7"/>
      <c r="CJ96" s="7"/>
      <c r="CK96" s="7"/>
      <c r="CL96" s="7"/>
      <c r="CM96" s="7"/>
      <c r="CN96" s="7"/>
      <c r="CO96" s="7"/>
      <c r="CP96" s="7"/>
    </row>
    <row r="97" spans="1:94" ht="14.4" x14ac:dyDescent="0.3">
      <c r="A97" s="138">
        <v>93</v>
      </c>
      <c r="B97" s="4"/>
      <c r="C97" s="44">
        <f>'Life table (HE)'!B$23</f>
        <v>0.25850000000000001</v>
      </c>
      <c r="E97" s="45">
        <f t="shared" si="18"/>
        <v>0.25850000000000001</v>
      </c>
      <c r="F97" s="46">
        <f t="shared" si="19"/>
        <v>0.22779096895081519</v>
      </c>
      <c r="G97" s="37">
        <f t="shared" si="20"/>
        <v>2067.1486335749514</v>
      </c>
      <c r="H97" s="41">
        <f t="shared" si="21"/>
        <v>470.8777902073918</v>
      </c>
      <c r="I97" s="41">
        <f>SUM($H$4:H96)</f>
        <v>97932.851366424977</v>
      </c>
      <c r="J97" s="37">
        <f t="shared" si="12"/>
        <v>1831.7097384712554</v>
      </c>
      <c r="K97" s="37">
        <f>SUM(J97:J$113)</f>
        <v>6600.976236374976</v>
      </c>
      <c r="L97" s="47">
        <f t="shared" si="13"/>
        <v>3.6037239403903314</v>
      </c>
      <c r="M97" s="37">
        <f>(G98+0.5*H97)/(1+'General input'!$C$114)^A97</f>
        <v>19.599809077103217</v>
      </c>
      <c r="N97" s="37">
        <f>SUM(M97:M$113)</f>
        <v>63.694528411085031</v>
      </c>
      <c r="O97" s="37">
        <f t="shared" si="14"/>
        <v>3.2497524930226951</v>
      </c>
      <c r="Q97" s="44">
        <v>0</v>
      </c>
      <c r="S97" s="48">
        <f t="shared" si="22"/>
        <v>0</v>
      </c>
      <c r="T97" s="37">
        <f>SUM(S97:S$115)</f>
        <v>0</v>
      </c>
      <c r="U97" s="47">
        <f t="shared" si="15"/>
        <v>0</v>
      </c>
      <c r="V97" s="37">
        <f>S97/(1+'General input'!$C$113)^A97</f>
        <v>0</v>
      </c>
      <c r="W97" s="37">
        <f>SUM(V97:V$115)</f>
        <v>0</v>
      </c>
      <c r="X97" s="202">
        <f t="shared" si="16"/>
        <v>0</v>
      </c>
      <c r="Y97" s="47"/>
      <c r="Z97" s="37">
        <f t="shared" si="23"/>
        <v>93.5</v>
      </c>
      <c r="AA97" s="37">
        <f t="shared" si="17"/>
        <v>44027.073384391137</v>
      </c>
      <c r="AC97" s="4"/>
      <c r="AF97" s="4"/>
      <c r="AI97" s="4"/>
      <c r="AM97" s="41"/>
      <c r="AN97" s="41"/>
      <c r="AO97" s="49"/>
      <c r="AP97" s="41"/>
      <c r="AQ97" s="41"/>
      <c r="AR97" s="41"/>
      <c r="AS97" s="41"/>
      <c r="AT97" s="41"/>
      <c r="AU97" s="41"/>
      <c r="AV97" s="41"/>
      <c r="AW97" s="41"/>
      <c r="AX97" s="41"/>
      <c r="AY97" s="41"/>
      <c r="AZ97" s="41"/>
      <c r="BA97" s="6"/>
      <c r="BB97" s="7"/>
      <c r="BC97" s="7"/>
      <c r="BD97" s="7"/>
      <c r="BE97" s="7"/>
      <c r="BF97" s="7"/>
      <c r="BG97" s="7"/>
      <c r="BH97" s="7"/>
      <c r="BI97" s="7"/>
      <c r="BK97"/>
      <c r="BL97"/>
      <c r="BM97"/>
      <c r="BN97"/>
      <c r="BO97"/>
      <c r="BP97"/>
      <c r="BQ97"/>
      <c r="BR97"/>
      <c r="BS97" s="52"/>
      <c r="BT97" s="52"/>
      <c r="BU97"/>
      <c r="BV97" s="50"/>
      <c r="BX97" s="49"/>
      <c r="BY97" s="49"/>
      <c r="BZ97" s="49"/>
      <c r="CA97" s="49"/>
      <c r="CB97" s="49"/>
      <c r="CC97" s="49"/>
      <c r="CD97" s="49"/>
      <c r="CE97" s="49"/>
      <c r="CF97" s="49"/>
      <c r="CG97" s="41"/>
      <c r="CH97" s="7"/>
      <c r="CI97" s="7"/>
      <c r="CJ97" s="7"/>
      <c r="CK97" s="7"/>
      <c r="CL97" s="7"/>
      <c r="CM97" s="7"/>
      <c r="CN97" s="7"/>
      <c r="CO97" s="7"/>
      <c r="CP97" s="7"/>
    </row>
    <row r="98" spans="1:94" ht="14.4" x14ac:dyDescent="0.3">
      <c r="A98" s="138">
        <v>94</v>
      </c>
      <c r="B98" s="4"/>
      <c r="C98" s="44">
        <f>'Life table (HE)'!B$23</f>
        <v>0.25850000000000001</v>
      </c>
      <c r="E98" s="45">
        <f t="shared" si="18"/>
        <v>0.25850000000000001</v>
      </c>
      <c r="F98" s="46">
        <f t="shared" si="19"/>
        <v>0.22779096895081519</v>
      </c>
      <c r="G98" s="37">
        <f t="shared" si="20"/>
        <v>1596.2708433675596</v>
      </c>
      <c r="H98" s="41">
        <f t="shared" si="21"/>
        <v>363.61608211863131</v>
      </c>
      <c r="I98" s="41">
        <f>SUM($H$4:H97)</f>
        <v>98403.729156632369</v>
      </c>
      <c r="J98" s="37">
        <f t="shared" si="12"/>
        <v>1414.4628023082439</v>
      </c>
      <c r="K98" s="37">
        <f>SUM(J98:J$113)</f>
        <v>4769.2664979037208</v>
      </c>
      <c r="L98" s="47">
        <f t="shared" si="13"/>
        <v>3.3717864408458218</v>
      </c>
      <c r="M98" s="37">
        <f>(G99+0.5*H98)/(1+'General input'!$C$114)^A98</f>
        <v>14.414428167789428</v>
      </c>
      <c r="N98" s="37">
        <f>SUM(M98:M$113)</f>
        <v>44.094719333981814</v>
      </c>
      <c r="O98" s="37">
        <f t="shared" si="14"/>
        <v>3.0590682350144247</v>
      </c>
      <c r="Q98" s="44">
        <v>0</v>
      </c>
      <c r="S98" s="48">
        <f t="shared" si="22"/>
        <v>0</v>
      </c>
      <c r="T98" s="37">
        <f>SUM(S98:S$115)</f>
        <v>0</v>
      </c>
      <c r="U98" s="47">
        <f t="shared" si="15"/>
        <v>0</v>
      </c>
      <c r="V98" s="37">
        <f>S98/(1+'General input'!$C$113)^A98</f>
        <v>0</v>
      </c>
      <c r="W98" s="37">
        <f>SUM(V98:V$115)</f>
        <v>0</v>
      </c>
      <c r="X98" s="202">
        <f t="shared" si="16"/>
        <v>0</v>
      </c>
      <c r="Y98" s="47"/>
      <c r="Z98" s="37">
        <f t="shared" si="23"/>
        <v>94.5</v>
      </c>
      <c r="AA98" s="37">
        <f t="shared" si="17"/>
        <v>34361.719760210661</v>
      </c>
      <c r="AC98" s="4"/>
      <c r="AF98" s="4"/>
      <c r="AI98" s="4"/>
      <c r="AM98" s="41"/>
      <c r="AN98" s="41"/>
      <c r="AO98" s="49"/>
      <c r="AP98" s="41"/>
      <c r="AQ98" s="41"/>
      <c r="AR98" s="41"/>
      <c r="AS98" s="41"/>
      <c r="AT98" s="41"/>
      <c r="AU98" s="41"/>
      <c r="AV98" s="41"/>
      <c r="AW98" s="41"/>
      <c r="AX98" s="41"/>
      <c r="AY98" s="41"/>
      <c r="AZ98" s="41"/>
      <c r="BA98" s="6"/>
      <c r="BB98" s="7"/>
      <c r="BC98" s="7"/>
      <c r="BD98" s="7"/>
      <c r="BE98" s="7"/>
      <c r="BF98" s="7"/>
      <c r="BG98" s="7"/>
      <c r="BH98" s="7"/>
      <c r="BI98" s="7"/>
      <c r="BV98" s="50"/>
      <c r="BX98" s="49"/>
      <c r="BY98" s="49"/>
      <c r="BZ98" s="49"/>
      <c r="CA98" s="49"/>
      <c r="CB98" s="49"/>
      <c r="CC98" s="49"/>
      <c r="CD98" s="49"/>
      <c r="CE98" s="49"/>
      <c r="CF98" s="49"/>
      <c r="CG98" s="41"/>
      <c r="CH98" s="7"/>
      <c r="CI98" s="7"/>
      <c r="CJ98" s="7"/>
      <c r="CK98" s="7"/>
      <c r="CL98" s="7"/>
      <c r="CM98" s="7"/>
      <c r="CN98" s="7"/>
      <c r="CO98" s="7"/>
      <c r="CP98" s="7"/>
    </row>
    <row r="99" spans="1:94" ht="14.4" x14ac:dyDescent="0.3">
      <c r="A99" s="138">
        <v>95</v>
      </c>
      <c r="B99" s="4"/>
      <c r="C99" s="44">
        <f>'Life table (HE)'!B$24</f>
        <v>0.35550000000000004</v>
      </c>
      <c r="E99" s="45">
        <f t="shared" si="18"/>
        <v>0.35550000000000004</v>
      </c>
      <c r="F99" s="46">
        <f t="shared" si="19"/>
        <v>0.29917705588095744</v>
      </c>
      <c r="G99" s="37">
        <f t="shared" si="20"/>
        <v>1232.6547612489283</v>
      </c>
      <c r="H99" s="41">
        <f t="shared" si="21"/>
        <v>368.78202238809888</v>
      </c>
      <c r="I99" s="41">
        <f>SUM($H$4:H98)</f>
        <v>98767.345238751004</v>
      </c>
      <c r="J99" s="37">
        <f t="shared" si="12"/>
        <v>1048.2637500548788</v>
      </c>
      <c r="K99" s="37">
        <f>SUM(J99:J$113)</f>
        <v>3354.8036955954772</v>
      </c>
      <c r="L99" s="47">
        <f t="shared" si="13"/>
        <v>3.200343134463866</v>
      </c>
      <c r="M99" s="37">
        <f>(G100+0.5*H99)/(1+'General input'!$C$114)^A99</f>
        <v>10.173892772918114</v>
      </c>
      <c r="N99" s="37">
        <f>SUM(M99:M$113)</f>
        <v>29.680291166192372</v>
      </c>
      <c r="O99" s="37">
        <f t="shared" si="14"/>
        <v>2.9172993886075096</v>
      </c>
      <c r="Q99" s="44">
        <v>0</v>
      </c>
      <c r="S99" s="48">
        <f t="shared" si="22"/>
        <v>0</v>
      </c>
      <c r="T99" s="37">
        <f>SUM(S99:S$115)</f>
        <v>0</v>
      </c>
      <c r="U99" s="47">
        <f t="shared" si="15"/>
        <v>0</v>
      </c>
      <c r="V99" s="37">
        <f>S99/(1+'General input'!$C$113)^A99</f>
        <v>0</v>
      </c>
      <c r="W99" s="37">
        <f>SUM(V99:V$115)</f>
        <v>0</v>
      </c>
      <c r="X99" s="202">
        <f t="shared" si="16"/>
        <v>0</v>
      </c>
      <c r="Y99" s="47"/>
      <c r="Z99" s="37">
        <f t="shared" si="23"/>
        <v>95.5</v>
      </c>
      <c r="AA99" s="37">
        <f t="shared" si="17"/>
        <v>35218.683138063447</v>
      </c>
      <c r="AC99" s="4"/>
      <c r="AF99" s="4"/>
      <c r="AI99" s="4"/>
      <c r="AM99" s="41"/>
      <c r="AN99" s="41"/>
      <c r="AO99" s="49"/>
      <c r="AP99" s="41"/>
      <c r="AQ99" s="41"/>
      <c r="AR99" s="41"/>
      <c r="AS99" s="41"/>
      <c r="AT99" s="41"/>
      <c r="AU99" s="41"/>
      <c r="AV99" s="41"/>
      <c r="AW99" s="41"/>
      <c r="AX99" s="41"/>
      <c r="AY99" s="41"/>
      <c r="AZ99" s="41"/>
      <c r="BA99" s="6"/>
      <c r="BB99" s="7"/>
      <c r="BC99" s="7"/>
      <c r="BD99" s="7"/>
      <c r="BE99" s="7"/>
      <c r="BF99" s="7"/>
      <c r="BG99" s="7"/>
      <c r="BH99" s="7"/>
      <c r="BI99" s="7"/>
      <c r="BV99" s="50"/>
      <c r="BX99" s="49"/>
      <c r="BY99" s="49"/>
      <c r="BZ99" s="49"/>
      <c r="CA99" s="49"/>
      <c r="CB99" s="49"/>
      <c r="CC99" s="49"/>
      <c r="CD99" s="49"/>
      <c r="CE99" s="49"/>
      <c r="CF99" s="49"/>
      <c r="CG99" s="41"/>
      <c r="CH99" s="7"/>
      <c r="CI99" s="7"/>
      <c r="CJ99" s="7"/>
      <c r="CK99" s="7"/>
      <c r="CL99" s="7"/>
      <c r="CM99" s="7"/>
      <c r="CN99" s="7"/>
      <c r="CO99" s="7"/>
      <c r="CP99" s="7"/>
    </row>
    <row r="100" spans="1:94" ht="14.4" x14ac:dyDescent="0.3">
      <c r="A100" s="138">
        <v>96</v>
      </c>
      <c r="B100" s="4"/>
      <c r="C100" s="44">
        <f>'Life table (HE)'!B$24</f>
        <v>0.35550000000000004</v>
      </c>
      <c r="E100" s="45">
        <f t="shared" si="18"/>
        <v>0.35550000000000004</v>
      </c>
      <c r="F100" s="46">
        <f t="shared" si="19"/>
        <v>0.29917705588095744</v>
      </c>
      <c r="G100" s="37">
        <f t="shared" si="20"/>
        <v>863.87273886082937</v>
      </c>
      <c r="H100" s="41">
        <f t="shared" si="21"/>
        <v>258.4509026682021</v>
      </c>
      <c r="I100" s="41">
        <f>SUM($H$4:H99)</f>
        <v>99136.127261139103</v>
      </c>
      <c r="J100" s="37">
        <f t="shared" si="12"/>
        <v>734.64728752672841</v>
      </c>
      <c r="K100" s="37">
        <f>SUM(J100:J$113)</f>
        <v>2306.5399455405986</v>
      </c>
      <c r="L100" s="47">
        <f t="shared" si="13"/>
        <v>3.1396562468852518</v>
      </c>
      <c r="M100" s="37">
        <f>(G101+0.5*H100)/(1+'General input'!$C$114)^A100</f>
        <v>6.79056903454088</v>
      </c>
      <c r="N100" s="37">
        <f>SUM(M100:M$113)</f>
        <v>19.506398393274257</v>
      </c>
      <c r="O100" s="37">
        <f t="shared" si="14"/>
        <v>2.8725719883051175</v>
      </c>
      <c r="Q100" s="44">
        <v>0</v>
      </c>
      <c r="S100" s="48">
        <f t="shared" si="22"/>
        <v>0</v>
      </c>
      <c r="T100" s="37">
        <f>SUM(S100:S$115)</f>
        <v>0</v>
      </c>
      <c r="U100" s="47">
        <f t="shared" si="15"/>
        <v>0</v>
      </c>
      <c r="V100" s="37">
        <f>S100/(1+'General input'!$C$113)^A100</f>
        <v>0</v>
      </c>
      <c r="W100" s="37">
        <f>SUM(V100:V$115)</f>
        <v>0</v>
      </c>
      <c r="X100" s="202">
        <f t="shared" si="16"/>
        <v>0</v>
      </c>
      <c r="Y100" s="47"/>
      <c r="Z100" s="37">
        <f t="shared" si="23"/>
        <v>96.5</v>
      </c>
      <c r="AA100" s="37">
        <f t="shared" si="17"/>
        <v>24940.512107481503</v>
      </c>
      <c r="AC100" s="4"/>
      <c r="AF100" s="4"/>
      <c r="AI100" s="4"/>
      <c r="AM100" s="41"/>
      <c r="AN100" s="41"/>
      <c r="AO100" s="49"/>
      <c r="AP100" s="41"/>
      <c r="AQ100" s="41"/>
      <c r="AR100" s="41"/>
      <c r="AS100" s="41"/>
      <c r="AT100" s="41"/>
      <c r="AU100" s="41"/>
      <c r="AV100" s="41"/>
      <c r="AW100" s="41"/>
      <c r="AX100" s="41"/>
      <c r="AY100" s="41"/>
      <c r="AZ100" s="41"/>
      <c r="BA100" s="6"/>
      <c r="BB100" s="7"/>
      <c r="BC100" s="7"/>
      <c r="BD100" s="7"/>
      <c r="BE100" s="7"/>
      <c r="BF100" s="7"/>
      <c r="BG100" s="7"/>
      <c r="BH100" s="7"/>
      <c r="BI100" s="7"/>
      <c r="BV100" s="50"/>
      <c r="BX100" s="49"/>
      <c r="BY100" s="49"/>
      <c r="BZ100" s="49"/>
      <c r="CA100" s="49"/>
      <c r="CB100" s="49"/>
      <c r="CC100" s="49"/>
      <c r="CD100" s="49"/>
      <c r="CE100" s="49"/>
      <c r="CF100" s="49"/>
      <c r="CG100" s="41"/>
      <c r="CH100" s="7"/>
      <c r="CI100" s="7"/>
      <c r="CJ100" s="7"/>
      <c r="CK100" s="7"/>
      <c r="CL100" s="7"/>
      <c r="CM100" s="7"/>
      <c r="CN100" s="7"/>
      <c r="CO100" s="7"/>
      <c r="CP100" s="7"/>
    </row>
    <row r="101" spans="1:94" ht="14.4" x14ac:dyDescent="0.3">
      <c r="A101" s="138">
        <v>97</v>
      </c>
      <c r="B101" s="4"/>
      <c r="C101" s="44">
        <f>'Life table (HE)'!B$24</f>
        <v>0.35550000000000004</v>
      </c>
      <c r="E101" s="45">
        <f t="shared" si="18"/>
        <v>0.35550000000000004</v>
      </c>
      <c r="F101" s="46">
        <f t="shared" si="19"/>
        <v>0.29917705588095744</v>
      </c>
      <c r="G101" s="37">
        <f t="shared" si="20"/>
        <v>605.42183619262732</v>
      </c>
      <c r="H101" s="41">
        <f t="shared" si="21"/>
        <v>181.12832251815354</v>
      </c>
      <c r="I101" s="41">
        <f>SUM($H$4:H100)</f>
        <v>99394.578163807309</v>
      </c>
      <c r="J101" s="37">
        <f t="shared" si="12"/>
        <v>514.85767493355058</v>
      </c>
      <c r="K101" s="37">
        <f>SUM(J101:J$113)</f>
        <v>1571.8926580138705</v>
      </c>
      <c r="L101" s="47">
        <f t="shared" si="13"/>
        <v>3.0530624957989501</v>
      </c>
      <c r="M101" s="37">
        <f>(G102+0.5*H101)/(1+'General input'!$C$114)^A101</f>
        <v>4.5323681743148043</v>
      </c>
      <c r="N101" s="37">
        <f>SUM(M101:M$113)</f>
        <v>12.715829358733384</v>
      </c>
      <c r="O101" s="37">
        <f t="shared" si="14"/>
        <v>2.8055596698420779</v>
      </c>
      <c r="Q101" s="44">
        <v>0</v>
      </c>
      <c r="S101" s="48">
        <f t="shared" si="22"/>
        <v>0</v>
      </c>
      <c r="T101" s="37">
        <f>SUM(S101:S$115)</f>
        <v>0</v>
      </c>
      <c r="U101" s="47">
        <f t="shared" si="15"/>
        <v>0</v>
      </c>
      <c r="V101" s="37">
        <f>S101/(1+'General input'!$C$113)^A101</f>
        <v>0</v>
      </c>
      <c r="W101" s="37">
        <f>SUM(V101:V$115)</f>
        <v>0</v>
      </c>
      <c r="X101" s="202">
        <f t="shared" si="16"/>
        <v>0</v>
      </c>
      <c r="Y101" s="47"/>
      <c r="Z101" s="37">
        <f t="shared" si="23"/>
        <v>97.5</v>
      </c>
      <c r="AA101" s="37">
        <f t="shared" si="17"/>
        <v>17660.011445519969</v>
      </c>
      <c r="AC101" s="4"/>
      <c r="AF101" s="4"/>
      <c r="AI101" s="4"/>
      <c r="AM101" s="41"/>
      <c r="AN101" s="41"/>
      <c r="AO101" s="49"/>
      <c r="AP101" s="41"/>
      <c r="AQ101" s="41"/>
      <c r="AR101" s="41"/>
      <c r="AS101" s="41"/>
      <c r="AT101" s="41"/>
      <c r="AU101" s="41"/>
      <c r="AV101" s="41"/>
      <c r="AW101" s="41"/>
      <c r="AX101" s="41"/>
      <c r="AY101" s="41"/>
      <c r="AZ101" s="41"/>
      <c r="BA101" s="6"/>
      <c r="BB101" s="7"/>
      <c r="BC101" s="7"/>
      <c r="BD101" s="7"/>
      <c r="BE101" s="7"/>
      <c r="BF101" s="7"/>
      <c r="BG101" s="7"/>
      <c r="BH101" s="7"/>
      <c r="BI101" s="7"/>
      <c r="BV101" s="50"/>
      <c r="BX101" s="49"/>
      <c r="BY101" s="49"/>
      <c r="BZ101" s="49"/>
      <c r="CA101" s="49"/>
      <c r="CB101" s="49"/>
      <c r="CC101" s="49"/>
      <c r="CD101" s="49"/>
      <c r="CE101" s="49"/>
      <c r="CF101" s="49"/>
      <c r="CG101" s="41"/>
      <c r="CH101" s="7"/>
      <c r="CI101" s="7"/>
      <c r="CJ101" s="7"/>
      <c r="CK101" s="7"/>
      <c r="CL101" s="7"/>
      <c r="CM101" s="7"/>
      <c r="CN101" s="7"/>
      <c r="CO101" s="7"/>
      <c r="CP101" s="7"/>
    </row>
    <row r="102" spans="1:94" ht="14.4" x14ac:dyDescent="0.3">
      <c r="A102" s="138">
        <v>98</v>
      </c>
      <c r="B102" s="4"/>
      <c r="C102" s="44">
        <f>'Life table (HE)'!B$24</f>
        <v>0.35550000000000004</v>
      </c>
      <c r="E102" s="45">
        <f t="shared" si="18"/>
        <v>0.35550000000000004</v>
      </c>
      <c r="F102" s="46">
        <f t="shared" si="19"/>
        <v>0.29917705588095744</v>
      </c>
      <c r="G102" s="37">
        <f t="shared" si="20"/>
        <v>424.29351367447379</v>
      </c>
      <c r="H102" s="41">
        <f t="shared" si="21"/>
        <v>126.93888425051583</v>
      </c>
      <c r="I102" s="41">
        <f>SUM($H$4:H101)</f>
        <v>99575.706486325464</v>
      </c>
      <c r="J102" s="37">
        <f t="shared" si="12"/>
        <v>360.82407154921583</v>
      </c>
      <c r="K102" s="37">
        <f>SUM(J102:J$113)</f>
        <v>1057.03498308032</v>
      </c>
      <c r="L102" s="47">
        <f t="shared" si="13"/>
        <v>2.9295023986118456</v>
      </c>
      <c r="M102" s="37">
        <f>(G103+0.5*H102)/(1+'General input'!$C$114)^A102</f>
        <v>3.0251310550045241</v>
      </c>
      <c r="N102" s="37">
        <f>SUM(M102:M$113)</f>
        <v>8.1834611844185794</v>
      </c>
      <c r="O102" s="37">
        <f t="shared" si="14"/>
        <v>2.7051592263682411</v>
      </c>
      <c r="Q102" s="44">
        <v>0</v>
      </c>
      <c r="S102" s="48">
        <f t="shared" si="22"/>
        <v>0</v>
      </c>
      <c r="T102" s="37">
        <f>SUM(S102:S$115)</f>
        <v>0</v>
      </c>
      <c r="U102" s="47">
        <f t="shared" si="15"/>
        <v>0</v>
      </c>
      <c r="V102" s="37">
        <f>S102/(1+'General input'!$C$113)^A102</f>
        <v>0</v>
      </c>
      <c r="W102" s="37">
        <f>SUM(V102:V$115)</f>
        <v>0</v>
      </c>
      <c r="X102" s="202">
        <f t="shared" si="16"/>
        <v>0</v>
      </c>
      <c r="Y102" s="47"/>
      <c r="Z102" s="37">
        <f t="shared" si="23"/>
        <v>98.5</v>
      </c>
      <c r="AA102" s="37">
        <f t="shared" si="17"/>
        <v>12503.480098675809</v>
      </c>
      <c r="AC102" s="4"/>
      <c r="AF102" s="4"/>
      <c r="AI102" s="4"/>
      <c r="AM102" s="41"/>
      <c r="AN102" s="41"/>
      <c r="AO102" s="49"/>
      <c r="AP102" s="41"/>
      <c r="AQ102" s="41"/>
      <c r="AR102" s="41"/>
      <c r="AS102" s="41"/>
      <c r="AT102" s="41"/>
      <c r="AU102" s="41"/>
      <c r="AV102" s="41"/>
      <c r="AW102" s="41"/>
      <c r="AX102" s="41"/>
      <c r="AY102" s="41"/>
      <c r="AZ102" s="41"/>
      <c r="BA102" s="6"/>
      <c r="BB102" s="7"/>
      <c r="BC102" s="7"/>
      <c r="BD102" s="7"/>
      <c r="BE102" s="7"/>
      <c r="BF102" s="7"/>
      <c r="BG102" s="7"/>
      <c r="BH102" s="7"/>
      <c r="BI102" s="7"/>
      <c r="BV102" s="50"/>
      <c r="BX102" s="49"/>
      <c r="BY102" s="49"/>
      <c r="BZ102" s="49"/>
      <c r="CA102" s="49"/>
      <c r="CB102" s="49"/>
      <c r="CC102" s="49"/>
      <c r="CD102" s="49"/>
      <c r="CE102" s="49"/>
      <c r="CF102" s="49"/>
      <c r="CG102" s="41"/>
      <c r="CH102" s="7"/>
      <c r="CI102" s="7"/>
      <c r="CJ102" s="7"/>
      <c r="CK102" s="7"/>
      <c r="CL102" s="7"/>
      <c r="CM102" s="7"/>
      <c r="CN102" s="7"/>
      <c r="CO102" s="7"/>
      <c r="CP102" s="7"/>
    </row>
    <row r="103" spans="1:94" ht="14.4" x14ac:dyDescent="0.3">
      <c r="A103" s="138">
        <v>99</v>
      </c>
      <c r="B103" s="4"/>
      <c r="C103" s="44">
        <f>'Life table (HE)'!B$24</f>
        <v>0.35550000000000004</v>
      </c>
      <c r="E103" s="45">
        <f t="shared" si="18"/>
        <v>0.35550000000000004</v>
      </c>
      <c r="F103" s="46">
        <f t="shared" si="19"/>
        <v>0.29917705588095744</v>
      </c>
      <c r="G103" s="37">
        <f t="shared" si="20"/>
        <v>297.35462942395793</v>
      </c>
      <c r="H103" s="41">
        <f t="shared" si="21"/>
        <v>88.96168258363285</v>
      </c>
      <c r="I103" s="41">
        <f>SUM($H$4:H102)</f>
        <v>99702.645370575978</v>
      </c>
      <c r="J103" s="37">
        <f t="shared" si="12"/>
        <v>252.8737881321415</v>
      </c>
      <c r="K103" s="37">
        <f>SUM(J103:J$113)</f>
        <v>696.2109115311041</v>
      </c>
      <c r="L103" s="47">
        <f t="shared" si="13"/>
        <v>2.7531952468212828</v>
      </c>
      <c r="M103" s="37">
        <f>(G104+0.5*H103)/(1+'General input'!$C$114)^A103</f>
        <v>2.0191250022040146</v>
      </c>
      <c r="N103" s="37">
        <f>SUM(M103:M$113)</f>
        <v>5.1583301294140558</v>
      </c>
      <c r="O103" s="37">
        <f t="shared" si="14"/>
        <v>2.5547354045853434</v>
      </c>
      <c r="Q103" s="44">
        <v>0</v>
      </c>
      <c r="S103" s="48">
        <f t="shared" si="22"/>
        <v>0</v>
      </c>
      <c r="T103" s="37">
        <f>SUM(S103:S$115)</f>
        <v>0</v>
      </c>
      <c r="U103" s="47">
        <f t="shared" si="15"/>
        <v>0</v>
      </c>
      <c r="V103" s="37">
        <f>S103/(1+'General input'!$C$113)^A103</f>
        <v>0</v>
      </c>
      <c r="W103" s="37">
        <f>SUM(V103:V$115)</f>
        <v>0</v>
      </c>
      <c r="X103" s="202">
        <f t="shared" si="16"/>
        <v>0</v>
      </c>
      <c r="Y103" s="47"/>
      <c r="Z103" s="37">
        <f t="shared" si="23"/>
        <v>99.5</v>
      </c>
      <c r="AA103" s="37">
        <f t="shared" si="17"/>
        <v>8851.6874170714691</v>
      </c>
      <c r="AC103" s="4"/>
      <c r="AF103" s="4"/>
      <c r="AI103" s="4"/>
      <c r="AM103" s="41"/>
      <c r="AN103" s="41"/>
      <c r="AO103" s="49"/>
      <c r="AP103" s="41"/>
      <c r="AQ103" s="41"/>
      <c r="AR103" s="41"/>
      <c r="AS103" s="41"/>
      <c r="AT103" s="41"/>
      <c r="AU103" s="41"/>
      <c r="AV103" s="41"/>
      <c r="AW103" s="41"/>
      <c r="AX103" s="41"/>
      <c r="AY103" s="41"/>
      <c r="AZ103" s="41"/>
      <c r="BA103" s="6"/>
      <c r="BB103" s="7"/>
      <c r="BC103" s="7"/>
      <c r="BD103" s="7"/>
      <c r="BE103" s="7"/>
      <c r="BF103" s="7"/>
      <c r="BG103" s="7"/>
      <c r="BH103" s="7"/>
      <c r="BI103" s="7"/>
      <c r="BV103" s="50"/>
      <c r="BX103" s="49"/>
      <c r="BY103" s="49"/>
      <c r="BZ103" s="49"/>
      <c r="CA103" s="49"/>
      <c r="CB103" s="49"/>
      <c r="CC103" s="49"/>
      <c r="CD103" s="49"/>
      <c r="CE103" s="49"/>
      <c r="CF103" s="49"/>
      <c r="CG103" s="41"/>
      <c r="CH103" s="7"/>
      <c r="CI103" s="7"/>
      <c r="CJ103" s="7"/>
      <c r="CK103" s="7"/>
      <c r="CL103" s="7"/>
      <c r="CM103" s="7"/>
      <c r="CN103" s="7"/>
      <c r="CO103" s="7"/>
      <c r="CP103" s="7"/>
    </row>
    <row r="104" spans="1:94" ht="14.4" x14ac:dyDescent="0.3">
      <c r="A104" s="138">
        <v>100</v>
      </c>
      <c r="B104" s="4"/>
      <c r="C104" s="44">
        <f>'Life table (HE)'!B$25</f>
        <v>0.47299999999999998</v>
      </c>
      <c r="E104" s="45">
        <f t="shared" si="18"/>
        <v>0.47299999999999998</v>
      </c>
      <c r="F104" s="46">
        <f t="shared" si="19"/>
        <v>0.37686992882234216</v>
      </c>
      <c r="G104" s="37">
        <f t="shared" si="20"/>
        <v>208.39294684032507</v>
      </c>
      <c r="H104" s="41">
        <f t="shared" si="21"/>
        <v>78.537035042791445</v>
      </c>
      <c r="I104" s="41">
        <f>SUM($H$4:H103)</f>
        <v>99791.607053159605</v>
      </c>
      <c r="J104" s="37">
        <f t="shared" si="12"/>
        <v>169.12442931892934</v>
      </c>
      <c r="K104" s="37">
        <f>SUM(J104:J$113)</f>
        <v>443.33712339896255</v>
      </c>
      <c r="L104" s="47">
        <f t="shared" si="13"/>
        <v>2.6213665594278628</v>
      </c>
      <c r="M104" s="37">
        <f>(G105+0.5*H104)/(1+'General input'!$C$114)^A104</f>
        <v>1.286105031151862</v>
      </c>
      <c r="N104" s="37">
        <f>SUM(M104:M$113)</f>
        <v>3.1392051272100403</v>
      </c>
      <c r="O104" s="37">
        <f t="shared" si="14"/>
        <v>2.4408621777946888</v>
      </c>
      <c r="Q104" s="44">
        <v>0</v>
      </c>
      <c r="S104" s="48">
        <f t="shared" si="22"/>
        <v>0</v>
      </c>
      <c r="T104" s="37">
        <f>SUM(S104:S$115)</f>
        <v>0</v>
      </c>
      <c r="U104" s="47">
        <f t="shared" si="15"/>
        <v>0</v>
      </c>
      <c r="V104" s="37">
        <f>S104/(1+'General input'!$C$113)^A104</f>
        <v>0</v>
      </c>
      <c r="W104" s="37">
        <f>SUM(V104:V$115)</f>
        <v>0</v>
      </c>
      <c r="X104" s="202">
        <f t="shared" si="16"/>
        <v>0</v>
      </c>
      <c r="Y104" s="47"/>
      <c r="Z104" s="37">
        <f t="shared" si="23"/>
        <v>100.5</v>
      </c>
      <c r="AA104" s="37">
        <f t="shared" si="17"/>
        <v>7892.9720218005405</v>
      </c>
      <c r="AC104" s="4"/>
      <c r="AF104" s="4"/>
      <c r="AI104" s="4"/>
      <c r="AM104" s="41"/>
      <c r="AN104" s="41"/>
      <c r="AO104" s="49"/>
      <c r="AP104" s="41"/>
      <c r="AQ104" s="41"/>
      <c r="AR104" s="41"/>
      <c r="AS104" s="41"/>
      <c r="AT104" s="41"/>
      <c r="AU104" s="41"/>
      <c r="AV104" s="41"/>
      <c r="AW104" s="41"/>
      <c r="AX104" s="41"/>
      <c r="AY104" s="41"/>
      <c r="AZ104" s="41"/>
      <c r="BA104" s="6"/>
      <c r="BB104" s="7"/>
      <c r="BC104" s="7"/>
      <c r="BD104" s="7"/>
      <c r="BE104" s="7"/>
      <c r="BF104" s="7"/>
      <c r="BG104" s="7"/>
      <c r="BH104" s="7"/>
      <c r="BI104" s="7"/>
      <c r="BV104" s="50"/>
      <c r="BX104" s="49"/>
      <c r="BY104" s="49"/>
      <c r="BZ104" s="49"/>
      <c r="CA104" s="49"/>
      <c r="CB104" s="49"/>
      <c r="CC104" s="49"/>
      <c r="CD104" s="49"/>
      <c r="CE104" s="49"/>
      <c r="CF104" s="49"/>
      <c r="CG104" s="41"/>
      <c r="CH104" s="7"/>
      <c r="CI104" s="7"/>
      <c r="CJ104" s="7"/>
      <c r="CK104" s="7"/>
      <c r="CL104" s="7"/>
      <c r="CM104" s="7"/>
      <c r="CN104" s="7"/>
      <c r="CO104" s="7"/>
      <c r="CP104" s="7"/>
    </row>
    <row r="105" spans="1:94" ht="14.4" x14ac:dyDescent="0.3">
      <c r="A105" s="138">
        <v>101</v>
      </c>
      <c r="B105" s="4"/>
      <c r="C105" s="44">
        <f>'Life table (HE)'!B$25</f>
        <v>0.47299999999999998</v>
      </c>
      <c r="E105" s="45">
        <f t="shared" si="18"/>
        <v>0.47299999999999998</v>
      </c>
      <c r="F105" s="46">
        <f t="shared" si="19"/>
        <v>0.37686992882234216</v>
      </c>
      <c r="G105" s="37">
        <f t="shared" si="20"/>
        <v>129.85591179753362</v>
      </c>
      <c r="H105" s="41">
        <f t="shared" si="21"/>
        <v>48.938788236296837</v>
      </c>
      <c r="I105" s="41">
        <f>SUM($H$4:H104)</f>
        <v>99870.144088202404</v>
      </c>
      <c r="J105" s="37">
        <f t="shared" si="12"/>
        <v>105.38651767938521</v>
      </c>
      <c r="K105" s="37">
        <f>SUM(J105:J$113)</f>
        <v>274.2126940800332</v>
      </c>
      <c r="L105" s="47">
        <f t="shared" si="13"/>
        <v>2.6019712968812927</v>
      </c>
      <c r="M105" s="37">
        <f>(G106+0.5*H105)/(1+'General input'!$C$114)^A105</f>
        <v>0.76324830438438429</v>
      </c>
      <c r="N105" s="37">
        <f>SUM(M105:M$113)</f>
        <v>1.8531000960581785</v>
      </c>
      <c r="O105" s="37">
        <f t="shared" si="14"/>
        <v>2.4279124963832572</v>
      </c>
      <c r="Q105" s="44">
        <v>0</v>
      </c>
      <c r="S105" s="48">
        <f t="shared" si="22"/>
        <v>0</v>
      </c>
      <c r="T105" s="37">
        <f>SUM(S105:S$115)</f>
        <v>0</v>
      </c>
      <c r="U105" s="47">
        <f t="shared" si="15"/>
        <v>0</v>
      </c>
      <c r="V105" s="37">
        <f>S105/(1+'General input'!$C$113)^A105</f>
        <v>0</v>
      </c>
      <c r="W105" s="37">
        <f>SUM(V105:V$115)</f>
        <v>0</v>
      </c>
      <c r="X105" s="202">
        <f t="shared" si="16"/>
        <v>0</v>
      </c>
      <c r="Y105" s="47"/>
      <c r="Z105" s="37">
        <f t="shared" si="23"/>
        <v>101.5</v>
      </c>
      <c r="AA105" s="37">
        <f t="shared" si="17"/>
        <v>4967.2870059841289</v>
      </c>
      <c r="AC105" s="4"/>
      <c r="AF105" s="4"/>
      <c r="AI105" s="4"/>
      <c r="AM105" s="41"/>
      <c r="AN105" s="41"/>
      <c r="AO105" s="49"/>
      <c r="AP105" s="41"/>
      <c r="AQ105" s="41"/>
      <c r="AR105" s="41"/>
      <c r="AS105" s="41"/>
      <c r="AT105" s="41"/>
      <c r="AU105" s="41"/>
      <c r="AV105" s="41"/>
      <c r="AW105" s="41"/>
      <c r="AX105" s="41"/>
      <c r="AY105" s="41"/>
      <c r="AZ105" s="41"/>
      <c r="BA105" s="6"/>
      <c r="BB105" s="7"/>
      <c r="BC105" s="7"/>
      <c r="BD105" s="7"/>
      <c r="BE105" s="7"/>
      <c r="BF105" s="7"/>
      <c r="BG105" s="7"/>
      <c r="BH105" s="7"/>
      <c r="BI105" s="7"/>
      <c r="BV105" s="50"/>
      <c r="BX105" s="49"/>
      <c r="BY105" s="49"/>
      <c r="BZ105" s="49"/>
      <c r="CA105" s="49"/>
      <c r="CB105" s="49"/>
      <c r="CC105" s="49"/>
      <c r="CD105" s="49"/>
      <c r="CE105" s="49"/>
      <c r="CF105" s="49"/>
      <c r="CG105" s="41"/>
      <c r="CH105" s="7"/>
      <c r="CI105" s="7"/>
      <c r="CJ105" s="7"/>
      <c r="CK105" s="7"/>
      <c r="CL105" s="7"/>
      <c r="CM105" s="7"/>
      <c r="CN105" s="7"/>
      <c r="CO105" s="7"/>
      <c r="CP105" s="7"/>
    </row>
    <row r="106" spans="1:94" ht="14.4" x14ac:dyDescent="0.3">
      <c r="A106" s="138">
        <v>102</v>
      </c>
      <c r="B106" s="4"/>
      <c r="C106" s="44">
        <f>'Life table (HE)'!B$25</f>
        <v>0.47299999999999998</v>
      </c>
      <c r="E106" s="45">
        <f t="shared" si="18"/>
        <v>0.47299999999999998</v>
      </c>
      <c r="F106" s="46">
        <f t="shared" si="19"/>
        <v>0.37686992882234216</v>
      </c>
      <c r="G106" s="37">
        <f t="shared" si="20"/>
        <v>80.917123561236792</v>
      </c>
      <c r="H106" s="41">
        <f t="shared" si="21"/>
        <v>30.495230597031977</v>
      </c>
      <c r="I106" s="41">
        <f>SUM($H$4:H105)</f>
        <v>99919.082876438697</v>
      </c>
      <c r="J106" s="37">
        <f t="shared" si="12"/>
        <v>65.669508262720797</v>
      </c>
      <c r="K106" s="37">
        <f>SUM(J106:J$113)</f>
        <v>168.82617640064802</v>
      </c>
      <c r="L106" s="47">
        <f t="shared" si="13"/>
        <v>2.5708457527233701</v>
      </c>
      <c r="M106" s="37">
        <f>(G107+0.5*H106)/(1+'General input'!$C$114)^A106</f>
        <v>0.4529552097497791</v>
      </c>
      <c r="N106" s="37">
        <f>SUM(M106:M$113)</f>
        <v>1.0898517916737942</v>
      </c>
      <c r="O106" s="37">
        <f t="shared" si="14"/>
        <v>2.4060917464131797</v>
      </c>
      <c r="Q106" s="44">
        <v>0</v>
      </c>
      <c r="S106" s="48">
        <f t="shared" si="22"/>
        <v>0</v>
      </c>
      <c r="T106" s="37">
        <f>SUM(S106:S$115)</f>
        <v>0</v>
      </c>
      <c r="U106" s="47">
        <f t="shared" si="15"/>
        <v>0</v>
      </c>
      <c r="V106" s="37">
        <f>S106/(1+'General input'!$C$113)^A106</f>
        <v>0</v>
      </c>
      <c r="W106" s="37">
        <f>SUM(V106:V$115)</f>
        <v>0</v>
      </c>
      <c r="X106" s="202">
        <f t="shared" si="16"/>
        <v>0</v>
      </c>
      <c r="Y106" s="47"/>
      <c r="Z106" s="37">
        <f t="shared" si="23"/>
        <v>102.5</v>
      </c>
      <c r="AA106" s="37">
        <f t="shared" si="17"/>
        <v>3125.7611361957775</v>
      </c>
      <c r="AC106" s="4"/>
      <c r="AF106" s="4"/>
      <c r="AI106" s="4"/>
      <c r="AM106" s="41"/>
      <c r="AN106" s="41"/>
      <c r="AO106" s="49"/>
      <c r="AP106" s="41"/>
      <c r="AQ106" s="41"/>
      <c r="AR106" s="41"/>
      <c r="AS106" s="41"/>
      <c r="AT106" s="41"/>
      <c r="AU106" s="41"/>
      <c r="AV106" s="41"/>
      <c r="AW106" s="41"/>
      <c r="AX106" s="41"/>
      <c r="AY106" s="41"/>
      <c r="AZ106" s="41"/>
      <c r="BA106" s="6"/>
      <c r="BB106" s="7"/>
      <c r="BC106" s="7"/>
      <c r="BD106" s="7"/>
      <c r="BE106" s="7"/>
      <c r="BF106" s="7"/>
      <c r="BG106" s="7"/>
      <c r="BH106" s="7"/>
      <c r="BI106" s="7"/>
      <c r="BV106" s="50"/>
      <c r="BX106" s="49"/>
      <c r="BY106" s="49"/>
      <c r="BZ106" s="49"/>
      <c r="CA106" s="49"/>
      <c r="CB106" s="49"/>
      <c r="CC106" s="49"/>
      <c r="CD106" s="49"/>
      <c r="CE106" s="49"/>
      <c r="CF106" s="49"/>
      <c r="CG106" s="41"/>
      <c r="CH106" s="7"/>
      <c r="CI106" s="7"/>
      <c r="CJ106" s="7"/>
      <c r="CK106" s="7"/>
      <c r="CL106" s="7"/>
      <c r="CM106" s="7"/>
      <c r="CN106" s="7"/>
      <c r="CO106" s="7"/>
      <c r="CP106" s="7"/>
    </row>
    <row r="107" spans="1:94" ht="14.4" x14ac:dyDescent="0.3">
      <c r="A107" s="138">
        <v>103</v>
      </c>
      <c r="B107" s="4"/>
      <c r="C107" s="44">
        <f>'Life table (HE)'!B$25</f>
        <v>0.47299999999999998</v>
      </c>
      <c r="E107" s="45">
        <f t="shared" si="18"/>
        <v>0.47299999999999998</v>
      </c>
      <c r="F107" s="46">
        <f t="shared" si="19"/>
        <v>0.37686992882234216</v>
      </c>
      <c r="G107" s="37">
        <f t="shared" si="20"/>
        <v>50.421892964204815</v>
      </c>
      <c r="H107" s="41">
        <f t="shared" si="21"/>
        <v>19.002495212507625</v>
      </c>
      <c r="I107" s="41">
        <f>SUM($H$4:H106)</f>
        <v>99949.578107035733</v>
      </c>
      <c r="J107" s="37">
        <f t="shared" si="12"/>
        <v>40.920645357951003</v>
      </c>
      <c r="K107" s="37">
        <f>SUM(J107:J$113)</f>
        <v>103.15666813792724</v>
      </c>
      <c r="L107" s="47">
        <f t="shared" si="13"/>
        <v>2.5208954364128471</v>
      </c>
      <c r="M107" s="37">
        <f>(G108+0.5*H107)/(1+'General input'!$C$114)^A107</f>
        <v>0.26880953532540075</v>
      </c>
      <c r="N107" s="37">
        <f>SUM(M107:M$113)</f>
        <v>0.6368965819240151</v>
      </c>
      <c r="O107" s="37">
        <f t="shared" si="14"/>
        <v>2.3693228781971429</v>
      </c>
      <c r="Q107" s="44">
        <v>0</v>
      </c>
      <c r="S107" s="48">
        <f t="shared" si="22"/>
        <v>0</v>
      </c>
      <c r="T107" s="37">
        <f>SUM(S107:S$115)</f>
        <v>0</v>
      </c>
      <c r="U107" s="47">
        <f t="shared" si="15"/>
        <v>0</v>
      </c>
      <c r="V107" s="37">
        <f>S107/(1+'General input'!$C$113)^A107</f>
        <v>0</v>
      </c>
      <c r="W107" s="37">
        <f>SUM(V107:V$115)</f>
        <v>0</v>
      </c>
      <c r="X107" s="202">
        <f t="shared" si="16"/>
        <v>0</v>
      </c>
      <c r="Y107" s="47"/>
      <c r="Z107" s="37">
        <f t="shared" si="23"/>
        <v>103.5</v>
      </c>
      <c r="AA107" s="37">
        <f t="shared" si="17"/>
        <v>1966.7582544945392</v>
      </c>
      <c r="AC107" s="4"/>
      <c r="AF107" s="4"/>
      <c r="AI107" s="4"/>
      <c r="AM107" s="41"/>
      <c r="AN107" s="41"/>
      <c r="AO107" s="49"/>
      <c r="AP107" s="41"/>
      <c r="AQ107" s="41"/>
      <c r="AR107" s="41"/>
      <c r="AS107" s="41"/>
      <c r="AT107" s="41"/>
      <c r="AU107" s="41"/>
      <c r="AV107" s="41"/>
      <c r="AW107" s="41"/>
      <c r="AX107" s="41"/>
      <c r="AY107" s="41"/>
      <c r="AZ107" s="41"/>
      <c r="BA107" s="6"/>
      <c r="BB107" s="7"/>
      <c r="BC107" s="7"/>
      <c r="BD107" s="7"/>
      <c r="BE107" s="7"/>
      <c r="BF107" s="7"/>
      <c r="BG107" s="7"/>
      <c r="BH107" s="7"/>
      <c r="BI107" s="7"/>
      <c r="BV107" s="50"/>
      <c r="BX107" s="49"/>
      <c r="BY107" s="49"/>
      <c r="BZ107" s="49"/>
      <c r="CA107" s="49"/>
      <c r="CB107" s="49"/>
      <c r="CC107" s="49"/>
      <c r="CD107" s="49"/>
      <c r="CE107" s="49"/>
      <c r="CF107" s="49"/>
      <c r="CG107" s="41"/>
      <c r="CH107" s="7"/>
      <c r="CI107" s="7"/>
      <c r="CJ107" s="7"/>
      <c r="CK107" s="7"/>
      <c r="CL107" s="7"/>
      <c r="CM107" s="7"/>
      <c r="CN107" s="7"/>
      <c r="CO107" s="7"/>
      <c r="CP107" s="7"/>
    </row>
    <row r="108" spans="1:94" ht="14.4" x14ac:dyDescent="0.3">
      <c r="A108" s="138">
        <v>104</v>
      </c>
      <c r="B108" s="4"/>
      <c r="C108" s="44">
        <f>'Life table (HE)'!B$25</f>
        <v>0.47299999999999998</v>
      </c>
      <c r="E108" s="45">
        <f t="shared" si="18"/>
        <v>0.47299999999999998</v>
      </c>
      <c r="F108" s="46">
        <f t="shared" si="19"/>
        <v>0.37686992882234216</v>
      </c>
      <c r="G108" s="37">
        <f t="shared" si="20"/>
        <v>31.41939775169719</v>
      </c>
      <c r="H108" s="41">
        <f t="shared" si="21"/>
        <v>11.841026194322977</v>
      </c>
      <c r="I108" s="41">
        <f>SUM($H$4:H107)</f>
        <v>99968.580602248243</v>
      </c>
      <c r="J108" s="37">
        <f t="shared" si="12"/>
        <v>25.498884654535701</v>
      </c>
      <c r="K108" s="37">
        <f>SUM(J108:J$113)</f>
        <v>62.236022779976246</v>
      </c>
      <c r="L108" s="47">
        <f t="shared" si="13"/>
        <v>2.4407350997176187</v>
      </c>
      <c r="M108" s="37">
        <f>(G109+0.5*H108)/(1+'General input'!$C$114)^A108</f>
        <v>0.15952695702909533</v>
      </c>
      <c r="N108" s="37">
        <f>SUM(M108:M$113)</f>
        <v>0.3680870465986143</v>
      </c>
      <c r="O108" s="37">
        <f t="shared" si="14"/>
        <v>2.3073658111053965</v>
      </c>
      <c r="Q108" s="44">
        <v>0</v>
      </c>
      <c r="S108" s="48">
        <f t="shared" si="22"/>
        <v>0</v>
      </c>
      <c r="T108" s="37">
        <f>SUM(S108:S$115)</f>
        <v>0</v>
      </c>
      <c r="U108" s="47">
        <f t="shared" si="15"/>
        <v>0</v>
      </c>
      <c r="V108" s="37">
        <f>S108/(1+'General input'!$C$113)^A108</f>
        <v>0</v>
      </c>
      <c r="W108" s="37">
        <f>SUM(V108:V$115)</f>
        <v>0</v>
      </c>
      <c r="X108" s="202">
        <f t="shared" si="16"/>
        <v>0</v>
      </c>
      <c r="Y108" s="47"/>
      <c r="Z108" s="37">
        <f t="shared" si="23"/>
        <v>104.5</v>
      </c>
      <c r="AA108" s="37">
        <f t="shared" si="17"/>
        <v>1237.3872373067511</v>
      </c>
      <c r="AC108" s="4"/>
      <c r="AF108" s="4"/>
      <c r="AI108" s="4"/>
      <c r="AM108" s="41"/>
      <c r="AN108" s="41"/>
      <c r="AO108" s="49"/>
      <c r="AP108" s="41"/>
      <c r="AQ108" s="41"/>
      <c r="AR108" s="41"/>
      <c r="AS108" s="41"/>
      <c r="AT108" s="41"/>
      <c r="AU108" s="41"/>
      <c r="AV108" s="41"/>
      <c r="AW108" s="41"/>
      <c r="AX108" s="41"/>
      <c r="AY108" s="41"/>
      <c r="AZ108" s="41"/>
      <c r="BA108" s="6"/>
      <c r="BB108" s="7"/>
      <c r="BC108" s="7"/>
      <c r="BD108" s="7"/>
      <c r="BE108" s="7"/>
      <c r="BF108" s="7"/>
      <c r="BG108" s="7"/>
      <c r="BH108" s="7"/>
      <c r="BI108" s="7"/>
      <c r="BV108" s="50"/>
      <c r="BX108" s="49"/>
      <c r="BY108" s="49"/>
      <c r="BZ108" s="49"/>
      <c r="CA108" s="49"/>
      <c r="CB108" s="49"/>
      <c r="CC108" s="49"/>
      <c r="CD108" s="49"/>
      <c r="CE108" s="49"/>
      <c r="CF108" s="49"/>
      <c r="CG108" s="41"/>
      <c r="CH108" s="7"/>
      <c r="CI108" s="7"/>
      <c r="CJ108" s="7"/>
      <c r="CK108" s="7"/>
      <c r="CL108" s="7"/>
      <c r="CM108" s="7"/>
      <c r="CN108" s="7"/>
      <c r="CO108" s="7"/>
      <c r="CP108" s="7"/>
    </row>
    <row r="109" spans="1:94" ht="14.4" x14ac:dyDescent="0.3">
      <c r="A109" s="138">
        <v>105</v>
      </c>
      <c r="B109" s="4"/>
      <c r="C109" s="44">
        <f>'Life table (HE)'!B$25</f>
        <v>0.47299999999999998</v>
      </c>
      <c r="E109" s="45">
        <f t="shared" si="18"/>
        <v>0.47299999999999998</v>
      </c>
      <c r="F109" s="46">
        <f t="shared" si="19"/>
        <v>0.37686992882234216</v>
      </c>
      <c r="G109" s="37">
        <f t="shared" si="20"/>
        <v>19.578371557374211</v>
      </c>
      <c r="H109" s="41">
        <f t="shared" si="21"/>
        <v>7.3784994952849869</v>
      </c>
      <c r="I109" s="41">
        <f>SUM($H$4:H108)</f>
        <v>99980.421628442564</v>
      </c>
      <c r="J109" s="37">
        <f t="shared" si="12"/>
        <v>15.889121809731718</v>
      </c>
      <c r="K109" s="37">
        <f>SUM(J109:J$113)</f>
        <v>36.737138125440545</v>
      </c>
      <c r="L109" s="47">
        <f t="shared" si="13"/>
        <v>2.3120936805292729</v>
      </c>
      <c r="M109" s="37">
        <f>(G110+0.5*H109)/(1+'General input'!$C$114)^A109</f>
        <v>9.4672422941233639E-2</v>
      </c>
      <c r="N109" s="37">
        <f>SUM(M109:M$113)</f>
        <v>0.20856008956951894</v>
      </c>
      <c r="O109" s="37">
        <f t="shared" si="14"/>
        <v>2.2029655848037102</v>
      </c>
      <c r="Q109" s="44">
        <v>0</v>
      </c>
      <c r="S109" s="48">
        <f t="shared" si="22"/>
        <v>0</v>
      </c>
      <c r="T109" s="37">
        <f>SUM(S109:S$115)</f>
        <v>0</v>
      </c>
      <c r="U109" s="47">
        <f t="shared" si="15"/>
        <v>0</v>
      </c>
      <c r="V109" s="37">
        <f>S109/(1+'General input'!$C$113)^A109</f>
        <v>0</v>
      </c>
      <c r="W109" s="37">
        <f>SUM(V109:V$115)</f>
        <v>0</v>
      </c>
      <c r="X109" s="202">
        <f t="shared" si="16"/>
        <v>0</v>
      </c>
      <c r="Y109" s="47"/>
      <c r="Z109" s="37">
        <f t="shared" si="23"/>
        <v>105.5</v>
      </c>
      <c r="AA109" s="37">
        <f t="shared" si="17"/>
        <v>778.43169675256615</v>
      </c>
      <c r="AC109" s="4"/>
      <c r="AF109" s="4"/>
      <c r="AI109" s="4"/>
      <c r="AM109" s="41"/>
      <c r="AN109" s="41"/>
      <c r="AO109" s="49"/>
      <c r="AP109" s="41"/>
      <c r="AQ109" s="41"/>
      <c r="AR109" s="41"/>
      <c r="AS109" s="41"/>
      <c r="AT109" s="41"/>
      <c r="AU109" s="41"/>
      <c r="AV109" s="41"/>
      <c r="AW109" s="41"/>
      <c r="AX109" s="41"/>
      <c r="AY109" s="41"/>
      <c r="AZ109" s="41"/>
      <c r="BA109" s="6"/>
      <c r="BB109" s="7"/>
      <c r="BC109" s="7"/>
      <c r="BD109" s="7"/>
      <c r="BE109" s="7"/>
      <c r="BF109" s="7"/>
      <c r="BG109" s="7"/>
      <c r="BH109" s="7"/>
      <c r="BI109" s="7"/>
      <c r="BV109" s="50"/>
      <c r="BX109" s="49"/>
      <c r="BY109" s="49"/>
      <c r="BZ109" s="49"/>
      <c r="CA109" s="49"/>
      <c r="CB109" s="49"/>
      <c r="CC109" s="49"/>
      <c r="CD109" s="49"/>
      <c r="CE109" s="49"/>
      <c r="CF109" s="49"/>
      <c r="CG109" s="41"/>
      <c r="CH109" s="7"/>
      <c r="CI109" s="7"/>
      <c r="CJ109" s="7"/>
      <c r="CK109" s="7"/>
      <c r="CL109" s="7"/>
      <c r="CM109" s="7"/>
      <c r="CN109" s="7"/>
      <c r="CO109" s="7"/>
      <c r="CP109" s="7"/>
    </row>
    <row r="110" spans="1:94" ht="14.4" x14ac:dyDescent="0.3">
      <c r="A110" s="138">
        <v>106</v>
      </c>
      <c r="B110" s="4"/>
      <c r="C110" s="44">
        <f>'Life table (HE)'!B$25</f>
        <v>0.47299999999999998</v>
      </c>
      <c r="E110" s="45">
        <f t="shared" si="18"/>
        <v>0.47299999999999998</v>
      </c>
      <c r="F110" s="46">
        <f t="shared" si="19"/>
        <v>0.37686992882234216</v>
      </c>
      <c r="G110" s="37">
        <f t="shared" si="20"/>
        <v>12.199872062089224</v>
      </c>
      <c r="H110" s="41">
        <f t="shared" si="21"/>
        <v>4.5977649156812461</v>
      </c>
      <c r="I110" s="41">
        <f>SUM($H$4:H109)</f>
        <v>99987.800127937851</v>
      </c>
      <c r="J110" s="37">
        <f t="shared" si="12"/>
        <v>9.9009896042486005</v>
      </c>
      <c r="K110" s="37">
        <f>SUM(J110:J$113)</f>
        <v>20.848016315708822</v>
      </c>
      <c r="L110" s="47">
        <f t="shared" si="13"/>
        <v>2.105649753107786</v>
      </c>
      <c r="M110" s="37">
        <f>(G111+0.5*H110)/(1+'General input'!$C$114)^A110</f>
        <v>5.6184032043744989E-2</v>
      </c>
      <c r="N110" s="37">
        <f>SUM(M110:M$113)</f>
        <v>0.11388766662828528</v>
      </c>
      <c r="O110" s="37">
        <f t="shared" si="14"/>
        <v>2.02704687587413</v>
      </c>
      <c r="Q110" s="44">
        <v>0</v>
      </c>
      <c r="S110" s="48">
        <f t="shared" si="22"/>
        <v>0</v>
      </c>
      <c r="T110" s="37">
        <f>SUM(S110:S$115)</f>
        <v>0</v>
      </c>
      <c r="U110" s="47">
        <f t="shared" si="15"/>
        <v>0</v>
      </c>
      <c r="V110" s="37">
        <f>S110/(1+'General input'!$C$113)^A110</f>
        <v>0</v>
      </c>
      <c r="W110" s="37">
        <f>SUM(V110:V$115)</f>
        <v>0</v>
      </c>
      <c r="X110" s="202">
        <f t="shared" si="16"/>
        <v>0</v>
      </c>
      <c r="Y110" s="47"/>
      <c r="Z110" s="37">
        <f t="shared" si="23"/>
        <v>106.5</v>
      </c>
      <c r="AA110" s="37">
        <f t="shared" si="17"/>
        <v>489.66196352005272</v>
      </c>
      <c r="AC110" s="4"/>
      <c r="AF110" s="4"/>
      <c r="AI110" s="4"/>
      <c r="AM110" s="41"/>
      <c r="AN110" s="41"/>
      <c r="AO110" s="49"/>
      <c r="AP110" s="41"/>
      <c r="AQ110" s="41"/>
      <c r="AR110" s="41"/>
      <c r="AS110" s="41"/>
      <c r="AT110" s="41"/>
      <c r="AU110" s="41"/>
      <c r="AV110" s="41"/>
      <c r="AW110" s="41"/>
      <c r="AX110" s="41"/>
      <c r="AY110" s="41"/>
      <c r="AZ110" s="41"/>
      <c r="BA110" s="6"/>
      <c r="BB110" s="7"/>
      <c r="BC110" s="7"/>
      <c r="BD110" s="7"/>
      <c r="BE110" s="7"/>
      <c r="BF110" s="7"/>
      <c r="BG110" s="7"/>
      <c r="BH110" s="7"/>
      <c r="BI110" s="7"/>
      <c r="BV110" s="50"/>
      <c r="BX110" s="49"/>
      <c r="BY110" s="49"/>
      <c r="BZ110" s="49"/>
      <c r="CA110" s="49"/>
      <c r="CB110" s="49"/>
      <c r="CC110" s="49"/>
      <c r="CD110" s="49"/>
      <c r="CE110" s="49"/>
      <c r="CF110" s="49"/>
      <c r="CG110" s="41"/>
      <c r="CH110" s="7"/>
      <c r="CI110" s="7"/>
      <c r="CJ110" s="7"/>
      <c r="CK110" s="7"/>
      <c r="CL110" s="7"/>
      <c r="CM110" s="7"/>
      <c r="CN110" s="7"/>
      <c r="CO110" s="7"/>
      <c r="CP110" s="7"/>
    </row>
    <row r="111" spans="1:94" ht="14.4" x14ac:dyDescent="0.3">
      <c r="A111" s="138">
        <v>107</v>
      </c>
      <c r="B111" s="4"/>
      <c r="C111" s="44">
        <f>'Life table (HE)'!B$25</f>
        <v>0.47299999999999998</v>
      </c>
      <c r="E111" s="45">
        <f t="shared" si="18"/>
        <v>0.47299999999999998</v>
      </c>
      <c r="F111" s="46">
        <f t="shared" si="19"/>
        <v>0.37686992882234216</v>
      </c>
      <c r="G111" s="37">
        <f t="shared" si="20"/>
        <v>7.6021071464079775</v>
      </c>
      <c r="H111" s="41">
        <f t="shared" si="21"/>
        <v>2.8650055791665929</v>
      </c>
      <c r="I111" s="41">
        <f>SUM($H$4:H110)</f>
        <v>99992.397892853536</v>
      </c>
      <c r="J111" s="37">
        <f t="shared" si="12"/>
        <v>6.1696043568246814</v>
      </c>
      <c r="K111" s="37">
        <f>SUM(J111:J$113)</f>
        <v>10.947026711460222</v>
      </c>
      <c r="L111" s="47">
        <f t="shared" si="13"/>
        <v>1.7743482528747341</v>
      </c>
      <c r="M111" s="37">
        <f>(G112+0.5*H111)/(1+'General input'!$C$114)^A111</f>
        <v>3.3342818939492022E-2</v>
      </c>
      <c r="N111" s="37">
        <f>SUM(M111:M$113)</f>
        <v>5.7703634584540302E-2</v>
      </c>
      <c r="O111" s="37">
        <f t="shared" si="14"/>
        <v>1.7306165591234626</v>
      </c>
      <c r="Q111" s="44">
        <v>0</v>
      </c>
      <c r="S111" s="48">
        <f t="shared" si="22"/>
        <v>0</v>
      </c>
      <c r="T111" s="37">
        <f>SUM(S111:S$115)</f>
        <v>0</v>
      </c>
      <c r="U111" s="47">
        <f t="shared" si="15"/>
        <v>0</v>
      </c>
      <c r="V111" s="37">
        <f>S111/(1+'General input'!$C$113)^A111</f>
        <v>0</v>
      </c>
      <c r="W111" s="37">
        <f>SUM(V111:V$115)</f>
        <v>0</v>
      </c>
      <c r="X111" s="202">
        <f t="shared" si="16"/>
        <v>0</v>
      </c>
      <c r="Y111" s="47"/>
      <c r="Z111" s="37">
        <f t="shared" si="23"/>
        <v>107.5</v>
      </c>
      <c r="AA111" s="37">
        <f t="shared" si="17"/>
        <v>307.98809976040872</v>
      </c>
      <c r="AC111" s="4"/>
      <c r="AF111" s="4"/>
      <c r="AI111" s="4"/>
      <c r="AM111" s="41"/>
      <c r="AN111" s="41"/>
      <c r="AO111" s="49"/>
      <c r="AP111" s="41"/>
      <c r="AQ111" s="41"/>
      <c r="AR111" s="41"/>
      <c r="AS111" s="41"/>
      <c r="AT111" s="41"/>
      <c r="AU111" s="41"/>
      <c r="AV111" s="41"/>
      <c r="AW111" s="41"/>
      <c r="AX111" s="41"/>
      <c r="AY111" s="41"/>
      <c r="AZ111" s="41"/>
      <c r="BA111" s="6"/>
      <c r="BB111" s="7"/>
      <c r="BC111" s="7"/>
      <c r="BD111" s="7"/>
      <c r="BE111" s="7"/>
      <c r="BF111" s="7"/>
      <c r="BG111" s="7"/>
      <c r="BH111" s="7"/>
      <c r="BI111" s="7"/>
      <c r="BV111" s="50"/>
      <c r="BX111" s="49"/>
      <c r="BY111" s="49"/>
      <c r="BZ111" s="49"/>
      <c r="CA111" s="49"/>
      <c r="CB111" s="49"/>
      <c r="CC111" s="49"/>
      <c r="CD111" s="49"/>
      <c r="CE111" s="49"/>
      <c r="CF111" s="49"/>
      <c r="CG111" s="41"/>
      <c r="CH111" s="7"/>
      <c r="CI111" s="7"/>
      <c r="CJ111" s="7"/>
      <c r="CK111" s="7"/>
      <c r="CL111" s="7"/>
      <c r="CM111" s="7"/>
      <c r="CN111" s="7"/>
      <c r="CO111" s="7"/>
      <c r="CP111" s="7"/>
    </row>
    <row r="112" spans="1:94" ht="14.4" x14ac:dyDescent="0.3">
      <c r="A112" s="138">
        <v>108</v>
      </c>
      <c r="B112" s="4"/>
      <c r="C112" s="44">
        <f>'Life table (HE)'!B$25</f>
        <v>0.47299999999999998</v>
      </c>
      <c r="E112" s="45">
        <f t="shared" si="18"/>
        <v>0.47299999999999998</v>
      </c>
      <c r="F112" s="46">
        <f t="shared" si="19"/>
        <v>0.37686992882234216</v>
      </c>
      <c r="G112" s="37">
        <f t="shared" si="20"/>
        <v>4.7371015672413845</v>
      </c>
      <c r="H112" s="41">
        <f t="shared" si="21"/>
        <v>1.785271130470466</v>
      </c>
      <c r="I112" s="41">
        <f>SUM($H$4:H111)</f>
        <v>99995.262898432702</v>
      </c>
      <c r="J112" s="37">
        <f t="shared" si="12"/>
        <v>3.8444660020061514</v>
      </c>
      <c r="K112" s="37">
        <f>SUM(J112:J$113)</f>
        <v>4.7774223546355401</v>
      </c>
      <c r="L112" s="47">
        <f t="shared" si="13"/>
        <v>1.2426751471186235</v>
      </c>
      <c r="M112" s="37">
        <f>(G113+0.5*H112)/(1+'General input'!$C$114)^A112</f>
        <v>1.9787536322885168E-2</v>
      </c>
      <c r="N112" s="37">
        <f>SUM(M112:M$113)</f>
        <v>2.4360815645048276E-2</v>
      </c>
      <c r="O112" s="37">
        <f t="shared" si="14"/>
        <v>1.2311191877320224</v>
      </c>
      <c r="Q112" s="44">
        <v>0</v>
      </c>
      <c r="S112" s="48">
        <f t="shared" si="22"/>
        <v>0</v>
      </c>
      <c r="T112" s="37">
        <f>SUM(S112:S$115)</f>
        <v>0</v>
      </c>
      <c r="U112" s="47">
        <f t="shared" si="15"/>
        <v>0</v>
      </c>
      <c r="V112" s="37">
        <f>S112/(1+'General input'!$C$113)^A112</f>
        <v>0</v>
      </c>
      <c r="W112" s="37">
        <f>SUM(V112:V$115)</f>
        <v>0</v>
      </c>
      <c r="X112" s="202">
        <f t="shared" si="16"/>
        <v>0</v>
      </c>
      <c r="Y112" s="47"/>
      <c r="Z112" s="37">
        <f t="shared" si="23"/>
        <v>108.5</v>
      </c>
      <c r="AA112" s="37">
        <f t="shared" si="17"/>
        <v>193.70191765604557</v>
      </c>
      <c r="AC112" s="4"/>
      <c r="AF112" s="4"/>
      <c r="AI112" s="4"/>
      <c r="AM112" s="41"/>
      <c r="AN112" s="41"/>
      <c r="AO112" s="49"/>
      <c r="AP112" s="41"/>
      <c r="AQ112" s="41"/>
      <c r="AR112" s="41"/>
      <c r="AS112" s="41"/>
      <c r="AT112" s="41"/>
      <c r="AU112" s="41"/>
      <c r="AV112" s="41"/>
      <c r="AW112" s="41"/>
      <c r="AX112" s="41"/>
      <c r="AY112" s="41"/>
      <c r="AZ112" s="41"/>
      <c r="BA112" s="6"/>
      <c r="BB112" s="7"/>
      <c r="BC112" s="7"/>
      <c r="BD112" s="7"/>
      <c r="BE112" s="7"/>
      <c r="BF112" s="7"/>
      <c r="BG112" s="7"/>
      <c r="BH112" s="7"/>
      <c r="BI112" s="7"/>
      <c r="BV112" s="50"/>
      <c r="BX112" s="49"/>
      <c r="BY112" s="49"/>
      <c r="BZ112" s="49"/>
      <c r="CA112" s="49"/>
      <c r="CB112" s="49"/>
      <c r="CC112" s="49"/>
      <c r="CD112" s="49"/>
      <c r="CE112" s="49"/>
      <c r="CF112" s="49"/>
      <c r="CG112" s="41"/>
      <c r="CH112" s="7"/>
      <c r="CI112" s="7"/>
      <c r="CJ112" s="7"/>
      <c r="CK112" s="7"/>
      <c r="CL112" s="7"/>
      <c r="CM112" s="7"/>
      <c r="CN112" s="7"/>
      <c r="CO112" s="7"/>
      <c r="CP112" s="7"/>
    </row>
    <row r="113" spans="1:94" ht="14.4" x14ac:dyDescent="0.3">
      <c r="A113" s="138">
        <v>109</v>
      </c>
      <c r="B113" s="4"/>
      <c r="C113" s="44">
        <v>1</v>
      </c>
      <c r="E113" s="45">
        <f t="shared" si="18"/>
        <v>1</v>
      </c>
      <c r="F113" s="46">
        <f t="shared" si="19"/>
        <v>0.63212055882855767</v>
      </c>
      <c r="G113" s="37">
        <f t="shared" si="20"/>
        <v>2.9518304367709183</v>
      </c>
      <c r="H113" s="41">
        <f t="shared" si="21"/>
        <v>1.8659127052587783</v>
      </c>
      <c r="I113" s="41">
        <f>SUM($H$4:H112)</f>
        <v>99997.048169563175</v>
      </c>
      <c r="J113" s="37">
        <f t="shared" si="12"/>
        <v>0.93295635262938914</v>
      </c>
      <c r="K113" s="37">
        <f>SUM(J113:J$113)</f>
        <v>0.93295635262938914</v>
      </c>
      <c r="L113" s="47">
        <f t="shared" si="13"/>
        <v>1</v>
      </c>
      <c r="M113" s="37">
        <f>(G114+0.5*H113)/(1+'General input'!$C$114)^A113</f>
        <v>4.5732793221631082E-3</v>
      </c>
      <c r="N113" s="37">
        <f>SUM(M113:M$113)</f>
        <v>4.5732793221631082E-3</v>
      </c>
      <c r="O113" s="37">
        <f t="shared" si="14"/>
        <v>1</v>
      </c>
      <c r="Q113" s="44">
        <v>0</v>
      </c>
      <c r="S113" s="48">
        <f t="shared" si="22"/>
        <v>0</v>
      </c>
      <c r="T113" s="37">
        <f>SUM(S113:S$115)</f>
        <v>0</v>
      </c>
      <c r="U113" s="47">
        <f t="shared" si="15"/>
        <v>0</v>
      </c>
      <c r="V113" s="37">
        <f>S113/(1+'General input'!$C$113)^A113</f>
        <v>0</v>
      </c>
      <c r="W113" s="37">
        <f>SUM(V113:V$115)</f>
        <v>0</v>
      </c>
      <c r="X113" s="202">
        <f t="shared" si="16"/>
        <v>0</v>
      </c>
      <c r="Y113" s="47"/>
      <c r="Z113" s="37">
        <f t="shared" si="23"/>
        <v>109.5</v>
      </c>
      <c r="AA113" s="37">
        <f t="shared" si="17"/>
        <v>204.31744122583623</v>
      </c>
      <c r="AB113" s="54">
        <f>SUM(AA69:AA113)/SUM(H69:H113)</f>
        <v>77.803092976258668</v>
      </c>
      <c r="AC113" s="4"/>
      <c r="AF113" s="4"/>
      <c r="AI113" s="4"/>
      <c r="AM113" s="41"/>
      <c r="AN113" s="41"/>
      <c r="AO113" s="49"/>
      <c r="AP113" s="41"/>
      <c r="AQ113" s="41"/>
      <c r="AR113" s="41"/>
      <c r="AS113" s="41"/>
      <c r="AT113" s="41"/>
      <c r="AU113" s="41"/>
      <c r="AV113" s="41"/>
      <c r="AW113" s="41"/>
      <c r="AX113" s="41"/>
      <c r="AY113" s="41"/>
      <c r="AZ113" s="41"/>
      <c r="BA113" s="6"/>
      <c r="BB113" s="7"/>
      <c r="BC113" s="7"/>
      <c r="BD113" s="7"/>
      <c r="BE113" s="7"/>
      <c r="BF113" s="7"/>
      <c r="BG113" s="7"/>
      <c r="BH113" s="7"/>
      <c r="BI113" s="7"/>
      <c r="BV113" s="50"/>
      <c r="BX113" s="49"/>
      <c r="BY113" s="49"/>
      <c r="BZ113" s="49"/>
      <c r="CA113" s="49"/>
      <c r="CB113" s="49"/>
      <c r="CC113" s="49"/>
      <c r="CD113" s="49"/>
      <c r="CE113" s="49"/>
      <c r="CF113" s="49"/>
      <c r="CG113" s="41"/>
      <c r="CH113" s="7"/>
      <c r="CI113" s="7"/>
      <c r="CJ113" s="7"/>
      <c r="CK113" s="7"/>
      <c r="CL113" s="7"/>
      <c r="CM113" s="7"/>
      <c r="CN113" s="7"/>
      <c r="CO113" s="7"/>
      <c r="CP113" s="7"/>
    </row>
    <row r="114" spans="1:94" x14ac:dyDescent="0.25">
      <c r="A114" s="138"/>
      <c r="B114" s="4"/>
      <c r="C114" s="4"/>
      <c r="E114" s="47"/>
      <c r="F114" s="56"/>
      <c r="H114" s="37">
        <v>0</v>
      </c>
      <c r="I114" s="37">
        <v>100000</v>
      </c>
      <c r="L114" s="47"/>
      <c r="U114" s="47"/>
      <c r="X114" s="47"/>
      <c r="Y114" s="47"/>
    </row>
    <row r="115" spans="1:94" ht="14.4" x14ac:dyDescent="0.3">
      <c r="A115" s="138"/>
      <c r="C115" s="4"/>
      <c r="E115" s="47"/>
      <c r="F115" s="56"/>
      <c r="L115" s="47"/>
      <c r="N115" s="4"/>
      <c r="U115" s="47"/>
      <c r="X115" s="47"/>
      <c r="Y115" s="47"/>
      <c r="AQ115"/>
      <c r="AR115"/>
      <c r="AS115"/>
      <c r="AT115"/>
      <c r="BN115"/>
      <c r="BO115"/>
      <c r="BP115"/>
      <c r="BQ115"/>
      <c r="BR115"/>
      <c r="BS115" s="52"/>
      <c r="BT115" s="52"/>
      <c r="BU115"/>
      <c r="BW115"/>
      <c r="BX115"/>
      <c r="BZ115"/>
      <c r="CA115"/>
    </row>
    <row r="116" spans="1:94" ht="14.4" x14ac:dyDescent="0.3">
      <c r="A116" s="57"/>
      <c r="B116" s="57"/>
      <c r="C116" s="57" t="s">
        <v>248</v>
      </c>
      <c r="D116" s="57" t="s">
        <v>249</v>
      </c>
      <c r="E116" s="58" t="s">
        <v>250</v>
      </c>
      <c r="F116" s="58" t="s">
        <v>1052</v>
      </c>
      <c r="G116" s="58" t="s">
        <v>1053</v>
      </c>
      <c r="H116" s="59"/>
      <c r="J116" s="59"/>
      <c r="K116" s="59"/>
      <c r="M116" s="8"/>
      <c r="N116" s="4"/>
      <c r="X116" s="47"/>
      <c r="Y116" s="47"/>
      <c r="Z116" s="59"/>
      <c r="AA116" s="59"/>
      <c r="AQ116"/>
      <c r="AR116"/>
      <c r="AS116"/>
      <c r="BN116"/>
      <c r="BO116"/>
      <c r="BP116"/>
      <c r="BQ116"/>
      <c r="BR116"/>
      <c r="BS116"/>
      <c r="BT116"/>
      <c r="BU116"/>
      <c r="BX116"/>
      <c r="BY116"/>
    </row>
    <row r="117" spans="1:94" ht="14.4" x14ac:dyDescent="0.3">
      <c r="A117" s="60" t="s">
        <v>8</v>
      </c>
      <c r="B117" s="57"/>
      <c r="C117" s="61">
        <f>3/12</f>
        <v>0.25</v>
      </c>
      <c r="D117" s="54">
        <f t="shared" ref="D117:D124" si="24">INDEX($L$4:$L$113,MATCH(ROUNDDOWN($C117,0),$A$4:$A$113,0))*(1-(ROUNDUP($C117,0)-$C117))+INDEX($L$4:$L$113,MATCH(ROUNDUP($C117,0),$A$4:$A$113,0))*(ROUNDUP($C117,0)-$C117)</f>
        <v>63.311947111431628</v>
      </c>
      <c r="E117" s="54">
        <f t="shared" ref="E117:E124" si="25">INDEX($O$4:$O$113,MATCH(ROUNDDOWN($C117,0),$A$4:$A$113,0))*(1-(ROUNDUP($C117,0)-$C117))+INDEX($O$4:$O$113,MATCH(ROUNDUP($C117,0),$A$4:$A$113,0))*(ROUNDUP($C117,0)-$C117)</f>
        <v>19.302842250809064</v>
      </c>
      <c r="F117" s="54">
        <f t="shared" ref="F117:F124" ca="1" si="26">INDEX($U$4:$U$113,MATCH(ROUNDDOWN($C117,0),$A$4:$A$113,0))*(1-(ROUNDUP($C117,0)-$C117))+INDEX($U$4:$U$113,MATCH(ROUNDUP($C117,0),$A$4:$A$113,0))*(ROUNDUP($C117,0)-$C117)</f>
        <v>326597.534726338</v>
      </c>
      <c r="G117" s="203">
        <f t="shared" ref="G117:G124" ca="1" si="27">INDEX($X$4:$X$113,MATCH(ROUNDDOWN($C117,0),$A$4:$A$113,0))*(1-(ROUNDUP($C117,0)-$C117))+INDEX($X$4:$X$113,MATCH(ROUNDUP($C117,0),$A$4:$A$113,0))*(ROUNDUP($C117,0)-$C117)</f>
        <v>64682.431406106065</v>
      </c>
      <c r="J117" s="59"/>
      <c r="K117" s="59"/>
      <c r="M117" s="50"/>
      <c r="N117" s="4"/>
      <c r="X117" s="47"/>
      <c r="Y117" s="47"/>
      <c r="AQ117"/>
      <c r="AR117" s="62"/>
      <c r="AS117" s="62"/>
      <c r="BR117" s="52"/>
      <c r="BS117" s="52"/>
      <c r="BT117" s="52"/>
      <c r="BU117" s="52"/>
      <c r="BW117"/>
      <c r="BX117" s="62"/>
      <c r="BY117" s="62"/>
    </row>
    <row r="118" spans="1:94" ht="14.4" x14ac:dyDescent="0.3">
      <c r="A118" s="63" t="s">
        <v>2</v>
      </c>
      <c r="B118" s="57"/>
      <c r="C118" s="61">
        <f>9/12</f>
        <v>0.75</v>
      </c>
      <c r="D118" s="54">
        <f t="shared" si="24"/>
        <v>63.242588803029129</v>
      </c>
      <c r="E118" s="54">
        <f t="shared" si="25"/>
        <v>19.175965306051872</v>
      </c>
      <c r="F118" s="54">
        <f t="shared" ca="1" si="26"/>
        <v>323648.83065965842</v>
      </c>
      <c r="G118" s="203">
        <f t="shared" ca="1" si="27"/>
        <v>62554.248930989808</v>
      </c>
      <c r="J118" s="59"/>
      <c r="K118" s="59"/>
      <c r="N118" s="4"/>
      <c r="X118" s="47"/>
      <c r="Y118" s="47"/>
      <c r="AQ118" s="42"/>
      <c r="AR118" s="62"/>
      <c r="AS118" s="62"/>
      <c r="BM118" s="52"/>
      <c r="BN118" s="52"/>
      <c r="BO118"/>
      <c r="BP118"/>
      <c r="BQ118"/>
      <c r="BR118" s="52"/>
      <c r="BS118" s="52"/>
      <c r="BT118" s="52"/>
      <c r="BU118" s="52"/>
      <c r="BW118" s="42"/>
      <c r="BX118" s="62"/>
      <c r="BY118" s="62"/>
    </row>
    <row r="119" spans="1:94" ht="14.4" x14ac:dyDescent="0.3">
      <c r="A119" s="63" t="s">
        <v>3</v>
      </c>
      <c r="B119" s="57"/>
      <c r="C119" s="61">
        <v>1.5</v>
      </c>
      <c r="D119" s="54">
        <f t="shared" si="24"/>
        <v>62.924657046299728</v>
      </c>
      <c r="E119" s="54">
        <f t="shared" si="25"/>
        <v>19.349573642021696</v>
      </c>
      <c r="F119" s="54">
        <f t="shared" ca="1" si="26"/>
        <v>328482.48965789459</v>
      </c>
      <c r="G119" s="203">
        <f t="shared" ca="1" si="27"/>
        <v>67476.585976058355</v>
      </c>
      <c r="J119" s="59"/>
      <c r="K119" s="59"/>
      <c r="N119" s="4"/>
      <c r="X119" s="47"/>
      <c r="Y119" s="47"/>
      <c r="AQ119"/>
      <c r="AR119" s="62"/>
      <c r="AS119" s="62"/>
      <c r="BM119" s="52"/>
      <c r="BN119" s="52"/>
      <c r="BO119"/>
      <c r="BP119"/>
      <c r="BQ119"/>
      <c r="BR119" s="52"/>
      <c r="BS119" s="52"/>
      <c r="BT119" s="52"/>
      <c r="BU119" s="52"/>
      <c r="BW119"/>
      <c r="BX119" s="62"/>
      <c r="BY119" s="62"/>
    </row>
    <row r="120" spans="1:94" ht="14.4" x14ac:dyDescent="0.3">
      <c r="A120" s="60" t="s">
        <v>4</v>
      </c>
      <c r="B120" s="57"/>
      <c r="C120" s="61">
        <v>3</v>
      </c>
      <c r="D120" s="54">
        <f t="shared" si="24"/>
        <v>61.656636902696874</v>
      </c>
      <c r="E120" s="54">
        <f t="shared" si="25"/>
        <v>19.297693868499458</v>
      </c>
      <c r="F120" s="54">
        <f t="shared" ca="1" si="26"/>
        <v>329716.35393544385</v>
      </c>
      <c r="G120" s="203">
        <f t="shared" ca="1" si="27"/>
        <v>72848.876501983148</v>
      </c>
      <c r="J120" s="59"/>
      <c r="K120" s="59"/>
      <c r="N120" s="4"/>
      <c r="X120" s="47"/>
      <c r="Y120" s="47"/>
      <c r="AQ120"/>
      <c r="AR120" s="62"/>
      <c r="AS120" s="62"/>
      <c r="BM120" s="52"/>
      <c r="BN120" s="52"/>
      <c r="BO120"/>
      <c r="BP120"/>
      <c r="BQ120"/>
      <c r="BR120" s="52"/>
      <c r="BS120" s="52"/>
      <c r="BT120" s="52"/>
      <c r="BU120" s="52"/>
      <c r="BW120"/>
      <c r="BX120" s="62"/>
      <c r="BY120" s="62"/>
    </row>
    <row r="121" spans="1:94" ht="14.4" x14ac:dyDescent="0.3">
      <c r="A121" s="60" t="s">
        <v>5</v>
      </c>
      <c r="B121" s="57"/>
      <c r="C121" s="61">
        <v>9.5</v>
      </c>
      <c r="D121" s="54">
        <f t="shared" si="24"/>
        <v>55.670967444057503</v>
      </c>
      <c r="E121" s="54">
        <f t="shared" si="25"/>
        <v>18.859904145583634</v>
      </c>
      <c r="F121" s="54">
        <f t="shared" ca="1" si="26"/>
        <v>332614.29073600343</v>
      </c>
      <c r="G121" s="203">
        <f t="shared" ca="1" si="27"/>
        <v>100945.79446959653</v>
      </c>
      <c r="J121" s="59"/>
      <c r="K121" s="59"/>
      <c r="N121" s="4"/>
      <c r="X121" s="47"/>
      <c r="Y121" s="47"/>
      <c r="AQ121"/>
      <c r="AR121" s="62"/>
      <c r="AS121" s="62"/>
      <c r="BM121" s="52"/>
      <c r="BN121" s="52"/>
      <c r="BO121"/>
      <c r="BP121"/>
      <c r="BQ121"/>
      <c r="BR121" s="52"/>
      <c r="BS121" s="52"/>
      <c r="BT121" s="52"/>
      <c r="BU121" s="52"/>
      <c r="BW121"/>
      <c r="BX121" s="62"/>
      <c r="BY121" s="62"/>
    </row>
    <row r="122" spans="1:94" ht="14.4" x14ac:dyDescent="0.3">
      <c r="A122" s="60" t="s">
        <v>6</v>
      </c>
      <c r="B122" s="57"/>
      <c r="C122" s="61">
        <f>AB53</f>
        <v>38.036343947054299</v>
      </c>
      <c r="D122" s="54">
        <f t="shared" si="24"/>
        <v>30.332301348908373</v>
      </c>
      <c r="E122" s="54">
        <f t="shared" si="25"/>
        <v>14.973909606551734</v>
      </c>
      <c r="F122" s="54">
        <f t="shared" ca="1" si="26"/>
        <v>178357.58527335647</v>
      </c>
      <c r="G122" s="203">
        <f t="shared" ca="1" si="27"/>
        <v>106234.2005834197</v>
      </c>
      <c r="J122" s="59"/>
      <c r="K122" s="59"/>
      <c r="N122" s="4"/>
      <c r="X122" s="47"/>
      <c r="Y122" s="47"/>
      <c r="AQ122"/>
      <c r="AR122" s="62"/>
      <c r="AS122" s="62"/>
      <c r="BM122" s="52"/>
      <c r="BN122" s="52"/>
      <c r="BO122"/>
      <c r="BP122"/>
      <c r="BQ122"/>
      <c r="BR122" s="52"/>
      <c r="BS122" s="52"/>
      <c r="BT122" s="52"/>
      <c r="BU122" s="52"/>
      <c r="BW122"/>
      <c r="BX122" s="62"/>
      <c r="BY122" s="62"/>
    </row>
    <row r="123" spans="1:94" ht="14.4" x14ac:dyDescent="0.3">
      <c r="A123" s="63" t="s">
        <v>7</v>
      </c>
      <c r="B123" s="57"/>
      <c r="C123" s="61">
        <f>AB68</f>
        <v>58.142605429150485</v>
      </c>
      <c r="D123" s="54">
        <f t="shared" si="24"/>
        <v>16.663657932552432</v>
      </c>
      <c r="E123" s="54">
        <f t="shared" si="25"/>
        <v>10.737128352021761</v>
      </c>
      <c r="F123" s="54">
        <f t="shared" ca="1" si="26"/>
        <v>51532.907586995017</v>
      </c>
      <c r="G123" s="203">
        <f t="shared" ca="1" si="27"/>
        <v>44830.87834579128</v>
      </c>
      <c r="J123" s="59"/>
      <c r="K123" s="59"/>
      <c r="AQ123"/>
      <c r="AR123" s="62"/>
      <c r="AS123" s="62"/>
      <c r="BM123" s="52"/>
      <c r="BN123" s="52"/>
      <c r="BO123"/>
      <c r="BP123"/>
      <c r="BQ123"/>
      <c r="BR123" s="52"/>
      <c r="BS123" s="52"/>
      <c r="BT123" s="52"/>
      <c r="BU123" s="52"/>
      <c r="BW123"/>
      <c r="BX123" s="62"/>
      <c r="BY123" s="62"/>
    </row>
    <row r="124" spans="1:94" ht="14.4" x14ac:dyDescent="0.3">
      <c r="A124" s="63" t="s">
        <v>11</v>
      </c>
      <c r="B124" s="57"/>
      <c r="C124" s="61">
        <f>AB113</f>
        <v>77.803092976258668</v>
      </c>
      <c r="D124" s="54">
        <f t="shared" si="24"/>
        <v>7.6709164280651745</v>
      </c>
      <c r="E124" s="54">
        <f t="shared" si="25"/>
        <v>6.1187281366196951</v>
      </c>
      <c r="F124" s="54">
        <f t="shared" si="26"/>
        <v>0</v>
      </c>
      <c r="G124" s="203">
        <f t="shared" si="27"/>
        <v>0</v>
      </c>
      <c r="J124" s="59"/>
      <c r="K124" s="59"/>
      <c r="AQ124"/>
      <c r="AR124" s="62"/>
      <c r="AS124" s="62"/>
      <c r="BM124"/>
      <c r="BN124"/>
      <c r="BO124"/>
      <c r="BP124"/>
      <c r="BQ124"/>
      <c r="BR124" s="52"/>
      <c r="BS124" s="52"/>
      <c r="BT124" s="52"/>
      <c r="BU124" s="52"/>
      <c r="BW124"/>
      <c r="BX124" s="62"/>
      <c r="BY124" s="62"/>
    </row>
    <row r="125" spans="1:94" ht="14.4" x14ac:dyDescent="0.3">
      <c r="A125"/>
      <c r="B125" s="50"/>
      <c r="C125" s="41"/>
      <c r="D125" s="51"/>
      <c r="E125" s="51"/>
      <c r="F125" s="51"/>
      <c r="G125" s="51"/>
      <c r="AQ125"/>
      <c r="AR125" s="62"/>
      <c r="AS125" s="62"/>
      <c r="BM125"/>
      <c r="BN125"/>
      <c r="BO125"/>
      <c r="BP125"/>
      <c r="BQ125"/>
      <c r="BR125" s="52"/>
      <c r="BS125" s="52"/>
      <c r="BT125" s="52"/>
      <c r="BU125" s="52"/>
      <c r="BW125"/>
      <c r="BX125" s="62"/>
      <c r="BY125" s="62"/>
    </row>
    <row r="126" spans="1:94" ht="14.4" x14ac:dyDescent="0.3">
      <c r="A126"/>
      <c r="B126" s="50"/>
      <c r="C126" s="51"/>
      <c r="D126" s="51"/>
      <c r="E126" s="51"/>
      <c r="F126" s="51"/>
      <c r="G126" s="51"/>
      <c r="AQ126"/>
      <c r="AR126" s="62"/>
      <c r="AS126" s="62"/>
      <c r="BM126"/>
      <c r="BN126"/>
      <c r="BO126"/>
      <c r="BP126"/>
      <c r="BQ126"/>
      <c r="BR126" s="52"/>
      <c r="BS126" s="52"/>
      <c r="BT126" s="52"/>
      <c r="BU126" s="52"/>
      <c r="BW126"/>
      <c r="BX126" s="62"/>
      <c r="BY126" s="62"/>
    </row>
    <row r="127" spans="1:94" ht="14.4" x14ac:dyDescent="0.3">
      <c r="A127"/>
      <c r="B127" s="50"/>
      <c r="C127" s="51"/>
      <c r="D127" s="51"/>
      <c r="E127" s="51"/>
      <c r="F127" s="51"/>
      <c r="G127" s="51"/>
      <c r="AQ127"/>
      <c r="AR127" s="62"/>
      <c r="AS127" s="62"/>
      <c r="BM127"/>
      <c r="BN127"/>
      <c r="BO127"/>
      <c r="BP127"/>
      <c r="BQ127"/>
      <c r="BR127" s="52"/>
      <c r="BS127" s="52"/>
      <c r="BT127" s="52"/>
      <c r="BU127" s="52"/>
      <c r="BW127"/>
      <c r="BX127" s="62"/>
      <c r="BY127" s="62"/>
    </row>
    <row r="128" spans="1:94" ht="14.4" x14ac:dyDescent="0.3">
      <c r="A128"/>
      <c r="B128" s="50"/>
      <c r="C128" s="51"/>
      <c r="D128" s="51"/>
      <c r="E128" s="51"/>
      <c r="F128" s="51"/>
      <c r="G128" s="51"/>
      <c r="AQ128"/>
      <c r="AR128" s="62"/>
      <c r="AS128" s="62"/>
      <c r="BM128"/>
      <c r="BN128"/>
      <c r="BO128"/>
      <c r="BP128"/>
      <c r="BQ128"/>
      <c r="BR128" s="52"/>
      <c r="BS128" s="52"/>
      <c r="BT128" s="52"/>
      <c r="BU128" s="52"/>
      <c r="BW128"/>
      <c r="BX128" s="62"/>
      <c r="BY128" s="62"/>
    </row>
    <row r="129" spans="1:77" ht="14.4" x14ac:dyDescent="0.3">
      <c r="A129"/>
      <c r="B129" s="50"/>
      <c r="C129" s="51"/>
      <c r="D129" s="51"/>
      <c r="E129" s="51"/>
      <c r="F129" s="51"/>
      <c r="G129" s="51"/>
      <c r="AQ129"/>
      <c r="AR129" s="62"/>
      <c r="AS129" s="62"/>
      <c r="BM129"/>
      <c r="BN129"/>
      <c r="BO129"/>
      <c r="BP129"/>
      <c r="BQ129"/>
      <c r="BR129" s="52"/>
      <c r="BS129" s="52"/>
      <c r="BT129" s="52"/>
      <c r="BU129" s="52"/>
      <c r="BW129"/>
      <c r="BX129" s="62"/>
      <c r="BY129" s="62"/>
    </row>
    <row r="130" spans="1:77" ht="14.4" x14ac:dyDescent="0.3">
      <c r="A130"/>
      <c r="B130" s="50"/>
      <c r="C130" s="51"/>
      <c r="D130" s="51"/>
      <c r="E130" s="51"/>
      <c r="F130" s="51"/>
      <c r="G130" s="51"/>
      <c r="AQ130"/>
      <c r="AR130" s="62"/>
      <c r="AS130" s="62"/>
      <c r="BM130"/>
      <c r="BN130"/>
      <c r="BO130"/>
      <c r="BP130"/>
      <c r="BQ130"/>
      <c r="BR130" s="52"/>
      <c r="BS130" s="52"/>
      <c r="BT130" s="52"/>
      <c r="BU130" s="52"/>
      <c r="BW130"/>
      <c r="BX130" s="62"/>
      <c r="BY130" s="62"/>
    </row>
    <row r="131" spans="1:77" ht="14.4" x14ac:dyDescent="0.3">
      <c r="A131"/>
      <c r="B131" s="50"/>
      <c r="C131" s="51"/>
      <c r="D131" s="51"/>
      <c r="E131" s="51"/>
      <c r="F131" s="51"/>
      <c r="G131" s="51"/>
      <c r="AQ131"/>
      <c r="AR131" s="62"/>
      <c r="AS131" s="62"/>
      <c r="BM131"/>
      <c r="BN131"/>
      <c r="BO131"/>
      <c r="BP131"/>
      <c r="BQ131"/>
      <c r="BR131" s="52"/>
      <c r="BS131" s="52"/>
      <c r="BT131" s="52"/>
      <c r="BU131" s="52"/>
      <c r="BW131"/>
      <c r="BX131" s="62"/>
      <c r="BY131" s="62"/>
    </row>
    <row r="132" spans="1:77" ht="14.4" x14ac:dyDescent="0.3">
      <c r="M132" s="9"/>
      <c r="BK132"/>
      <c r="BL132"/>
      <c r="BM132"/>
      <c r="BN132"/>
      <c r="BO132"/>
      <c r="BP132"/>
      <c r="BQ132"/>
      <c r="BR132"/>
      <c r="BS132"/>
      <c r="BT132"/>
      <c r="BU132"/>
    </row>
    <row r="133" spans="1:77" ht="14.4" x14ac:dyDescent="0.3">
      <c r="B133" s="38"/>
      <c r="F133" s="64"/>
      <c r="M133" s="9"/>
      <c r="BX133" s="62"/>
      <c r="BY133" s="62"/>
    </row>
    <row r="134" spans="1:77" ht="14.4" x14ac:dyDescent="0.3">
      <c r="C134" s="798"/>
      <c r="D134" s="798"/>
      <c r="E134" s="798"/>
      <c r="F134" s="798"/>
      <c r="G134" s="798"/>
      <c r="H134" s="798"/>
      <c r="I134"/>
      <c r="J134"/>
      <c r="K134"/>
      <c r="M134"/>
      <c r="N134"/>
      <c r="BX134" s="62"/>
      <c r="BY134" s="62"/>
    </row>
    <row r="135" spans="1:77" ht="14.4" x14ac:dyDescent="0.3">
      <c r="B135"/>
      <c r="C135"/>
      <c r="D135" s="64"/>
      <c r="E135" s="42"/>
      <c r="F135" s="42"/>
      <c r="G135"/>
      <c r="H135" s="42"/>
      <c r="I135" s="65"/>
      <c r="J135" s="65"/>
      <c r="M135"/>
      <c r="N135"/>
      <c r="BX135" s="62"/>
      <c r="BY135" s="62"/>
    </row>
    <row r="136" spans="1:77" ht="14.4" x14ac:dyDescent="0.3">
      <c r="B136"/>
      <c r="C136" s="10"/>
      <c r="D136" s="65"/>
      <c r="E136" s="10"/>
      <c r="F136" s="42"/>
      <c r="G136"/>
      <c r="H136"/>
      <c r="I136"/>
      <c r="J136" s="65"/>
      <c r="N136"/>
      <c r="U136"/>
      <c r="V136"/>
      <c r="W136"/>
      <c r="BX136" s="62"/>
      <c r="BY136" s="62"/>
    </row>
    <row r="137" spans="1:77" ht="14.4" x14ac:dyDescent="0.3">
      <c r="B137" s="42"/>
      <c r="C137" s="10"/>
      <c r="D137" s="65"/>
      <c r="E137" s="10"/>
      <c r="F137" s="42"/>
      <c r="G137"/>
      <c r="H137"/>
      <c r="I137"/>
      <c r="J137" s="65"/>
      <c r="N137"/>
      <c r="U137"/>
      <c r="V137"/>
      <c r="W137"/>
      <c r="BX137" s="62"/>
      <c r="BY137" s="62"/>
    </row>
    <row r="138" spans="1:77" ht="14.4" x14ac:dyDescent="0.3">
      <c r="B138"/>
      <c r="C138" s="10"/>
      <c r="D138"/>
      <c r="E138"/>
      <c r="F138"/>
      <c r="G138"/>
      <c r="H138" s="65"/>
      <c r="I138"/>
      <c r="J138" s="65"/>
      <c r="M138" s="10"/>
      <c r="N138"/>
      <c r="U138"/>
      <c r="V138"/>
      <c r="W138"/>
      <c r="BX138" s="62"/>
      <c r="BY138" s="62"/>
    </row>
    <row r="139" spans="1:77" ht="14.4" x14ac:dyDescent="0.3">
      <c r="B139"/>
      <c r="C139" s="10"/>
      <c r="D139"/>
      <c r="E139"/>
      <c r="F139"/>
      <c r="G139"/>
      <c r="H139" s="65"/>
      <c r="I139"/>
      <c r="J139" s="65"/>
      <c r="M139" s="10"/>
      <c r="N139"/>
      <c r="U139"/>
      <c r="V139"/>
      <c r="W139"/>
      <c r="BX139" s="62"/>
      <c r="BY139" s="62"/>
    </row>
    <row r="140" spans="1:77" ht="14.4" x14ac:dyDescent="0.3">
      <c r="B140"/>
      <c r="C140" s="10"/>
      <c r="D140"/>
      <c r="E140"/>
      <c r="F140"/>
      <c r="G140"/>
      <c r="H140" s="65"/>
      <c r="I140"/>
      <c r="J140" s="65"/>
      <c r="M140" s="10"/>
      <c r="N140"/>
      <c r="U140"/>
      <c r="V140"/>
      <c r="W140"/>
      <c r="BX140" s="62"/>
      <c r="BY140" s="62"/>
    </row>
    <row r="141" spans="1:77" ht="14.4" x14ac:dyDescent="0.3">
      <c r="B141"/>
      <c r="C141" s="10"/>
      <c r="D141"/>
      <c r="E141"/>
      <c r="F141"/>
      <c r="G141"/>
      <c r="H141" s="65"/>
      <c r="I141"/>
      <c r="J141" s="65"/>
      <c r="M141" s="10"/>
      <c r="N141"/>
      <c r="U141"/>
      <c r="V141"/>
      <c r="W141"/>
      <c r="BX141" s="62"/>
      <c r="BY141" s="62"/>
    </row>
    <row r="142" spans="1:77" ht="14.4" x14ac:dyDescent="0.3">
      <c r="B142"/>
      <c r="C142" s="10"/>
      <c r="D142"/>
      <c r="E142"/>
      <c r="F142"/>
      <c r="G142"/>
      <c r="H142" s="65"/>
      <c r="I142"/>
      <c r="J142" s="65"/>
      <c r="M142" s="10"/>
      <c r="N142"/>
      <c r="U142"/>
      <c r="V142"/>
      <c r="W142"/>
    </row>
    <row r="143" spans="1:77" ht="14.4" x14ac:dyDescent="0.3">
      <c r="B143"/>
      <c r="C143" s="10"/>
      <c r="D143"/>
      <c r="E143"/>
      <c r="F143"/>
      <c r="G143"/>
      <c r="H143" s="65"/>
      <c r="I143"/>
      <c r="J143" s="65"/>
      <c r="M143" s="10"/>
      <c r="N143"/>
      <c r="U143"/>
      <c r="V143"/>
      <c r="W143"/>
    </row>
    <row r="144" spans="1:77" ht="14.4" x14ac:dyDescent="0.3">
      <c r="B144"/>
      <c r="C144" s="10"/>
      <c r="D144"/>
      <c r="E144"/>
      <c r="F144"/>
      <c r="G144"/>
      <c r="H144"/>
      <c r="I144" s="65"/>
      <c r="J144" s="65"/>
      <c r="M144" s="10"/>
      <c r="N144"/>
      <c r="O144"/>
      <c r="P144"/>
      <c r="Q144"/>
      <c r="R144"/>
      <c r="S144"/>
      <c r="U144"/>
      <c r="V144"/>
      <c r="W144"/>
    </row>
    <row r="145" spans="2:19" ht="14.4" x14ac:dyDescent="0.3">
      <c r="B145"/>
      <c r="C145"/>
      <c r="D145"/>
      <c r="E145"/>
      <c r="F145"/>
      <c r="G145"/>
      <c r="H145"/>
      <c r="I145"/>
      <c r="J145"/>
      <c r="K145" s="66"/>
      <c r="M145" s="66"/>
      <c r="N145"/>
      <c r="O145"/>
      <c r="P145"/>
      <c r="Q145"/>
      <c r="R145"/>
      <c r="S145"/>
    </row>
  </sheetData>
  <mergeCells count="3">
    <mergeCell ref="B2:C2"/>
    <mergeCell ref="C134:E134"/>
    <mergeCell ref="F134:H134"/>
  </mergeCell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B2:AE132"/>
  <sheetViews>
    <sheetView topLeftCell="D58" workbookViewId="0">
      <selection activeCell="A76" sqref="A76:XFD76"/>
    </sheetView>
  </sheetViews>
  <sheetFormatPr defaultColWidth="9.109375" defaultRowHeight="13.8" x14ac:dyDescent="0.3"/>
  <cols>
    <col min="1" max="1" width="9.109375" style="11"/>
    <col min="2" max="2" width="20.44140625" style="11" customWidth="1"/>
    <col min="3" max="3" width="11" style="11" customWidth="1"/>
    <col min="4" max="4" width="12.6640625" style="11" customWidth="1"/>
    <col min="5" max="5" width="21.109375" style="11" bestFit="1" customWidth="1"/>
    <col min="6" max="6" width="8.88671875" style="11" customWidth="1"/>
    <col min="7" max="7" width="10.6640625" style="11" customWidth="1"/>
    <col min="8" max="8" width="10.44140625" style="11" bestFit="1" customWidth="1"/>
    <col min="9" max="9" width="10.88671875" style="11" customWidth="1"/>
    <col min="10" max="17" width="8.88671875" style="11" customWidth="1"/>
    <col min="18" max="18" width="11.88671875" style="11" bestFit="1" customWidth="1"/>
    <col min="19" max="19" width="8.88671875" style="11" customWidth="1"/>
    <col min="20" max="20" width="14.88671875" style="11" bestFit="1" customWidth="1"/>
    <col min="21" max="22" width="15.6640625" style="11" customWidth="1"/>
    <col min="23" max="24" width="14.44140625" style="11" customWidth="1"/>
    <col min="25" max="25" width="16.109375" style="11" customWidth="1"/>
    <col min="26" max="27" width="9.109375" style="11"/>
    <col min="28" max="28" width="9.44140625" style="11" bestFit="1" customWidth="1"/>
    <col min="29" max="30" width="17.33203125" style="11" bestFit="1" customWidth="1"/>
    <col min="31" max="16384" width="9.109375" style="11"/>
  </cols>
  <sheetData>
    <row r="2" spans="2:4" ht="15.6" x14ac:dyDescent="0.3">
      <c r="B2" s="119" t="s">
        <v>927</v>
      </c>
    </row>
    <row r="4" spans="2:4" x14ac:dyDescent="0.3">
      <c r="B4" s="11" t="s">
        <v>717</v>
      </c>
    </row>
    <row r="5" spans="2:4" x14ac:dyDescent="0.3">
      <c r="B5" s="11" t="s">
        <v>932</v>
      </c>
    </row>
    <row r="6" spans="2:4" x14ac:dyDescent="0.3">
      <c r="B6" s="11" t="s">
        <v>942</v>
      </c>
    </row>
    <row r="7" spans="2:4" x14ac:dyDescent="0.3">
      <c r="B7" s="11" t="s">
        <v>943</v>
      </c>
    </row>
    <row r="8" spans="2:4" x14ac:dyDescent="0.3">
      <c r="B8" s="11" t="s">
        <v>944</v>
      </c>
    </row>
    <row r="9" spans="2:4" x14ac:dyDescent="0.3">
      <c r="B9" s="11" t="s">
        <v>718</v>
      </c>
    </row>
    <row r="11" spans="2:4" x14ac:dyDescent="0.3">
      <c r="B11" s="111" t="s">
        <v>712</v>
      </c>
    </row>
    <row r="12" spans="2:4" ht="27.6" x14ac:dyDescent="0.3">
      <c r="B12" s="112" t="s">
        <v>715</v>
      </c>
      <c r="C12" s="11" t="s">
        <v>924</v>
      </c>
      <c r="D12" s="13" t="s">
        <v>716</v>
      </c>
    </row>
    <row r="13" spans="2:4" x14ac:dyDescent="0.3">
      <c r="B13" s="113" t="s">
        <v>699</v>
      </c>
      <c r="C13" s="11">
        <v>1</v>
      </c>
      <c r="D13" s="118">
        <v>0.3</v>
      </c>
    </row>
    <row r="14" spans="2:4" x14ac:dyDescent="0.3">
      <c r="B14" s="113" t="s">
        <v>702</v>
      </c>
      <c r="C14" s="11">
        <v>2</v>
      </c>
      <c r="D14" s="118">
        <v>0.22500000000000001</v>
      </c>
    </row>
    <row r="15" spans="2:4" x14ac:dyDescent="0.3">
      <c r="B15" s="113" t="s">
        <v>704</v>
      </c>
      <c r="C15" s="11">
        <v>3</v>
      </c>
      <c r="D15" s="118">
        <v>0.1</v>
      </c>
    </row>
    <row r="16" spans="2:4" x14ac:dyDescent="0.3">
      <c r="B16" s="113" t="s">
        <v>706</v>
      </c>
      <c r="C16" s="11">
        <v>4</v>
      </c>
      <c r="D16" s="118">
        <v>2.5000000000000001E-2</v>
      </c>
    </row>
    <row r="17" spans="2:31" x14ac:dyDescent="0.3">
      <c r="B17" s="113" t="s">
        <v>707</v>
      </c>
      <c r="C17" s="11">
        <v>5</v>
      </c>
      <c r="D17" s="118">
        <v>0</v>
      </c>
    </row>
    <row r="18" spans="2:31" x14ac:dyDescent="0.3">
      <c r="B18" s="113" t="s">
        <v>708</v>
      </c>
      <c r="C18" s="11">
        <v>6</v>
      </c>
      <c r="D18" s="118">
        <v>0</v>
      </c>
    </row>
    <row r="19" spans="2:31" x14ac:dyDescent="0.3">
      <c r="B19" s="113" t="s">
        <v>709</v>
      </c>
      <c r="C19" s="11">
        <v>7</v>
      </c>
      <c r="D19" s="118">
        <v>0</v>
      </c>
    </row>
    <row r="20" spans="2:31" x14ac:dyDescent="0.3">
      <c r="B20" s="113" t="s">
        <v>710</v>
      </c>
      <c r="C20" s="11">
        <v>8</v>
      </c>
      <c r="D20" s="118">
        <v>0</v>
      </c>
    </row>
    <row r="21" spans="2:31" x14ac:dyDescent="0.3">
      <c r="B21" s="113" t="s">
        <v>700</v>
      </c>
      <c r="C21" s="11">
        <v>9</v>
      </c>
      <c r="D21" s="118">
        <v>0</v>
      </c>
    </row>
    <row r="22" spans="2:31" x14ac:dyDescent="0.3">
      <c r="B22" s="113" t="s">
        <v>701</v>
      </c>
      <c r="C22" s="11">
        <v>10</v>
      </c>
      <c r="D22" s="118">
        <v>2.5000000000000001E-2</v>
      </c>
    </row>
    <row r="23" spans="2:31" x14ac:dyDescent="0.3">
      <c r="B23" s="113" t="s">
        <v>703</v>
      </c>
      <c r="C23" s="11">
        <v>11</v>
      </c>
      <c r="D23" s="118">
        <v>0.1</v>
      </c>
    </row>
    <row r="24" spans="2:31" x14ac:dyDescent="0.3">
      <c r="B24" s="113" t="s">
        <v>705</v>
      </c>
      <c r="C24" s="11">
        <v>12</v>
      </c>
      <c r="D24" s="118">
        <v>0.22500000000000001</v>
      </c>
    </row>
    <row r="25" spans="2:31" x14ac:dyDescent="0.3">
      <c r="B25" s="113" t="s">
        <v>928</v>
      </c>
      <c r="D25" s="120">
        <f>SUM(D13:D24)</f>
        <v>1</v>
      </c>
    </row>
    <row r="27" spans="2:31" x14ac:dyDescent="0.3">
      <c r="B27" s="113" t="s">
        <v>721</v>
      </c>
      <c r="C27" s="113" t="s">
        <v>700</v>
      </c>
      <c r="D27" s="115">
        <f>VLOOKUP(C27,$B$13:$C$24,2,FALSE)</f>
        <v>9</v>
      </c>
    </row>
    <row r="28" spans="2:31" x14ac:dyDescent="0.3">
      <c r="B28" s="113" t="s">
        <v>720</v>
      </c>
      <c r="C28" s="113" t="s">
        <v>710</v>
      </c>
      <c r="D28" s="115">
        <f>VLOOKUP(C28,$B$13:$C$24,2,FALSE)</f>
        <v>8</v>
      </c>
    </row>
    <row r="30" spans="2:31" x14ac:dyDescent="0.3">
      <c r="B30" s="111" t="s">
        <v>945</v>
      </c>
      <c r="G30" s="11">
        <v>1</v>
      </c>
      <c r="H30" s="11">
        <v>2</v>
      </c>
      <c r="I30" s="11">
        <v>3</v>
      </c>
      <c r="J30" s="11">
        <v>4</v>
      </c>
      <c r="K30" s="11">
        <v>5</v>
      </c>
      <c r="L30" s="11">
        <v>6</v>
      </c>
      <c r="M30" s="11">
        <v>7</v>
      </c>
      <c r="N30" s="11">
        <v>8</v>
      </c>
      <c r="O30" s="11">
        <v>9</v>
      </c>
      <c r="P30" s="11">
        <v>10</v>
      </c>
      <c r="Q30" s="11">
        <v>11</v>
      </c>
      <c r="R30" s="11">
        <v>12</v>
      </c>
    </row>
    <row r="31" spans="2:31" ht="27.6" x14ac:dyDescent="0.3">
      <c r="B31" s="113" t="s">
        <v>693</v>
      </c>
      <c r="C31" s="113" t="s">
        <v>719</v>
      </c>
      <c r="D31" s="113" t="s">
        <v>929</v>
      </c>
      <c r="E31" s="113" t="s">
        <v>695</v>
      </c>
      <c r="F31" s="113" t="s">
        <v>929</v>
      </c>
      <c r="G31" s="113" t="s">
        <v>699</v>
      </c>
      <c r="H31" s="113" t="s">
        <v>702</v>
      </c>
      <c r="I31" s="113" t="s">
        <v>704</v>
      </c>
      <c r="J31" s="113" t="s">
        <v>706</v>
      </c>
      <c r="K31" s="113" t="s">
        <v>707</v>
      </c>
      <c r="L31" s="113" t="s">
        <v>708</v>
      </c>
      <c r="M31" s="113" t="s">
        <v>709</v>
      </c>
      <c r="N31" s="113" t="s">
        <v>710</v>
      </c>
      <c r="O31" s="113" t="s">
        <v>700</v>
      </c>
      <c r="P31" s="113" t="s">
        <v>701</v>
      </c>
      <c r="Q31" s="113" t="s">
        <v>703</v>
      </c>
      <c r="R31" s="113" t="s">
        <v>705</v>
      </c>
      <c r="S31" s="113" t="s">
        <v>618</v>
      </c>
      <c r="T31" s="113"/>
      <c r="U31" s="113"/>
    </row>
    <row r="32" spans="2:31" ht="15" customHeight="1" x14ac:dyDescent="0.3">
      <c r="B32" s="113" t="s">
        <v>699</v>
      </c>
      <c r="C32" s="113" t="s">
        <v>700</v>
      </c>
      <c r="D32" s="122">
        <f t="shared" ref="D32:D43" si="0">VLOOKUP(C32,$B$13:$C$24,2,FALSE)</f>
        <v>9</v>
      </c>
      <c r="E32" s="115" t="s">
        <v>701</v>
      </c>
      <c r="F32" s="122">
        <f t="shared" ref="F32:F43" si="1">VLOOKUP(E32,$B$13:$C$24,2,FALSE)</f>
        <v>10</v>
      </c>
      <c r="G32" s="122">
        <v>0</v>
      </c>
      <c r="H32" s="122">
        <v>0</v>
      </c>
      <c r="I32" s="122">
        <v>0</v>
      </c>
      <c r="J32" s="122">
        <v>0</v>
      </c>
      <c r="K32" s="122">
        <v>0</v>
      </c>
      <c r="L32" s="122">
        <v>0</v>
      </c>
      <c r="M32" s="122">
        <v>0</v>
      </c>
      <c r="N32" s="122">
        <v>0</v>
      </c>
      <c r="O32" s="122">
        <v>1</v>
      </c>
      <c r="P32" s="122">
        <v>0</v>
      </c>
      <c r="Q32" s="122">
        <v>0</v>
      </c>
      <c r="R32" s="122">
        <v>0</v>
      </c>
      <c r="S32" s="127">
        <f>G32*$D$13+H32*$D$14+I32*$D$15+J32*$D$16+K32*$D$17+L32*$D$18+M32*$D$19+N32*$D$20+O32*$D$21+P32*$D$22+Q32*$D$23+R32*$D$24</f>
        <v>0</v>
      </c>
      <c r="T32" s="123"/>
      <c r="U32" s="124"/>
      <c r="AE32" s="114"/>
    </row>
    <row r="33" spans="2:31" ht="15" customHeight="1" x14ac:dyDescent="0.3">
      <c r="B33" s="113" t="s">
        <v>702</v>
      </c>
      <c r="C33" s="113" t="s">
        <v>700</v>
      </c>
      <c r="D33" s="122">
        <f t="shared" si="0"/>
        <v>9</v>
      </c>
      <c r="E33" s="115" t="s">
        <v>703</v>
      </c>
      <c r="F33" s="122">
        <f t="shared" si="1"/>
        <v>11</v>
      </c>
      <c r="G33" s="122">
        <v>0</v>
      </c>
      <c r="H33" s="122">
        <v>0</v>
      </c>
      <c r="I33" s="122">
        <v>0</v>
      </c>
      <c r="J33" s="122">
        <v>0</v>
      </c>
      <c r="K33" s="122">
        <v>0</v>
      </c>
      <c r="L33" s="122">
        <v>0</v>
      </c>
      <c r="M33" s="122">
        <v>0</v>
      </c>
      <c r="N33" s="122">
        <v>0</v>
      </c>
      <c r="O33" s="122">
        <v>1</v>
      </c>
      <c r="P33" s="122">
        <v>1</v>
      </c>
      <c r="Q33" s="122">
        <v>0</v>
      </c>
      <c r="R33" s="122">
        <v>0</v>
      </c>
      <c r="S33" s="127">
        <f t="shared" ref="S33:S43" si="2">G33*$D$13+H33*$D$14+I33*$D$15+J33*$D$16+K33*$D$17+L33*$D$18+M33*$D$19+N33*$D$20+O33*$D$21+P33*$D$22+Q33*$D$23+R33*$D$24</f>
        <v>2.5000000000000001E-2</v>
      </c>
      <c r="T33" s="123"/>
      <c r="U33" s="124"/>
      <c r="AE33" s="114"/>
    </row>
    <row r="34" spans="2:31" ht="15" customHeight="1" x14ac:dyDescent="0.3">
      <c r="B34" s="113" t="s">
        <v>704</v>
      </c>
      <c r="C34" s="113" t="s">
        <v>700</v>
      </c>
      <c r="D34" s="122">
        <f t="shared" si="0"/>
        <v>9</v>
      </c>
      <c r="E34" s="113" t="s">
        <v>705</v>
      </c>
      <c r="F34" s="122">
        <f t="shared" si="1"/>
        <v>12</v>
      </c>
      <c r="G34" s="122">
        <v>0</v>
      </c>
      <c r="H34" s="122">
        <v>0</v>
      </c>
      <c r="I34" s="122">
        <v>0</v>
      </c>
      <c r="J34" s="122">
        <v>0</v>
      </c>
      <c r="K34" s="122">
        <v>0</v>
      </c>
      <c r="L34" s="122">
        <v>0</v>
      </c>
      <c r="M34" s="122">
        <v>0</v>
      </c>
      <c r="N34" s="122">
        <v>0</v>
      </c>
      <c r="O34" s="122">
        <v>1</v>
      </c>
      <c r="P34" s="122">
        <v>1</v>
      </c>
      <c r="Q34" s="122">
        <v>1</v>
      </c>
      <c r="R34" s="122">
        <v>0</v>
      </c>
      <c r="S34" s="127">
        <f t="shared" si="2"/>
        <v>0.125</v>
      </c>
      <c r="T34" s="123"/>
      <c r="U34" s="124"/>
      <c r="AE34" s="114"/>
    </row>
    <row r="35" spans="2:31" ht="15" customHeight="1" x14ac:dyDescent="0.3">
      <c r="B35" s="113" t="s">
        <v>706</v>
      </c>
      <c r="C35" s="113" t="s">
        <v>700</v>
      </c>
      <c r="D35" s="122">
        <f t="shared" si="0"/>
        <v>9</v>
      </c>
      <c r="E35" s="113" t="s">
        <v>699</v>
      </c>
      <c r="F35" s="122">
        <f t="shared" si="1"/>
        <v>1</v>
      </c>
      <c r="G35" s="122">
        <v>0</v>
      </c>
      <c r="H35" s="122">
        <v>0</v>
      </c>
      <c r="I35" s="122">
        <v>0</v>
      </c>
      <c r="J35" s="122">
        <v>0</v>
      </c>
      <c r="K35" s="122">
        <v>0</v>
      </c>
      <c r="L35" s="122">
        <v>0</v>
      </c>
      <c r="M35" s="122">
        <v>0</v>
      </c>
      <c r="N35" s="122">
        <v>0</v>
      </c>
      <c r="O35" s="122">
        <v>1</v>
      </c>
      <c r="P35" s="122">
        <v>1</v>
      </c>
      <c r="Q35" s="122">
        <v>1</v>
      </c>
      <c r="R35" s="122">
        <v>1</v>
      </c>
      <c r="S35" s="127">
        <f t="shared" si="2"/>
        <v>0.35</v>
      </c>
      <c r="T35" s="123"/>
      <c r="U35" s="124"/>
      <c r="AE35" s="114"/>
    </row>
    <row r="36" spans="2:31" ht="15" customHeight="1" x14ac:dyDescent="0.3">
      <c r="B36" s="113" t="s">
        <v>707</v>
      </c>
      <c r="C36" s="113" t="s">
        <v>700</v>
      </c>
      <c r="D36" s="122">
        <f t="shared" si="0"/>
        <v>9</v>
      </c>
      <c r="E36" s="113" t="s">
        <v>702</v>
      </c>
      <c r="F36" s="122">
        <f t="shared" si="1"/>
        <v>2</v>
      </c>
      <c r="G36" s="122">
        <v>1</v>
      </c>
      <c r="H36" s="122">
        <v>0</v>
      </c>
      <c r="I36" s="122">
        <v>0</v>
      </c>
      <c r="J36" s="122">
        <v>0</v>
      </c>
      <c r="K36" s="122">
        <v>0</v>
      </c>
      <c r="L36" s="122">
        <v>0</v>
      </c>
      <c r="M36" s="122">
        <v>0</v>
      </c>
      <c r="N36" s="122">
        <v>0</v>
      </c>
      <c r="O36" s="122">
        <v>1</v>
      </c>
      <c r="P36" s="122">
        <v>1</v>
      </c>
      <c r="Q36" s="122">
        <v>1</v>
      </c>
      <c r="R36" s="122">
        <v>1</v>
      </c>
      <c r="S36" s="127">
        <f t="shared" si="2"/>
        <v>0.65</v>
      </c>
      <c r="T36" s="123"/>
      <c r="U36" s="124"/>
      <c r="AE36" s="114"/>
    </row>
    <row r="37" spans="2:31" ht="15" customHeight="1" x14ac:dyDescent="0.3">
      <c r="B37" s="113" t="s">
        <v>708</v>
      </c>
      <c r="C37" s="113" t="s">
        <v>700</v>
      </c>
      <c r="D37" s="122">
        <f t="shared" si="0"/>
        <v>9</v>
      </c>
      <c r="E37" s="113" t="s">
        <v>704</v>
      </c>
      <c r="F37" s="122">
        <f t="shared" si="1"/>
        <v>3</v>
      </c>
      <c r="G37" s="122">
        <v>1</v>
      </c>
      <c r="H37" s="122">
        <v>1</v>
      </c>
      <c r="I37" s="122">
        <v>0</v>
      </c>
      <c r="J37" s="122">
        <v>0</v>
      </c>
      <c r="K37" s="122">
        <v>0</v>
      </c>
      <c r="L37" s="122">
        <v>0</v>
      </c>
      <c r="M37" s="122">
        <v>0</v>
      </c>
      <c r="N37" s="122">
        <v>0</v>
      </c>
      <c r="O37" s="122">
        <v>1</v>
      </c>
      <c r="P37" s="122">
        <v>1</v>
      </c>
      <c r="Q37" s="122">
        <v>1</v>
      </c>
      <c r="R37" s="122">
        <v>1</v>
      </c>
      <c r="S37" s="127">
        <f t="shared" si="2"/>
        <v>0.875</v>
      </c>
      <c r="T37" s="123"/>
      <c r="U37" s="124"/>
      <c r="AE37" s="114"/>
    </row>
    <row r="38" spans="2:31" ht="15" customHeight="1" x14ac:dyDescent="0.3">
      <c r="B38" s="113" t="s">
        <v>709</v>
      </c>
      <c r="C38" s="113" t="s">
        <v>700</v>
      </c>
      <c r="D38" s="122">
        <f t="shared" si="0"/>
        <v>9</v>
      </c>
      <c r="E38" s="113" t="s">
        <v>706</v>
      </c>
      <c r="F38" s="122">
        <f t="shared" si="1"/>
        <v>4</v>
      </c>
      <c r="G38" s="122">
        <v>1</v>
      </c>
      <c r="H38" s="122">
        <v>1</v>
      </c>
      <c r="I38" s="122">
        <v>1</v>
      </c>
      <c r="J38" s="122">
        <v>0</v>
      </c>
      <c r="K38" s="122">
        <v>0</v>
      </c>
      <c r="L38" s="122">
        <v>0</v>
      </c>
      <c r="M38" s="122">
        <v>0</v>
      </c>
      <c r="N38" s="122">
        <v>0</v>
      </c>
      <c r="O38" s="122">
        <v>1</v>
      </c>
      <c r="P38" s="122">
        <v>1</v>
      </c>
      <c r="Q38" s="122">
        <v>1</v>
      </c>
      <c r="R38" s="122">
        <v>1</v>
      </c>
      <c r="S38" s="127">
        <f t="shared" si="2"/>
        <v>0.97499999999999998</v>
      </c>
      <c r="T38" s="123"/>
      <c r="U38" s="124"/>
      <c r="AE38" s="114"/>
    </row>
    <row r="39" spans="2:31" ht="15" customHeight="1" x14ac:dyDescent="0.3">
      <c r="B39" s="113" t="s">
        <v>710</v>
      </c>
      <c r="C39" s="113" t="s">
        <v>700</v>
      </c>
      <c r="D39" s="122">
        <f t="shared" si="0"/>
        <v>9</v>
      </c>
      <c r="E39" s="113" t="s">
        <v>707</v>
      </c>
      <c r="F39" s="122">
        <f t="shared" si="1"/>
        <v>5</v>
      </c>
      <c r="G39" s="122">
        <v>1</v>
      </c>
      <c r="H39" s="122">
        <v>1</v>
      </c>
      <c r="I39" s="122">
        <v>1</v>
      </c>
      <c r="J39" s="122">
        <v>1</v>
      </c>
      <c r="K39" s="122">
        <v>0</v>
      </c>
      <c r="L39" s="122">
        <v>0</v>
      </c>
      <c r="M39" s="122">
        <v>0</v>
      </c>
      <c r="N39" s="122">
        <v>0</v>
      </c>
      <c r="O39" s="122">
        <v>1</v>
      </c>
      <c r="P39" s="122">
        <v>1</v>
      </c>
      <c r="Q39" s="122">
        <v>1</v>
      </c>
      <c r="R39" s="122">
        <v>1</v>
      </c>
      <c r="S39" s="127">
        <f t="shared" si="2"/>
        <v>1</v>
      </c>
      <c r="T39" s="123"/>
      <c r="U39" s="124"/>
      <c r="AE39" s="114"/>
    </row>
    <row r="40" spans="2:31" ht="15" customHeight="1" x14ac:dyDescent="0.3">
      <c r="B40" s="113" t="s">
        <v>700</v>
      </c>
      <c r="C40" s="113" t="s">
        <v>701</v>
      </c>
      <c r="D40" s="122">
        <f t="shared" si="0"/>
        <v>10</v>
      </c>
      <c r="E40" s="113" t="s">
        <v>708</v>
      </c>
      <c r="F40" s="122">
        <f t="shared" si="1"/>
        <v>6</v>
      </c>
      <c r="G40" s="122">
        <v>1</v>
      </c>
      <c r="H40" s="122">
        <v>1</v>
      </c>
      <c r="I40" s="122">
        <v>1</v>
      </c>
      <c r="J40" s="122">
        <v>1</v>
      </c>
      <c r="K40" s="122">
        <v>1</v>
      </c>
      <c r="L40" s="122">
        <v>0</v>
      </c>
      <c r="M40" s="122">
        <v>0</v>
      </c>
      <c r="N40" s="122">
        <v>0</v>
      </c>
      <c r="O40" s="122">
        <v>0</v>
      </c>
      <c r="P40" s="122">
        <v>1</v>
      </c>
      <c r="Q40" s="122">
        <v>1</v>
      </c>
      <c r="R40" s="122">
        <v>1</v>
      </c>
      <c r="S40" s="127">
        <f t="shared" si="2"/>
        <v>1</v>
      </c>
      <c r="T40" s="123"/>
      <c r="U40" s="124"/>
      <c r="AE40" s="114"/>
    </row>
    <row r="41" spans="2:31" ht="15" customHeight="1" x14ac:dyDescent="0.3">
      <c r="B41" s="113" t="s">
        <v>701</v>
      </c>
      <c r="C41" s="113" t="s">
        <v>703</v>
      </c>
      <c r="D41" s="122">
        <f t="shared" si="0"/>
        <v>11</v>
      </c>
      <c r="E41" s="113" t="s">
        <v>709</v>
      </c>
      <c r="F41" s="122">
        <f t="shared" si="1"/>
        <v>7</v>
      </c>
      <c r="G41" s="122">
        <v>1</v>
      </c>
      <c r="H41" s="122">
        <v>1</v>
      </c>
      <c r="I41" s="122">
        <v>1</v>
      </c>
      <c r="J41" s="122">
        <v>1</v>
      </c>
      <c r="K41" s="122">
        <v>1</v>
      </c>
      <c r="L41" s="122">
        <v>1</v>
      </c>
      <c r="M41" s="122">
        <v>0</v>
      </c>
      <c r="N41" s="122">
        <v>0</v>
      </c>
      <c r="O41" s="122">
        <v>0</v>
      </c>
      <c r="P41" s="122">
        <v>0</v>
      </c>
      <c r="Q41" s="122">
        <v>1</v>
      </c>
      <c r="R41" s="122">
        <v>1</v>
      </c>
      <c r="S41" s="127">
        <f t="shared" si="2"/>
        <v>0.97499999999999998</v>
      </c>
      <c r="T41" s="123"/>
      <c r="U41" s="124"/>
      <c r="AE41" s="114"/>
    </row>
    <row r="42" spans="2:31" ht="15" customHeight="1" x14ac:dyDescent="0.3">
      <c r="B42" s="113" t="s">
        <v>703</v>
      </c>
      <c r="C42" s="113" t="s">
        <v>705</v>
      </c>
      <c r="D42" s="122">
        <f t="shared" si="0"/>
        <v>12</v>
      </c>
      <c r="E42" s="113" t="s">
        <v>710</v>
      </c>
      <c r="F42" s="122">
        <f t="shared" si="1"/>
        <v>8</v>
      </c>
      <c r="G42" s="122">
        <v>1</v>
      </c>
      <c r="H42" s="122">
        <v>1</v>
      </c>
      <c r="I42" s="122">
        <v>1</v>
      </c>
      <c r="J42" s="122">
        <v>1</v>
      </c>
      <c r="K42" s="122">
        <v>1</v>
      </c>
      <c r="L42" s="122">
        <v>1</v>
      </c>
      <c r="M42" s="122">
        <v>1</v>
      </c>
      <c r="N42" s="122">
        <v>0</v>
      </c>
      <c r="O42" s="122">
        <v>0</v>
      </c>
      <c r="P42" s="122">
        <v>0</v>
      </c>
      <c r="Q42" s="122">
        <v>0</v>
      </c>
      <c r="R42" s="122">
        <v>1</v>
      </c>
      <c r="S42" s="127">
        <f t="shared" si="2"/>
        <v>0.875</v>
      </c>
      <c r="T42" s="123"/>
      <c r="U42" s="124"/>
      <c r="AE42" s="114"/>
    </row>
    <row r="43" spans="2:31" ht="15" customHeight="1" x14ac:dyDescent="0.3">
      <c r="B43" s="113" t="s">
        <v>705</v>
      </c>
      <c r="C43" s="113" t="s">
        <v>699</v>
      </c>
      <c r="D43" s="122">
        <f t="shared" si="0"/>
        <v>1</v>
      </c>
      <c r="E43" s="113" t="s">
        <v>700</v>
      </c>
      <c r="F43" s="122">
        <f t="shared" si="1"/>
        <v>9</v>
      </c>
      <c r="G43" s="122">
        <v>1</v>
      </c>
      <c r="H43" s="122">
        <v>1</v>
      </c>
      <c r="I43" s="122">
        <v>1</v>
      </c>
      <c r="J43" s="122">
        <v>1</v>
      </c>
      <c r="K43" s="122">
        <v>1</v>
      </c>
      <c r="L43" s="122">
        <v>1</v>
      </c>
      <c r="M43" s="122">
        <v>1</v>
      </c>
      <c r="N43" s="122">
        <v>1</v>
      </c>
      <c r="O43" s="122">
        <v>0</v>
      </c>
      <c r="P43" s="122">
        <v>0</v>
      </c>
      <c r="Q43" s="122">
        <v>0</v>
      </c>
      <c r="R43" s="122">
        <v>0</v>
      </c>
      <c r="S43" s="127">
        <f t="shared" si="2"/>
        <v>0.65</v>
      </c>
      <c r="T43" s="123"/>
      <c r="U43" s="124"/>
      <c r="AE43" s="114"/>
    </row>
    <row r="44" spans="2:31" ht="15" customHeight="1" x14ac:dyDescent="0.3">
      <c r="B44" s="113" t="s">
        <v>711</v>
      </c>
      <c r="C44" s="113"/>
      <c r="D44" s="115"/>
      <c r="E44" s="113"/>
      <c r="F44" s="125"/>
      <c r="G44" s="125"/>
      <c r="H44" s="125"/>
      <c r="I44" s="125"/>
      <c r="J44" s="125"/>
      <c r="K44" s="125"/>
      <c r="L44" s="125"/>
      <c r="M44" s="125"/>
      <c r="N44" s="125"/>
      <c r="O44" s="125"/>
      <c r="P44" s="125"/>
      <c r="Q44" s="125"/>
      <c r="R44" s="125"/>
      <c r="S44" s="135">
        <f>AVERAGE(S32:S43)</f>
        <v>0.625</v>
      </c>
      <c r="T44" s="126"/>
      <c r="U44" s="126"/>
    </row>
    <row r="45" spans="2:31" ht="15" customHeight="1" x14ac:dyDescent="0.3">
      <c r="B45" s="113"/>
      <c r="C45" s="113"/>
      <c r="D45" s="115"/>
      <c r="E45" s="113"/>
      <c r="F45" s="113" t="s">
        <v>697</v>
      </c>
      <c r="T45" s="126"/>
      <c r="U45" s="126"/>
      <c r="V45" s="126"/>
      <c r="W45" s="126"/>
      <c r="X45" s="126"/>
      <c r="Y45" s="126"/>
    </row>
    <row r="46" spans="2:31" ht="15" customHeight="1" x14ac:dyDescent="0.3">
      <c r="B46" s="133" t="s">
        <v>946</v>
      </c>
      <c r="C46" s="134"/>
      <c r="D46" s="115"/>
      <c r="E46" s="113"/>
      <c r="G46" s="11">
        <v>1</v>
      </c>
      <c r="H46" s="11">
        <v>2</v>
      </c>
      <c r="I46" s="11">
        <v>3</v>
      </c>
      <c r="J46" s="11">
        <v>4</v>
      </c>
      <c r="K46" s="11">
        <v>5</v>
      </c>
      <c r="L46" s="11">
        <v>6</v>
      </c>
      <c r="M46" s="11">
        <v>7</v>
      </c>
      <c r="N46" s="11">
        <v>8</v>
      </c>
      <c r="O46" s="11">
        <v>9</v>
      </c>
      <c r="P46" s="11">
        <v>10</v>
      </c>
      <c r="Q46" s="11">
        <v>11</v>
      </c>
      <c r="R46" s="11">
        <v>12</v>
      </c>
      <c r="T46" s="126"/>
      <c r="U46" s="126"/>
      <c r="V46" s="126"/>
      <c r="W46" s="126"/>
      <c r="X46" s="126"/>
      <c r="Y46" s="126"/>
    </row>
    <row r="47" spans="2:31" ht="27.6" x14ac:dyDescent="0.3">
      <c r="B47" s="113" t="s">
        <v>693</v>
      </c>
      <c r="C47" s="113" t="s">
        <v>719</v>
      </c>
      <c r="D47" s="113" t="s">
        <v>929</v>
      </c>
      <c r="E47" s="113" t="s">
        <v>695</v>
      </c>
      <c r="F47" s="113" t="s">
        <v>929</v>
      </c>
      <c r="G47" s="113" t="s">
        <v>699</v>
      </c>
      <c r="H47" s="113" t="s">
        <v>702</v>
      </c>
      <c r="I47" s="113" t="s">
        <v>704</v>
      </c>
      <c r="J47" s="113" t="s">
        <v>706</v>
      </c>
      <c r="K47" s="113" t="s">
        <v>707</v>
      </c>
      <c r="L47" s="113" t="s">
        <v>708</v>
      </c>
      <c r="M47" s="113" t="s">
        <v>709</v>
      </c>
      <c r="N47" s="113" t="s">
        <v>710</v>
      </c>
      <c r="O47" s="113" t="s">
        <v>700</v>
      </c>
      <c r="P47" s="113" t="s">
        <v>701</v>
      </c>
      <c r="Q47" s="113" t="s">
        <v>703</v>
      </c>
      <c r="R47" s="113" t="s">
        <v>705</v>
      </c>
      <c r="S47" s="113" t="s">
        <v>697</v>
      </c>
      <c r="T47" s="113"/>
      <c r="U47" s="113"/>
      <c r="V47" s="126"/>
      <c r="W47" s="126"/>
      <c r="X47" s="126"/>
      <c r="Y47" s="126"/>
    </row>
    <row r="48" spans="2:31" ht="15" customHeight="1" x14ac:dyDescent="0.3">
      <c r="B48" s="113" t="s">
        <v>699</v>
      </c>
      <c r="C48" s="113" t="s">
        <v>700</v>
      </c>
      <c r="D48" s="113">
        <v>9</v>
      </c>
      <c r="E48" s="113" t="s">
        <v>701</v>
      </c>
      <c r="F48" s="113">
        <f t="shared" ref="F48" si="3">F32</f>
        <v>10</v>
      </c>
      <c r="G48" s="122">
        <v>1</v>
      </c>
      <c r="H48" s="122">
        <v>1</v>
      </c>
      <c r="I48" s="122">
        <v>1</v>
      </c>
      <c r="J48" s="122">
        <v>1</v>
      </c>
      <c r="K48" s="122">
        <v>1</v>
      </c>
      <c r="L48" s="122">
        <v>1</v>
      </c>
      <c r="M48" s="122">
        <v>1</v>
      </c>
      <c r="N48" s="122">
        <v>1</v>
      </c>
      <c r="O48" s="122">
        <v>0</v>
      </c>
      <c r="P48" s="122">
        <v>1</v>
      </c>
      <c r="Q48" s="122">
        <v>1</v>
      </c>
      <c r="R48" s="122">
        <v>1</v>
      </c>
      <c r="S48" s="127">
        <f>G48*$D$13+H48*$D$14+I48*$D$15+J48*$D$16+K48*$D$17+L48*$D$18+M48*$D$19+N48*$D$20+O48*$D$21+P48*$D$22+Q48*$D$23+R48*$D$24</f>
        <v>1</v>
      </c>
      <c r="T48" s="123"/>
      <c r="U48" s="124"/>
      <c r="V48" s="126"/>
      <c r="W48" s="126"/>
      <c r="X48" s="126"/>
      <c r="Y48" s="126"/>
    </row>
    <row r="49" spans="2:25" ht="15" customHeight="1" x14ac:dyDescent="0.3">
      <c r="B49" s="113" t="s">
        <v>702</v>
      </c>
      <c r="C49" s="113" t="s">
        <v>700</v>
      </c>
      <c r="D49" s="113">
        <v>9</v>
      </c>
      <c r="E49" s="113" t="s">
        <v>703</v>
      </c>
      <c r="F49" s="113">
        <f t="shared" ref="F49" si="4">F33</f>
        <v>11</v>
      </c>
      <c r="G49" s="122">
        <v>1</v>
      </c>
      <c r="H49" s="122">
        <v>1</v>
      </c>
      <c r="I49" s="122">
        <v>1</v>
      </c>
      <c r="J49" s="122">
        <v>1</v>
      </c>
      <c r="K49" s="122">
        <v>1</v>
      </c>
      <c r="L49" s="122">
        <v>1</v>
      </c>
      <c r="M49" s="122">
        <v>1</v>
      </c>
      <c r="N49" s="122">
        <v>1</v>
      </c>
      <c r="O49" s="122">
        <v>0</v>
      </c>
      <c r="P49" s="122">
        <v>0</v>
      </c>
      <c r="Q49" s="122">
        <v>1</v>
      </c>
      <c r="R49" s="122">
        <v>1</v>
      </c>
      <c r="S49" s="127">
        <f t="shared" ref="S49:S59" si="5">G49*$D$13+H49*$D$14+I49*$D$15+J49*$D$16+K49*$D$17+L49*$D$18+M49*$D$19+N49*$D$20+O49*$D$21+P49*$D$22+Q49*$D$23+R49*$D$24</f>
        <v>0.97499999999999998</v>
      </c>
      <c r="T49" s="123"/>
      <c r="U49" s="124"/>
      <c r="V49" s="126"/>
      <c r="W49" s="126"/>
      <c r="X49" s="126"/>
      <c r="Y49" s="126"/>
    </row>
    <row r="50" spans="2:25" ht="15" customHeight="1" x14ac:dyDescent="0.3">
      <c r="B50" s="113" t="s">
        <v>704</v>
      </c>
      <c r="C50" s="113" t="s">
        <v>700</v>
      </c>
      <c r="D50" s="113">
        <v>9</v>
      </c>
      <c r="E50" s="113" t="s">
        <v>705</v>
      </c>
      <c r="F50" s="113">
        <f t="shared" ref="F50" si="6">F34</f>
        <v>12</v>
      </c>
      <c r="G50" s="122">
        <v>1</v>
      </c>
      <c r="H50" s="122">
        <v>1</v>
      </c>
      <c r="I50" s="122">
        <v>1</v>
      </c>
      <c r="J50" s="122">
        <v>1</v>
      </c>
      <c r="K50" s="122">
        <v>1</v>
      </c>
      <c r="L50" s="122">
        <v>1</v>
      </c>
      <c r="M50" s="122">
        <v>1</v>
      </c>
      <c r="N50" s="122">
        <v>1</v>
      </c>
      <c r="O50" s="122">
        <v>0</v>
      </c>
      <c r="P50" s="122">
        <v>0</v>
      </c>
      <c r="Q50" s="122">
        <v>0</v>
      </c>
      <c r="R50" s="122">
        <v>1</v>
      </c>
      <c r="S50" s="127">
        <f t="shared" si="5"/>
        <v>0.875</v>
      </c>
      <c r="T50" s="123"/>
      <c r="U50" s="124"/>
      <c r="V50" s="126"/>
      <c r="W50" s="126"/>
      <c r="X50" s="126"/>
      <c r="Y50" s="126"/>
    </row>
    <row r="51" spans="2:25" ht="15" customHeight="1" x14ac:dyDescent="0.3">
      <c r="B51" s="113" t="s">
        <v>706</v>
      </c>
      <c r="C51" s="113" t="s">
        <v>700</v>
      </c>
      <c r="D51" s="113">
        <v>9</v>
      </c>
      <c r="E51" s="113" t="s">
        <v>699</v>
      </c>
      <c r="F51" s="113">
        <f t="shared" ref="F51" si="7">F35</f>
        <v>1</v>
      </c>
      <c r="G51" s="122">
        <v>1</v>
      </c>
      <c r="H51" s="122">
        <v>1</v>
      </c>
      <c r="I51" s="122">
        <v>1</v>
      </c>
      <c r="J51" s="122">
        <v>1</v>
      </c>
      <c r="K51" s="122">
        <v>1</v>
      </c>
      <c r="L51" s="122">
        <v>1</v>
      </c>
      <c r="M51" s="122">
        <v>1</v>
      </c>
      <c r="N51" s="122">
        <v>1</v>
      </c>
      <c r="O51" s="122">
        <v>0</v>
      </c>
      <c r="P51" s="122">
        <v>0</v>
      </c>
      <c r="Q51" s="122">
        <v>0</v>
      </c>
      <c r="R51" s="122">
        <v>0</v>
      </c>
      <c r="S51" s="127">
        <f t="shared" si="5"/>
        <v>0.65</v>
      </c>
      <c r="T51" s="123"/>
      <c r="U51" s="124"/>
      <c r="V51" s="126"/>
      <c r="W51" s="126"/>
      <c r="X51" s="126"/>
      <c r="Y51" s="126"/>
    </row>
    <row r="52" spans="2:25" ht="15" customHeight="1" x14ac:dyDescent="0.3">
      <c r="B52" s="113" t="s">
        <v>707</v>
      </c>
      <c r="C52" s="113" t="s">
        <v>700</v>
      </c>
      <c r="D52" s="113">
        <v>9</v>
      </c>
      <c r="E52" s="113" t="s">
        <v>702</v>
      </c>
      <c r="F52" s="113">
        <f t="shared" ref="F52" si="8">F36</f>
        <v>2</v>
      </c>
      <c r="G52" s="122">
        <v>0</v>
      </c>
      <c r="H52" s="122">
        <v>1</v>
      </c>
      <c r="I52" s="122">
        <v>1</v>
      </c>
      <c r="J52" s="122">
        <v>1</v>
      </c>
      <c r="K52" s="122">
        <v>1</v>
      </c>
      <c r="L52" s="122">
        <v>1</v>
      </c>
      <c r="M52" s="122">
        <v>1</v>
      </c>
      <c r="N52" s="122">
        <v>1</v>
      </c>
      <c r="O52" s="122">
        <v>0</v>
      </c>
      <c r="P52" s="122">
        <v>0</v>
      </c>
      <c r="Q52" s="122">
        <v>0</v>
      </c>
      <c r="R52" s="122">
        <v>0</v>
      </c>
      <c r="S52" s="127">
        <f t="shared" si="5"/>
        <v>0.35000000000000003</v>
      </c>
      <c r="T52" s="123"/>
      <c r="U52" s="124"/>
      <c r="V52" s="126"/>
      <c r="W52" s="126"/>
      <c r="X52" s="126"/>
      <c r="Y52" s="126"/>
    </row>
    <row r="53" spans="2:25" ht="15" customHeight="1" x14ac:dyDescent="0.3">
      <c r="B53" s="113" t="s">
        <v>708</v>
      </c>
      <c r="C53" s="113" t="s">
        <v>700</v>
      </c>
      <c r="D53" s="113">
        <v>9</v>
      </c>
      <c r="E53" s="113" t="s">
        <v>704</v>
      </c>
      <c r="F53" s="113">
        <f t="shared" ref="F53" si="9">F37</f>
        <v>3</v>
      </c>
      <c r="G53" s="122">
        <v>0</v>
      </c>
      <c r="H53" s="122">
        <v>0</v>
      </c>
      <c r="I53" s="122">
        <v>1</v>
      </c>
      <c r="J53" s="122">
        <v>1</v>
      </c>
      <c r="K53" s="122">
        <v>1</v>
      </c>
      <c r="L53" s="122">
        <v>1</v>
      </c>
      <c r="M53" s="122">
        <v>1</v>
      </c>
      <c r="N53" s="122">
        <v>1</v>
      </c>
      <c r="O53" s="122">
        <v>0</v>
      </c>
      <c r="P53" s="122">
        <v>0</v>
      </c>
      <c r="Q53" s="122">
        <v>0</v>
      </c>
      <c r="R53" s="122">
        <v>0</v>
      </c>
      <c r="S53" s="127">
        <f t="shared" si="5"/>
        <v>0.125</v>
      </c>
      <c r="T53" s="123"/>
      <c r="U53" s="124"/>
      <c r="V53" s="126"/>
      <c r="W53" s="126"/>
      <c r="X53" s="126"/>
      <c r="Y53" s="126"/>
    </row>
    <row r="54" spans="2:25" ht="15" customHeight="1" x14ac:dyDescent="0.3">
      <c r="B54" s="113" t="s">
        <v>709</v>
      </c>
      <c r="C54" s="113" t="s">
        <v>700</v>
      </c>
      <c r="D54" s="113">
        <v>9</v>
      </c>
      <c r="E54" s="113" t="s">
        <v>706</v>
      </c>
      <c r="F54" s="113">
        <f t="shared" ref="F54" si="10">F38</f>
        <v>4</v>
      </c>
      <c r="G54" s="122">
        <v>0</v>
      </c>
      <c r="H54" s="122">
        <v>0</v>
      </c>
      <c r="I54" s="122">
        <v>0</v>
      </c>
      <c r="J54" s="122">
        <v>1</v>
      </c>
      <c r="K54" s="122">
        <v>1</v>
      </c>
      <c r="L54" s="122">
        <v>1</v>
      </c>
      <c r="M54" s="122">
        <v>1</v>
      </c>
      <c r="N54" s="122">
        <v>1</v>
      </c>
      <c r="O54" s="122">
        <v>0</v>
      </c>
      <c r="P54" s="122">
        <v>0</v>
      </c>
      <c r="Q54" s="122">
        <v>0</v>
      </c>
      <c r="R54" s="122">
        <v>0</v>
      </c>
      <c r="S54" s="127">
        <f t="shared" si="5"/>
        <v>2.5000000000000001E-2</v>
      </c>
      <c r="T54" s="123"/>
      <c r="U54" s="124"/>
      <c r="V54" s="126"/>
      <c r="W54" s="126"/>
      <c r="X54" s="126"/>
      <c r="Y54" s="126"/>
    </row>
    <row r="55" spans="2:25" ht="15" customHeight="1" x14ac:dyDescent="0.3">
      <c r="B55" s="113" t="s">
        <v>710</v>
      </c>
      <c r="C55" s="113" t="s">
        <v>700</v>
      </c>
      <c r="D55" s="113">
        <v>9</v>
      </c>
      <c r="E55" s="113" t="s">
        <v>707</v>
      </c>
      <c r="F55" s="113">
        <f t="shared" ref="F55" si="11">F39</f>
        <v>5</v>
      </c>
      <c r="G55" s="122">
        <v>0</v>
      </c>
      <c r="H55" s="122">
        <v>0</v>
      </c>
      <c r="I55" s="122">
        <v>0</v>
      </c>
      <c r="J55" s="122">
        <v>0</v>
      </c>
      <c r="K55" s="122">
        <v>1</v>
      </c>
      <c r="L55" s="122">
        <v>1</v>
      </c>
      <c r="M55" s="122">
        <v>1</v>
      </c>
      <c r="N55" s="122">
        <v>1</v>
      </c>
      <c r="O55" s="122">
        <v>0</v>
      </c>
      <c r="P55" s="122">
        <v>0</v>
      </c>
      <c r="Q55" s="122">
        <v>0</v>
      </c>
      <c r="R55" s="122">
        <v>0</v>
      </c>
      <c r="S55" s="127">
        <f t="shared" si="5"/>
        <v>0</v>
      </c>
      <c r="T55" s="123"/>
      <c r="U55" s="124"/>
      <c r="V55" s="126"/>
      <c r="W55" s="126"/>
      <c r="X55" s="126"/>
      <c r="Y55" s="126"/>
    </row>
    <row r="56" spans="2:25" ht="15" customHeight="1" x14ac:dyDescent="0.3">
      <c r="B56" s="113" t="s">
        <v>700</v>
      </c>
      <c r="C56" s="113" t="s">
        <v>701</v>
      </c>
      <c r="D56" s="113">
        <v>10</v>
      </c>
      <c r="E56" s="113" t="s">
        <v>708</v>
      </c>
      <c r="F56" s="113">
        <f t="shared" ref="F56" si="12">F40</f>
        <v>6</v>
      </c>
      <c r="G56" s="122">
        <v>0</v>
      </c>
      <c r="H56" s="122">
        <v>0</v>
      </c>
      <c r="I56" s="122">
        <v>0</v>
      </c>
      <c r="J56" s="122">
        <v>0</v>
      </c>
      <c r="K56" s="122">
        <v>0</v>
      </c>
      <c r="L56" s="122">
        <v>1</v>
      </c>
      <c r="M56" s="122">
        <v>1</v>
      </c>
      <c r="N56" s="122">
        <v>1</v>
      </c>
      <c r="O56" s="122">
        <v>0</v>
      </c>
      <c r="P56" s="122">
        <v>0</v>
      </c>
      <c r="Q56" s="122">
        <v>0</v>
      </c>
      <c r="R56" s="122">
        <v>0</v>
      </c>
      <c r="S56" s="127">
        <f t="shared" si="5"/>
        <v>0</v>
      </c>
      <c r="T56" s="123"/>
      <c r="U56" s="124"/>
      <c r="V56" s="126"/>
      <c r="W56" s="126"/>
      <c r="X56" s="126"/>
      <c r="Y56" s="126"/>
    </row>
    <row r="57" spans="2:25" ht="15" customHeight="1" x14ac:dyDescent="0.3">
      <c r="B57" s="113" t="s">
        <v>701</v>
      </c>
      <c r="C57" s="113" t="s">
        <v>703</v>
      </c>
      <c r="D57" s="113">
        <v>11</v>
      </c>
      <c r="E57" s="113" t="s">
        <v>709</v>
      </c>
      <c r="F57" s="113">
        <f t="shared" ref="F57" si="13">F41</f>
        <v>7</v>
      </c>
      <c r="G57" s="122">
        <v>0</v>
      </c>
      <c r="H57" s="122">
        <v>0</v>
      </c>
      <c r="I57" s="122">
        <v>0</v>
      </c>
      <c r="J57" s="122">
        <v>0</v>
      </c>
      <c r="K57" s="122">
        <v>0</v>
      </c>
      <c r="L57" s="122">
        <v>0</v>
      </c>
      <c r="M57" s="122">
        <v>1</v>
      </c>
      <c r="N57" s="122">
        <v>1</v>
      </c>
      <c r="O57" s="122">
        <v>0</v>
      </c>
      <c r="P57" s="122">
        <v>0</v>
      </c>
      <c r="Q57" s="122">
        <v>0</v>
      </c>
      <c r="R57" s="122">
        <v>0</v>
      </c>
      <c r="S57" s="127">
        <f t="shared" si="5"/>
        <v>0</v>
      </c>
      <c r="T57" s="123"/>
      <c r="U57" s="124"/>
      <c r="V57" s="126"/>
      <c r="W57" s="126"/>
      <c r="X57" s="126"/>
      <c r="Y57" s="126"/>
    </row>
    <row r="58" spans="2:25" ht="15" customHeight="1" x14ac:dyDescent="0.3">
      <c r="B58" s="113" t="s">
        <v>703</v>
      </c>
      <c r="C58" s="113" t="s">
        <v>705</v>
      </c>
      <c r="D58" s="113">
        <v>12</v>
      </c>
      <c r="E58" s="113" t="s">
        <v>710</v>
      </c>
      <c r="F58" s="113">
        <f t="shared" ref="F58" si="14">F42</f>
        <v>8</v>
      </c>
      <c r="G58" s="122">
        <v>0</v>
      </c>
      <c r="H58" s="122">
        <v>0</v>
      </c>
      <c r="I58" s="122">
        <v>0</v>
      </c>
      <c r="J58" s="122">
        <v>0</v>
      </c>
      <c r="K58" s="122">
        <v>0</v>
      </c>
      <c r="L58" s="122">
        <v>0</v>
      </c>
      <c r="M58" s="122">
        <v>0</v>
      </c>
      <c r="N58" s="122">
        <v>1</v>
      </c>
      <c r="O58" s="122">
        <v>0</v>
      </c>
      <c r="P58" s="122">
        <v>0</v>
      </c>
      <c r="Q58" s="122">
        <v>0</v>
      </c>
      <c r="R58" s="122">
        <v>0</v>
      </c>
      <c r="S58" s="127">
        <f t="shared" si="5"/>
        <v>0</v>
      </c>
      <c r="T58" s="123"/>
      <c r="U58" s="124"/>
      <c r="V58" s="126"/>
      <c r="W58" s="126"/>
      <c r="X58" s="126"/>
      <c r="Y58" s="126"/>
    </row>
    <row r="59" spans="2:25" ht="15" customHeight="1" x14ac:dyDescent="0.3">
      <c r="B59" s="113" t="s">
        <v>705</v>
      </c>
      <c r="C59" s="113" t="s">
        <v>699</v>
      </c>
      <c r="D59" s="113">
        <v>1</v>
      </c>
      <c r="E59" s="113" t="s">
        <v>700</v>
      </c>
      <c r="F59" s="113">
        <f t="shared" ref="F59" si="15">F43</f>
        <v>9</v>
      </c>
      <c r="G59" s="122">
        <v>0</v>
      </c>
      <c r="H59" s="122">
        <v>0</v>
      </c>
      <c r="I59" s="122">
        <v>0</v>
      </c>
      <c r="J59" s="122">
        <v>0</v>
      </c>
      <c r="K59" s="122">
        <v>0</v>
      </c>
      <c r="L59" s="122">
        <v>0</v>
      </c>
      <c r="M59" s="122">
        <v>0</v>
      </c>
      <c r="N59" s="122">
        <v>0</v>
      </c>
      <c r="O59" s="122">
        <v>0</v>
      </c>
      <c r="P59" s="122">
        <v>0</v>
      </c>
      <c r="Q59" s="122">
        <v>0</v>
      </c>
      <c r="R59" s="122">
        <v>0</v>
      </c>
      <c r="S59" s="127">
        <f t="shared" si="5"/>
        <v>0</v>
      </c>
      <c r="T59" s="123"/>
      <c r="U59" s="124"/>
      <c r="V59" s="126"/>
      <c r="W59" s="126"/>
      <c r="X59" s="126"/>
      <c r="Y59" s="126"/>
    </row>
    <row r="60" spans="2:25" ht="15" customHeight="1" x14ac:dyDescent="0.3">
      <c r="B60" s="113" t="str">
        <f>B44</f>
        <v xml:space="preserve">Average </v>
      </c>
      <c r="C60" s="113"/>
      <c r="D60" s="113"/>
      <c r="E60" s="113"/>
      <c r="F60" s="113"/>
      <c r="G60" s="125"/>
      <c r="H60" s="125"/>
      <c r="I60" s="125"/>
      <c r="J60" s="125"/>
      <c r="K60" s="125"/>
      <c r="L60" s="125"/>
      <c r="M60" s="125"/>
      <c r="N60" s="125"/>
      <c r="O60" s="125"/>
      <c r="P60" s="125"/>
      <c r="Q60" s="125"/>
      <c r="R60" s="125"/>
      <c r="S60" s="135">
        <f>AVERAGE(S48:S59)</f>
        <v>0.33333333333333331</v>
      </c>
      <c r="T60" s="126"/>
      <c r="U60" s="126"/>
      <c r="V60" s="126"/>
      <c r="W60" s="126"/>
      <c r="X60" s="126"/>
      <c r="Y60" s="126"/>
    </row>
    <row r="61" spans="2:25" ht="15" customHeight="1" x14ac:dyDescent="0.3">
      <c r="B61" s="113"/>
      <c r="C61" s="113"/>
      <c r="D61" s="113"/>
      <c r="E61" s="113"/>
      <c r="F61" s="113"/>
      <c r="G61" s="125"/>
      <c r="H61" s="125"/>
      <c r="I61" s="125"/>
      <c r="J61" s="125"/>
      <c r="K61" s="125"/>
      <c r="L61" s="125"/>
      <c r="M61" s="125"/>
      <c r="N61" s="125"/>
      <c r="O61" s="125"/>
      <c r="P61" s="125"/>
      <c r="Q61" s="125"/>
      <c r="R61" s="125"/>
      <c r="S61" s="126"/>
      <c r="T61" s="126"/>
      <c r="U61" s="126"/>
      <c r="V61" s="126"/>
      <c r="W61" s="126"/>
      <c r="X61" s="126"/>
      <c r="Y61" s="126"/>
    </row>
    <row r="62" spans="2:25" ht="15" customHeight="1" x14ac:dyDescent="0.3">
      <c r="B62" s="133" t="s">
        <v>947</v>
      </c>
      <c r="C62" s="113"/>
      <c r="D62" s="115"/>
      <c r="E62" s="113"/>
      <c r="G62" s="11">
        <v>1</v>
      </c>
      <c r="H62" s="11">
        <v>2</v>
      </c>
      <c r="I62" s="11">
        <v>3</v>
      </c>
      <c r="J62" s="11">
        <v>4</v>
      </c>
      <c r="K62" s="11">
        <v>5</v>
      </c>
      <c r="L62" s="11">
        <v>6</v>
      </c>
      <c r="M62" s="11">
        <v>7</v>
      </c>
      <c r="N62" s="11">
        <v>8</v>
      </c>
      <c r="O62" s="11">
        <v>9</v>
      </c>
      <c r="P62" s="11">
        <v>10</v>
      </c>
      <c r="Q62" s="11">
        <v>11</v>
      </c>
      <c r="R62" s="11">
        <v>12</v>
      </c>
      <c r="V62" s="126"/>
      <c r="W62" s="126"/>
      <c r="X62" s="126"/>
      <c r="Y62" s="126"/>
    </row>
    <row r="63" spans="2:25" ht="27.6" x14ac:dyDescent="0.3">
      <c r="B63" s="113" t="s">
        <v>693</v>
      </c>
      <c r="C63" s="113" t="s">
        <v>719</v>
      </c>
      <c r="D63" s="113" t="s">
        <v>929</v>
      </c>
      <c r="E63" s="113" t="s">
        <v>695</v>
      </c>
      <c r="F63" s="113" t="s">
        <v>929</v>
      </c>
      <c r="G63" s="113" t="s">
        <v>699</v>
      </c>
      <c r="H63" s="113" t="s">
        <v>702</v>
      </c>
      <c r="I63" s="113" t="s">
        <v>704</v>
      </c>
      <c r="J63" s="113" t="s">
        <v>706</v>
      </c>
      <c r="K63" s="113" t="s">
        <v>707</v>
      </c>
      <c r="L63" s="113" t="s">
        <v>708</v>
      </c>
      <c r="M63" s="113" t="s">
        <v>709</v>
      </c>
      <c r="N63" s="113" t="s">
        <v>710</v>
      </c>
      <c r="O63" s="113" t="s">
        <v>700</v>
      </c>
      <c r="P63" s="113" t="s">
        <v>701</v>
      </c>
      <c r="Q63" s="113" t="s">
        <v>703</v>
      </c>
      <c r="R63" s="113" t="s">
        <v>705</v>
      </c>
      <c r="S63" s="113" t="s">
        <v>697</v>
      </c>
      <c r="T63" s="113"/>
      <c r="U63" s="113"/>
      <c r="V63" s="126"/>
      <c r="W63" s="126"/>
      <c r="X63" s="126"/>
      <c r="Y63" s="126"/>
    </row>
    <row r="64" spans="2:25" ht="15" customHeight="1" x14ac:dyDescent="0.3">
      <c r="B64" s="113" t="str">
        <f t="shared" ref="B64:E75" si="16">B32</f>
        <v>January</v>
      </c>
      <c r="C64" s="113" t="str">
        <f t="shared" si="16"/>
        <v>September</v>
      </c>
      <c r="D64" s="113">
        <f t="shared" si="16"/>
        <v>9</v>
      </c>
      <c r="E64" s="113" t="str">
        <f t="shared" si="16"/>
        <v>October</v>
      </c>
      <c r="F64" s="113">
        <f>F49</f>
        <v>11</v>
      </c>
      <c r="G64" s="122">
        <v>1</v>
      </c>
      <c r="H64" s="122">
        <v>1</v>
      </c>
      <c r="I64" s="122">
        <v>1</v>
      </c>
      <c r="J64" s="122">
        <v>0</v>
      </c>
      <c r="K64" s="122">
        <v>0</v>
      </c>
      <c r="L64" s="122">
        <v>0</v>
      </c>
      <c r="M64" s="122">
        <v>0</v>
      </c>
      <c r="N64" s="122">
        <v>0</v>
      </c>
      <c r="O64" s="122">
        <v>0</v>
      </c>
      <c r="P64" s="122">
        <f t="shared" ref="P64" si="17">IF(AND(P$30&gt;=$D64,P$30&lt;$F64,$D64&gt;$D$28),1,IF(AND($F64&lt;$D64,$D64&gt;$D$28,P$30&gt;=$D64),1,0))+IF(AND($F64&lt;$D64,P$30&lt;$F64,P$30&lt;$D$28),1,IF(AND($F64&gt;$D64,$D64&lt;=P$30,$D64&lt;$D$28,P$30&lt;$F64,P$30&lt;$D$28),1,0))</f>
        <v>1</v>
      </c>
      <c r="Q64" s="122">
        <v>1</v>
      </c>
      <c r="R64" s="122">
        <v>1</v>
      </c>
      <c r="S64" s="127">
        <f>G64*$D$13+H64*$D$14+I64*$D$15+J64*$D$16+K64*$D$17+L64*$D$18+M64*$D$19+N64*$D$20+O64*$D$21+P64*$D$22+Q64*$D$23+R64*$D$24</f>
        <v>0.97499999999999998</v>
      </c>
      <c r="T64" s="123"/>
      <c r="U64" s="124"/>
      <c r="V64" s="126"/>
      <c r="W64" s="126"/>
      <c r="X64" s="126"/>
      <c r="Y64" s="126"/>
    </row>
    <row r="65" spans="2:25" ht="15" customHeight="1" x14ac:dyDescent="0.3">
      <c r="B65" s="113" t="str">
        <f t="shared" si="16"/>
        <v>February</v>
      </c>
      <c r="C65" s="113" t="str">
        <f t="shared" si="16"/>
        <v>September</v>
      </c>
      <c r="D65" s="113">
        <f t="shared" si="16"/>
        <v>9</v>
      </c>
      <c r="E65" s="113" t="str">
        <f t="shared" si="16"/>
        <v>November</v>
      </c>
      <c r="F65" s="113">
        <f t="shared" ref="F65" si="18">F50</f>
        <v>12</v>
      </c>
      <c r="G65" s="122">
        <v>1</v>
      </c>
      <c r="H65" s="122">
        <v>1</v>
      </c>
      <c r="I65" s="122">
        <v>1</v>
      </c>
      <c r="J65" s="122">
        <v>1</v>
      </c>
      <c r="K65" s="122">
        <v>0</v>
      </c>
      <c r="L65" s="122">
        <v>0</v>
      </c>
      <c r="M65" s="122">
        <v>0</v>
      </c>
      <c r="N65" s="122">
        <v>0</v>
      </c>
      <c r="O65" s="122">
        <v>0</v>
      </c>
      <c r="P65" s="122">
        <v>0</v>
      </c>
      <c r="Q65" s="122">
        <v>1</v>
      </c>
      <c r="R65" s="122">
        <v>1</v>
      </c>
      <c r="S65" s="127">
        <f t="shared" ref="S65:S75" si="19">G65*$D$13+H65*$D$14+I65*$D$15+J65*$D$16+K65*$D$17+L65*$D$18+M65*$D$19+N65*$D$20+O65*$D$21+P65*$D$22+Q65*$D$23+R65*$D$24</f>
        <v>0.97499999999999998</v>
      </c>
      <c r="T65" s="123"/>
      <c r="U65" s="124"/>
      <c r="V65" s="126"/>
      <c r="W65" s="126"/>
      <c r="X65" s="126"/>
      <c r="Y65" s="126"/>
    </row>
    <row r="66" spans="2:25" ht="15" customHeight="1" x14ac:dyDescent="0.3">
      <c r="B66" s="113" t="str">
        <f t="shared" si="16"/>
        <v>March</v>
      </c>
      <c r="C66" s="113" t="str">
        <f t="shared" si="16"/>
        <v>September</v>
      </c>
      <c r="D66" s="113">
        <f t="shared" si="16"/>
        <v>9</v>
      </c>
      <c r="E66" s="113" t="str">
        <f t="shared" si="16"/>
        <v>December</v>
      </c>
      <c r="F66" s="113">
        <f t="shared" ref="F66" si="20">F51</f>
        <v>1</v>
      </c>
      <c r="G66" s="122">
        <v>1</v>
      </c>
      <c r="H66" s="122">
        <v>1</v>
      </c>
      <c r="I66" s="122">
        <v>1</v>
      </c>
      <c r="J66" s="122">
        <v>1</v>
      </c>
      <c r="K66" s="122">
        <v>1</v>
      </c>
      <c r="L66" s="122">
        <v>0</v>
      </c>
      <c r="M66" s="122">
        <v>0</v>
      </c>
      <c r="N66" s="122">
        <v>0</v>
      </c>
      <c r="O66" s="122">
        <v>0</v>
      </c>
      <c r="P66" s="122">
        <v>0</v>
      </c>
      <c r="Q66" s="122">
        <v>0</v>
      </c>
      <c r="R66" s="122">
        <v>1</v>
      </c>
      <c r="S66" s="127">
        <f t="shared" si="19"/>
        <v>0.875</v>
      </c>
      <c r="T66" s="123"/>
      <c r="U66" s="124"/>
      <c r="V66" s="126"/>
      <c r="W66" s="126"/>
      <c r="X66" s="126"/>
      <c r="Y66" s="126"/>
    </row>
    <row r="67" spans="2:25" ht="15" customHeight="1" x14ac:dyDescent="0.3">
      <c r="B67" s="113" t="str">
        <f t="shared" si="16"/>
        <v>April</v>
      </c>
      <c r="C67" s="113" t="str">
        <f t="shared" si="16"/>
        <v>September</v>
      </c>
      <c r="D67" s="113">
        <f t="shared" si="16"/>
        <v>9</v>
      </c>
      <c r="E67" s="113" t="str">
        <f t="shared" si="16"/>
        <v>January</v>
      </c>
      <c r="F67" s="113">
        <f t="shared" ref="F67" si="21">F52</f>
        <v>2</v>
      </c>
      <c r="G67" s="122">
        <v>1</v>
      </c>
      <c r="H67" s="122">
        <v>1</v>
      </c>
      <c r="I67" s="122">
        <v>1</v>
      </c>
      <c r="J67" s="122">
        <v>1</v>
      </c>
      <c r="K67" s="122">
        <v>1</v>
      </c>
      <c r="L67" s="122">
        <v>1</v>
      </c>
      <c r="M67" s="122">
        <v>0</v>
      </c>
      <c r="N67" s="122">
        <v>0</v>
      </c>
      <c r="O67" s="122">
        <v>0</v>
      </c>
      <c r="P67" s="122">
        <v>0</v>
      </c>
      <c r="Q67" s="122">
        <v>0</v>
      </c>
      <c r="R67" s="122">
        <v>0</v>
      </c>
      <c r="S67" s="127">
        <f t="shared" si="19"/>
        <v>0.65</v>
      </c>
      <c r="T67" s="123"/>
      <c r="U67" s="124"/>
      <c r="V67" s="126"/>
      <c r="W67" s="126"/>
      <c r="X67" s="126"/>
      <c r="Y67" s="126"/>
    </row>
    <row r="68" spans="2:25" ht="15" customHeight="1" x14ac:dyDescent="0.3">
      <c r="B68" s="113" t="str">
        <f t="shared" si="16"/>
        <v>May</v>
      </c>
      <c r="C68" s="113" t="str">
        <f t="shared" si="16"/>
        <v>September</v>
      </c>
      <c r="D68" s="113">
        <f t="shared" si="16"/>
        <v>9</v>
      </c>
      <c r="E68" s="113" t="str">
        <f t="shared" si="16"/>
        <v>February</v>
      </c>
      <c r="F68" s="113">
        <f t="shared" ref="F68" si="22">F53</f>
        <v>3</v>
      </c>
      <c r="G68" s="122">
        <v>0</v>
      </c>
      <c r="H68" s="122">
        <v>1</v>
      </c>
      <c r="I68" s="122">
        <v>1</v>
      </c>
      <c r="J68" s="122">
        <v>1</v>
      </c>
      <c r="K68" s="122">
        <v>1</v>
      </c>
      <c r="L68" s="122">
        <v>1</v>
      </c>
      <c r="M68" s="122">
        <v>1</v>
      </c>
      <c r="N68" s="122">
        <v>0</v>
      </c>
      <c r="O68" s="122">
        <v>0</v>
      </c>
      <c r="P68" s="122">
        <v>0</v>
      </c>
      <c r="Q68" s="122">
        <v>0</v>
      </c>
      <c r="R68" s="122">
        <v>0</v>
      </c>
      <c r="S68" s="127">
        <f t="shared" si="19"/>
        <v>0.35000000000000003</v>
      </c>
      <c r="T68" s="123"/>
      <c r="U68" s="124"/>
      <c r="V68" s="126"/>
      <c r="W68" s="126"/>
      <c r="X68" s="126"/>
      <c r="Y68" s="126"/>
    </row>
    <row r="69" spans="2:25" ht="15" customHeight="1" x14ac:dyDescent="0.3">
      <c r="B69" s="113" t="str">
        <f t="shared" si="16"/>
        <v>June</v>
      </c>
      <c r="C69" s="113" t="str">
        <f t="shared" si="16"/>
        <v>September</v>
      </c>
      <c r="D69" s="113">
        <f t="shared" si="16"/>
        <v>9</v>
      </c>
      <c r="E69" s="113" t="str">
        <f t="shared" si="16"/>
        <v>March</v>
      </c>
      <c r="F69" s="113">
        <f t="shared" ref="F69" si="23">F54</f>
        <v>4</v>
      </c>
      <c r="G69" s="122">
        <v>0</v>
      </c>
      <c r="H69" s="122">
        <v>0</v>
      </c>
      <c r="I69" s="122">
        <v>1</v>
      </c>
      <c r="J69" s="122">
        <v>1</v>
      </c>
      <c r="K69" s="122">
        <v>1</v>
      </c>
      <c r="L69" s="122">
        <v>1</v>
      </c>
      <c r="M69" s="122">
        <v>1</v>
      </c>
      <c r="N69" s="122">
        <v>1</v>
      </c>
      <c r="O69" s="122">
        <v>0</v>
      </c>
      <c r="P69" s="122">
        <v>0</v>
      </c>
      <c r="Q69" s="122">
        <v>0</v>
      </c>
      <c r="R69" s="122">
        <v>0</v>
      </c>
      <c r="S69" s="127">
        <f t="shared" si="19"/>
        <v>0.125</v>
      </c>
      <c r="T69" s="123"/>
      <c r="U69" s="124"/>
      <c r="V69" s="126"/>
      <c r="W69" s="126"/>
      <c r="X69" s="126"/>
      <c r="Y69" s="126"/>
    </row>
    <row r="70" spans="2:25" ht="15" customHeight="1" x14ac:dyDescent="0.3">
      <c r="B70" s="113" t="str">
        <f t="shared" si="16"/>
        <v>July</v>
      </c>
      <c r="C70" s="113" t="str">
        <f t="shared" si="16"/>
        <v>September</v>
      </c>
      <c r="D70" s="113">
        <f t="shared" si="16"/>
        <v>9</v>
      </c>
      <c r="E70" s="113" t="str">
        <f t="shared" si="16"/>
        <v>April</v>
      </c>
      <c r="F70" s="113">
        <f t="shared" ref="F70" si="24">F55</f>
        <v>5</v>
      </c>
      <c r="G70" s="122">
        <v>0</v>
      </c>
      <c r="H70" s="122">
        <v>0</v>
      </c>
      <c r="I70" s="122">
        <v>0</v>
      </c>
      <c r="J70" s="122">
        <v>1</v>
      </c>
      <c r="K70" s="122">
        <v>1</v>
      </c>
      <c r="L70" s="122">
        <v>1</v>
      </c>
      <c r="M70" s="122">
        <v>1</v>
      </c>
      <c r="N70" s="122">
        <v>1</v>
      </c>
      <c r="O70" s="122">
        <v>0</v>
      </c>
      <c r="P70" s="122">
        <v>0</v>
      </c>
      <c r="Q70" s="122">
        <v>0</v>
      </c>
      <c r="R70" s="122">
        <v>0</v>
      </c>
      <c r="S70" s="127">
        <f t="shared" si="19"/>
        <v>2.5000000000000001E-2</v>
      </c>
      <c r="T70" s="123"/>
      <c r="U70" s="124"/>
      <c r="V70" s="126"/>
      <c r="W70" s="126"/>
      <c r="X70" s="126"/>
      <c r="Y70" s="126"/>
    </row>
    <row r="71" spans="2:25" ht="15" customHeight="1" x14ac:dyDescent="0.3">
      <c r="B71" s="113" t="str">
        <f t="shared" si="16"/>
        <v>August</v>
      </c>
      <c r="C71" s="113" t="str">
        <f t="shared" si="16"/>
        <v>September</v>
      </c>
      <c r="D71" s="113">
        <f t="shared" si="16"/>
        <v>9</v>
      </c>
      <c r="E71" s="113" t="str">
        <f t="shared" si="16"/>
        <v>May</v>
      </c>
      <c r="F71" s="113">
        <f t="shared" ref="F71" si="25">F56</f>
        <v>6</v>
      </c>
      <c r="G71" s="122">
        <v>0</v>
      </c>
      <c r="H71" s="122">
        <v>0</v>
      </c>
      <c r="I71" s="122">
        <v>0</v>
      </c>
      <c r="J71" s="122">
        <v>0</v>
      </c>
      <c r="K71" s="122">
        <v>1</v>
      </c>
      <c r="L71" s="122">
        <v>1</v>
      </c>
      <c r="M71" s="122">
        <v>1</v>
      </c>
      <c r="N71" s="122">
        <v>1</v>
      </c>
      <c r="O71" s="122">
        <v>0</v>
      </c>
      <c r="P71" s="122">
        <v>0</v>
      </c>
      <c r="Q71" s="122">
        <v>0</v>
      </c>
      <c r="R71" s="122">
        <v>0</v>
      </c>
      <c r="S71" s="127">
        <f t="shared" si="19"/>
        <v>0</v>
      </c>
      <c r="T71" s="123"/>
      <c r="U71" s="124"/>
      <c r="V71" s="126"/>
      <c r="W71" s="126"/>
      <c r="X71" s="126"/>
      <c r="Y71" s="126"/>
    </row>
    <row r="72" spans="2:25" ht="15" customHeight="1" x14ac:dyDescent="0.3">
      <c r="B72" s="113" t="str">
        <f t="shared" si="16"/>
        <v>September</v>
      </c>
      <c r="C72" s="113" t="str">
        <f t="shared" si="16"/>
        <v>October</v>
      </c>
      <c r="D72" s="113">
        <f t="shared" si="16"/>
        <v>10</v>
      </c>
      <c r="E72" s="113" t="str">
        <f t="shared" si="16"/>
        <v>June</v>
      </c>
      <c r="F72" s="113">
        <f t="shared" ref="F72" si="26">F57</f>
        <v>7</v>
      </c>
      <c r="G72" s="122">
        <v>0</v>
      </c>
      <c r="H72" s="122">
        <v>0</v>
      </c>
      <c r="I72" s="122">
        <v>0</v>
      </c>
      <c r="J72" s="122">
        <v>0</v>
      </c>
      <c r="K72" s="122">
        <v>0</v>
      </c>
      <c r="L72" s="122">
        <v>1</v>
      </c>
      <c r="M72" s="122">
        <v>1</v>
      </c>
      <c r="N72" s="122">
        <v>1</v>
      </c>
      <c r="O72" s="122">
        <v>1</v>
      </c>
      <c r="P72" s="122">
        <v>0</v>
      </c>
      <c r="Q72" s="122">
        <v>0</v>
      </c>
      <c r="R72" s="122">
        <v>0</v>
      </c>
      <c r="S72" s="127">
        <f t="shared" si="19"/>
        <v>0</v>
      </c>
      <c r="T72" s="123"/>
      <c r="U72" s="124"/>
      <c r="V72" s="126"/>
      <c r="W72" s="126"/>
      <c r="X72" s="126"/>
      <c r="Y72" s="126"/>
    </row>
    <row r="73" spans="2:25" ht="15" customHeight="1" x14ac:dyDescent="0.3">
      <c r="B73" s="113" t="str">
        <f t="shared" si="16"/>
        <v>October</v>
      </c>
      <c r="C73" s="113" t="str">
        <f t="shared" si="16"/>
        <v>November</v>
      </c>
      <c r="D73" s="113">
        <f t="shared" si="16"/>
        <v>11</v>
      </c>
      <c r="E73" s="113" t="str">
        <f t="shared" si="16"/>
        <v>July</v>
      </c>
      <c r="F73" s="113">
        <f t="shared" ref="F73" si="27">F58</f>
        <v>8</v>
      </c>
      <c r="G73" s="122">
        <v>0</v>
      </c>
      <c r="H73" s="122">
        <v>0</v>
      </c>
      <c r="I73" s="122">
        <v>0</v>
      </c>
      <c r="J73" s="122">
        <v>0</v>
      </c>
      <c r="K73" s="122">
        <v>0</v>
      </c>
      <c r="L73" s="122">
        <v>0</v>
      </c>
      <c r="M73" s="122">
        <v>1</v>
      </c>
      <c r="N73" s="122">
        <v>1</v>
      </c>
      <c r="O73" s="122">
        <v>1</v>
      </c>
      <c r="P73" s="122">
        <v>1</v>
      </c>
      <c r="Q73" s="122">
        <v>0</v>
      </c>
      <c r="R73" s="122">
        <v>0</v>
      </c>
      <c r="S73" s="127">
        <f t="shared" si="19"/>
        <v>2.5000000000000001E-2</v>
      </c>
      <c r="T73" s="123"/>
      <c r="U73" s="124"/>
      <c r="V73" s="126"/>
      <c r="W73" s="126"/>
      <c r="X73" s="126"/>
      <c r="Y73" s="126"/>
    </row>
    <row r="74" spans="2:25" ht="15" customHeight="1" x14ac:dyDescent="0.3">
      <c r="B74" s="113" t="str">
        <f t="shared" si="16"/>
        <v>November</v>
      </c>
      <c r="C74" s="113" t="str">
        <f t="shared" si="16"/>
        <v>December</v>
      </c>
      <c r="D74" s="113">
        <f t="shared" si="16"/>
        <v>12</v>
      </c>
      <c r="E74" s="113" t="str">
        <f t="shared" si="16"/>
        <v>August</v>
      </c>
      <c r="F74" s="113">
        <f t="shared" ref="F74" si="28">F59</f>
        <v>9</v>
      </c>
      <c r="G74" s="122">
        <v>0</v>
      </c>
      <c r="H74" s="122">
        <v>0</v>
      </c>
      <c r="I74" s="122">
        <v>0</v>
      </c>
      <c r="J74" s="122">
        <v>0</v>
      </c>
      <c r="K74" s="122">
        <v>0</v>
      </c>
      <c r="L74" s="122">
        <v>0</v>
      </c>
      <c r="M74" s="122">
        <v>0</v>
      </c>
      <c r="N74" s="122">
        <v>1</v>
      </c>
      <c r="O74" s="122">
        <v>1</v>
      </c>
      <c r="P74" s="122">
        <v>1</v>
      </c>
      <c r="Q74" s="122">
        <v>1</v>
      </c>
      <c r="R74" s="122">
        <v>0</v>
      </c>
      <c r="S74" s="127">
        <f t="shared" si="19"/>
        <v>0.125</v>
      </c>
      <c r="T74" s="123"/>
      <c r="U74" s="124"/>
      <c r="V74" s="126"/>
      <c r="W74" s="126"/>
      <c r="X74" s="126"/>
      <c r="Y74" s="126"/>
    </row>
    <row r="75" spans="2:25" ht="15" customHeight="1" x14ac:dyDescent="0.3">
      <c r="B75" s="113" t="str">
        <f t="shared" si="16"/>
        <v>December</v>
      </c>
      <c r="C75" s="113" t="str">
        <f t="shared" si="16"/>
        <v>January</v>
      </c>
      <c r="D75" s="113">
        <f t="shared" si="16"/>
        <v>1</v>
      </c>
      <c r="E75" s="113" t="str">
        <f t="shared" si="16"/>
        <v>September</v>
      </c>
      <c r="F75" s="113">
        <f t="shared" ref="F75" si="29">F60</f>
        <v>0</v>
      </c>
      <c r="G75" s="122">
        <v>0</v>
      </c>
      <c r="H75" s="122">
        <v>0</v>
      </c>
      <c r="I75" s="122">
        <v>0</v>
      </c>
      <c r="J75" s="122">
        <v>0</v>
      </c>
      <c r="K75" s="122">
        <v>0</v>
      </c>
      <c r="L75" s="122">
        <v>0</v>
      </c>
      <c r="M75" s="122">
        <v>0</v>
      </c>
      <c r="N75" s="122">
        <v>0</v>
      </c>
      <c r="O75" s="122">
        <v>1</v>
      </c>
      <c r="P75" s="122">
        <v>1</v>
      </c>
      <c r="Q75" s="122">
        <v>1</v>
      </c>
      <c r="R75" s="122">
        <v>1</v>
      </c>
      <c r="S75" s="127">
        <f t="shared" si="19"/>
        <v>0.35</v>
      </c>
      <c r="T75" s="123"/>
      <c r="U75" s="124"/>
      <c r="V75" s="126"/>
      <c r="W75" s="126"/>
      <c r="X75" s="126"/>
      <c r="Y75" s="126"/>
    </row>
    <row r="76" spans="2:25" ht="15" customHeight="1" x14ac:dyDescent="0.3">
      <c r="B76" s="113" t="s">
        <v>618</v>
      </c>
      <c r="C76" s="113"/>
      <c r="D76" s="113"/>
      <c r="E76" s="113"/>
      <c r="F76" s="113"/>
      <c r="G76" s="122"/>
      <c r="H76" s="122"/>
      <c r="I76" s="122"/>
      <c r="J76" s="122"/>
      <c r="K76" s="122"/>
      <c r="L76" s="122"/>
      <c r="M76" s="122"/>
      <c r="N76" s="122"/>
      <c r="O76" s="122"/>
      <c r="P76" s="122"/>
      <c r="Q76" s="122"/>
      <c r="R76" s="122"/>
      <c r="S76" s="135">
        <f>AVERAGE(S64:S75)</f>
        <v>0.37291666666666662</v>
      </c>
      <c r="T76" s="123"/>
      <c r="U76" s="124"/>
      <c r="V76" s="126"/>
      <c r="W76" s="126"/>
      <c r="X76" s="126"/>
      <c r="Y76" s="126"/>
    </row>
    <row r="77" spans="2:25" ht="15" customHeight="1" x14ac:dyDescent="0.3">
      <c r="B77" s="113"/>
      <c r="C77" s="113"/>
      <c r="D77" s="113"/>
      <c r="E77" s="113"/>
      <c r="F77" s="113"/>
      <c r="G77" s="125"/>
      <c r="H77" s="125"/>
      <c r="I77" s="125"/>
      <c r="J77" s="125"/>
      <c r="K77" s="125"/>
      <c r="L77" s="125"/>
      <c r="M77" s="125"/>
      <c r="N77" s="125"/>
      <c r="O77" s="125"/>
      <c r="P77" s="125"/>
      <c r="Q77" s="125"/>
      <c r="R77" s="125"/>
      <c r="T77" s="126"/>
      <c r="U77" s="126"/>
      <c r="V77" s="126"/>
      <c r="W77" s="126"/>
      <c r="X77" s="126"/>
      <c r="Y77" s="126"/>
    </row>
    <row r="78" spans="2:25" ht="15" customHeight="1" x14ac:dyDescent="0.3">
      <c r="B78" s="132" t="s">
        <v>941</v>
      </c>
      <c r="C78" s="113"/>
      <c r="D78" s="113"/>
      <c r="E78" s="113"/>
      <c r="F78" s="113"/>
      <c r="G78" s="125"/>
      <c r="H78" s="125"/>
      <c r="I78" s="125"/>
      <c r="J78" s="125"/>
      <c r="K78" s="125"/>
      <c r="L78" s="125"/>
      <c r="M78" s="125"/>
      <c r="N78" s="125"/>
      <c r="O78" s="125"/>
      <c r="P78" s="125"/>
      <c r="Q78" s="125"/>
      <c r="R78" s="125"/>
      <c r="S78" s="126"/>
      <c r="T78" s="126"/>
      <c r="U78" s="126"/>
      <c r="V78" s="126"/>
      <c r="W78" s="126"/>
      <c r="X78" s="126"/>
      <c r="Y78" s="126"/>
    </row>
    <row r="79" spans="2:25" ht="27.6" x14ac:dyDescent="0.3">
      <c r="B79" s="131" t="s">
        <v>940</v>
      </c>
      <c r="C79" s="11" t="s">
        <v>933</v>
      </c>
      <c r="D79" s="128">
        <f>1/12</f>
        <v>8.3333333333333329E-2</v>
      </c>
      <c r="P79" s="125"/>
      <c r="Q79" s="125"/>
      <c r="R79" s="125"/>
      <c r="S79" s="126"/>
      <c r="T79" s="126"/>
      <c r="U79" s="126"/>
      <c r="V79" s="126"/>
      <c r="W79" s="126"/>
      <c r="X79" s="126"/>
      <c r="Y79" s="126"/>
    </row>
    <row r="80" spans="2:25" ht="15" customHeight="1" x14ac:dyDescent="0.3">
      <c r="B80" s="113"/>
      <c r="C80" s="113"/>
      <c r="D80" s="115"/>
      <c r="E80" s="113"/>
      <c r="F80" s="125"/>
      <c r="G80" s="125"/>
      <c r="H80" s="125"/>
      <c r="I80" s="125"/>
      <c r="J80" s="125"/>
      <c r="K80" s="125"/>
      <c r="L80" s="125"/>
      <c r="M80" s="125"/>
      <c r="N80" s="125"/>
      <c r="O80" s="125"/>
      <c r="P80" s="125"/>
      <c r="Q80" s="125"/>
      <c r="R80" s="125"/>
      <c r="S80" s="126"/>
      <c r="T80" s="126"/>
      <c r="U80" s="126"/>
      <c r="V80" s="126"/>
      <c r="W80" s="126"/>
      <c r="X80" s="126"/>
      <c r="Y80" s="126"/>
    </row>
    <row r="81" spans="2:30" ht="15" customHeight="1" x14ac:dyDescent="0.3">
      <c r="B81" s="117" t="s">
        <v>713</v>
      </c>
      <c r="C81" s="113"/>
      <c r="D81" s="113"/>
      <c r="E81" s="113"/>
      <c r="F81" s="113"/>
      <c r="G81" s="113" t="s">
        <v>934</v>
      </c>
      <c r="H81" s="113" t="s">
        <v>938</v>
      </c>
      <c r="I81" s="113"/>
      <c r="J81" s="113"/>
      <c r="K81" s="113"/>
      <c r="L81" s="113"/>
      <c r="M81" s="113"/>
      <c r="N81" s="113"/>
      <c r="O81" s="113"/>
      <c r="P81" s="113" t="s">
        <v>695</v>
      </c>
      <c r="Q81" s="113"/>
      <c r="R81" s="113"/>
      <c r="S81" s="113"/>
      <c r="T81" s="113" t="s">
        <v>939</v>
      </c>
      <c r="U81" s="116" t="s">
        <v>1045</v>
      </c>
      <c r="V81" s="116"/>
      <c r="W81" s="116"/>
      <c r="X81" s="116"/>
      <c r="Y81" s="116"/>
      <c r="AB81" s="113"/>
      <c r="AD81" s="114"/>
    </row>
    <row r="82" spans="2:30" ht="15" customHeight="1" x14ac:dyDescent="0.3">
      <c r="B82" s="113" t="s">
        <v>693</v>
      </c>
      <c r="C82" s="113" t="s">
        <v>694</v>
      </c>
      <c r="D82" s="113" t="s">
        <v>695</v>
      </c>
      <c r="F82" s="113"/>
      <c r="G82" s="11">
        <v>1</v>
      </c>
      <c r="H82" s="11">
        <v>2</v>
      </c>
      <c r="I82" s="11">
        <v>3</v>
      </c>
      <c r="J82" s="11">
        <v>4</v>
      </c>
      <c r="K82" s="11">
        <v>5</v>
      </c>
      <c r="L82" s="11">
        <v>6</v>
      </c>
      <c r="M82" s="11">
        <v>7</v>
      </c>
      <c r="N82" s="11">
        <v>8</v>
      </c>
      <c r="O82" s="11">
        <v>9</v>
      </c>
      <c r="P82" s="11">
        <v>10</v>
      </c>
      <c r="Q82" s="11">
        <v>11</v>
      </c>
      <c r="R82" s="11">
        <v>12</v>
      </c>
      <c r="S82" s="129">
        <v>13</v>
      </c>
      <c r="T82" s="129">
        <v>14</v>
      </c>
      <c r="U82" s="11" t="s">
        <v>618</v>
      </c>
      <c r="AB82" s="113"/>
      <c r="AD82" s="114"/>
    </row>
    <row r="83" spans="2:30" ht="15" customHeight="1" x14ac:dyDescent="0.3">
      <c r="B83" s="113" t="s">
        <v>933</v>
      </c>
      <c r="C83" s="113" t="s">
        <v>925</v>
      </c>
      <c r="D83" s="113" t="s">
        <v>926</v>
      </c>
      <c r="E83" s="113" t="s">
        <v>936</v>
      </c>
      <c r="G83" s="125">
        <v>0</v>
      </c>
      <c r="H83" s="125">
        <v>1</v>
      </c>
      <c r="I83" s="125">
        <v>1</v>
      </c>
      <c r="J83" s="125">
        <v>1</v>
      </c>
      <c r="K83" s="125">
        <v>1</v>
      </c>
      <c r="L83" s="125">
        <v>1</v>
      </c>
      <c r="M83" s="125">
        <v>1</v>
      </c>
      <c r="N83" s="125">
        <v>1</v>
      </c>
      <c r="O83" s="125">
        <v>1</v>
      </c>
      <c r="P83" s="125">
        <v>0</v>
      </c>
      <c r="Q83" s="125">
        <v>0</v>
      </c>
      <c r="R83" s="72">
        <v>0</v>
      </c>
      <c r="S83" s="72">
        <v>0</v>
      </c>
      <c r="T83" s="72">
        <v>0</v>
      </c>
      <c r="U83" s="130">
        <f>SUM(G83:T83)*$D$79</f>
        <v>0.66666666666666663</v>
      </c>
      <c r="AB83" s="113"/>
      <c r="AD83" s="114"/>
    </row>
    <row r="84" spans="2:30" x14ac:dyDescent="0.3">
      <c r="E84" s="11" t="s">
        <v>937</v>
      </c>
      <c r="G84" s="11">
        <v>0</v>
      </c>
      <c r="H84" s="11">
        <v>0</v>
      </c>
      <c r="I84" s="11">
        <v>0</v>
      </c>
      <c r="J84" s="11">
        <v>0</v>
      </c>
      <c r="K84" s="11">
        <v>0</v>
      </c>
      <c r="L84" s="11">
        <v>0</v>
      </c>
      <c r="M84" s="11">
        <v>0</v>
      </c>
      <c r="N84" s="11">
        <v>0</v>
      </c>
      <c r="O84" s="11">
        <v>0</v>
      </c>
      <c r="P84" s="11">
        <v>1</v>
      </c>
      <c r="Q84" s="11">
        <v>1</v>
      </c>
      <c r="R84" s="11">
        <v>1</v>
      </c>
      <c r="S84" s="11">
        <v>1</v>
      </c>
      <c r="T84" s="11">
        <v>0</v>
      </c>
      <c r="U84" s="130">
        <f t="shared" ref="U84:U85" si="30">SUM(G84:T84)*$D$79</f>
        <v>0.33333333333333331</v>
      </c>
      <c r="AB84" s="113"/>
      <c r="AD84" s="114"/>
    </row>
    <row r="85" spans="2:30" x14ac:dyDescent="0.3">
      <c r="B85" s="111"/>
      <c r="E85" s="11" t="s">
        <v>935</v>
      </c>
      <c r="G85" s="11">
        <v>0</v>
      </c>
      <c r="H85" s="11">
        <v>0</v>
      </c>
      <c r="I85" s="11">
        <v>0</v>
      </c>
      <c r="J85" s="11">
        <v>0</v>
      </c>
      <c r="K85" s="11">
        <v>0</v>
      </c>
      <c r="L85" s="11">
        <v>0</v>
      </c>
      <c r="M85" s="11">
        <v>0</v>
      </c>
      <c r="N85" s="11">
        <v>0</v>
      </c>
      <c r="O85" s="11">
        <v>0</v>
      </c>
      <c r="P85" s="11">
        <v>1</v>
      </c>
      <c r="Q85" s="11">
        <v>1</v>
      </c>
      <c r="R85" s="11">
        <v>1</v>
      </c>
      <c r="S85" s="11">
        <v>1</v>
      </c>
      <c r="T85" s="11">
        <v>0</v>
      </c>
      <c r="U85" s="130">
        <f t="shared" si="30"/>
        <v>0.33333333333333331</v>
      </c>
      <c r="AB85" s="113"/>
      <c r="AD85" s="114"/>
    </row>
    <row r="86" spans="2:30" x14ac:dyDescent="0.3">
      <c r="B86" s="113"/>
      <c r="C86" s="113"/>
      <c r="D86" s="113"/>
      <c r="E86" s="113"/>
      <c r="F86" s="113"/>
      <c r="G86" s="113"/>
      <c r="H86" s="113"/>
      <c r="I86" s="113"/>
      <c r="J86" s="113"/>
      <c r="K86" s="113"/>
      <c r="L86" s="113"/>
      <c r="M86" s="113"/>
      <c r="N86" s="113"/>
      <c r="O86" s="113"/>
      <c r="P86" s="113"/>
      <c r="Q86" s="113"/>
      <c r="R86" s="113"/>
      <c r="S86" s="113"/>
      <c r="T86" s="113"/>
      <c r="AB86" s="113"/>
      <c r="AD86" s="114"/>
    </row>
    <row r="87" spans="2:30" x14ac:dyDescent="0.3">
      <c r="B87" s="113"/>
      <c r="C87" s="113"/>
      <c r="D87" s="122"/>
      <c r="E87" s="115"/>
      <c r="F87" s="122"/>
      <c r="G87" s="122"/>
      <c r="H87" s="122"/>
      <c r="I87" s="122"/>
      <c r="J87" s="122"/>
      <c r="K87" s="122"/>
      <c r="L87" s="122"/>
      <c r="M87" s="122"/>
      <c r="N87" s="122"/>
      <c r="O87" s="122"/>
      <c r="P87" s="122"/>
      <c r="Q87" s="122"/>
      <c r="R87" s="122"/>
      <c r="S87" s="123"/>
      <c r="T87" s="123"/>
      <c r="AB87" s="113"/>
      <c r="AD87" s="114"/>
    </row>
    <row r="88" spans="2:30" x14ac:dyDescent="0.3">
      <c r="B88" s="113"/>
      <c r="C88" s="113"/>
      <c r="D88" s="122"/>
      <c r="E88" s="115"/>
      <c r="F88" s="122"/>
      <c r="G88" s="122"/>
      <c r="H88" s="122"/>
      <c r="I88" s="122"/>
      <c r="J88" s="122"/>
      <c r="K88" s="122"/>
      <c r="L88" s="122"/>
      <c r="M88" s="122"/>
      <c r="N88" s="122"/>
      <c r="O88" s="122"/>
      <c r="P88" s="122"/>
      <c r="Q88" s="122"/>
      <c r="R88" s="122"/>
      <c r="S88" s="123"/>
      <c r="T88" s="123"/>
      <c r="AB88" s="113"/>
      <c r="AD88" s="114"/>
    </row>
    <row r="89" spans="2:30" x14ac:dyDescent="0.3">
      <c r="B89" s="113"/>
      <c r="C89" s="113"/>
      <c r="D89" s="122"/>
      <c r="E89" s="113"/>
      <c r="F89" s="122"/>
      <c r="G89" s="122"/>
      <c r="H89" s="122"/>
      <c r="I89" s="122"/>
      <c r="J89" s="122"/>
      <c r="K89" s="122"/>
      <c r="L89" s="122"/>
      <c r="M89" s="122"/>
      <c r="N89" s="122"/>
      <c r="O89" s="122"/>
      <c r="P89" s="122"/>
      <c r="Q89" s="122"/>
      <c r="R89" s="122"/>
      <c r="S89" s="123"/>
      <c r="T89" s="123"/>
      <c r="AB89" s="113"/>
      <c r="AD89" s="114"/>
    </row>
    <row r="90" spans="2:30" x14ac:dyDescent="0.3">
      <c r="B90" s="113"/>
      <c r="C90" s="113"/>
      <c r="D90" s="122"/>
      <c r="E90" s="113"/>
      <c r="F90" s="122"/>
      <c r="G90" s="122"/>
      <c r="H90" s="122"/>
      <c r="I90" s="122"/>
      <c r="J90" s="122"/>
      <c r="K90" s="122"/>
      <c r="L90" s="122"/>
      <c r="M90" s="122"/>
      <c r="N90" s="122"/>
      <c r="O90" s="122"/>
      <c r="P90" s="122"/>
      <c r="Q90" s="122"/>
      <c r="R90" s="122"/>
      <c r="S90" s="123"/>
      <c r="T90" s="123"/>
      <c r="AB90" s="113"/>
      <c r="AD90" s="114"/>
    </row>
    <row r="91" spans="2:30" x14ac:dyDescent="0.3">
      <c r="B91" s="113"/>
      <c r="C91" s="113"/>
      <c r="D91" s="122"/>
      <c r="E91" s="113"/>
      <c r="F91" s="122"/>
      <c r="G91" s="122"/>
      <c r="H91" s="122"/>
      <c r="I91" s="122"/>
      <c r="J91" s="122"/>
      <c r="K91" s="122"/>
      <c r="L91" s="122"/>
      <c r="M91" s="122"/>
      <c r="N91" s="122"/>
      <c r="O91" s="122"/>
      <c r="P91" s="122"/>
      <c r="Q91" s="122"/>
      <c r="R91" s="122"/>
      <c r="S91" s="123"/>
      <c r="T91" s="123"/>
    </row>
    <row r="92" spans="2:30" x14ac:dyDescent="0.3">
      <c r="B92" s="113"/>
      <c r="C92" s="113"/>
      <c r="D92" s="122"/>
      <c r="E92" s="113"/>
      <c r="F92" s="122"/>
      <c r="G92" s="122"/>
      <c r="H92" s="122"/>
      <c r="I92" s="122"/>
      <c r="J92" s="122"/>
      <c r="K92" s="122"/>
      <c r="L92" s="122"/>
      <c r="M92" s="122"/>
      <c r="N92" s="122"/>
      <c r="O92" s="122"/>
      <c r="P92" s="122"/>
      <c r="Q92" s="122"/>
      <c r="R92" s="122"/>
      <c r="S92" s="123"/>
      <c r="T92" s="123"/>
    </row>
    <row r="93" spans="2:30" x14ac:dyDescent="0.3">
      <c r="B93" s="113"/>
      <c r="C93" s="113"/>
      <c r="D93" s="122"/>
      <c r="E93" s="113"/>
      <c r="F93" s="122"/>
      <c r="G93" s="122"/>
      <c r="H93" s="122"/>
      <c r="I93" s="122"/>
      <c r="J93" s="122"/>
      <c r="K93" s="122"/>
      <c r="L93" s="122"/>
      <c r="M93" s="122"/>
      <c r="N93" s="122"/>
      <c r="O93" s="122"/>
      <c r="P93" s="122"/>
      <c r="Q93" s="122"/>
      <c r="R93" s="122"/>
      <c r="S93" s="123"/>
      <c r="T93" s="123"/>
    </row>
    <row r="94" spans="2:30" x14ac:dyDescent="0.3">
      <c r="B94" s="113"/>
      <c r="C94" s="113"/>
      <c r="D94" s="122"/>
      <c r="E94" s="113"/>
      <c r="F94" s="122"/>
      <c r="G94" s="122"/>
      <c r="H94" s="122"/>
      <c r="I94" s="122"/>
      <c r="J94" s="122"/>
      <c r="K94" s="122"/>
      <c r="L94" s="122"/>
      <c r="M94" s="122"/>
      <c r="N94" s="122"/>
      <c r="O94" s="122"/>
      <c r="P94" s="122"/>
      <c r="Q94" s="122"/>
      <c r="R94" s="122"/>
      <c r="S94" s="123"/>
      <c r="T94" s="123"/>
    </row>
    <row r="95" spans="2:30" x14ac:dyDescent="0.3">
      <c r="B95" s="113"/>
      <c r="C95" s="113"/>
      <c r="D95" s="122"/>
      <c r="E95" s="113"/>
      <c r="F95" s="122"/>
      <c r="G95" s="122"/>
      <c r="H95" s="122"/>
      <c r="I95" s="122"/>
      <c r="J95" s="122"/>
      <c r="K95" s="122"/>
      <c r="L95" s="122"/>
      <c r="M95" s="122"/>
      <c r="N95" s="122"/>
      <c r="O95" s="122"/>
      <c r="P95" s="122"/>
      <c r="Q95" s="122"/>
      <c r="R95" s="122"/>
      <c r="S95" s="123"/>
      <c r="T95" s="123"/>
    </row>
    <row r="96" spans="2:30" x14ac:dyDescent="0.3">
      <c r="B96" s="113"/>
      <c r="C96" s="113"/>
      <c r="D96" s="122"/>
      <c r="E96" s="113"/>
      <c r="F96" s="122"/>
      <c r="G96" s="122"/>
      <c r="H96" s="122"/>
      <c r="I96" s="122"/>
      <c r="J96" s="122"/>
      <c r="K96" s="122"/>
      <c r="L96" s="122"/>
      <c r="M96" s="122"/>
      <c r="N96" s="122"/>
      <c r="O96" s="122"/>
      <c r="P96" s="122"/>
      <c r="Q96" s="122"/>
      <c r="R96" s="122"/>
      <c r="S96" s="123"/>
      <c r="T96" s="123"/>
    </row>
    <row r="97" spans="2:25" x14ac:dyDescent="0.3">
      <c r="B97" s="113"/>
      <c r="C97" s="113"/>
      <c r="D97" s="122"/>
      <c r="E97" s="113"/>
      <c r="F97" s="122"/>
      <c r="G97" s="122"/>
      <c r="H97" s="122"/>
      <c r="I97" s="122"/>
      <c r="J97" s="122"/>
      <c r="K97" s="122"/>
      <c r="L97" s="122"/>
      <c r="M97" s="122"/>
      <c r="N97" s="122"/>
      <c r="O97" s="122"/>
      <c r="P97" s="122"/>
      <c r="Q97" s="122"/>
      <c r="R97" s="122"/>
      <c r="S97" s="123"/>
      <c r="T97" s="123"/>
    </row>
    <row r="98" spans="2:25" x14ac:dyDescent="0.3">
      <c r="B98" s="113"/>
      <c r="C98" s="113"/>
      <c r="D98" s="122"/>
      <c r="E98" s="113"/>
      <c r="F98" s="122"/>
      <c r="G98" s="122"/>
      <c r="H98" s="122"/>
      <c r="I98" s="122"/>
      <c r="J98" s="122"/>
      <c r="K98" s="122"/>
      <c r="L98" s="122"/>
      <c r="M98" s="122"/>
      <c r="N98" s="122"/>
      <c r="O98" s="122"/>
      <c r="P98" s="122"/>
      <c r="Q98" s="122"/>
      <c r="R98" s="122"/>
      <c r="S98" s="123"/>
      <c r="T98" s="123"/>
    </row>
    <row r="99" spans="2:25" x14ac:dyDescent="0.3">
      <c r="B99" s="113"/>
      <c r="C99" s="113"/>
      <c r="D99" s="115"/>
      <c r="E99" s="113"/>
      <c r="F99" s="125"/>
      <c r="G99" s="125"/>
      <c r="H99" s="125"/>
      <c r="I99" s="125"/>
      <c r="J99" s="125"/>
      <c r="K99" s="125"/>
      <c r="L99" s="125"/>
      <c r="M99" s="125"/>
      <c r="N99" s="125"/>
      <c r="O99" s="125"/>
      <c r="P99" s="125"/>
      <c r="Q99" s="125"/>
      <c r="R99" s="125"/>
      <c r="S99" s="126"/>
      <c r="T99" s="126"/>
      <c r="U99" s="113"/>
      <c r="V99" s="113"/>
      <c r="W99" s="113"/>
      <c r="X99" s="113"/>
      <c r="Y99" s="113"/>
    </row>
    <row r="100" spans="2:25" x14ac:dyDescent="0.3">
      <c r="B100" s="113"/>
      <c r="C100" s="113"/>
      <c r="D100" s="115"/>
      <c r="E100" s="113"/>
      <c r="F100" s="113"/>
      <c r="T100" s="126"/>
      <c r="U100" s="116"/>
      <c r="V100" s="116"/>
      <c r="W100" s="116"/>
      <c r="X100" s="116"/>
      <c r="Y100" s="116"/>
    </row>
    <row r="101" spans="2:25" x14ac:dyDescent="0.3">
      <c r="B101" s="113"/>
      <c r="C101" s="113"/>
      <c r="D101" s="115"/>
      <c r="E101" s="113"/>
      <c r="T101" s="126"/>
    </row>
    <row r="102" spans="2:25" x14ac:dyDescent="0.3">
      <c r="B102" s="113"/>
      <c r="C102" s="113"/>
      <c r="D102" s="113"/>
      <c r="E102" s="113"/>
      <c r="F102" s="113"/>
      <c r="G102" s="113"/>
      <c r="H102" s="113"/>
      <c r="I102" s="113"/>
      <c r="J102" s="113"/>
      <c r="K102" s="113"/>
      <c r="L102" s="113"/>
      <c r="M102" s="113"/>
      <c r="N102" s="113"/>
      <c r="O102" s="113"/>
      <c r="P102" s="113"/>
      <c r="Q102" s="113"/>
      <c r="R102" s="113"/>
      <c r="S102" s="113"/>
      <c r="T102" s="113"/>
    </row>
    <row r="103" spans="2:25" x14ac:dyDescent="0.3">
      <c r="B103" s="113"/>
      <c r="C103" s="113"/>
      <c r="D103" s="122"/>
      <c r="E103" s="115"/>
      <c r="F103" s="122"/>
      <c r="G103" s="122"/>
      <c r="H103" s="122"/>
      <c r="I103" s="122"/>
      <c r="J103" s="122"/>
      <c r="K103" s="122"/>
      <c r="L103" s="122"/>
      <c r="M103" s="122"/>
      <c r="N103" s="122"/>
      <c r="O103" s="122"/>
      <c r="P103" s="122"/>
      <c r="Q103" s="122"/>
      <c r="R103" s="122"/>
      <c r="S103" s="123"/>
      <c r="T103" s="123"/>
    </row>
    <row r="104" spans="2:25" x14ac:dyDescent="0.3">
      <c r="B104" s="113"/>
      <c r="C104" s="113"/>
      <c r="D104" s="122"/>
      <c r="E104" s="115"/>
      <c r="F104" s="122"/>
      <c r="G104" s="122"/>
      <c r="H104" s="122"/>
      <c r="I104" s="122"/>
      <c r="J104" s="122"/>
      <c r="K104" s="122"/>
      <c r="L104" s="122"/>
      <c r="M104" s="122"/>
      <c r="N104" s="122"/>
      <c r="O104" s="122"/>
      <c r="P104" s="122"/>
      <c r="Q104" s="122"/>
      <c r="R104" s="122"/>
      <c r="S104" s="123"/>
      <c r="T104" s="123"/>
    </row>
    <row r="105" spans="2:25" x14ac:dyDescent="0.3">
      <c r="B105" s="113"/>
      <c r="C105" s="113"/>
      <c r="D105" s="122"/>
      <c r="E105" s="113"/>
      <c r="F105" s="122"/>
      <c r="G105" s="122"/>
      <c r="H105" s="122"/>
      <c r="I105" s="122"/>
      <c r="J105" s="122"/>
      <c r="K105" s="122"/>
      <c r="L105" s="122"/>
      <c r="M105" s="122"/>
      <c r="N105" s="122"/>
      <c r="O105" s="122"/>
      <c r="P105" s="122"/>
      <c r="Q105" s="122"/>
      <c r="R105" s="122"/>
      <c r="S105" s="123"/>
      <c r="T105" s="123"/>
    </row>
    <row r="106" spans="2:25" x14ac:dyDescent="0.3">
      <c r="B106" s="113"/>
      <c r="C106" s="113"/>
      <c r="D106" s="122"/>
      <c r="E106" s="113"/>
      <c r="F106" s="122"/>
      <c r="G106" s="122"/>
      <c r="H106" s="122"/>
      <c r="I106" s="122"/>
      <c r="J106" s="122"/>
      <c r="K106" s="122"/>
      <c r="L106" s="122"/>
      <c r="M106" s="122"/>
      <c r="N106" s="122"/>
      <c r="O106" s="122"/>
      <c r="P106" s="122"/>
      <c r="Q106" s="122"/>
      <c r="R106" s="122"/>
      <c r="S106" s="123"/>
      <c r="T106" s="123"/>
    </row>
    <row r="107" spans="2:25" x14ac:dyDescent="0.3">
      <c r="B107" s="113"/>
      <c r="C107" s="113"/>
      <c r="D107" s="122"/>
      <c r="E107" s="113"/>
      <c r="F107" s="122"/>
      <c r="G107" s="122"/>
      <c r="H107" s="122"/>
      <c r="I107" s="122"/>
      <c r="J107" s="122"/>
      <c r="K107" s="122"/>
      <c r="L107" s="122"/>
      <c r="M107" s="122"/>
      <c r="N107" s="122"/>
      <c r="O107" s="122"/>
      <c r="P107" s="122"/>
      <c r="Q107" s="122"/>
      <c r="R107" s="122"/>
      <c r="S107" s="123"/>
      <c r="T107" s="123"/>
    </row>
    <row r="108" spans="2:25" x14ac:dyDescent="0.3">
      <c r="B108" s="113"/>
      <c r="C108" s="113"/>
      <c r="D108" s="122"/>
      <c r="E108" s="113"/>
      <c r="F108" s="122"/>
      <c r="G108" s="122"/>
      <c r="H108" s="122"/>
      <c r="I108" s="122"/>
      <c r="J108" s="122"/>
      <c r="K108" s="122"/>
      <c r="L108" s="122"/>
      <c r="M108" s="122"/>
      <c r="N108" s="122"/>
      <c r="O108" s="122"/>
      <c r="P108" s="122"/>
      <c r="Q108" s="122"/>
      <c r="R108" s="122"/>
      <c r="S108" s="123"/>
      <c r="T108" s="123"/>
    </row>
    <row r="109" spans="2:25" x14ac:dyDescent="0.3">
      <c r="B109" s="113"/>
      <c r="C109" s="113"/>
      <c r="D109" s="122"/>
      <c r="E109" s="113"/>
      <c r="F109" s="122"/>
      <c r="G109" s="122"/>
      <c r="H109" s="122"/>
      <c r="I109" s="122"/>
      <c r="J109" s="122"/>
      <c r="K109" s="122"/>
      <c r="L109" s="122"/>
      <c r="M109" s="122"/>
      <c r="N109" s="122"/>
      <c r="O109" s="122"/>
      <c r="P109" s="122"/>
      <c r="Q109" s="122"/>
      <c r="R109" s="122"/>
      <c r="S109" s="123"/>
      <c r="T109" s="123"/>
    </row>
    <row r="110" spans="2:25" x14ac:dyDescent="0.3">
      <c r="B110" s="113"/>
      <c r="C110" s="113"/>
      <c r="D110" s="122"/>
      <c r="E110" s="113"/>
      <c r="F110" s="122"/>
      <c r="G110" s="122"/>
      <c r="H110" s="122"/>
      <c r="I110" s="122"/>
      <c r="J110" s="122"/>
      <c r="K110" s="122"/>
      <c r="L110" s="122"/>
      <c r="M110" s="122"/>
      <c r="N110" s="122"/>
      <c r="O110" s="122"/>
      <c r="P110" s="122"/>
      <c r="Q110" s="122"/>
      <c r="R110" s="122"/>
      <c r="S110" s="123"/>
      <c r="T110" s="123"/>
    </row>
    <row r="111" spans="2:25" x14ac:dyDescent="0.3">
      <c r="B111" s="113"/>
      <c r="C111" s="113"/>
      <c r="D111" s="122"/>
      <c r="E111" s="113"/>
      <c r="F111" s="122"/>
      <c r="G111" s="122"/>
      <c r="H111" s="122"/>
      <c r="I111" s="122"/>
      <c r="J111" s="122"/>
      <c r="K111" s="122"/>
      <c r="L111" s="122"/>
      <c r="M111" s="122"/>
      <c r="N111" s="122"/>
      <c r="O111" s="122"/>
      <c r="P111" s="122"/>
      <c r="Q111" s="122"/>
      <c r="R111" s="122"/>
      <c r="S111" s="123"/>
      <c r="T111" s="123"/>
    </row>
    <row r="112" spans="2:25" x14ac:dyDescent="0.3">
      <c r="B112" s="113"/>
      <c r="C112" s="113"/>
      <c r="D112" s="122"/>
      <c r="E112" s="113"/>
      <c r="F112" s="122"/>
      <c r="G112" s="122"/>
      <c r="H112" s="122"/>
      <c r="I112" s="122"/>
      <c r="J112" s="122"/>
      <c r="K112" s="122"/>
      <c r="L112" s="122"/>
      <c r="M112" s="122"/>
      <c r="N112" s="122"/>
      <c r="O112" s="122"/>
      <c r="P112" s="122"/>
      <c r="Q112" s="122"/>
      <c r="R112" s="122"/>
      <c r="S112" s="123"/>
      <c r="T112" s="123"/>
    </row>
    <row r="113" spans="2:20" x14ac:dyDescent="0.3">
      <c r="B113" s="113"/>
      <c r="C113" s="113"/>
      <c r="D113" s="122"/>
      <c r="E113" s="113"/>
      <c r="F113" s="122"/>
      <c r="G113" s="122"/>
      <c r="H113" s="122"/>
      <c r="I113" s="122"/>
      <c r="J113" s="122"/>
      <c r="K113" s="122"/>
      <c r="L113" s="122"/>
      <c r="M113" s="122"/>
      <c r="N113" s="122"/>
      <c r="O113" s="122"/>
      <c r="P113" s="122"/>
      <c r="Q113" s="122"/>
      <c r="R113" s="122"/>
      <c r="S113" s="123"/>
      <c r="T113" s="123"/>
    </row>
    <row r="114" spans="2:20" x14ac:dyDescent="0.3">
      <c r="B114" s="113"/>
      <c r="C114" s="113"/>
      <c r="D114" s="122"/>
      <c r="E114" s="113"/>
      <c r="F114" s="122"/>
      <c r="G114" s="122"/>
      <c r="H114" s="122"/>
      <c r="I114" s="122"/>
      <c r="J114" s="122"/>
      <c r="K114" s="122"/>
      <c r="L114" s="122"/>
      <c r="M114" s="122"/>
      <c r="N114" s="122"/>
      <c r="O114" s="122"/>
      <c r="P114" s="122"/>
      <c r="Q114" s="122"/>
      <c r="R114" s="122"/>
      <c r="S114" s="123"/>
      <c r="T114" s="123"/>
    </row>
    <row r="115" spans="2:20" x14ac:dyDescent="0.3">
      <c r="B115" s="113"/>
      <c r="C115" s="113"/>
      <c r="D115" s="113"/>
      <c r="E115" s="113"/>
      <c r="F115" s="113"/>
      <c r="G115" s="125"/>
      <c r="H115" s="125"/>
      <c r="I115" s="125"/>
      <c r="J115" s="125"/>
      <c r="K115" s="125"/>
      <c r="L115" s="125"/>
      <c r="M115" s="125"/>
      <c r="N115" s="125"/>
      <c r="O115" s="125"/>
      <c r="P115" s="125"/>
      <c r="Q115" s="125"/>
      <c r="R115" s="125"/>
      <c r="S115" s="126"/>
      <c r="T115" s="126"/>
    </row>
    <row r="116" spans="2:20" x14ac:dyDescent="0.3">
      <c r="B116" s="113"/>
      <c r="C116" s="113"/>
      <c r="D116" s="113"/>
      <c r="E116" s="113"/>
      <c r="F116" s="113"/>
      <c r="G116" s="125"/>
      <c r="H116" s="125"/>
      <c r="I116" s="125"/>
      <c r="J116" s="125"/>
      <c r="K116" s="125"/>
      <c r="L116" s="125"/>
      <c r="M116" s="125"/>
      <c r="N116" s="125"/>
      <c r="O116" s="125"/>
      <c r="P116" s="125"/>
      <c r="Q116" s="125"/>
      <c r="R116" s="125"/>
      <c r="S116" s="126"/>
      <c r="T116" s="126"/>
    </row>
    <row r="117" spans="2:20" x14ac:dyDescent="0.3">
      <c r="B117" s="113"/>
      <c r="C117" s="113"/>
      <c r="D117" s="115"/>
      <c r="E117" s="113"/>
      <c r="F117" s="113"/>
    </row>
    <row r="118" spans="2:20" x14ac:dyDescent="0.3">
      <c r="B118" s="113"/>
      <c r="C118" s="113"/>
      <c r="D118" s="115"/>
      <c r="E118" s="113"/>
    </row>
    <row r="119" spans="2:20" x14ac:dyDescent="0.3">
      <c r="B119" s="113"/>
      <c r="C119" s="113"/>
      <c r="D119" s="113"/>
      <c r="E119" s="113"/>
      <c r="F119" s="113"/>
      <c r="G119" s="113"/>
      <c r="H119" s="113"/>
      <c r="I119" s="113"/>
      <c r="J119" s="113"/>
      <c r="K119" s="113"/>
      <c r="L119" s="113"/>
      <c r="M119" s="113"/>
      <c r="N119" s="113"/>
      <c r="O119" s="113"/>
      <c r="P119" s="113"/>
      <c r="Q119" s="113"/>
      <c r="R119" s="113"/>
      <c r="S119" s="113"/>
      <c r="T119" s="113"/>
    </row>
    <row r="120" spans="2:20" x14ac:dyDescent="0.3">
      <c r="B120" s="113"/>
      <c r="C120" s="113"/>
      <c r="D120" s="122"/>
      <c r="E120" s="115"/>
      <c r="F120" s="122"/>
      <c r="G120" s="122"/>
      <c r="H120" s="122"/>
      <c r="I120" s="122"/>
      <c r="J120" s="122"/>
      <c r="K120" s="122"/>
      <c r="L120" s="122"/>
      <c r="M120" s="122"/>
      <c r="N120" s="122"/>
      <c r="O120" s="122"/>
      <c r="P120" s="122"/>
      <c r="Q120" s="122"/>
      <c r="R120" s="122"/>
      <c r="S120" s="127"/>
      <c r="T120" s="123"/>
    </row>
    <row r="121" spans="2:20" x14ac:dyDescent="0.3">
      <c r="B121" s="113"/>
      <c r="C121" s="113"/>
      <c r="D121" s="122"/>
      <c r="E121" s="115"/>
      <c r="F121" s="122"/>
      <c r="G121" s="122"/>
      <c r="H121" s="122"/>
      <c r="I121" s="122"/>
      <c r="J121" s="122"/>
      <c r="K121" s="122"/>
      <c r="L121" s="122"/>
      <c r="M121" s="122"/>
      <c r="N121" s="122"/>
      <c r="O121" s="122"/>
      <c r="P121" s="122"/>
      <c r="Q121" s="122"/>
      <c r="R121" s="122"/>
      <c r="S121" s="127"/>
      <c r="T121" s="123"/>
    </row>
    <row r="122" spans="2:20" x14ac:dyDescent="0.3">
      <c r="B122" s="113"/>
      <c r="C122" s="113"/>
      <c r="D122" s="122"/>
      <c r="E122" s="113"/>
      <c r="F122" s="122"/>
      <c r="G122" s="122"/>
      <c r="H122" s="122"/>
      <c r="I122" s="122"/>
      <c r="J122" s="122"/>
      <c r="K122" s="122"/>
      <c r="L122" s="122"/>
      <c r="M122" s="122"/>
      <c r="N122" s="122"/>
      <c r="O122" s="122"/>
      <c r="P122" s="122"/>
      <c r="Q122" s="122"/>
      <c r="R122" s="122"/>
      <c r="S122" s="127"/>
      <c r="T122" s="123"/>
    </row>
    <row r="123" spans="2:20" x14ac:dyDescent="0.3">
      <c r="B123" s="113"/>
      <c r="C123" s="113"/>
      <c r="D123" s="122"/>
      <c r="E123" s="113"/>
      <c r="F123" s="122"/>
      <c r="G123" s="122"/>
      <c r="H123" s="122"/>
      <c r="I123" s="122"/>
      <c r="J123" s="122"/>
      <c r="K123" s="122"/>
      <c r="L123" s="122"/>
      <c r="M123" s="122"/>
      <c r="N123" s="122"/>
      <c r="O123" s="122"/>
      <c r="P123" s="122"/>
      <c r="Q123" s="122"/>
      <c r="R123" s="122"/>
      <c r="S123" s="127"/>
      <c r="T123" s="123"/>
    </row>
    <row r="124" spans="2:20" x14ac:dyDescent="0.3">
      <c r="B124" s="113"/>
      <c r="C124" s="113"/>
      <c r="D124" s="122"/>
      <c r="E124" s="113"/>
      <c r="F124" s="122"/>
      <c r="G124" s="122"/>
      <c r="H124" s="122"/>
      <c r="I124" s="122"/>
      <c r="J124" s="122"/>
      <c r="K124" s="122"/>
      <c r="L124" s="122"/>
      <c r="M124" s="122"/>
      <c r="N124" s="122"/>
      <c r="O124" s="122"/>
      <c r="P124" s="122"/>
      <c r="Q124" s="122"/>
      <c r="R124" s="122"/>
      <c r="S124" s="127"/>
      <c r="T124" s="123"/>
    </row>
    <row r="125" spans="2:20" x14ac:dyDescent="0.3">
      <c r="B125" s="113"/>
      <c r="C125" s="113"/>
      <c r="D125" s="122"/>
      <c r="E125" s="113"/>
      <c r="F125" s="122"/>
      <c r="G125" s="122"/>
      <c r="H125" s="122"/>
      <c r="I125" s="122"/>
      <c r="J125" s="122"/>
      <c r="K125" s="122"/>
      <c r="L125" s="122"/>
      <c r="M125" s="122"/>
      <c r="N125" s="122"/>
      <c r="O125" s="122"/>
      <c r="P125" s="122"/>
      <c r="Q125" s="122"/>
      <c r="R125" s="122"/>
      <c r="S125" s="127"/>
      <c r="T125" s="123"/>
    </row>
    <row r="126" spans="2:20" x14ac:dyDescent="0.3">
      <c r="B126" s="113"/>
      <c r="C126" s="113"/>
      <c r="D126" s="122"/>
      <c r="E126" s="113"/>
      <c r="F126" s="122"/>
      <c r="G126" s="122"/>
      <c r="H126" s="122"/>
      <c r="I126" s="122"/>
      <c r="J126" s="122"/>
      <c r="K126" s="122"/>
      <c r="L126" s="122"/>
      <c r="M126" s="122"/>
      <c r="N126" s="122"/>
      <c r="O126" s="122"/>
      <c r="P126" s="122"/>
      <c r="Q126" s="122"/>
      <c r="R126" s="122"/>
      <c r="S126" s="127"/>
      <c r="T126" s="123"/>
    </row>
    <row r="127" spans="2:20" x14ac:dyDescent="0.3">
      <c r="B127" s="113"/>
      <c r="C127" s="113"/>
      <c r="D127" s="122"/>
      <c r="E127" s="113"/>
      <c r="F127" s="122"/>
      <c r="G127" s="122"/>
      <c r="H127" s="122"/>
      <c r="I127" s="122"/>
      <c r="J127" s="122"/>
      <c r="K127" s="122"/>
      <c r="L127" s="122"/>
      <c r="M127" s="122"/>
      <c r="N127" s="122"/>
      <c r="O127" s="122"/>
      <c r="P127" s="122"/>
      <c r="Q127" s="122"/>
      <c r="R127" s="122"/>
      <c r="S127" s="127"/>
      <c r="T127" s="123"/>
    </row>
    <row r="128" spans="2:20" x14ac:dyDescent="0.3">
      <c r="B128" s="113"/>
      <c r="C128" s="113"/>
      <c r="D128" s="122"/>
      <c r="E128" s="113"/>
      <c r="F128" s="122"/>
      <c r="G128" s="122"/>
      <c r="H128" s="122"/>
      <c r="I128" s="122"/>
      <c r="J128" s="122"/>
      <c r="K128" s="122"/>
      <c r="L128" s="122"/>
      <c r="M128" s="122"/>
      <c r="N128" s="122"/>
      <c r="O128" s="122"/>
      <c r="P128" s="122"/>
      <c r="Q128" s="122"/>
      <c r="R128" s="122"/>
      <c r="S128" s="127"/>
      <c r="T128" s="123"/>
    </row>
    <row r="129" spans="2:20" x14ac:dyDescent="0.3">
      <c r="B129" s="113"/>
      <c r="C129" s="113"/>
      <c r="D129" s="122"/>
      <c r="E129" s="113"/>
      <c r="F129" s="122"/>
      <c r="G129" s="122"/>
      <c r="H129" s="122"/>
      <c r="I129" s="122"/>
      <c r="J129" s="122"/>
      <c r="K129" s="122"/>
      <c r="L129" s="122"/>
      <c r="M129" s="122"/>
      <c r="N129" s="122"/>
      <c r="O129" s="122"/>
      <c r="P129" s="122"/>
      <c r="Q129" s="122"/>
      <c r="R129" s="122"/>
      <c r="S129" s="127"/>
      <c r="T129" s="123"/>
    </row>
    <row r="130" spans="2:20" x14ac:dyDescent="0.3">
      <c r="B130" s="113"/>
      <c r="C130" s="113"/>
      <c r="D130" s="122"/>
      <c r="E130" s="113"/>
      <c r="F130" s="122"/>
      <c r="G130" s="122"/>
      <c r="H130" s="122"/>
      <c r="I130" s="122"/>
      <c r="J130" s="122"/>
      <c r="K130" s="122"/>
      <c r="L130" s="122"/>
      <c r="M130" s="122"/>
      <c r="N130" s="122"/>
      <c r="O130" s="122"/>
      <c r="P130" s="122"/>
      <c r="Q130" s="122"/>
      <c r="R130" s="122"/>
      <c r="S130" s="127"/>
      <c r="T130" s="123"/>
    </row>
    <row r="131" spans="2:20" x14ac:dyDescent="0.3">
      <c r="B131" s="113"/>
      <c r="C131" s="113"/>
      <c r="D131" s="122"/>
      <c r="E131" s="113"/>
      <c r="F131" s="122"/>
      <c r="G131" s="122"/>
      <c r="H131" s="122"/>
      <c r="I131" s="122"/>
      <c r="J131" s="122"/>
      <c r="K131" s="122"/>
      <c r="L131" s="122"/>
      <c r="M131" s="122"/>
      <c r="N131" s="122"/>
      <c r="O131" s="122"/>
      <c r="P131" s="122"/>
      <c r="Q131" s="122"/>
      <c r="R131" s="122"/>
      <c r="S131" s="127"/>
      <c r="T131" s="123"/>
    </row>
    <row r="132" spans="2:20" x14ac:dyDescent="0.3">
      <c r="B132" s="113"/>
      <c r="C132" s="113"/>
      <c r="D132" s="113"/>
      <c r="E132" s="113"/>
      <c r="F132" s="113"/>
      <c r="G132" s="125"/>
      <c r="H132" s="125"/>
      <c r="I132" s="125"/>
      <c r="J132" s="125"/>
      <c r="K132" s="125"/>
      <c r="L132" s="125"/>
      <c r="M132" s="125"/>
      <c r="N132" s="125"/>
      <c r="O132" s="125"/>
      <c r="P132" s="125"/>
      <c r="Q132" s="125"/>
      <c r="R132" s="125"/>
      <c r="S132" s="126"/>
      <c r="T132" s="126"/>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B2:AE99"/>
  <sheetViews>
    <sheetView workbookViewId="0">
      <selection activeCell="G9" sqref="G9"/>
    </sheetView>
  </sheetViews>
  <sheetFormatPr defaultColWidth="9.109375" defaultRowHeight="13.8" x14ac:dyDescent="0.3"/>
  <cols>
    <col min="1" max="1" width="9.109375" style="11"/>
    <col min="2" max="2" width="22.88671875" style="11" customWidth="1"/>
    <col min="3" max="3" width="11" style="11" customWidth="1"/>
    <col min="4" max="4" width="12.6640625" style="11" customWidth="1"/>
    <col min="5" max="5" width="11.6640625" style="11" customWidth="1"/>
    <col min="6" max="19" width="8.88671875" style="11" customWidth="1"/>
    <col min="20" max="20" width="14.88671875" style="11" bestFit="1" customWidth="1"/>
    <col min="21" max="22" width="15.6640625" style="11" customWidth="1"/>
    <col min="23" max="24" width="14.44140625" style="11" customWidth="1"/>
    <col min="25" max="25" width="16.109375" style="11" customWidth="1"/>
    <col min="26" max="27" width="9.109375" style="11"/>
    <col min="28" max="28" width="9.44140625" style="11" bestFit="1" customWidth="1"/>
    <col min="29" max="30" width="17.33203125" style="11" bestFit="1" customWidth="1"/>
    <col min="31" max="16384" width="9.109375" style="11"/>
  </cols>
  <sheetData>
    <row r="2" spans="2:4" ht="15.6" x14ac:dyDescent="0.3">
      <c r="B2" s="119" t="s">
        <v>927</v>
      </c>
    </row>
    <row r="4" spans="2:4" x14ac:dyDescent="0.3">
      <c r="B4" s="11" t="s">
        <v>717</v>
      </c>
    </row>
    <row r="5" spans="2:4" x14ac:dyDescent="0.3">
      <c r="B5" s="11" t="s">
        <v>930</v>
      </c>
    </row>
    <row r="6" spans="2:4" x14ac:dyDescent="0.3">
      <c r="B6" s="11" t="s">
        <v>931</v>
      </c>
    </row>
    <row r="7" spans="2:4" x14ac:dyDescent="0.3">
      <c r="B7" s="11" t="s">
        <v>718</v>
      </c>
    </row>
    <row r="8" spans="2:4" x14ac:dyDescent="0.3">
      <c r="B8" s="11" t="s">
        <v>932</v>
      </c>
    </row>
    <row r="11" spans="2:4" x14ac:dyDescent="0.3">
      <c r="B11" s="111" t="s">
        <v>712</v>
      </c>
    </row>
    <row r="12" spans="2:4" ht="27.6" x14ac:dyDescent="0.3">
      <c r="B12" s="112" t="s">
        <v>715</v>
      </c>
      <c r="C12" s="11" t="s">
        <v>924</v>
      </c>
      <c r="D12" s="13" t="s">
        <v>716</v>
      </c>
    </row>
    <row r="13" spans="2:4" x14ac:dyDescent="0.3">
      <c r="B13" s="11" t="s">
        <v>709</v>
      </c>
      <c r="C13" s="11">
        <v>1</v>
      </c>
      <c r="D13" s="118">
        <v>0.3</v>
      </c>
    </row>
    <row r="14" spans="2:4" x14ac:dyDescent="0.3">
      <c r="B14" s="11" t="s">
        <v>710</v>
      </c>
      <c r="C14" s="11">
        <v>2</v>
      </c>
      <c r="D14" s="118">
        <v>0.22500000000000001</v>
      </c>
    </row>
    <row r="15" spans="2:4" x14ac:dyDescent="0.3">
      <c r="B15" s="11" t="s">
        <v>700</v>
      </c>
      <c r="C15" s="11">
        <v>3</v>
      </c>
      <c r="D15" s="118">
        <v>0.1</v>
      </c>
    </row>
    <row r="16" spans="2:4" x14ac:dyDescent="0.3">
      <c r="B16" s="11" t="s">
        <v>701</v>
      </c>
      <c r="C16" s="11">
        <v>4</v>
      </c>
      <c r="D16" s="118">
        <v>2.5000000000000001E-2</v>
      </c>
    </row>
    <row r="17" spans="2:31" x14ac:dyDescent="0.3">
      <c r="B17" s="11" t="s">
        <v>703</v>
      </c>
      <c r="C17" s="11">
        <v>5</v>
      </c>
      <c r="D17" s="118">
        <v>0</v>
      </c>
    </row>
    <row r="18" spans="2:31" x14ac:dyDescent="0.3">
      <c r="B18" s="11" t="s">
        <v>705</v>
      </c>
      <c r="C18" s="11">
        <v>6</v>
      </c>
      <c r="D18" s="118">
        <v>0</v>
      </c>
    </row>
    <row r="19" spans="2:31" x14ac:dyDescent="0.3">
      <c r="B19" s="113" t="s">
        <v>699</v>
      </c>
      <c r="C19" s="11">
        <v>7</v>
      </c>
      <c r="D19" s="118">
        <v>0</v>
      </c>
    </row>
    <row r="20" spans="2:31" x14ac:dyDescent="0.3">
      <c r="B20" s="113" t="s">
        <v>702</v>
      </c>
      <c r="C20" s="11">
        <v>8</v>
      </c>
      <c r="D20" s="118">
        <v>0</v>
      </c>
    </row>
    <row r="21" spans="2:31" x14ac:dyDescent="0.3">
      <c r="B21" s="113" t="s">
        <v>704</v>
      </c>
      <c r="C21" s="11">
        <v>9</v>
      </c>
      <c r="D21" s="118">
        <v>0</v>
      </c>
    </row>
    <row r="22" spans="2:31" x14ac:dyDescent="0.3">
      <c r="B22" s="113" t="s">
        <v>706</v>
      </c>
      <c r="C22" s="11">
        <v>10</v>
      </c>
      <c r="D22" s="118">
        <v>2.5000000000000001E-2</v>
      </c>
    </row>
    <row r="23" spans="2:31" x14ac:dyDescent="0.3">
      <c r="B23" s="113" t="s">
        <v>707</v>
      </c>
      <c r="C23" s="11">
        <v>11</v>
      </c>
      <c r="D23" s="118">
        <v>0.1</v>
      </c>
    </row>
    <row r="24" spans="2:31" x14ac:dyDescent="0.3">
      <c r="B24" s="113" t="s">
        <v>708</v>
      </c>
      <c r="C24" s="11">
        <v>12</v>
      </c>
      <c r="D24" s="118">
        <v>0.22500000000000001</v>
      </c>
    </row>
    <row r="25" spans="2:31" x14ac:dyDescent="0.3">
      <c r="B25" s="113" t="s">
        <v>928</v>
      </c>
      <c r="D25" s="120">
        <f>SUM(D13:D24)</f>
        <v>1</v>
      </c>
    </row>
    <row r="27" spans="2:31" x14ac:dyDescent="0.3">
      <c r="B27" s="113" t="s">
        <v>721</v>
      </c>
      <c r="C27" s="113" t="s">
        <v>707</v>
      </c>
      <c r="D27" s="122">
        <f>VLOOKUP(C27,$B$13:$C$24,2,FALSE)</f>
        <v>11</v>
      </c>
    </row>
    <row r="28" spans="2:31" x14ac:dyDescent="0.3">
      <c r="B28" s="113" t="s">
        <v>720</v>
      </c>
      <c r="C28" s="113" t="s">
        <v>700</v>
      </c>
      <c r="D28" s="122">
        <f>VLOOKUP(C28,$B$13:$C$24,2,FALSE)</f>
        <v>3</v>
      </c>
    </row>
    <row r="29" spans="2:31" x14ac:dyDescent="0.3">
      <c r="F29" s="11" t="s">
        <v>696</v>
      </c>
    </row>
    <row r="30" spans="2:31" x14ac:dyDescent="0.3">
      <c r="B30" s="111"/>
      <c r="G30" s="11">
        <v>1</v>
      </c>
      <c r="H30" s="11">
        <v>2</v>
      </c>
      <c r="I30" s="11">
        <v>3</v>
      </c>
      <c r="J30" s="11">
        <v>4</v>
      </c>
      <c r="K30" s="11">
        <v>5</v>
      </c>
      <c r="L30" s="11">
        <v>6</v>
      </c>
      <c r="M30" s="11">
        <v>7</v>
      </c>
      <c r="N30" s="11">
        <v>8</v>
      </c>
      <c r="O30" s="11">
        <v>9</v>
      </c>
      <c r="P30" s="11">
        <v>10</v>
      </c>
      <c r="Q30" s="11">
        <v>11</v>
      </c>
      <c r="R30" s="11">
        <v>12</v>
      </c>
      <c r="T30" s="11" t="s">
        <v>696</v>
      </c>
    </row>
    <row r="31" spans="2:31" ht="27.6" x14ac:dyDescent="0.3">
      <c r="B31" s="113" t="s">
        <v>693</v>
      </c>
      <c r="C31" s="113" t="s">
        <v>719</v>
      </c>
      <c r="D31" s="113" t="s">
        <v>929</v>
      </c>
      <c r="E31" s="113" t="s">
        <v>695</v>
      </c>
      <c r="F31" s="113" t="s">
        <v>929</v>
      </c>
      <c r="G31" s="113" t="s">
        <v>709</v>
      </c>
      <c r="H31" s="113" t="s">
        <v>710</v>
      </c>
      <c r="I31" s="113" t="s">
        <v>700</v>
      </c>
      <c r="J31" s="113" t="s">
        <v>701</v>
      </c>
      <c r="K31" s="113" t="s">
        <v>703</v>
      </c>
      <c r="L31" s="113" t="s">
        <v>705</v>
      </c>
      <c r="M31" s="113" t="s">
        <v>699</v>
      </c>
      <c r="N31" s="113" t="s">
        <v>702</v>
      </c>
      <c r="O31" s="113" t="s">
        <v>704</v>
      </c>
      <c r="P31" s="113" t="s">
        <v>706</v>
      </c>
      <c r="Q31" s="113" t="s">
        <v>707</v>
      </c>
      <c r="R31" s="113" t="s">
        <v>708</v>
      </c>
      <c r="S31" s="113" t="s">
        <v>696</v>
      </c>
      <c r="T31" s="113" t="s">
        <v>696</v>
      </c>
      <c r="U31" s="113" t="s">
        <v>696</v>
      </c>
    </row>
    <row r="32" spans="2:31" ht="15" customHeight="1" x14ac:dyDescent="0.3">
      <c r="B32" s="113" t="s">
        <v>699</v>
      </c>
      <c r="C32" s="121" t="s">
        <v>702</v>
      </c>
      <c r="E32" s="115" t="s">
        <v>701</v>
      </c>
      <c r="F32" s="122">
        <f t="shared" ref="F32:F43" si="0">VLOOKUP(E32,$B$13:$C$24,2,FALSE)</f>
        <v>4</v>
      </c>
      <c r="G32" s="122">
        <f t="shared" ref="G32:R32" si="1">IF(AND(G$30&gt;=$D27,G$30&lt;$F32,$D27&gt;$D$28),1,IF(AND($F32&lt;$D27,$D27&gt;$D$28,G$30&gt;=$D27),1,0))+IF(AND($F32&lt;$D27,G$30&lt;$F32,G$30&lt;$D$28),1,IF(AND($F32&gt;$D27,$D27&lt;=G$30,$D27&lt;$D$28,G$30&lt;$F32,G$30&lt;$D$28),1,0))</f>
        <v>1</v>
      </c>
      <c r="H32" s="122">
        <f t="shared" si="1"/>
        <v>1</v>
      </c>
      <c r="I32" s="122">
        <f t="shared" si="1"/>
        <v>0</v>
      </c>
      <c r="J32" s="122">
        <f t="shared" si="1"/>
        <v>0</v>
      </c>
      <c r="K32" s="122">
        <f t="shared" si="1"/>
        <v>0</v>
      </c>
      <c r="L32" s="122">
        <f t="shared" si="1"/>
        <v>0</v>
      </c>
      <c r="M32" s="122">
        <f t="shared" si="1"/>
        <v>0</v>
      </c>
      <c r="N32" s="122">
        <f t="shared" si="1"/>
        <v>0</v>
      </c>
      <c r="O32" s="122">
        <f t="shared" si="1"/>
        <v>0</v>
      </c>
      <c r="P32" s="122">
        <f t="shared" si="1"/>
        <v>0</v>
      </c>
      <c r="Q32" s="122">
        <f t="shared" si="1"/>
        <v>1</v>
      </c>
      <c r="R32" s="122">
        <f t="shared" si="1"/>
        <v>1</v>
      </c>
      <c r="S32" s="127">
        <f>G32*$D$13+H32*$D$14+I32*$D$15+J32*$D$16+K32*$D$17+L32*$D$18+M32*$D$19+N32*$D$20+O32*$D$21+P32*$D$22+Q32*$D$23+R32*$D$24</f>
        <v>0.85</v>
      </c>
      <c r="T32" s="123">
        <f>SUM(INDEX($D$13:$D$24,MATCH($D27,$C$13:$C$24,0),0):INDEX($D$13:$D$24,MATCH(IF($F32&lt;$D27,12,$F32-1),$C$13:$C$24,0),0))+IF(AND($F32&lt;$D27,$F32&lt;&gt;1),SUM(INDEX($D$13:$D$24,MATCH(1,$C$13:$C$24,0),0):INDEX($D$13:$D$24,MATCH(IF($F32&gt;$D$28,$D$28,$F32-1),$C$13:$C$24,0))),0)</f>
        <v>0.95</v>
      </c>
      <c r="U32" s="124">
        <f>SUM(D21)</f>
        <v>0</v>
      </c>
      <c r="AE32" s="114"/>
    </row>
    <row r="33" spans="2:31" ht="15" customHeight="1" x14ac:dyDescent="0.3">
      <c r="B33" s="113" t="s">
        <v>702</v>
      </c>
      <c r="C33" s="121" t="s">
        <v>702</v>
      </c>
      <c r="D33" s="122">
        <f t="shared" ref="D33:D43" si="2">VLOOKUP(C33,$B$13:$C$24,2,FALSE)</f>
        <v>8</v>
      </c>
      <c r="E33" s="115" t="s">
        <v>703</v>
      </c>
      <c r="F33" s="122">
        <f t="shared" si="0"/>
        <v>5</v>
      </c>
      <c r="G33" s="122">
        <f t="shared" ref="G33:R43" si="3">IF(AND(G$30&gt;=$D33,G$30&lt;$F33,$D33&gt;$D$28),1,IF(AND($F33&lt;$D33,$D33&gt;$D$28,G$30&gt;=$D33),1,0))+IF(AND($F33&lt;$D33,G$30&lt;$F33,G$30&lt;$D$28),1,IF(AND($F33&gt;$D33,$D33&lt;=G$30,$D33&lt;$D$28,G$30&lt;$F33,G$30&lt;$D$28),1,0))</f>
        <v>1</v>
      </c>
      <c r="H33" s="122">
        <f t="shared" si="3"/>
        <v>1</v>
      </c>
      <c r="I33" s="122">
        <f t="shared" si="3"/>
        <v>0</v>
      </c>
      <c r="J33" s="122">
        <f t="shared" si="3"/>
        <v>0</v>
      </c>
      <c r="K33" s="122">
        <f t="shared" si="3"/>
        <v>0</v>
      </c>
      <c r="L33" s="122">
        <f t="shared" si="3"/>
        <v>0</v>
      </c>
      <c r="M33" s="122">
        <f t="shared" si="3"/>
        <v>0</v>
      </c>
      <c r="N33" s="122">
        <f t="shared" si="3"/>
        <v>1</v>
      </c>
      <c r="O33" s="122">
        <f t="shared" si="3"/>
        <v>1</v>
      </c>
      <c r="P33" s="122">
        <f t="shared" si="3"/>
        <v>1</v>
      </c>
      <c r="Q33" s="122">
        <f t="shared" si="3"/>
        <v>1</v>
      </c>
      <c r="R33" s="122">
        <f t="shared" si="3"/>
        <v>1</v>
      </c>
      <c r="S33" s="127">
        <f t="shared" ref="S33:S43" si="4">G33*$D$13+H33*$D$14+I33*$D$15+J33*$D$16+K33*$D$17+L33*$D$18+M33*$D$19+N33*$D$20+O33*$D$21+P33*$D$22+Q33*$D$23+R33*$D$24</f>
        <v>0.875</v>
      </c>
      <c r="T33" s="123">
        <f>SUM(INDEX($D$13:$D$24,MATCH($D33,$C$13:$C$24,0),0):INDEX($D$13:$D$24,MATCH(IF($F33&lt;$D33,12,$F33-1),$C$13:$C$24,0),0))+IF(AND($F33&lt;$D33,$F33&lt;&gt;1),SUM(INDEX($D$13:$D$24,MATCH(1,$C$13:$C$24,0),0):INDEX($D$13:$D$24,MATCH(IF($F33&gt;$D$28,$D$28,$F33-1),$C$13:$C$24,0))),0)</f>
        <v>0.97499999999999998</v>
      </c>
      <c r="U33" s="124">
        <f>SUM(D21,D22)</f>
        <v>2.5000000000000001E-2</v>
      </c>
      <c r="AE33" s="114"/>
    </row>
    <row r="34" spans="2:31" ht="15" customHeight="1" x14ac:dyDescent="0.3">
      <c r="B34" s="113" t="s">
        <v>704</v>
      </c>
      <c r="C34" s="121" t="s">
        <v>702</v>
      </c>
      <c r="D34" s="122">
        <f t="shared" si="2"/>
        <v>8</v>
      </c>
      <c r="E34" s="113" t="s">
        <v>705</v>
      </c>
      <c r="F34" s="122">
        <f t="shared" si="0"/>
        <v>6</v>
      </c>
      <c r="G34" s="122">
        <f t="shared" si="3"/>
        <v>1</v>
      </c>
      <c r="H34" s="122">
        <f t="shared" si="3"/>
        <v>1</v>
      </c>
      <c r="I34" s="122">
        <f t="shared" si="3"/>
        <v>0</v>
      </c>
      <c r="J34" s="122">
        <f t="shared" si="3"/>
        <v>0</v>
      </c>
      <c r="K34" s="122">
        <f t="shared" si="3"/>
        <v>0</v>
      </c>
      <c r="L34" s="122">
        <f t="shared" si="3"/>
        <v>0</v>
      </c>
      <c r="M34" s="122">
        <f t="shared" si="3"/>
        <v>0</v>
      </c>
      <c r="N34" s="122">
        <f t="shared" si="3"/>
        <v>1</v>
      </c>
      <c r="O34" s="122">
        <f t="shared" si="3"/>
        <v>1</v>
      </c>
      <c r="P34" s="122">
        <f t="shared" si="3"/>
        <v>1</v>
      </c>
      <c r="Q34" s="122">
        <f t="shared" si="3"/>
        <v>1</v>
      </c>
      <c r="R34" s="122">
        <f t="shared" si="3"/>
        <v>1</v>
      </c>
      <c r="S34" s="127">
        <f t="shared" si="4"/>
        <v>0.875</v>
      </c>
      <c r="T34" s="123">
        <f>SUM(INDEX($D$13:$D$24,MATCH($D34,$C$13:$C$24,0),0):INDEX($D$13:$D$24,MATCH(IF($F34&lt;$D34,12,$F34-1),$C$13:$C$24,0),0))+IF(AND($F34&lt;$D34,$F34&lt;&gt;1),SUM(INDEX($D$13:$D$24,MATCH(1,$C$13:$C$24,0),0):INDEX($D$13:$D$24,MATCH(IF($F34&gt;$D$28,$D$28,$F34-1),$C$13:$C$24,0))),0)</f>
        <v>0.97499999999999998</v>
      </c>
      <c r="U34" s="124">
        <f>SUM(D21,D22,D23)</f>
        <v>0.125</v>
      </c>
      <c r="AE34" s="114"/>
    </row>
    <row r="35" spans="2:31" ht="15" customHeight="1" x14ac:dyDescent="0.3">
      <c r="B35" s="113" t="s">
        <v>706</v>
      </c>
      <c r="C35" s="121" t="s">
        <v>702</v>
      </c>
      <c r="D35" s="122">
        <f t="shared" si="2"/>
        <v>8</v>
      </c>
      <c r="E35" s="113" t="s">
        <v>699</v>
      </c>
      <c r="F35" s="122">
        <f t="shared" si="0"/>
        <v>7</v>
      </c>
      <c r="G35" s="122">
        <f t="shared" si="3"/>
        <v>1</v>
      </c>
      <c r="H35" s="122">
        <f t="shared" si="3"/>
        <v>1</v>
      </c>
      <c r="I35" s="122">
        <f t="shared" si="3"/>
        <v>0</v>
      </c>
      <c r="J35" s="122">
        <f t="shared" si="3"/>
        <v>0</v>
      </c>
      <c r="K35" s="122">
        <f t="shared" si="3"/>
        <v>0</v>
      </c>
      <c r="L35" s="122">
        <f t="shared" si="3"/>
        <v>0</v>
      </c>
      <c r="M35" s="122">
        <f t="shared" si="3"/>
        <v>0</v>
      </c>
      <c r="N35" s="122">
        <f t="shared" si="3"/>
        <v>1</v>
      </c>
      <c r="O35" s="122">
        <f t="shared" si="3"/>
        <v>1</v>
      </c>
      <c r="P35" s="122">
        <f t="shared" si="3"/>
        <v>1</v>
      </c>
      <c r="Q35" s="122">
        <f t="shared" si="3"/>
        <v>1</v>
      </c>
      <c r="R35" s="122">
        <f t="shared" si="3"/>
        <v>1</v>
      </c>
      <c r="S35" s="127">
        <f t="shared" si="4"/>
        <v>0.875</v>
      </c>
      <c r="T35" s="123">
        <f>SUM(INDEX($D$13:$D$24,MATCH($D35,$C$13:$C$24,0),0):INDEX($D$13:$D$24,MATCH(IF($F35&lt;$D35,12,$F35-1),$C$13:$C$24,0),0))+IF(AND($F35&lt;$D35,$F35&lt;&gt;1),SUM(INDEX($D$13:$D$24,MATCH(1,$C$13:$C$24,0),0):INDEX($D$13:$D$24,MATCH(IF($F35&gt;$D$28,$D$28,$F35-1),$C$13:$C$24,0))),0)</f>
        <v>0.97499999999999998</v>
      </c>
      <c r="U35" s="124">
        <v>0.35</v>
      </c>
      <c r="AE35" s="114"/>
    </row>
    <row r="36" spans="2:31" ht="15" customHeight="1" x14ac:dyDescent="0.3">
      <c r="B36" s="113" t="s">
        <v>707</v>
      </c>
      <c r="C36" s="121" t="s">
        <v>702</v>
      </c>
      <c r="D36" s="122">
        <f t="shared" si="2"/>
        <v>8</v>
      </c>
      <c r="E36" s="113" t="s">
        <v>702</v>
      </c>
      <c r="F36" s="122">
        <f t="shared" si="0"/>
        <v>8</v>
      </c>
      <c r="G36" s="122">
        <f t="shared" si="3"/>
        <v>0</v>
      </c>
      <c r="H36" s="122">
        <f t="shared" si="3"/>
        <v>0</v>
      </c>
      <c r="I36" s="122">
        <f t="shared" si="3"/>
        <v>0</v>
      </c>
      <c r="J36" s="122">
        <f t="shared" si="3"/>
        <v>0</v>
      </c>
      <c r="K36" s="122">
        <f t="shared" si="3"/>
        <v>0</v>
      </c>
      <c r="L36" s="122">
        <f t="shared" si="3"/>
        <v>0</v>
      </c>
      <c r="M36" s="122">
        <f t="shared" si="3"/>
        <v>0</v>
      </c>
      <c r="N36" s="122">
        <f t="shared" si="3"/>
        <v>0</v>
      </c>
      <c r="O36" s="122">
        <f t="shared" si="3"/>
        <v>0</v>
      </c>
      <c r="P36" s="122">
        <f t="shared" si="3"/>
        <v>0</v>
      </c>
      <c r="Q36" s="122">
        <f t="shared" si="3"/>
        <v>0</v>
      </c>
      <c r="R36" s="122">
        <f t="shared" si="3"/>
        <v>0</v>
      </c>
      <c r="S36" s="127">
        <f t="shared" si="4"/>
        <v>0</v>
      </c>
      <c r="T36" s="123">
        <f>SUM(INDEX($D$13:$D$24,MATCH($D36,$C$13:$C$24,0),0):INDEX($D$13:$D$24,MATCH(IF($F36&lt;$D36,12,$F36-1),$C$13:$C$24,0),0))+IF(AND($F36&lt;$D36,$F36&lt;&gt;1),SUM(INDEX($D$13:$D$24,MATCH(1,$C$13:$C$24,0),0):INDEX($D$13:$D$24,MATCH(IF($F36&gt;$D$28,$D$28,$F36-1),$C$13:$C$24,0))),0)</f>
        <v>0</v>
      </c>
      <c r="U36" s="124">
        <v>0.65</v>
      </c>
      <c r="AE36" s="114"/>
    </row>
    <row r="37" spans="2:31" ht="15" customHeight="1" x14ac:dyDescent="0.3">
      <c r="B37" s="113" t="s">
        <v>708</v>
      </c>
      <c r="C37" s="121" t="s">
        <v>702</v>
      </c>
      <c r="D37" s="122">
        <f t="shared" si="2"/>
        <v>8</v>
      </c>
      <c r="E37" s="113" t="s">
        <v>704</v>
      </c>
      <c r="F37" s="122">
        <f t="shared" si="0"/>
        <v>9</v>
      </c>
      <c r="G37" s="122">
        <f t="shared" si="3"/>
        <v>0</v>
      </c>
      <c r="H37" s="122">
        <f t="shared" si="3"/>
        <v>0</v>
      </c>
      <c r="I37" s="122">
        <f t="shared" si="3"/>
        <v>0</v>
      </c>
      <c r="J37" s="122">
        <f t="shared" si="3"/>
        <v>0</v>
      </c>
      <c r="K37" s="122">
        <f t="shared" si="3"/>
        <v>0</v>
      </c>
      <c r="L37" s="122">
        <f t="shared" si="3"/>
        <v>0</v>
      </c>
      <c r="M37" s="122">
        <f t="shared" si="3"/>
        <v>0</v>
      </c>
      <c r="N37" s="122">
        <f t="shared" si="3"/>
        <v>1</v>
      </c>
      <c r="O37" s="122">
        <f t="shared" si="3"/>
        <v>0</v>
      </c>
      <c r="P37" s="122">
        <f t="shared" si="3"/>
        <v>0</v>
      </c>
      <c r="Q37" s="122">
        <f t="shared" si="3"/>
        <v>0</v>
      </c>
      <c r="R37" s="122">
        <f t="shared" si="3"/>
        <v>0</v>
      </c>
      <c r="S37" s="127">
        <f t="shared" si="4"/>
        <v>0</v>
      </c>
      <c r="T37" s="123">
        <f>SUM(INDEX($D$13:$D$24,MATCH($D37,$C$13:$C$24,0),0):INDEX($D$13:$D$24,MATCH(IF($F37&lt;$D37,12,$F37-1),$C$13:$C$24,0),0))+IF(AND($F37&lt;$D37,$F37&lt;&gt;1),SUM(INDEX($D$13:$D$24,MATCH(1,$C$13:$C$24,0),0):INDEX($D$13:$D$24,MATCH(IF($F37&gt;$D$28,$D$28,$F37-1),$C$13:$C$24,0))),0)</f>
        <v>0</v>
      </c>
      <c r="U37" s="124">
        <v>0.875</v>
      </c>
      <c r="AE37" s="114"/>
    </row>
    <row r="38" spans="2:31" ht="15" customHeight="1" x14ac:dyDescent="0.3">
      <c r="B38" s="113" t="s">
        <v>709</v>
      </c>
      <c r="C38" s="121" t="s">
        <v>702</v>
      </c>
      <c r="D38" s="122">
        <f t="shared" si="2"/>
        <v>8</v>
      </c>
      <c r="E38" s="113" t="s">
        <v>706</v>
      </c>
      <c r="F38" s="122">
        <f t="shared" si="0"/>
        <v>10</v>
      </c>
      <c r="G38" s="122">
        <f t="shared" si="3"/>
        <v>0</v>
      </c>
      <c r="H38" s="122">
        <f t="shared" si="3"/>
        <v>0</v>
      </c>
      <c r="I38" s="122">
        <f t="shared" si="3"/>
        <v>0</v>
      </c>
      <c r="J38" s="122">
        <f t="shared" si="3"/>
        <v>0</v>
      </c>
      <c r="K38" s="122">
        <f t="shared" si="3"/>
        <v>0</v>
      </c>
      <c r="L38" s="122">
        <f t="shared" si="3"/>
        <v>0</v>
      </c>
      <c r="M38" s="122">
        <f t="shared" si="3"/>
        <v>0</v>
      </c>
      <c r="N38" s="122">
        <f t="shared" si="3"/>
        <v>1</v>
      </c>
      <c r="O38" s="122">
        <f t="shared" si="3"/>
        <v>1</v>
      </c>
      <c r="P38" s="122">
        <f t="shared" si="3"/>
        <v>0</v>
      </c>
      <c r="Q38" s="122">
        <f t="shared" si="3"/>
        <v>0</v>
      </c>
      <c r="R38" s="122">
        <f t="shared" si="3"/>
        <v>0</v>
      </c>
      <c r="S38" s="127">
        <f t="shared" si="4"/>
        <v>0</v>
      </c>
      <c r="T38" s="123">
        <f>SUM(INDEX($D$13:$D$24,MATCH($D38,$C$13:$C$24,0),0):INDEX($D$13:$D$24,MATCH(IF($F38&lt;$D38,12,$F38-1),$C$13:$C$24,0),0))+IF(AND($F38&lt;$D38,$F38&lt;&gt;1),SUM(INDEX($D$13:$D$24,MATCH(1,$C$13:$C$24,0),0):INDEX($D$13:$D$24,MATCH(IF($F38&gt;$D$28,$D$28,$F38-1),$C$13:$C$24,0))),0)</f>
        <v>0</v>
      </c>
      <c r="U38" s="124">
        <v>0.97499999999999998</v>
      </c>
      <c r="AE38" s="114"/>
    </row>
    <row r="39" spans="2:31" ht="15" customHeight="1" x14ac:dyDescent="0.3">
      <c r="B39" s="113" t="s">
        <v>710</v>
      </c>
      <c r="C39" s="121" t="s">
        <v>702</v>
      </c>
      <c r="D39" s="122">
        <f t="shared" si="2"/>
        <v>8</v>
      </c>
      <c r="E39" s="113" t="s">
        <v>707</v>
      </c>
      <c r="F39" s="122">
        <f t="shared" si="0"/>
        <v>11</v>
      </c>
      <c r="G39" s="122">
        <f t="shared" si="3"/>
        <v>0</v>
      </c>
      <c r="H39" s="122">
        <f t="shared" si="3"/>
        <v>0</v>
      </c>
      <c r="I39" s="122">
        <f t="shared" si="3"/>
        <v>0</v>
      </c>
      <c r="J39" s="122">
        <f t="shared" si="3"/>
        <v>0</v>
      </c>
      <c r="K39" s="122">
        <f t="shared" si="3"/>
        <v>0</v>
      </c>
      <c r="L39" s="122">
        <f t="shared" si="3"/>
        <v>0</v>
      </c>
      <c r="M39" s="122">
        <f t="shared" si="3"/>
        <v>0</v>
      </c>
      <c r="N39" s="122">
        <f t="shared" si="3"/>
        <v>1</v>
      </c>
      <c r="O39" s="122">
        <f t="shared" si="3"/>
        <v>1</v>
      </c>
      <c r="P39" s="122">
        <f t="shared" si="3"/>
        <v>1</v>
      </c>
      <c r="Q39" s="122">
        <f t="shared" si="3"/>
        <v>0</v>
      </c>
      <c r="R39" s="122">
        <f t="shared" si="3"/>
        <v>0</v>
      </c>
      <c r="S39" s="127">
        <f t="shared" si="4"/>
        <v>2.5000000000000001E-2</v>
      </c>
      <c r="T39" s="123">
        <f>SUM(INDEX($D$13:$D$24,MATCH($D39,$C$13:$C$24,0),0):INDEX($D$13:$D$24,MATCH(IF($F39&lt;$D39,12,$F39-1),$C$13:$C$24,0),0))+IF(AND($F39&lt;$D39,$F39&lt;&gt;1),SUM(INDEX($D$13:$D$24,MATCH(1,$C$13:$C$24,0),0):INDEX($D$13:$D$24,MATCH(IF($F39&gt;$D$28,$D$28,$F39-1),$C$13:$C$24,0))),0)</f>
        <v>2.5000000000000001E-2</v>
      </c>
      <c r="U39" s="124">
        <v>1</v>
      </c>
      <c r="AE39" s="114"/>
    </row>
    <row r="40" spans="2:31" ht="15" customHeight="1" x14ac:dyDescent="0.3">
      <c r="B40" s="113" t="s">
        <v>700</v>
      </c>
      <c r="C40" s="121" t="s">
        <v>702</v>
      </c>
      <c r="D40" s="122">
        <f t="shared" si="2"/>
        <v>8</v>
      </c>
      <c r="E40" s="113" t="s">
        <v>708</v>
      </c>
      <c r="F40" s="122">
        <f t="shared" si="0"/>
        <v>12</v>
      </c>
      <c r="G40" s="122">
        <f t="shared" si="3"/>
        <v>0</v>
      </c>
      <c r="H40" s="122">
        <f t="shared" si="3"/>
        <v>0</v>
      </c>
      <c r="I40" s="122">
        <f t="shared" si="3"/>
        <v>0</v>
      </c>
      <c r="J40" s="122">
        <f t="shared" si="3"/>
        <v>0</v>
      </c>
      <c r="K40" s="122">
        <f t="shared" si="3"/>
        <v>0</v>
      </c>
      <c r="L40" s="122">
        <f t="shared" si="3"/>
        <v>0</v>
      </c>
      <c r="M40" s="122">
        <f t="shared" si="3"/>
        <v>0</v>
      </c>
      <c r="N40" s="122">
        <f t="shared" si="3"/>
        <v>1</v>
      </c>
      <c r="O40" s="122">
        <f t="shared" si="3"/>
        <v>1</v>
      </c>
      <c r="P40" s="122">
        <f t="shared" si="3"/>
        <v>1</v>
      </c>
      <c r="Q40" s="122">
        <f t="shared" si="3"/>
        <v>1</v>
      </c>
      <c r="R40" s="122">
        <f t="shared" si="3"/>
        <v>0</v>
      </c>
      <c r="S40" s="127">
        <f t="shared" si="4"/>
        <v>0.125</v>
      </c>
      <c r="T40" s="123">
        <f>SUM(INDEX($D$13:$D$24,MATCH($D40,$C$13:$C$24,0),0):INDEX($D$13:$D$24,MATCH(IF($F40&lt;$D40,12,$F40-1),$C$13:$C$24,0),0))+IF(AND($F40&lt;$D40,$F40&lt;&gt;1),SUM(INDEX($D$13:$D$24,MATCH(1,$C$13:$C$24,0),0):INDEX($D$13:$D$24,MATCH(IF($F40&gt;$D$28,$D$28,$F40-1),$C$13:$C$24,0))),0)</f>
        <v>0.125</v>
      </c>
      <c r="U40" s="124">
        <v>1</v>
      </c>
      <c r="AE40" s="114"/>
    </row>
    <row r="41" spans="2:31" ht="15" customHeight="1" x14ac:dyDescent="0.3">
      <c r="B41" s="113" t="s">
        <v>701</v>
      </c>
      <c r="C41" s="121" t="s">
        <v>702</v>
      </c>
      <c r="D41" s="122">
        <f t="shared" si="2"/>
        <v>8</v>
      </c>
      <c r="E41" s="113" t="s">
        <v>709</v>
      </c>
      <c r="F41" s="122">
        <f t="shared" si="0"/>
        <v>1</v>
      </c>
      <c r="G41" s="122">
        <f t="shared" si="3"/>
        <v>0</v>
      </c>
      <c r="H41" s="122">
        <f t="shared" si="3"/>
        <v>0</v>
      </c>
      <c r="I41" s="122">
        <f t="shared" si="3"/>
        <v>0</v>
      </c>
      <c r="J41" s="122">
        <f t="shared" si="3"/>
        <v>0</v>
      </c>
      <c r="K41" s="122">
        <f t="shared" si="3"/>
        <v>0</v>
      </c>
      <c r="L41" s="122">
        <f t="shared" si="3"/>
        <v>0</v>
      </c>
      <c r="M41" s="122">
        <f t="shared" si="3"/>
        <v>0</v>
      </c>
      <c r="N41" s="122">
        <f t="shared" si="3"/>
        <v>1</v>
      </c>
      <c r="O41" s="122">
        <f t="shared" si="3"/>
        <v>1</v>
      </c>
      <c r="P41" s="122">
        <f t="shared" si="3"/>
        <v>1</v>
      </c>
      <c r="Q41" s="122">
        <f t="shared" si="3"/>
        <v>1</v>
      </c>
      <c r="R41" s="122">
        <f t="shared" si="3"/>
        <v>1</v>
      </c>
      <c r="S41" s="127">
        <f t="shared" si="4"/>
        <v>0.35</v>
      </c>
      <c r="T41" s="123">
        <f>SUM(INDEX($D$13:$D$24,MATCH($D41,$C$13:$C$24,0),0):INDEX($D$13:$D$24,MATCH(IF($F41&lt;$D41,12,$F41-1),$C$13:$C$24,0),0))+IF(AND($F41&lt;$D41,$F41&lt;&gt;1),SUM(INDEX($D$13:$D$24,MATCH(1,$C$13:$C$24,0),0):INDEX($D$13:$D$24,MATCH(IF($F41&gt;$D$28,$D$28,$F41-1),$C$13:$C$24,0))),0)</f>
        <v>0.35</v>
      </c>
      <c r="U41" s="124">
        <v>0.97499999999999998</v>
      </c>
      <c r="AE41" s="114"/>
    </row>
    <row r="42" spans="2:31" ht="15" customHeight="1" x14ac:dyDescent="0.3">
      <c r="B42" s="113" t="s">
        <v>703</v>
      </c>
      <c r="C42" s="121" t="s">
        <v>702</v>
      </c>
      <c r="D42" s="122">
        <f t="shared" si="2"/>
        <v>8</v>
      </c>
      <c r="E42" s="113" t="s">
        <v>710</v>
      </c>
      <c r="F42" s="122">
        <f t="shared" si="0"/>
        <v>2</v>
      </c>
      <c r="G42" s="122">
        <f t="shared" si="3"/>
        <v>1</v>
      </c>
      <c r="H42" s="122">
        <f t="shared" si="3"/>
        <v>0</v>
      </c>
      <c r="I42" s="122">
        <f t="shared" si="3"/>
        <v>0</v>
      </c>
      <c r="J42" s="122">
        <f t="shared" si="3"/>
        <v>0</v>
      </c>
      <c r="K42" s="122">
        <f t="shared" si="3"/>
        <v>0</v>
      </c>
      <c r="L42" s="122">
        <f t="shared" si="3"/>
        <v>0</v>
      </c>
      <c r="M42" s="122">
        <f t="shared" si="3"/>
        <v>0</v>
      </c>
      <c r="N42" s="122">
        <f t="shared" si="3"/>
        <v>1</v>
      </c>
      <c r="O42" s="122">
        <f t="shared" si="3"/>
        <v>1</v>
      </c>
      <c r="P42" s="122">
        <f t="shared" si="3"/>
        <v>1</v>
      </c>
      <c r="Q42" s="122">
        <f t="shared" si="3"/>
        <v>1</v>
      </c>
      <c r="R42" s="122">
        <f t="shared" si="3"/>
        <v>1</v>
      </c>
      <c r="S42" s="127">
        <f t="shared" si="4"/>
        <v>0.65</v>
      </c>
      <c r="T42" s="123">
        <f>SUM(INDEX($D$13:$D$24,MATCH($D42,$C$13:$C$24,0),0):INDEX($D$13:$D$24,MATCH(IF($F42&lt;$D42,12,$F42-1),$C$13:$C$24,0),0))+IF(AND($F42&lt;$D42,$F42&lt;&gt;1),SUM(INDEX($D$13:$D$24,MATCH(1,$C$13:$C$24,0),0):INDEX($D$13:$D$24,MATCH(IF($F42&gt;$D$28,$D$28,$F42-1),$C$13:$C$24,0))),0)</f>
        <v>0.64999999999999991</v>
      </c>
      <c r="U42" s="124">
        <v>0.875</v>
      </c>
      <c r="AE42" s="114"/>
    </row>
    <row r="43" spans="2:31" ht="15" customHeight="1" x14ac:dyDescent="0.3">
      <c r="B43" s="113" t="s">
        <v>705</v>
      </c>
      <c r="C43" s="121" t="s">
        <v>702</v>
      </c>
      <c r="D43" s="122">
        <f t="shared" si="2"/>
        <v>8</v>
      </c>
      <c r="E43" s="113" t="s">
        <v>700</v>
      </c>
      <c r="F43" s="122">
        <f t="shared" si="0"/>
        <v>3</v>
      </c>
      <c r="G43" s="122">
        <f>IF(AND(G$30&gt;=$D43,G$30&lt;$F43,$D43&gt;$D$28),1,IF(AND($F43&lt;$D43,$D43&gt;$D$28,G$30&gt;=$D43),1,0))+IF(AND($F43&lt;$D43,G$30&lt;$F43,G$30&lt;$D$28),1,IF(AND($F43&gt;$D43,$D43&lt;=G$30,$D43&lt;$D$28,G$30&lt;$F43,G$30&lt;$D$28),1,0))</f>
        <v>1</v>
      </c>
      <c r="H43" s="122">
        <f>IF(AND(H$30&gt;=$D43,H$30&lt;$F43,$D43&gt;$D$28),1,IF(AND($F43&lt;$D43,$D43&gt;$D$28,H$30&gt;=$D43),1,0))+IF(AND($F43&lt;$D43,H$30&lt;$F43,H$30&lt;$D$28),1,IF(AND($F43&gt;$D43,$D43&lt;=H$30,$D43&lt;$D$28,H$30&lt;$F43,H$30&lt;$D$28),1,0))</f>
        <v>1</v>
      </c>
      <c r="I43" s="122">
        <f t="shared" si="3"/>
        <v>0</v>
      </c>
      <c r="J43" s="122">
        <f t="shared" si="3"/>
        <v>0</v>
      </c>
      <c r="K43" s="122">
        <f t="shared" si="3"/>
        <v>0</v>
      </c>
      <c r="L43" s="122">
        <f t="shared" si="3"/>
        <v>0</v>
      </c>
      <c r="M43" s="122">
        <f t="shared" si="3"/>
        <v>0</v>
      </c>
      <c r="N43" s="122">
        <f t="shared" si="3"/>
        <v>1</v>
      </c>
      <c r="O43" s="122">
        <f t="shared" si="3"/>
        <v>1</v>
      </c>
      <c r="P43" s="122">
        <f t="shared" si="3"/>
        <v>1</v>
      </c>
      <c r="Q43" s="122">
        <f t="shared" si="3"/>
        <v>1</v>
      </c>
      <c r="R43" s="122">
        <f t="shared" si="3"/>
        <v>1</v>
      </c>
      <c r="S43" s="127">
        <f t="shared" si="4"/>
        <v>0.875</v>
      </c>
      <c r="T43" s="123">
        <f>SUM(INDEX($D$13:$D$24,MATCH($D43,$C$13:$C$24,0),0):INDEX($D$13:$D$24,MATCH(IF($F43&lt;$D43,12,$F43-1),$C$13:$C$24,0),0))+IF(AND($F43&lt;$D43,$F43&lt;&gt;1),SUM(INDEX($D$13:$D$24,MATCH(1,$C$13:$C$24,0),0):INDEX($D$13:$D$24,MATCH(IF($F43&gt;$D$28,$D$28,$F43-1),$C$13:$C$24,0))),0)</f>
        <v>0.875</v>
      </c>
      <c r="U43" s="124">
        <v>0.65</v>
      </c>
      <c r="AE43" s="114"/>
    </row>
    <row r="44" spans="2:31" ht="15" customHeight="1" x14ac:dyDescent="0.3">
      <c r="B44" s="113" t="s">
        <v>711</v>
      </c>
      <c r="C44" s="113"/>
      <c r="D44" s="115"/>
      <c r="E44" s="113"/>
      <c r="F44" s="125"/>
      <c r="G44" s="125"/>
      <c r="H44" s="125"/>
      <c r="I44" s="125"/>
      <c r="J44" s="125"/>
      <c r="K44" s="125"/>
      <c r="L44" s="125"/>
      <c r="M44" s="125"/>
      <c r="N44" s="125"/>
      <c r="O44" s="125"/>
      <c r="P44" s="125"/>
      <c r="Q44" s="125"/>
      <c r="R44" s="125"/>
      <c r="S44" s="126">
        <f>AVERAGE(S32:S43)</f>
        <v>0.45833333333333331</v>
      </c>
      <c r="T44" s="126">
        <f>AVERAGE(T32:T43)</f>
        <v>0.4916666666666667</v>
      </c>
      <c r="U44" s="126">
        <f>AVERAGE(U32:U43)</f>
        <v>0.625</v>
      </c>
    </row>
    <row r="45" spans="2:31" ht="15" customHeight="1" x14ac:dyDescent="0.3">
      <c r="B45" s="113"/>
      <c r="C45" s="113"/>
      <c r="D45" s="115"/>
      <c r="E45" s="113"/>
      <c r="F45" s="113" t="s">
        <v>697</v>
      </c>
      <c r="T45" s="126"/>
      <c r="U45" s="126"/>
      <c r="V45" s="126"/>
      <c r="W45" s="126"/>
      <c r="X45" s="126"/>
      <c r="Y45" s="126"/>
    </row>
    <row r="46" spans="2:31" ht="15" customHeight="1" x14ac:dyDescent="0.3">
      <c r="B46" s="113"/>
      <c r="C46" s="113"/>
      <c r="D46" s="115"/>
      <c r="E46" s="113"/>
      <c r="G46" s="11">
        <v>1</v>
      </c>
      <c r="H46" s="11">
        <v>2</v>
      </c>
      <c r="I46" s="11">
        <v>3</v>
      </c>
      <c r="J46" s="11">
        <v>4</v>
      </c>
      <c r="K46" s="11">
        <v>5</v>
      </c>
      <c r="L46" s="11">
        <v>6</v>
      </c>
      <c r="M46" s="11">
        <v>7</v>
      </c>
      <c r="N46" s="11">
        <v>8</v>
      </c>
      <c r="O46" s="11">
        <v>9</v>
      </c>
      <c r="P46" s="11">
        <v>10</v>
      </c>
      <c r="Q46" s="11">
        <v>11</v>
      </c>
      <c r="R46" s="11">
        <v>12</v>
      </c>
      <c r="T46" s="126"/>
      <c r="U46" s="126"/>
      <c r="V46" s="126"/>
      <c r="W46" s="126"/>
      <c r="X46" s="126"/>
      <c r="Y46" s="126"/>
    </row>
    <row r="47" spans="2:31" ht="27.6" x14ac:dyDescent="0.3">
      <c r="B47" s="113" t="s">
        <v>693</v>
      </c>
      <c r="C47" s="113" t="s">
        <v>719</v>
      </c>
      <c r="D47" s="113" t="s">
        <v>929</v>
      </c>
      <c r="E47" s="113" t="s">
        <v>695</v>
      </c>
      <c r="F47" s="113" t="s">
        <v>929</v>
      </c>
      <c r="G47" s="113" t="s">
        <v>699</v>
      </c>
      <c r="H47" s="113" t="s">
        <v>702</v>
      </c>
      <c r="I47" s="113" t="s">
        <v>704</v>
      </c>
      <c r="J47" s="113" t="s">
        <v>706</v>
      </c>
      <c r="K47" s="113" t="s">
        <v>707</v>
      </c>
      <c r="L47" s="113" t="s">
        <v>708</v>
      </c>
      <c r="M47" s="113" t="s">
        <v>709</v>
      </c>
      <c r="N47" s="113" t="s">
        <v>710</v>
      </c>
      <c r="O47" s="113" t="s">
        <v>700</v>
      </c>
      <c r="P47" s="113" t="s">
        <v>701</v>
      </c>
      <c r="Q47" s="113" t="s">
        <v>703</v>
      </c>
      <c r="R47" s="113" t="s">
        <v>705</v>
      </c>
      <c r="S47" s="113" t="s">
        <v>697</v>
      </c>
      <c r="T47" s="113"/>
      <c r="U47" s="113" t="s">
        <v>697</v>
      </c>
      <c r="V47" s="126"/>
      <c r="W47" s="126"/>
      <c r="X47" s="126"/>
      <c r="Y47" s="126"/>
    </row>
    <row r="48" spans="2:31" ht="15" customHeight="1" x14ac:dyDescent="0.3">
      <c r="B48" s="113" t="str">
        <f>B32</f>
        <v>January</v>
      </c>
      <c r="C48" s="113" t="str">
        <f t="shared" ref="C48:F48" si="5">C32</f>
        <v>February</v>
      </c>
      <c r="D48" s="113">
        <f>D27</f>
        <v>11</v>
      </c>
      <c r="E48" s="113" t="str">
        <f t="shared" si="5"/>
        <v>October</v>
      </c>
      <c r="F48" s="113">
        <f t="shared" si="5"/>
        <v>4</v>
      </c>
      <c r="G48" s="122">
        <f t="shared" ref="G48:Q51" si="6">IF(G32=1,0,IF(AND($F48&gt;$D48,$D48&gt;$D$28,G$46&gt;=$F48),1,0))+IF(AND($D48&gt;$D$28,G$46&lt;$D$28),1,0)</f>
        <v>1</v>
      </c>
      <c r="H48" s="122">
        <f t="shared" si="6"/>
        <v>1</v>
      </c>
      <c r="I48" s="122">
        <f t="shared" si="6"/>
        <v>0</v>
      </c>
      <c r="J48" s="122">
        <f t="shared" si="6"/>
        <v>0</v>
      </c>
      <c r="K48" s="122">
        <f t="shared" si="6"/>
        <v>0</v>
      </c>
      <c r="L48" s="122">
        <f t="shared" si="6"/>
        <v>0</v>
      </c>
      <c r="M48" s="122">
        <f t="shared" si="6"/>
        <v>0</v>
      </c>
      <c r="N48" s="122">
        <f t="shared" si="6"/>
        <v>0</v>
      </c>
      <c r="O48" s="122">
        <f t="shared" si="6"/>
        <v>0</v>
      </c>
      <c r="P48" s="122">
        <f t="shared" si="6"/>
        <v>0</v>
      </c>
      <c r="Q48" s="122">
        <f t="shared" si="6"/>
        <v>0</v>
      </c>
      <c r="R48" s="122">
        <f t="shared" ref="R48:R51" si="7">IF(R32=1,0,IF(AND($F48&gt;$D48,$D48&gt;$D$28,R$46&gt;=$F48),1,0))+IF(AND($F48&gt;$D48,$D48&gt;$D$28,R$46&lt;$D$28),1,0)</f>
        <v>0</v>
      </c>
      <c r="S48" s="126"/>
      <c r="T48" s="123" t="e">
        <f>IF(OR($F32&lt;$D27,$F32&gt;=#REF!),SUM(INDEX($D$13:$D$24,MATCH($F32,$C$13:$C$24,0),0):INDEX($D$13:$D$24,MATCH(IF($F32&gt;$D27,12,$D$28),$C$13:$C$24,0),0)),0)+IF((12-$F32)&lt;3,SUM(INDEX($D$13:$D$24,MATCH(1,$C$13:$C$24,0),0):INDEX($D$13:$D$24,MATCH($D$28,$C$13:$C$24,0))),0)</f>
        <v>#REF!</v>
      </c>
      <c r="U48" s="124">
        <f>SUM(D22,D23,D24,D13,D14,D15,D16,D17)</f>
        <v>0.99999999999999989</v>
      </c>
      <c r="V48" s="126"/>
      <c r="W48" s="126"/>
      <c r="X48" s="126"/>
      <c r="Y48" s="126"/>
    </row>
    <row r="49" spans="2:25" ht="15" customHeight="1" x14ac:dyDescent="0.3">
      <c r="B49" s="113" t="str">
        <f t="shared" ref="B49:F59" si="8">B33</f>
        <v>February</v>
      </c>
      <c r="C49" s="113" t="str">
        <f t="shared" si="8"/>
        <v>February</v>
      </c>
      <c r="D49" s="113">
        <f t="shared" si="8"/>
        <v>8</v>
      </c>
      <c r="E49" s="113" t="str">
        <f t="shared" si="8"/>
        <v>November</v>
      </c>
      <c r="F49" s="113">
        <f t="shared" si="8"/>
        <v>5</v>
      </c>
      <c r="G49" s="122">
        <f t="shared" si="6"/>
        <v>1</v>
      </c>
      <c r="H49" s="122">
        <f t="shared" si="6"/>
        <v>1</v>
      </c>
      <c r="I49" s="122">
        <f t="shared" si="6"/>
        <v>0</v>
      </c>
      <c r="J49" s="122">
        <f t="shared" si="6"/>
        <v>0</v>
      </c>
      <c r="K49" s="122">
        <f t="shared" si="6"/>
        <v>0</v>
      </c>
      <c r="L49" s="122">
        <f t="shared" si="6"/>
        <v>0</v>
      </c>
      <c r="M49" s="122">
        <f t="shared" si="6"/>
        <v>0</v>
      </c>
      <c r="N49" s="122">
        <f t="shared" si="6"/>
        <v>0</v>
      </c>
      <c r="O49" s="122">
        <f t="shared" si="6"/>
        <v>0</v>
      </c>
      <c r="P49" s="122">
        <f t="shared" si="6"/>
        <v>0</v>
      </c>
      <c r="Q49" s="122">
        <f t="shared" si="6"/>
        <v>0</v>
      </c>
      <c r="R49" s="122">
        <f t="shared" si="7"/>
        <v>0</v>
      </c>
      <c r="S49" s="126"/>
      <c r="T49" s="123" t="e">
        <f>IF(OR($F33&lt;$D33,$F33&gt;=#REF!),SUM(INDEX($D$13:$D$24,MATCH($F33,$C$13:$C$24,0),0):INDEX($D$13:$D$24,MATCH(IF($F33&gt;$D33,12,$D$28),$C$13:$C$24,0),0)),0)+IF((12-$F33)&lt;3,SUM(INDEX($D$13:$D$24,MATCH(1,$C$13:$C$24,0),0):INDEX($D$13:$D$24,MATCH($D$28,$C$13:$C$24,0))),0)</f>
        <v>#REF!</v>
      </c>
      <c r="U49" s="124">
        <f>SUM(D23,D24,D13,D14,D15,D16,D17)</f>
        <v>0.97499999999999998</v>
      </c>
      <c r="V49" s="126"/>
      <c r="W49" s="126"/>
      <c r="X49" s="126"/>
      <c r="Y49" s="126"/>
    </row>
    <row r="50" spans="2:25" ht="15" customHeight="1" x14ac:dyDescent="0.3">
      <c r="B50" s="113" t="str">
        <f t="shared" si="8"/>
        <v>March</v>
      </c>
      <c r="C50" s="113" t="str">
        <f t="shared" si="8"/>
        <v>February</v>
      </c>
      <c r="D50" s="113">
        <f t="shared" si="8"/>
        <v>8</v>
      </c>
      <c r="E50" s="113" t="str">
        <f t="shared" si="8"/>
        <v>December</v>
      </c>
      <c r="F50" s="113">
        <f t="shared" si="8"/>
        <v>6</v>
      </c>
      <c r="G50" s="122">
        <f t="shared" si="6"/>
        <v>1</v>
      </c>
      <c r="H50" s="122">
        <f t="shared" si="6"/>
        <v>1</v>
      </c>
      <c r="I50" s="122">
        <f t="shared" si="6"/>
        <v>0</v>
      </c>
      <c r="J50" s="122">
        <f t="shared" si="6"/>
        <v>0</v>
      </c>
      <c r="K50" s="122">
        <f t="shared" si="6"/>
        <v>0</v>
      </c>
      <c r="L50" s="122">
        <f t="shared" si="6"/>
        <v>0</v>
      </c>
      <c r="M50" s="122">
        <f t="shared" si="6"/>
        <v>0</v>
      </c>
      <c r="N50" s="122">
        <f t="shared" si="6"/>
        <v>0</v>
      </c>
      <c r="O50" s="122">
        <f t="shared" si="6"/>
        <v>0</v>
      </c>
      <c r="P50" s="122">
        <f t="shared" si="6"/>
        <v>0</v>
      </c>
      <c r="Q50" s="122">
        <f t="shared" si="6"/>
        <v>0</v>
      </c>
      <c r="R50" s="122">
        <f t="shared" si="7"/>
        <v>0</v>
      </c>
      <c r="S50" s="126"/>
      <c r="T50" s="123" t="e">
        <f>IF(OR($F34&lt;$D34,$F34&gt;=#REF!),SUM(INDEX($D$13:$D$24,MATCH($F34,$C$13:$C$24,0),0):INDEX($D$13:$D$24,MATCH(IF($F34&gt;$D34,12,$D$28),$C$13:$C$24,0),0)),0)+IF((12-$F34)&lt;3,SUM(INDEX($D$13:$D$24,MATCH(1,$C$13:$C$24,0),0):INDEX($D$13:$D$24,MATCH($D$28,$C$13:$C$24,0))),0)</f>
        <v>#REF!</v>
      </c>
      <c r="U50" s="124">
        <f>SUM(D24,D13,D14,D15,D16,D17)</f>
        <v>0.875</v>
      </c>
      <c r="V50" s="126"/>
      <c r="W50" s="126"/>
      <c r="X50" s="126"/>
      <c r="Y50" s="126"/>
    </row>
    <row r="51" spans="2:25" ht="15" customHeight="1" x14ac:dyDescent="0.3">
      <c r="B51" s="113" t="str">
        <f t="shared" si="8"/>
        <v>April</v>
      </c>
      <c r="C51" s="113" t="str">
        <f t="shared" si="8"/>
        <v>February</v>
      </c>
      <c r="D51" s="113">
        <f t="shared" si="8"/>
        <v>8</v>
      </c>
      <c r="E51" s="113" t="str">
        <f t="shared" si="8"/>
        <v>January</v>
      </c>
      <c r="F51" s="113">
        <f t="shared" si="8"/>
        <v>7</v>
      </c>
      <c r="G51" s="122">
        <f>IF(G35=1,0,IF(AND($F51&gt;$D51,$D51&gt;$D$28,G$46&gt;=$F51),1,0))+IF(AND(G$46&gt;$F51,$D51&gt;$D$28,G$46&lt;$D$28),1,0)</f>
        <v>0</v>
      </c>
      <c r="H51" s="122">
        <f>IF(H35=1,0,IF(AND($F51&gt;$D51,$D51&gt;$D$28,H$46&gt;=$F51),1,0))+IF(AND(H$46&gt;=$F51,$D51&gt;$D$28,H$46&lt;$D$28),1,0)</f>
        <v>0</v>
      </c>
      <c r="I51" s="122">
        <f t="shared" si="6"/>
        <v>0</v>
      </c>
      <c r="J51" s="122">
        <f t="shared" si="6"/>
        <v>0</v>
      </c>
      <c r="K51" s="122">
        <f t="shared" si="6"/>
        <v>0</v>
      </c>
      <c r="L51" s="122">
        <f t="shared" si="6"/>
        <v>0</v>
      </c>
      <c r="M51" s="122">
        <f t="shared" si="6"/>
        <v>0</v>
      </c>
      <c r="N51" s="122">
        <f t="shared" si="6"/>
        <v>0</v>
      </c>
      <c r="O51" s="122">
        <f t="shared" si="6"/>
        <v>0</v>
      </c>
      <c r="P51" s="122">
        <f t="shared" si="6"/>
        <v>0</v>
      </c>
      <c r="Q51" s="122">
        <f t="shared" si="6"/>
        <v>0</v>
      </c>
      <c r="R51" s="122">
        <f t="shared" si="7"/>
        <v>0</v>
      </c>
      <c r="S51" s="126"/>
      <c r="T51" s="123" t="e">
        <f>IF(OR($F35&lt;$D35,$F35&gt;=#REF!),SUM(INDEX($D$13:$D$24,MATCH($F35,$C$13:$C$24,0),0):INDEX($D$13:$D$24,MATCH(IF($F35&gt;$D35,12,$D$28),$C$13:$C$24,0),0)),0)+IF((12-$F35)&lt;3,SUM(INDEX($D$13:$D$24,MATCH(1,$C$13:$C$24,0),0):INDEX($D$13:$D$24,MATCH($D$28,$C$13:$C$24,0))),0)</f>
        <v>#REF!</v>
      </c>
      <c r="U51" s="124">
        <f>SUM(D13,D14,D15,D16,D17)</f>
        <v>0.65</v>
      </c>
      <c r="V51" s="126"/>
      <c r="W51" s="126"/>
      <c r="X51" s="126"/>
      <c r="Y51" s="126"/>
    </row>
    <row r="52" spans="2:25" ht="15" customHeight="1" x14ac:dyDescent="0.3">
      <c r="B52" s="113" t="str">
        <f t="shared" si="8"/>
        <v>May</v>
      </c>
      <c r="C52" s="113" t="str">
        <f t="shared" si="8"/>
        <v>February</v>
      </c>
      <c r="D52" s="113">
        <f t="shared" si="8"/>
        <v>8</v>
      </c>
      <c r="E52" s="113" t="str">
        <f t="shared" si="8"/>
        <v>February</v>
      </c>
      <c r="F52" s="113">
        <f t="shared" si="8"/>
        <v>8</v>
      </c>
      <c r="G52" s="122">
        <f t="shared" ref="G52:R59" si="9">IF(G36=1,0,IF(AND($F52&gt;$D52,$D52&gt;$D$28,G$46&gt;=$F52),1,0))+IF(AND($F52&gt;$D52,$D52&gt;$D$28,G$46&lt;$D$28),1,0)</f>
        <v>0</v>
      </c>
      <c r="H52" s="122">
        <f t="shared" si="9"/>
        <v>0</v>
      </c>
      <c r="I52" s="122">
        <f t="shared" si="9"/>
        <v>0</v>
      </c>
      <c r="J52" s="122">
        <f t="shared" si="9"/>
        <v>0</v>
      </c>
      <c r="K52" s="122">
        <f t="shared" si="9"/>
        <v>0</v>
      </c>
      <c r="L52" s="122">
        <f t="shared" si="9"/>
        <v>0</v>
      </c>
      <c r="M52" s="122">
        <f t="shared" si="9"/>
        <v>0</v>
      </c>
      <c r="N52" s="122">
        <f t="shared" si="9"/>
        <v>0</v>
      </c>
      <c r="O52" s="122">
        <f t="shared" si="9"/>
        <v>0</v>
      </c>
      <c r="P52" s="122">
        <f t="shared" si="9"/>
        <v>0</v>
      </c>
      <c r="Q52" s="122">
        <f t="shared" si="9"/>
        <v>0</v>
      </c>
      <c r="R52" s="122">
        <f t="shared" si="9"/>
        <v>0</v>
      </c>
      <c r="S52" s="126"/>
      <c r="T52" s="123" t="e">
        <f>IF(OR($F36&lt;$D36,$F36&gt;=#REF!),SUM(INDEX($D$13:$D$24,MATCH($F36,$C$13:$C$24,0),0):INDEX($D$13:$D$24,MATCH(IF($F36&gt;$D36,12,$D$28),$C$13:$C$24,0),0)),0)+IF((12-$F36)&lt;3,SUM(INDEX($D$13:$D$24,MATCH(1,$C$13:$C$24,0),0):INDEX($D$13:$D$24,MATCH($D$28,$C$13:$C$24,0))),0)</f>
        <v>#REF!</v>
      </c>
      <c r="U52" s="124">
        <f>SUM(D14,D15,D16,D17)</f>
        <v>0.35000000000000003</v>
      </c>
      <c r="V52" s="126"/>
      <c r="W52" s="126"/>
      <c r="X52" s="126"/>
      <c r="Y52" s="126"/>
    </row>
    <row r="53" spans="2:25" ht="15" customHeight="1" x14ac:dyDescent="0.3">
      <c r="B53" s="113" t="str">
        <f t="shared" si="8"/>
        <v>June</v>
      </c>
      <c r="C53" s="113" t="str">
        <f t="shared" si="8"/>
        <v>February</v>
      </c>
      <c r="D53" s="113">
        <f t="shared" si="8"/>
        <v>8</v>
      </c>
      <c r="E53" s="113" t="str">
        <f t="shared" si="8"/>
        <v>March</v>
      </c>
      <c r="F53" s="113">
        <f t="shared" si="8"/>
        <v>9</v>
      </c>
      <c r="G53" s="122">
        <f t="shared" si="9"/>
        <v>1</v>
      </c>
      <c r="H53" s="122">
        <f t="shared" si="9"/>
        <v>1</v>
      </c>
      <c r="I53" s="122">
        <f t="shared" si="9"/>
        <v>0</v>
      </c>
      <c r="J53" s="122">
        <f t="shared" si="9"/>
        <v>0</v>
      </c>
      <c r="K53" s="122">
        <f t="shared" si="9"/>
        <v>0</v>
      </c>
      <c r="L53" s="122">
        <f t="shared" si="9"/>
        <v>0</v>
      </c>
      <c r="M53" s="122">
        <f t="shared" si="9"/>
        <v>0</v>
      </c>
      <c r="N53" s="122">
        <f t="shared" si="9"/>
        <v>0</v>
      </c>
      <c r="O53" s="122">
        <f t="shared" si="9"/>
        <v>1</v>
      </c>
      <c r="P53" s="122">
        <f t="shared" si="9"/>
        <v>1</v>
      </c>
      <c r="Q53" s="122">
        <f t="shared" si="9"/>
        <v>1</v>
      </c>
      <c r="R53" s="122">
        <f t="shared" si="9"/>
        <v>1</v>
      </c>
      <c r="S53" s="126"/>
      <c r="T53" s="123" t="e">
        <f>IF(OR($F37&lt;$D37,$F37&gt;=#REF!),SUM(INDEX($D$13:$D$24,MATCH($F37,$C$13:$C$24,0),0):INDEX($D$13:$D$24,MATCH(IF($F37&gt;$D37,12,$D$28),$C$13:$C$24,0),0)),0)+IF((12-$F37)&lt;3,SUM(INDEX($D$13:$D$24,MATCH(1,$C$13:$C$24,0),0):INDEX($D$13:$D$24,MATCH($D$28,$C$13:$C$24,0))),0)</f>
        <v>#REF!</v>
      </c>
      <c r="U53" s="124">
        <f>SUM(D16,D17)</f>
        <v>2.5000000000000001E-2</v>
      </c>
      <c r="V53" s="126"/>
      <c r="W53" s="126"/>
      <c r="X53" s="126"/>
      <c r="Y53" s="126"/>
    </row>
    <row r="54" spans="2:25" ht="15" customHeight="1" x14ac:dyDescent="0.3">
      <c r="B54" s="113" t="str">
        <f t="shared" si="8"/>
        <v>July</v>
      </c>
      <c r="C54" s="113" t="str">
        <f t="shared" si="8"/>
        <v>February</v>
      </c>
      <c r="D54" s="113">
        <f t="shared" si="8"/>
        <v>8</v>
      </c>
      <c r="E54" s="113" t="str">
        <f t="shared" si="8"/>
        <v>April</v>
      </c>
      <c r="F54" s="113">
        <f t="shared" si="8"/>
        <v>10</v>
      </c>
      <c r="G54" s="122">
        <f t="shared" si="9"/>
        <v>1</v>
      </c>
      <c r="H54" s="122">
        <f t="shared" si="9"/>
        <v>1</v>
      </c>
      <c r="I54" s="122">
        <f t="shared" si="9"/>
        <v>0</v>
      </c>
      <c r="J54" s="122">
        <f t="shared" si="9"/>
        <v>0</v>
      </c>
      <c r="K54" s="122">
        <f t="shared" si="9"/>
        <v>0</v>
      </c>
      <c r="L54" s="122">
        <f t="shared" si="9"/>
        <v>0</v>
      </c>
      <c r="M54" s="122">
        <f t="shared" si="9"/>
        <v>0</v>
      </c>
      <c r="N54" s="122">
        <f t="shared" si="9"/>
        <v>0</v>
      </c>
      <c r="O54" s="122">
        <f t="shared" si="9"/>
        <v>0</v>
      </c>
      <c r="P54" s="122">
        <f t="shared" si="9"/>
        <v>1</v>
      </c>
      <c r="Q54" s="122">
        <f t="shared" si="9"/>
        <v>1</v>
      </c>
      <c r="R54" s="122">
        <f t="shared" si="9"/>
        <v>1</v>
      </c>
      <c r="S54" s="126"/>
      <c r="T54" s="123" t="e">
        <f>IF(OR($F38&lt;$D38,$F38&gt;=#REF!),SUM(INDEX($D$13:$D$24,MATCH($F38,$C$13:$C$24,0),0):INDEX($D$13:$D$24,MATCH(IF($F38&gt;$D38,12,$D$28),$C$13:$C$24,0),0)),0)+IF((12-$F38)&lt;3,SUM(INDEX($D$13:$D$24,MATCH(1,$C$13:$C$24,0),0):INDEX($D$13:$D$24,MATCH($D$28,$C$13:$C$24,0))),0)</f>
        <v>#REF!</v>
      </c>
      <c r="U54" s="124">
        <f>SUM(D17)</f>
        <v>0</v>
      </c>
      <c r="V54" s="126"/>
      <c r="W54" s="126"/>
      <c r="X54" s="126"/>
      <c r="Y54" s="126"/>
    </row>
    <row r="55" spans="2:25" ht="15" customHeight="1" x14ac:dyDescent="0.3">
      <c r="B55" s="113" t="str">
        <f t="shared" si="8"/>
        <v>August</v>
      </c>
      <c r="C55" s="113" t="str">
        <f t="shared" si="8"/>
        <v>February</v>
      </c>
      <c r="D55" s="113">
        <f t="shared" si="8"/>
        <v>8</v>
      </c>
      <c r="E55" s="113" t="str">
        <f t="shared" si="8"/>
        <v>May</v>
      </c>
      <c r="F55" s="113">
        <f t="shared" si="8"/>
        <v>11</v>
      </c>
      <c r="G55" s="122">
        <f t="shared" si="9"/>
        <v>1</v>
      </c>
      <c r="H55" s="122">
        <f t="shared" si="9"/>
        <v>1</v>
      </c>
      <c r="I55" s="122">
        <f t="shared" si="9"/>
        <v>0</v>
      </c>
      <c r="J55" s="122">
        <f t="shared" si="9"/>
        <v>0</v>
      </c>
      <c r="K55" s="122">
        <f t="shared" si="9"/>
        <v>0</v>
      </c>
      <c r="L55" s="122">
        <f t="shared" si="9"/>
        <v>0</v>
      </c>
      <c r="M55" s="122">
        <f t="shared" si="9"/>
        <v>0</v>
      </c>
      <c r="N55" s="122">
        <f t="shared" si="9"/>
        <v>0</v>
      </c>
      <c r="O55" s="122">
        <f t="shared" si="9"/>
        <v>0</v>
      </c>
      <c r="P55" s="122">
        <f t="shared" si="9"/>
        <v>0</v>
      </c>
      <c r="Q55" s="122">
        <f t="shared" si="9"/>
        <v>1</v>
      </c>
      <c r="R55" s="122">
        <f t="shared" si="9"/>
        <v>1</v>
      </c>
      <c r="S55" s="126"/>
      <c r="T55" s="123" t="e">
        <f>IF(OR($F39&lt;$D39,$F39&gt;=#REF!),SUM(INDEX($D$13:$D$24,MATCH($F39,$C$13:$C$24,0),0):INDEX($D$13:$D$24,MATCH(IF($F39&gt;$D39,12,$D$28),$C$13:$C$24,0),0)),0)+IF((12-$F39)&lt;3,SUM(INDEX($D$13:$D$24,MATCH(1,$C$13:$C$24,0),0):INDEX($D$13:$D$24,MATCH($D$28,$C$13:$C$24,0))),0)</f>
        <v>#REF!</v>
      </c>
      <c r="U55" s="124">
        <v>0</v>
      </c>
      <c r="V55" s="126"/>
      <c r="W55" s="126"/>
      <c r="X55" s="126"/>
      <c r="Y55" s="126"/>
    </row>
    <row r="56" spans="2:25" ht="15" customHeight="1" x14ac:dyDescent="0.3">
      <c r="B56" s="113" t="str">
        <f t="shared" si="8"/>
        <v>September</v>
      </c>
      <c r="C56" s="113" t="str">
        <f t="shared" si="8"/>
        <v>February</v>
      </c>
      <c r="D56" s="113">
        <f t="shared" si="8"/>
        <v>8</v>
      </c>
      <c r="E56" s="113" t="str">
        <f t="shared" si="8"/>
        <v>June</v>
      </c>
      <c r="F56" s="113">
        <f t="shared" si="8"/>
        <v>12</v>
      </c>
      <c r="G56" s="122">
        <f t="shared" si="9"/>
        <v>1</v>
      </c>
      <c r="H56" s="122">
        <f t="shared" si="9"/>
        <v>1</v>
      </c>
      <c r="I56" s="122">
        <f t="shared" si="9"/>
        <v>0</v>
      </c>
      <c r="J56" s="122">
        <f t="shared" si="9"/>
        <v>0</v>
      </c>
      <c r="K56" s="122">
        <f t="shared" si="9"/>
        <v>0</v>
      </c>
      <c r="L56" s="122">
        <f t="shared" si="9"/>
        <v>0</v>
      </c>
      <c r="M56" s="122">
        <f t="shared" si="9"/>
        <v>0</v>
      </c>
      <c r="N56" s="122">
        <f t="shared" si="9"/>
        <v>0</v>
      </c>
      <c r="O56" s="122">
        <f t="shared" si="9"/>
        <v>0</v>
      </c>
      <c r="P56" s="122">
        <f t="shared" si="9"/>
        <v>0</v>
      </c>
      <c r="Q56" s="122">
        <f t="shared" si="9"/>
        <v>0</v>
      </c>
      <c r="R56" s="122">
        <f t="shared" si="9"/>
        <v>1</v>
      </c>
      <c r="S56" s="126"/>
      <c r="T56" s="123" t="e">
        <f>IF(OR($F40&lt;$D40,$F40&gt;=#REF!),SUM(INDEX($D$13:$D$24,MATCH($F40,$C$13:$C$24,0),0):INDEX($D$13:$D$24,MATCH(IF($F40&gt;$D40,12,$D$28),$C$13:$C$24,0),0)),0)+IF((12-$F40)&lt;3,SUM(INDEX($D$13:$D$24,MATCH(1,$C$13:$C$24,0),0):INDEX($D$13:$D$24,MATCH($D$28,$C$13:$C$24,0))),0)</f>
        <v>#REF!</v>
      </c>
      <c r="U56" s="124">
        <v>0</v>
      </c>
      <c r="V56" s="126"/>
      <c r="W56" s="126"/>
      <c r="X56" s="126"/>
      <c r="Y56" s="126"/>
    </row>
    <row r="57" spans="2:25" ht="15" customHeight="1" x14ac:dyDescent="0.3">
      <c r="B57" s="113" t="str">
        <f t="shared" si="8"/>
        <v>October</v>
      </c>
      <c r="C57" s="113" t="str">
        <f t="shared" si="8"/>
        <v>February</v>
      </c>
      <c r="D57" s="113">
        <f t="shared" si="8"/>
        <v>8</v>
      </c>
      <c r="E57" s="113" t="str">
        <f t="shared" si="8"/>
        <v>July</v>
      </c>
      <c r="F57" s="113">
        <f t="shared" si="8"/>
        <v>1</v>
      </c>
      <c r="G57" s="122">
        <f t="shared" si="9"/>
        <v>0</v>
      </c>
      <c r="H57" s="122">
        <f t="shared" si="9"/>
        <v>0</v>
      </c>
      <c r="I57" s="122">
        <f t="shared" si="9"/>
        <v>0</v>
      </c>
      <c r="J57" s="122">
        <f t="shared" si="9"/>
        <v>0</v>
      </c>
      <c r="K57" s="122">
        <f t="shared" si="9"/>
        <v>0</v>
      </c>
      <c r="L57" s="122">
        <f t="shared" si="9"/>
        <v>0</v>
      </c>
      <c r="M57" s="122">
        <f t="shared" si="9"/>
        <v>0</v>
      </c>
      <c r="N57" s="122">
        <f t="shared" si="9"/>
        <v>0</v>
      </c>
      <c r="O57" s="122">
        <f t="shared" si="9"/>
        <v>0</v>
      </c>
      <c r="P57" s="122">
        <f t="shared" si="9"/>
        <v>0</v>
      </c>
      <c r="Q57" s="122">
        <f t="shared" si="9"/>
        <v>0</v>
      </c>
      <c r="R57" s="122">
        <f t="shared" si="9"/>
        <v>0</v>
      </c>
      <c r="S57" s="126"/>
      <c r="T57" s="123" t="e">
        <f>IF(OR($F41&lt;$D41,$F41&gt;=#REF!),SUM(INDEX($D$13:$D$24,MATCH($F41,$C$13:$C$24,0),0):INDEX($D$13:$D$24,MATCH(IF($F41&gt;$D41,12,$D$28),$C$13:$C$24,0),0)),0)+IF((12-$F41)&lt;3,SUM(INDEX($D$13:$D$24,MATCH(1,$C$13:$C$24,0),0):INDEX($D$13:$D$24,MATCH($D$28,$C$13:$C$24,0))),0)</f>
        <v>#REF!</v>
      </c>
      <c r="U57" s="124">
        <v>0</v>
      </c>
      <c r="V57" s="126"/>
      <c r="W57" s="126"/>
      <c r="X57" s="126"/>
      <c r="Y57" s="126"/>
    </row>
    <row r="58" spans="2:25" ht="15" customHeight="1" x14ac:dyDescent="0.3">
      <c r="B58" s="113" t="str">
        <f t="shared" si="8"/>
        <v>November</v>
      </c>
      <c r="C58" s="113" t="str">
        <f t="shared" si="8"/>
        <v>February</v>
      </c>
      <c r="D58" s="113">
        <f t="shared" si="8"/>
        <v>8</v>
      </c>
      <c r="E58" s="113" t="str">
        <f t="shared" si="8"/>
        <v>August</v>
      </c>
      <c r="F58" s="113">
        <f t="shared" si="8"/>
        <v>2</v>
      </c>
      <c r="G58" s="122">
        <f t="shared" si="9"/>
        <v>0</v>
      </c>
      <c r="H58" s="122">
        <f t="shared" si="9"/>
        <v>0</v>
      </c>
      <c r="I58" s="122">
        <f t="shared" si="9"/>
        <v>0</v>
      </c>
      <c r="J58" s="122">
        <f t="shared" si="9"/>
        <v>0</v>
      </c>
      <c r="K58" s="122">
        <f t="shared" si="9"/>
        <v>0</v>
      </c>
      <c r="L58" s="122">
        <f t="shared" si="9"/>
        <v>0</v>
      </c>
      <c r="M58" s="122">
        <f t="shared" si="9"/>
        <v>0</v>
      </c>
      <c r="N58" s="122">
        <f t="shared" si="9"/>
        <v>0</v>
      </c>
      <c r="O58" s="122">
        <f t="shared" si="9"/>
        <v>0</v>
      </c>
      <c r="P58" s="122">
        <f t="shared" si="9"/>
        <v>0</v>
      </c>
      <c r="Q58" s="122">
        <f t="shared" si="9"/>
        <v>0</v>
      </c>
      <c r="R58" s="122">
        <f t="shared" si="9"/>
        <v>0</v>
      </c>
      <c r="S58" s="126"/>
      <c r="T58" s="123" t="e">
        <f>IF(OR($F42&lt;$D42,$F42&gt;=#REF!),SUM(INDEX($D$13:$D$24,MATCH($F42,$C$13:$C$24,0),0):INDEX($D$13:$D$24,MATCH(IF($F42&gt;$D42,12,$D$28),$C$13:$C$24,0),0)),0)+IF((12-$F42)&lt;3,SUM(INDEX($D$13:$D$24,MATCH(1,$C$13:$C$24,0),0):INDEX($D$13:$D$24,MATCH($D$28,$C$13:$C$24,0))),0)</f>
        <v>#REF!</v>
      </c>
      <c r="U58" s="124">
        <v>0</v>
      </c>
      <c r="V58" s="126"/>
      <c r="W58" s="126"/>
      <c r="X58" s="126"/>
      <c r="Y58" s="126"/>
    </row>
    <row r="59" spans="2:25" ht="15" customHeight="1" x14ac:dyDescent="0.3">
      <c r="B59" s="113" t="str">
        <f t="shared" si="8"/>
        <v>December</v>
      </c>
      <c r="C59" s="113" t="str">
        <f t="shared" si="8"/>
        <v>February</v>
      </c>
      <c r="D59" s="113">
        <f t="shared" si="8"/>
        <v>8</v>
      </c>
      <c r="E59" s="113" t="str">
        <f t="shared" si="8"/>
        <v>September</v>
      </c>
      <c r="F59" s="113">
        <f t="shared" si="8"/>
        <v>3</v>
      </c>
      <c r="G59" s="122">
        <f t="shared" si="9"/>
        <v>0</v>
      </c>
      <c r="H59" s="122">
        <f t="shared" si="9"/>
        <v>0</v>
      </c>
      <c r="I59" s="122">
        <f t="shared" si="9"/>
        <v>0</v>
      </c>
      <c r="J59" s="122">
        <f t="shared" si="9"/>
        <v>0</v>
      </c>
      <c r="K59" s="122">
        <f t="shared" si="9"/>
        <v>0</v>
      </c>
      <c r="L59" s="122">
        <f t="shared" si="9"/>
        <v>0</v>
      </c>
      <c r="M59" s="122">
        <f t="shared" si="9"/>
        <v>0</v>
      </c>
      <c r="N59" s="122">
        <f t="shared" si="9"/>
        <v>0</v>
      </c>
      <c r="O59" s="122">
        <f t="shared" si="9"/>
        <v>0</v>
      </c>
      <c r="P59" s="122">
        <f t="shared" si="9"/>
        <v>0</v>
      </c>
      <c r="Q59" s="122">
        <f t="shared" si="9"/>
        <v>0</v>
      </c>
      <c r="R59" s="122">
        <f t="shared" si="9"/>
        <v>0</v>
      </c>
      <c r="S59" s="126"/>
      <c r="T59" s="123" t="e">
        <f>IF(OR($F43&lt;$D43,$F43&gt;=#REF!),SUM(INDEX($D$13:$D$24,MATCH($F43,$C$13:$C$24,0),0):INDEX($D$13:$D$24,MATCH(IF($F43&gt;$D43,12,$D$28),$C$13:$C$24,0),0)),0)+IF((12-$F43)&lt;3,SUM(INDEX($D$13:$D$24,MATCH(1,$C$13:$C$24,0),0):INDEX($D$13:$D$24,MATCH($D$28,$C$13:$C$24,0))),0)</f>
        <v>#REF!</v>
      </c>
      <c r="U59" s="124">
        <v>0</v>
      </c>
      <c r="V59" s="126"/>
      <c r="W59" s="126"/>
      <c r="X59" s="126"/>
      <c r="Y59" s="126"/>
    </row>
    <row r="60" spans="2:25" ht="15" customHeight="1" x14ac:dyDescent="0.3">
      <c r="B60" s="113" t="str">
        <f>B44</f>
        <v xml:space="preserve">Average </v>
      </c>
      <c r="C60" s="113"/>
      <c r="D60" s="113"/>
      <c r="E60" s="113"/>
      <c r="F60" s="113"/>
      <c r="G60" s="125"/>
      <c r="H60" s="125"/>
      <c r="I60" s="125"/>
      <c r="J60" s="125"/>
      <c r="K60" s="125"/>
      <c r="L60" s="125"/>
      <c r="M60" s="125"/>
      <c r="N60" s="125"/>
      <c r="O60" s="125"/>
      <c r="P60" s="125"/>
      <c r="Q60" s="125"/>
      <c r="R60" s="125"/>
      <c r="S60" s="126"/>
      <c r="T60" s="126" t="e">
        <f>AVERAGE(T48:T59)</f>
        <v>#REF!</v>
      </c>
      <c r="U60" s="126">
        <f t="shared" ref="U60" si="10">AVERAGE(U48:U59)</f>
        <v>0.32291666666666663</v>
      </c>
      <c r="V60" s="126"/>
      <c r="W60" s="126"/>
      <c r="X60" s="126"/>
      <c r="Y60" s="126"/>
    </row>
    <row r="61" spans="2:25" ht="15" customHeight="1" x14ac:dyDescent="0.3">
      <c r="B61" s="113"/>
      <c r="C61" s="113"/>
      <c r="D61" s="113"/>
      <c r="E61" s="113"/>
      <c r="F61" s="113"/>
      <c r="G61" s="125"/>
      <c r="H61" s="125"/>
      <c r="I61" s="125"/>
      <c r="J61" s="125"/>
      <c r="K61" s="125"/>
      <c r="L61" s="125"/>
      <c r="M61" s="125"/>
      <c r="N61" s="125"/>
      <c r="O61" s="125"/>
      <c r="P61" s="125"/>
      <c r="Q61" s="125"/>
      <c r="R61" s="125"/>
      <c r="S61" s="126"/>
      <c r="T61" s="126"/>
      <c r="U61" s="126"/>
      <c r="V61" s="126"/>
      <c r="W61" s="126"/>
      <c r="X61" s="126"/>
      <c r="Y61" s="126"/>
    </row>
    <row r="62" spans="2:25" ht="15" customHeight="1" x14ac:dyDescent="0.3">
      <c r="B62" s="113"/>
      <c r="C62" s="113"/>
      <c r="D62" s="115"/>
      <c r="E62" s="113"/>
      <c r="F62" s="113" t="s">
        <v>697</v>
      </c>
      <c r="V62" s="126"/>
      <c r="W62" s="126"/>
      <c r="X62" s="126"/>
      <c r="Y62" s="126"/>
    </row>
    <row r="63" spans="2:25" ht="15" customHeight="1" x14ac:dyDescent="0.3">
      <c r="B63" s="113"/>
      <c r="C63" s="113"/>
      <c r="D63" s="115"/>
      <c r="E63" s="113"/>
      <c r="G63" s="11">
        <v>1</v>
      </c>
      <c r="H63" s="11">
        <v>2</v>
      </c>
      <c r="I63" s="11">
        <v>3</v>
      </c>
      <c r="J63" s="11">
        <v>4</v>
      </c>
      <c r="K63" s="11">
        <v>5</v>
      </c>
      <c r="L63" s="11">
        <v>6</v>
      </c>
      <c r="M63" s="11">
        <v>7</v>
      </c>
      <c r="N63" s="11">
        <v>8</v>
      </c>
      <c r="O63" s="11">
        <v>9</v>
      </c>
      <c r="P63" s="11">
        <v>10</v>
      </c>
      <c r="Q63" s="11">
        <v>11</v>
      </c>
      <c r="R63" s="11">
        <v>12</v>
      </c>
      <c r="V63" s="126"/>
      <c r="W63" s="126"/>
      <c r="X63" s="126"/>
      <c r="Y63" s="126"/>
    </row>
    <row r="64" spans="2:25" ht="27.6" x14ac:dyDescent="0.3">
      <c r="B64" s="113" t="s">
        <v>693</v>
      </c>
      <c r="C64" s="113" t="s">
        <v>719</v>
      </c>
      <c r="D64" s="113" t="s">
        <v>929</v>
      </c>
      <c r="E64" s="113" t="s">
        <v>695</v>
      </c>
      <c r="F64" s="113" t="s">
        <v>929</v>
      </c>
      <c r="G64" s="113" t="s">
        <v>699</v>
      </c>
      <c r="H64" s="113" t="s">
        <v>702</v>
      </c>
      <c r="I64" s="113" t="s">
        <v>704</v>
      </c>
      <c r="J64" s="113" t="s">
        <v>706</v>
      </c>
      <c r="K64" s="113" t="s">
        <v>707</v>
      </c>
      <c r="L64" s="113" t="s">
        <v>708</v>
      </c>
      <c r="M64" s="113" t="s">
        <v>709</v>
      </c>
      <c r="N64" s="113" t="s">
        <v>710</v>
      </c>
      <c r="O64" s="113" t="s">
        <v>700</v>
      </c>
      <c r="P64" s="113" t="s">
        <v>701</v>
      </c>
      <c r="Q64" s="113" t="s">
        <v>703</v>
      </c>
      <c r="R64" s="113" t="s">
        <v>705</v>
      </c>
      <c r="S64" s="113" t="s">
        <v>697</v>
      </c>
      <c r="T64" s="113" t="s">
        <v>698</v>
      </c>
      <c r="U64" s="113" t="s">
        <v>698</v>
      </c>
      <c r="V64" s="126"/>
      <c r="W64" s="126"/>
      <c r="X64" s="126"/>
      <c r="Y64" s="126"/>
    </row>
    <row r="65" spans="2:30" ht="15" customHeight="1" x14ac:dyDescent="0.3">
      <c r="B65" s="113" t="str">
        <f t="shared" ref="B65:E76" si="11">B32</f>
        <v>January</v>
      </c>
      <c r="C65" s="113" t="str">
        <f t="shared" si="11"/>
        <v>February</v>
      </c>
      <c r="D65" s="113">
        <f>D27</f>
        <v>11</v>
      </c>
      <c r="E65" s="113" t="str">
        <f t="shared" si="11"/>
        <v>October</v>
      </c>
      <c r="F65" s="113">
        <f t="shared" ref="F65:F76" si="12">F49</f>
        <v>5</v>
      </c>
      <c r="G65" s="122">
        <f t="shared" ref="G65:R76" si="13">IF(AND(G$30&gt;=$D65,G$30&lt;$F65,$D65&gt;$D$28),1,IF(AND($F65&lt;$D65,$D65&gt;$D$28,G$30&gt;=$D65),1,0))+IF(AND($F65&lt;$D65,G$30&lt;$F65,G$30&lt;$D$28),1,IF(AND($F65&gt;$D65,$D65&lt;=G$30,$D65&lt;$D$28,G$30&lt;$F65,G$30&lt;$D$28),1,0))</f>
        <v>1</v>
      </c>
      <c r="H65" s="122">
        <f t="shared" si="13"/>
        <v>1</v>
      </c>
      <c r="I65" s="122">
        <f t="shared" si="13"/>
        <v>0</v>
      </c>
      <c r="J65" s="122">
        <f t="shared" si="13"/>
        <v>0</v>
      </c>
      <c r="K65" s="122">
        <f t="shared" si="13"/>
        <v>0</v>
      </c>
      <c r="L65" s="122">
        <f t="shared" si="13"/>
        <v>0</v>
      </c>
      <c r="M65" s="122">
        <f t="shared" si="13"/>
        <v>0</v>
      </c>
      <c r="N65" s="122">
        <f t="shared" si="13"/>
        <v>0</v>
      </c>
      <c r="O65" s="122">
        <f t="shared" si="13"/>
        <v>0</v>
      </c>
      <c r="P65" s="122">
        <f t="shared" si="13"/>
        <v>0</v>
      </c>
      <c r="Q65" s="122">
        <f t="shared" si="13"/>
        <v>1</v>
      </c>
      <c r="R65" s="122">
        <f t="shared" si="13"/>
        <v>1</v>
      </c>
      <c r="S65" s="126"/>
      <c r="T65" s="123" t="e">
        <f>IF(AND($F32&gt;$D$28,$F32&lt;#REF!),0,SUM(INDEX($D$13:$D$24,MATCH($F32,$C$13:$C$24,0),0):INDEX($D$13:$D$24,MATCH(IF($F32+6&gt;12,12,$D$28),$C$13:$C$24,0),0))+IF((12-$F32)&lt;6,SUM(INDEX($D$13:$D$24,MATCH(1,$C$13:$C$24,0),0):INDEX($D$13:$D$24,MATCH(5-(12-$F32),$C$13:$C$24,0))),0))</f>
        <v>#REF!</v>
      </c>
      <c r="U65" s="124">
        <f>SUM(D22,D23,D24,D13,D14,D15)</f>
        <v>0.97499999999999987</v>
      </c>
      <c r="V65" s="126"/>
      <c r="W65" s="126"/>
      <c r="X65" s="126"/>
      <c r="Y65" s="126"/>
    </row>
    <row r="66" spans="2:30" ht="15" customHeight="1" x14ac:dyDescent="0.3">
      <c r="B66" s="113" t="str">
        <f t="shared" si="11"/>
        <v>February</v>
      </c>
      <c r="C66" s="113" t="str">
        <f t="shared" si="11"/>
        <v>February</v>
      </c>
      <c r="D66" s="113">
        <f t="shared" si="11"/>
        <v>8</v>
      </c>
      <c r="E66" s="113" t="str">
        <f t="shared" si="11"/>
        <v>November</v>
      </c>
      <c r="F66" s="113">
        <f t="shared" si="12"/>
        <v>6</v>
      </c>
      <c r="G66" s="122">
        <f t="shared" si="13"/>
        <v>1</v>
      </c>
      <c r="H66" s="122">
        <f t="shared" si="13"/>
        <v>1</v>
      </c>
      <c r="I66" s="122">
        <f t="shared" si="13"/>
        <v>0</v>
      </c>
      <c r="J66" s="122">
        <f t="shared" si="13"/>
        <v>0</v>
      </c>
      <c r="K66" s="122">
        <f t="shared" si="13"/>
        <v>0</v>
      </c>
      <c r="L66" s="122">
        <f t="shared" si="13"/>
        <v>0</v>
      </c>
      <c r="M66" s="122">
        <f t="shared" si="13"/>
        <v>0</v>
      </c>
      <c r="N66" s="122">
        <f t="shared" si="13"/>
        <v>1</v>
      </c>
      <c r="O66" s="122">
        <f t="shared" si="13"/>
        <v>1</v>
      </c>
      <c r="P66" s="122">
        <f t="shared" si="13"/>
        <v>1</v>
      </c>
      <c r="Q66" s="122">
        <f t="shared" si="13"/>
        <v>1</v>
      </c>
      <c r="R66" s="122">
        <f t="shared" si="13"/>
        <v>1</v>
      </c>
      <c r="S66" s="126"/>
      <c r="T66" s="123" t="e">
        <f>IF(AND($F33&gt;$D$28,$F33&lt;#REF!),0,SUM(INDEX($D$13:$D$24,MATCH($F33,$C$13:$C$24,0),0):INDEX($D$13:$D$24,MATCH(IF($F33+6&gt;12,12,$D$28),$C$13:$C$24,0),0))+IF((12-$F33)&lt;6,SUM(INDEX($D$13:$D$24,MATCH(1,$C$13:$C$24,0),0):INDEX($D$13:$D$24,MATCH(5-(12-$F33),$C$13:$C$24,0))),0))</f>
        <v>#REF!</v>
      </c>
      <c r="U66" s="124">
        <f>SUM(D23,D24,D13,D14,D15,D16)</f>
        <v>0.97499999999999998</v>
      </c>
      <c r="V66" s="126"/>
      <c r="W66" s="126"/>
      <c r="X66" s="126"/>
      <c r="Y66" s="126"/>
    </row>
    <row r="67" spans="2:30" ht="15" customHeight="1" x14ac:dyDescent="0.3">
      <c r="B67" s="113" t="str">
        <f t="shared" si="11"/>
        <v>March</v>
      </c>
      <c r="C67" s="113" t="str">
        <f t="shared" si="11"/>
        <v>February</v>
      </c>
      <c r="D67" s="113">
        <f t="shared" si="11"/>
        <v>8</v>
      </c>
      <c r="E67" s="113" t="str">
        <f t="shared" si="11"/>
        <v>December</v>
      </c>
      <c r="F67" s="113">
        <f t="shared" si="12"/>
        <v>7</v>
      </c>
      <c r="G67" s="122">
        <f t="shared" si="13"/>
        <v>1</v>
      </c>
      <c r="H67" s="122">
        <f t="shared" si="13"/>
        <v>1</v>
      </c>
      <c r="I67" s="122">
        <f t="shared" si="13"/>
        <v>0</v>
      </c>
      <c r="J67" s="122">
        <f t="shared" si="13"/>
        <v>0</v>
      </c>
      <c r="K67" s="122">
        <f t="shared" si="13"/>
        <v>0</v>
      </c>
      <c r="L67" s="122">
        <f t="shared" si="13"/>
        <v>0</v>
      </c>
      <c r="M67" s="122">
        <f t="shared" si="13"/>
        <v>0</v>
      </c>
      <c r="N67" s="122">
        <f t="shared" si="13"/>
        <v>1</v>
      </c>
      <c r="O67" s="122">
        <f t="shared" si="13"/>
        <v>1</v>
      </c>
      <c r="P67" s="122">
        <f t="shared" si="13"/>
        <v>1</v>
      </c>
      <c r="Q67" s="122">
        <f t="shared" si="13"/>
        <v>1</v>
      </c>
      <c r="R67" s="122">
        <f t="shared" si="13"/>
        <v>1</v>
      </c>
      <c r="S67" s="126"/>
      <c r="T67" s="123" t="e">
        <f>IF(AND($F34&gt;$D$28,$F34&lt;#REF!),0,SUM(INDEX($D$13:$D$24,MATCH($F34,$C$13:$C$24,0),0):INDEX($D$13:$D$24,MATCH(IF($F34+6&gt;12,12,$D$28),$C$13:$C$24,0),0))+IF((12-$F34)&lt;6,SUM(INDEX($D$13:$D$24,MATCH(1,$C$13:$C$24,0),0):INDEX($D$13:$D$24,MATCH(5-(12-$F34),$C$13:$C$24,0))),0))</f>
        <v>#REF!</v>
      </c>
      <c r="U67" s="124">
        <f>SUM(D24,D13,D14,D15,D16,D17)</f>
        <v>0.875</v>
      </c>
      <c r="V67" s="126"/>
      <c r="W67" s="126"/>
      <c r="X67" s="126"/>
      <c r="Y67" s="126"/>
    </row>
    <row r="68" spans="2:30" ht="15" customHeight="1" x14ac:dyDescent="0.3">
      <c r="B68" s="113" t="str">
        <f t="shared" si="11"/>
        <v>April</v>
      </c>
      <c r="C68" s="113" t="str">
        <f t="shared" si="11"/>
        <v>February</v>
      </c>
      <c r="D68" s="113">
        <f t="shared" si="11"/>
        <v>8</v>
      </c>
      <c r="E68" s="113" t="str">
        <f t="shared" si="11"/>
        <v>January</v>
      </c>
      <c r="F68" s="113">
        <f t="shared" si="12"/>
        <v>8</v>
      </c>
      <c r="G68" s="122">
        <f t="shared" si="13"/>
        <v>0</v>
      </c>
      <c r="H68" s="122">
        <f t="shared" si="13"/>
        <v>0</v>
      </c>
      <c r="I68" s="122">
        <f t="shared" si="13"/>
        <v>0</v>
      </c>
      <c r="J68" s="122">
        <f t="shared" si="13"/>
        <v>0</v>
      </c>
      <c r="K68" s="122">
        <f t="shared" si="13"/>
        <v>0</v>
      </c>
      <c r="L68" s="122">
        <f t="shared" si="13"/>
        <v>0</v>
      </c>
      <c r="M68" s="122">
        <f t="shared" si="13"/>
        <v>0</v>
      </c>
      <c r="N68" s="122">
        <f t="shared" si="13"/>
        <v>0</v>
      </c>
      <c r="O68" s="122">
        <f t="shared" si="13"/>
        <v>0</v>
      </c>
      <c r="P68" s="122">
        <f t="shared" si="13"/>
        <v>0</v>
      </c>
      <c r="Q68" s="122">
        <f t="shared" si="13"/>
        <v>0</v>
      </c>
      <c r="R68" s="122">
        <f t="shared" si="13"/>
        <v>0</v>
      </c>
      <c r="S68" s="126"/>
      <c r="T68" s="123" t="e">
        <f>IF(AND($F35&gt;$D$28,$F35&lt;#REF!),0,SUM(INDEX($D$13:$D$24,MATCH($F35,$C$13:$C$24,0),0):INDEX($D$13:$D$24,MATCH(IF($F35+6&gt;12,12,$D$28),$C$13:$C$24,0),0))+IF((12-$F35)&lt;6,SUM(INDEX($D$13:$D$24,MATCH(1,$C$13:$C$24,0),0):INDEX($D$13:$D$24,MATCH(5-(12-$F35),$C$13:$C$24,0))),0))</f>
        <v>#REF!</v>
      </c>
      <c r="U68" s="124">
        <f>SUM(D13,D14,D15,D16,D17,D18)</f>
        <v>0.65</v>
      </c>
      <c r="V68" s="126"/>
      <c r="W68" s="126"/>
      <c r="X68" s="126"/>
      <c r="Y68" s="126"/>
    </row>
    <row r="69" spans="2:30" ht="15" customHeight="1" x14ac:dyDescent="0.3">
      <c r="B69" s="113" t="str">
        <f t="shared" si="11"/>
        <v>May</v>
      </c>
      <c r="C69" s="113" t="str">
        <f t="shared" si="11"/>
        <v>February</v>
      </c>
      <c r="D69" s="113">
        <f t="shared" si="11"/>
        <v>8</v>
      </c>
      <c r="E69" s="113" t="str">
        <f t="shared" si="11"/>
        <v>February</v>
      </c>
      <c r="F69" s="113">
        <f t="shared" si="12"/>
        <v>9</v>
      </c>
      <c r="G69" s="122">
        <f t="shared" si="13"/>
        <v>0</v>
      </c>
      <c r="H69" s="122">
        <f t="shared" si="13"/>
        <v>0</v>
      </c>
      <c r="I69" s="122">
        <f t="shared" si="13"/>
        <v>0</v>
      </c>
      <c r="J69" s="122">
        <f t="shared" si="13"/>
        <v>0</v>
      </c>
      <c r="K69" s="122">
        <f t="shared" si="13"/>
        <v>0</v>
      </c>
      <c r="L69" s="122">
        <f t="shared" si="13"/>
        <v>0</v>
      </c>
      <c r="M69" s="122">
        <f t="shared" si="13"/>
        <v>0</v>
      </c>
      <c r="N69" s="122">
        <f t="shared" si="13"/>
        <v>1</v>
      </c>
      <c r="O69" s="122">
        <f t="shared" si="13"/>
        <v>0</v>
      </c>
      <c r="P69" s="122">
        <f t="shared" si="13"/>
        <v>0</v>
      </c>
      <c r="Q69" s="122">
        <f t="shared" si="13"/>
        <v>0</v>
      </c>
      <c r="R69" s="122">
        <f t="shared" si="13"/>
        <v>0</v>
      </c>
      <c r="S69" s="126"/>
      <c r="T69" s="123" t="e">
        <f>IF(AND($F36&gt;$D$28,$F36&lt;#REF!),0,SUM(INDEX($D$13:$D$24,MATCH($F36,$C$13:$C$24,0),0):INDEX($D$13:$D$24,MATCH(IF($F36+6&gt;12,12,$D$28),$C$13:$C$24,0),0))+IF((12-$F36)&lt;6,SUM(INDEX($D$13:$D$24,MATCH(1,$C$13:$C$24,0),0):INDEX($D$13:$D$24,MATCH(5-(12-$F36),$C$13:$C$24,0))),0))</f>
        <v>#REF!</v>
      </c>
      <c r="U69" s="124">
        <f>SUM(D14,D15,D16,D17,D18,D19)</f>
        <v>0.35000000000000003</v>
      </c>
      <c r="V69" s="126"/>
      <c r="W69" s="126"/>
      <c r="X69" s="126"/>
      <c r="Y69" s="126"/>
    </row>
    <row r="70" spans="2:30" ht="15" customHeight="1" x14ac:dyDescent="0.3">
      <c r="B70" s="113" t="str">
        <f t="shared" si="11"/>
        <v>June</v>
      </c>
      <c r="C70" s="113" t="str">
        <f t="shared" si="11"/>
        <v>February</v>
      </c>
      <c r="D70" s="113">
        <f t="shared" si="11"/>
        <v>8</v>
      </c>
      <c r="E70" s="113" t="str">
        <f t="shared" si="11"/>
        <v>March</v>
      </c>
      <c r="F70" s="113">
        <f t="shared" si="12"/>
        <v>10</v>
      </c>
      <c r="G70" s="122">
        <f t="shared" si="13"/>
        <v>0</v>
      </c>
      <c r="H70" s="122">
        <f t="shared" si="13"/>
        <v>0</v>
      </c>
      <c r="I70" s="122">
        <f t="shared" si="13"/>
        <v>0</v>
      </c>
      <c r="J70" s="122">
        <f t="shared" si="13"/>
        <v>0</v>
      </c>
      <c r="K70" s="122">
        <f t="shared" si="13"/>
        <v>0</v>
      </c>
      <c r="L70" s="122">
        <f t="shared" si="13"/>
        <v>0</v>
      </c>
      <c r="M70" s="122">
        <f t="shared" si="13"/>
        <v>0</v>
      </c>
      <c r="N70" s="122">
        <f t="shared" si="13"/>
        <v>1</v>
      </c>
      <c r="O70" s="122">
        <f t="shared" si="13"/>
        <v>1</v>
      </c>
      <c r="P70" s="122">
        <f t="shared" si="13"/>
        <v>0</v>
      </c>
      <c r="Q70" s="122">
        <f t="shared" si="13"/>
        <v>0</v>
      </c>
      <c r="R70" s="122">
        <f t="shared" si="13"/>
        <v>0</v>
      </c>
      <c r="S70" s="126"/>
      <c r="T70" s="123" t="e">
        <f>IF(AND($F37&gt;$D$28,$F37&lt;#REF!),0,SUM(INDEX($D$13:$D$24,MATCH($F37,$C$13:$C$24,0),0):INDEX($D$13:$D$24,MATCH(IF($F37+6&gt;12,12,$D$28),$C$13:$C$24,0),0))+IF((12-$F37)&lt;6,SUM(INDEX($D$13:$D$24,MATCH(1,$C$13:$C$24,0),0):INDEX($D$13:$D$24,MATCH(5-(12-$F37),$C$13:$C$24,0))),0))</f>
        <v>#REF!</v>
      </c>
      <c r="U70" s="124">
        <f>SUM(D15,D16,D17,D18,D19,D20)</f>
        <v>0.125</v>
      </c>
      <c r="V70" s="126"/>
      <c r="W70" s="126"/>
      <c r="X70" s="126"/>
      <c r="Y70" s="126"/>
    </row>
    <row r="71" spans="2:30" ht="15" customHeight="1" x14ac:dyDescent="0.3">
      <c r="B71" s="113" t="str">
        <f t="shared" si="11"/>
        <v>July</v>
      </c>
      <c r="C71" s="113" t="str">
        <f t="shared" si="11"/>
        <v>February</v>
      </c>
      <c r="D71" s="113">
        <f t="shared" si="11"/>
        <v>8</v>
      </c>
      <c r="E71" s="113" t="str">
        <f t="shared" si="11"/>
        <v>April</v>
      </c>
      <c r="F71" s="113">
        <f t="shared" si="12"/>
        <v>11</v>
      </c>
      <c r="G71" s="122">
        <f t="shared" si="13"/>
        <v>0</v>
      </c>
      <c r="H71" s="122">
        <f t="shared" si="13"/>
        <v>0</v>
      </c>
      <c r="I71" s="122">
        <f t="shared" si="13"/>
        <v>0</v>
      </c>
      <c r="J71" s="122">
        <f t="shared" si="13"/>
        <v>0</v>
      </c>
      <c r="K71" s="122">
        <f t="shared" si="13"/>
        <v>0</v>
      </c>
      <c r="L71" s="122">
        <f t="shared" si="13"/>
        <v>0</v>
      </c>
      <c r="M71" s="122">
        <f t="shared" si="13"/>
        <v>0</v>
      </c>
      <c r="N71" s="122">
        <f t="shared" si="13"/>
        <v>1</v>
      </c>
      <c r="O71" s="122">
        <f t="shared" si="13"/>
        <v>1</v>
      </c>
      <c r="P71" s="122">
        <f t="shared" si="13"/>
        <v>1</v>
      </c>
      <c r="Q71" s="122">
        <f t="shared" si="13"/>
        <v>0</v>
      </c>
      <c r="R71" s="122">
        <f t="shared" si="13"/>
        <v>0</v>
      </c>
      <c r="S71" s="126"/>
      <c r="T71" s="123" t="e">
        <f>IF(AND($F38&gt;$D$28,$F38&lt;#REF!),0,SUM(INDEX($D$13:$D$24,MATCH($F38,$C$13:$C$24,0),0):INDEX($D$13:$D$24,MATCH(IF($F38+6&gt;12,12,$D$28),$C$13:$C$24,0),0))+IF((12-$F38)&lt;6,SUM(INDEX($D$13:$D$24,MATCH(1,$C$13:$C$24,0),0):INDEX($D$13:$D$24,MATCH(5-(12-$F38),$C$13:$C$24,0))),0))</f>
        <v>#REF!</v>
      </c>
      <c r="U71" s="124">
        <f>SUM(D16,D17,D18,D19,D20,D21)</f>
        <v>2.5000000000000001E-2</v>
      </c>
      <c r="V71" s="126"/>
      <c r="W71" s="126"/>
      <c r="X71" s="126"/>
      <c r="Y71" s="126"/>
    </row>
    <row r="72" spans="2:30" ht="15" customHeight="1" x14ac:dyDescent="0.3">
      <c r="B72" s="113" t="str">
        <f t="shared" si="11"/>
        <v>August</v>
      </c>
      <c r="C72" s="113" t="str">
        <f t="shared" si="11"/>
        <v>February</v>
      </c>
      <c r="D72" s="113">
        <f t="shared" si="11"/>
        <v>8</v>
      </c>
      <c r="E72" s="113" t="str">
        <f t="shared" si="11"/>
        <v>May</v>
      </c>
      <c r="F72" s="113">
        <f t="shared" si="12"/>
        <v>12</v>
      </c>
      <c r="G72" s="122">
        <f t="shared" si="13"/>
        <v>0</v>
      </c>
      <c r="H72" s="122">
        <f t="shared" si="13"/>
        <v>0</v>
      </c>
      <c r="I72" s="122">
        <f t="shared" si="13"/>
        <v>0</v>
      </c>
      <c r="J72" s="122">
        <f t="shared" si="13"/>
        <v>0</v>
      </c>
      <c r="K72" s="122">
        <f t="shared" si="13"/>
        <v>0</v>
      </c>
      <c r="L72" s="122">
        <f t="shared" si="13"/>
        <v>0</v>
      </c>
      <c r="M72" s="122">
        <f t="shared" si="13"/>
        <v>0</v>
      </c>
      <c r="N72" s="122">
        <f t="shared" si="13"/>
        <v>1</v>
      </c>
      <c r="O72" s="122">
        <f t="shared" si="13"/>
        <v>1</v>
      </c>
      <c r="P72" s="122">
        <f t="shared" si="13"/>
        <v>1</v>
      </c>
      <c r="Q72" s="122">
        <f t="shared" si="13"/>
        <v>1</v>
      </c>
      <c r="R72" s="122">
        <f t="shared" si="13"/>
        <v>0</v>
      </c>
      <c r="S72" s="126"/>
      <c r="T72" s="123" t="e">
        <f>IF(AND($F39&gt;$D$28,$F39&lt;#REF!),0,SUM(INDEX($D$13:$D$24,MATCH($F39,$C$13:$C$24,0),0):INDEX($D$13:$D$24,MATCH(IF($F39+6&gt;12,12,$D$28),$C$13:$C$24,0),0))+IF((12-$F39)&lt;6,SUM(INDEX($D$13:$D$24,MATCH(1,$C$13:$C$24,0),0):INDEX($D$13:$D$24,MATCH(5-(12-$F39),$C$13:$C$24,0))),0))</f>
        <v>#REF!</v>
      </c>
      <c r="U72" s="124">
        <v>0</v>
      </c>
      <c r="V72" s="126"/>
      <c r="W72" s="126"/>
      <c r="X72" s="126"/>
      <c r="Y72" s="126"/>
    </row>
    <row r="73" spans="2:30" ht="15" customHeight="1" x14ac:dyDescent="0.3">
      <c r="B73" s="113" t="str">
        <f t="shared" si="11"/>
        <v>September</v>
      </c>
      <c r="C73" s="113" t="str">
        <f t="shared" si="11"/>
        <v>February</v>
      </c>
      <c r="D73" s="113">
        <f t="shared" si="11"/>
        <v>8</v>
      </c>
      <c r="E73" s="113" t="str">
        <f t="shared" si="11"/>
        <v>June</v>
      </c>
      <c r="F73" s="113">
        <f t="shared" si="12"/>
        <v>1</v>
      </c>
      <c r="G73" s="122">
        <f t="shared" si="13"/>
        <v>0</v>
      </c>
      <c r="H73" s="122">
        <f t="shared" si="13"/>
        <v>0</v>
      </c>
      <c r="I73" s="122">
        <f t="shared" si="13"/>
        <v>0</v>
      </c>
      <c r="J73" s="122">
        <f t="shared" si="13"/>
        <v>0</v>
      </c>
      <c r="K73" s="122">
        <f t="shared" si="13"/>
        <v>0</v>
      </c>
      <c r="L73" s="122">
        <f t="shared" si="13"/>
        <v>0</v>
      </c>
      <c r="M73" s="122">
        <f t="shared" si="13"/>
        <v>0</v>
      </c>
      <c r="N73" s="122">
        <f t="shared" si="13"/>
        <v>1</v>
      </c>
      <c r="O73" s="122">
        <f t="shared" si="13"/>
        <v>1</v>
      </c>
      <c r="P73" s="122">
        <f t="shared" si="13"/>
        <v>1</v>
      </c>
      <c r="Q73" s="122">
        <f t="shared" si="13"/>
        <v>1</v>
      </c>
      <c r="R73" s="122">
        <f t="shared" si="13"/>
        <v>1</v>
      </c>
      <c r="S73" s="126"/>
      <c r="T73" s="123" t="e">
        <f>IF(AND($F40&gt;$D$28,$F40&lt;#REF!),0,SUM(INDEX($D$13:$D$24,MATCH($F40,$C$13:$C$24,0),0):INDEX($D$13:$D$24,MATCH(IF($F40+6&gt;12,12,$D$28),$C$13:$C$24,0),0))+IF((12-$F40)&lt;6,SUM(INDEX($D$13:$D$24,MATCH(1,$C$13:$C$24,0),0):INDEX($D$13:$D$24,MATCH(5-(12-$F40),$C$13:$C$24,0))),0))</f>
        <v>#REF!</v>
      </c>
      <c r="U73" s="124">
        <v>0</v>
      </c>
      <c r="V73" s="126"/>
      <c r="W73" s="126"/>
      <c r="X73" s="126"/>
      <c r="Y73" s="126"/>
    </row>
    <row r="74" spans="2:30" ht="15" customHeight="1" x14ac:dyDescent="0.3">
      <c r="B74" s="113" t="str">
        <f t="shared" si="11"/>
        <v>October</v>
      </c>
      <c r="C74" s="113" t="str">
        <f t="shared" si="11"/>
        <v>February</v>
      </c>
      <c r="D74" s="113">
        <f t="shared" si="11"/>
        <v>8</v>
      </c>
      <c r="E74" s="113" t="str">
        <f t="shared" si="11"/>
        <v>July</v>
      </c>
      <c r="F74" s="113">
        <f t="shared" si="12"/>
        <v>2</v>
      </c>
      <c r="G74" s="122">
        <f t="shared" si="13"/>
        <v>1</v>
      </c>
      <c r="H74" s="122">
        <f t="shared" si="13"/>
        <v>0</v>
      </c>
      <c r="I74" s="122">
        <f t="shared" si="13"/>
        <v>0</v>
      </c>
      <c r="J74" s="122">
        <f t="shared" si="13"/>
        <v>0</v>
      </c>
      <c r="K74" s="122">
        <f t="shared" si="13"/>
        <v>0</v>
      </c>
      <c r="L74" s="122">
        <f t="shared" si="13"/>
        <v>0</v>
      </c>
      <c r="M74" s="122">
        <f t="shared" si="13"/>
        <v>0</v>
      </c>
      <c r="N74" s="122">
        <f t="shared" si="13"/>
        <v>1</v>
      </c>
      <c r="O74" s="122">
        <f t="shared" si="13"/>
        <v>1</v>
      </c>
      <c r="P74" s="122">
        <f t="shared" si="13"/>
        <v>1</v>
      </c>
      <c r="Q74" s="122">
        <f t="shared" si="13"/>
        <v>1</v>
      </c>
      <c r="R74" s="122">
        <f t="shared" si="13"/>
        <v>1</v>
      </c>
      <c r="S74" s="126"/>
      <c r="T74" s="123" t="e">
        <f>IF(AND($F41&gt;$D$28,$F41&lt;#REF!),0,SUM(INDEX($D$13:$D$24,MATCH($F41,$C$13:$C$24,0),0):INDEX($D$13:$D$24,MATCH(IF($F41+6&gt;12,12,$D$28),$C$13:$C$24,0),0))+IF((12-$F41)&lt;6,SUM(INDEX($D$13:$D$24,MATCH(1,$C$13:$C$24,0),0):INDEX($D$13:$D$24,MATCH(5-(12-$F41),$C$13:$C$24,0))),0))</f>
        <v>#REF!</v>
      </c>
      <c r="U74" s="124">
        <v>0</v>
      </c>
      <c r="V74" s="126"/>
      <c r="W74" s="126"/>
      <c r="X74" s="126"/>
      <c r="Y74" s="126"/>
    </row>
    <row r="75" spans="2:30" ht="15" customHeight="1" x14ac:dyDescent="0.3">
      <c r="B75" s="113" t="str">
        <f t="shared" si="11"/>
        <v>November</v>
      </c>
      <c r="C75" s="113" t="str">
        <f t="shared" si="11"/>
        <v>February</v>
      </c>
      <c r="D75" s="113">
        <f t="shared" si="11"/>
        <v>8</v>
      </c>
      <c r="E75" s="113" t="str">
        <f t="shared" si="11"/>
        <v>August</v>
      </c>
      <c r="F75" s="113">
        <f t="shared" si="12"/>
        <v>3</v>
      </c>
      <c r="G75" s="122">
        <f t="shared" si="13"/>
        <v>1</v>
      </c>
      <c r="H75" s="122">
        <f t="shared" si="13"/>
        <v>1</v>
      </c>
      <c r="I75" s="122">
        <f t="shared" si="13"/>
        <v>0</v>
      </c>
      <c r="J75" s="122">
        <f t="shared" si="13"/>
        <v>0</v>
      </c>
      <c r="K75" s="122">
        <f t="shared" si="13"/>
        <v>0</v>
      </c>
      <c r="L75" s="122">
        <f t="shared" si="13"/>
        <v>0</v>
      </c>
      <c r="M75" s="122">
        <f t="shared" si="13"/>
        <v>0</v>
      </c>
      <c r="N75" s="122">
        <f t="shared" si="13"/>
        <v>1</v>
      </c>
      <c r="O75" s="122">
        <f t="shared" si="13"/>
        <v>1</v>
      </c>
      <c r="P75" s="122">
        <f t="shared" si="13"/>
        <v>1</v>
      </c>
      <c r="Q75" s="122">
        <f t="shared" si="13"/>
        <v>1</v>
      </c>
      <c r="R75" s="122">
        <f t="shared" si="13"/>
        <v>1</v>
      </c>
      <c r="S75" s="126"/>
      <c r="T75" s="123" t="e">
        <f>IF(AND($F42&gt;$D$28,$F42&lt;#REF!),0,SUM(INDEX($D$13:$D$24,MATCH($F42,$C$13:$C$24,0),0):INDEX($D$13:$D$24,MATCH(IF($F42+6&gt;12,12,$D$28),$C$13:$C$24,0),0))+IF((12-$F42)&lt;6,SUM(INDEX($D$13:$D$24,MATCH(1,$C$13:$C$24,0),0):INDEX($D$13:$D$24,MATCH(5-(12-$F42),$C$13:$C$24,0))),0))</f>
        <v>#REF!</v>
      </c>
      <c r="U75" s="124">
        <v>0</v>
      </c>
      <c r="V75" s="126"/>
      <c r="W75" s="126"/>
      <c r="X75" s="126"/>
      <c r="Y75" s="126"/>
    </row>
    <row r="76" spans="2:30" ht="15" customHeight="1" x14ac:dyDescent="0.3">
      <c r="B76" s="113" t="str">
        <f t="shared" si="11"/>
        <v>December</v>
      </c>
      <c r="C76" s="113" t="str">
        <f t="shared" si="11"/>
        <v>February</v>
      </c>
      <c r="D76" s="113">
        <f t="shared" si="11"/>
        <v>8</v>
      </c>
      <c r="E76" s="113" t="str">
        <f t="shared" si="11"/>
        <v>September</v>
      </c>
      <c r="F76" s="113">
        <f t="shared" si="12"/>
        <v>0</v>
      </c>
      <c r="G76" s="122">
        <f>IF(AND(G$30&gt;=$D76,G$30&lt;$F76,$D76&gt;$D$28),1,IF(AND($F76&lt;$D76,$D76&gt;$D$28,G$30&gt;=$D76),1,0))+IF(AND($F76&lt;$D76,G$30&lt;$F76,G$30&lt;$D$28),1,IF(AND($F76&gt;$D76,$D76&lt;=G$30,$D76&lt;$D$28,G$30&lt;$F76,G$30&lt;$D$28),1,0))</f>
        <v>0</v>
      </c>
      <c r="H76" s="122">
        <f>IF(AND(H$30&gt;=$D76,H$30&lt;$F76,$D76&gt;$D$28),1,IF(AND($F76&lt;$D76,$D76&gt;$D$28,H$30&gt;=$D76),1,0))+IF(AND($F76&lt;$D76,H$30&lt;$F76,H$30&lt;$D$28),1,IF(AND($F76&gt;$D76,$D76&lt;=H$30,$D76&lt;$D$28,H$30&lt;$F76,H$30&lt;$D$28),1,0))</f>
        <v>0</v>
      </c>
      <c r="I76" s="122">
        <f t="shared" si="13"/>
        <v>0</v>
      </c>
      <c r="J76" s="122">
        <f t="shared" si="13"/>
        <v>0</v>
      </c>
      <c r="K76" s="122">
        <f t="shared" si="13"/>
        <v>0</v>
      </c>
      <c r="L76" s="122">
        <f t="shared" si="13"/>
        <v>0</v>
      </c>
      <c r="M76" s="122">
        <f t="shared" si="13"/>
        <v>0</v>
      </c>
      <c r="N76" s="122">
        <f t="shared" si="13"/>
        <v>1</v>
      </c>
      <c r="O76" s="122">
        <f t="shared" si="13"/>
        <v>1</v>
      </c>
      <c r="P76" s="122">
        <f t="shared" si="13"/>
        <v>1</v>
      </c>
      <c r="Q76" s="122">
        <f t="shared" si="13"/>
        <v>1</v>
      </c>
      <c r="R76" s="122">
        <f t="shared" si="13"/>
        <v>1</v>
      </c>
      <c r="S76" s="126"/>
      <c r="T76" s="123" t="e">
        <f>IF(AND($F43&gt;$D$28,$F43&lt;#REF!),0,SUM(INDEX($D$13:$D$24,MATCH($F43,$C$13:$C$24,0),0):INDEX($D$13:$D$24,MATCH(IF($F43+6&gt;12,12,$D$28),$C$13:$C$24,0),0))+IF((12-$F43)&lt;6,SUM(INDEX($D$13:$D$24,MATCH(1,$C$13:$C$24,0),0):INDEX($D$13:$D$24,MATCH(5-(12-$F43),$C$13:$C$24,0))),0))</f>
        <v>#REF!</v>
      </c>
      <c r="U76" s="124">
        <v>0</v>
      </c>
      <c r="V76" s="126"/>
      <c r="W76" s="126"/>
      <c r="X76" s="126"/>
      <c r="Y76" s="126"/>
    </row>
    <row r="77" spans="2:30" ht="15" customHeight="1" x14ac:dyDescent="0.3">
      <c r="B77" s="113">
        <f>B61</f>
        <v>0</v>
      </c>
      <c r="C77" s="113"/>
      <c r="D77" s="113"/>
      <c r="E77" s="113"/>
      <c r="F77" s="113"/>
      <c r="G77" s="125"/>
      <c r="H77" s="125"/>
      <c r="I77" s="125"/>
      <c r="J77" s="125"/>
      <c r="K77" s="125"/>
      <c r="L77" s="125"/>
      <c r="M77" s="125"/>
      <c r="N77" s="125"/>
      <c r="O77" s="125"/>
      <c r="P77" s="125"/>
      <c r="Q77" s="125"/>
      <c r="R77" s="125"/>
      <c r="S77" s="126"/>
      <c r="T77" s="126" t="e">
        <f>AVERAGE(T65:T76)</f>
        <v>#REF!</v>
      </c>
      <c r="U77" s="126">
        <f>AVERAGE(U65:U76)</f>
        <v>0.33124999999999999</v>
      </c>
      <c r="V77" s="126"/>
      <c r="W77" s="126"/>
      <c r="X77" s="126"/>
      <c r="Y77" s="126"/>
    </row>
    <row r="78" spans="2:30" ht="15" customHeight="1" x14ac:dyDescent="0.3">
      <c r="B78" s="113"/>
      <c r="C78" s="113"/>
      <c r="D78" s="115"/>
      <c r="E78" s="113"/>
      <c r="F78" s="125"/>
      <c r="G78" s="125"/>
      <c r="H78" s="125"/>
      <c r="I78" s="125"/>
      <c r="J78" s="125"/>
      <c r="K78" s="125"/>
      <c r="L78" s="125"/>
      <c r="M78" s="125"/>
      <c r="N78" s="125"/>
      <c r="O78" s="125"/>
      <c r="P78" s="125"/>
      <c r="Q78" s="125"/>
      <c r="R78" s="125"/>
      <c r="S78" s="126"/>
      <c r="T78" s="126"/>
      <c r="U78" s="126"/>
      <c r="V78" s="126"/>
      <c r="W78" s="126"/>
      <c r="X78" s="126"/>
      <c r="Y78" s="126"/>
    </row>
    <row r="79" spans="2:30" ht="15" customHeight="1" x14ac:dyDescent="0.3">
      <c r="B79" s="113"/>
      <c r="C79" s="113"/>
      <c r="D79" s="113"/>
      <c r="E79" s="113"/>
      <c r="F79" s="113"/>
      <c r="G79" s="113"/>
      <c r="H79" s="113"/>
      <c r="I79" s="113"/>
      <c r="J79" s="113"/>
      <c r="K79" s="113"/>
      <c r="L79" s="113"/>
      <c r="M79" s="113"/>
      <c r="N79" s="113"/>
      <c r="O79" s="113"/>
      <c r="P79" s="113"/>
      <c r="Q79" s="113"/>
      <c r="R79" s="113"/>
      <c r="S79" s="113"/>
      <c r="T79" s="113"/>
      <c r="U79" s="116"/>
      <c r="V79" s="116"/>
      <c r="W79" s="116"/>
      <c r="X79" s="116"/>
      <c r="Y79" s="116"/>
      <c r="AB79" s="113"/>
      <c r="AD79" s="114"/>
    </row>
    <row r="80" spans="2:30" ht="15" customHeight="1" x14ac:dyDescent="0.3">
      <c r="B80" s="117" t="s">
        <v>713</v>
      </c>
      <c r="C80" s="113"/>
      <c r="D80" s="113"/>
      <c r="E80" s="113"/>
      <c r="F80" s="113"/>
      <c r="G80" s="113"/>
      <c r="H80" s="113"/>
      <c r="I80" s="113"/>
      <c r="J80" s="113"/>
      <c r="K80" s="113"/>
      <c r="L80" s="113"/>
      <c r="M80" s="113"/>
      <c r="N80" s="113"/>
      <c r="O80" s="113"/>
      <c r="P80" s="113"/>
      <c r="Q80" s="113"/>
      <c r="R80" s="113"/>
      <c r="S80" s="113"/>
      <c r="T80" s="113"/>
      <c r="U80" s="116"/>
      <c r="V80" s="116"/>
      <c r="W80" s="116"/>
      <c r="X80" s="116"/>
      <c r="Y80" s="116"/>
      <c r="AB80" s="113"/>
      <c r="AD80" s="114"/>
    </row>
    <row r="81" spans="2:30" ht="15" customHeight="1" x14ac:dyDescent="0.3">
      <c r="B81" s="113" t="s">
        <v>693</v>
      </c>
      <c r="C81" s="113" t="s">
        <v>694</v>
      </c>
      <c r="D81" s="113"/>
      <c r="E81" s="113" t="s">
        <v>695</v>
      </c>
      <c r="F81" s="113"/>
      <c r="G81" s="113"/>
      <c r="H81" s="113"/>
      <c r="I81" s="113"/>
      <c r="J81" s="113"/>
      <c r="K81" s="113"/>
      <c r="L81" s="113"/>
      <c r="M81" s="113"/>
      <c r="N81" s="113"/>
      <c r="O81" s="113"/>
      <c r="P81" s="113"/>
      <c r="Q81" s="113"/>
      <c r="R81" s="113"/>
      <c r="S81" s="113"/>
      <c r="T81" s="113"/>
      <c r="AB81" s="113"/>
      <c r="AD81" s="114"/>
    </row>
    <row r="82" spans="2:30" ht="15" customHeight="1" x14ac:dyDescent="0.3">
      <c r="B82" s="113" t="s">
        <v>714</v>
      </c>
      <c r="C82" s="113" t="s">
        <v>925</v>
      </c>
      <c r="D82" s="113"/>
      <c r="E82" s="113" t="s">
        <v>926</v>
      </c>
      <c r="F82" s="113"/>
      <c r="G82" s="113"/>
      <c r="H82" s="113"/>
      <c r="I82" s="113"/>
      <c r="J82" s="113"/>
      <c r="K82" s="113"/>
      <c r="L82" s="113"/>
      <c r="M82" s="113"/>
      <c r="N82" s="113"/>
      <c r="O82" s="113"/>
      <c r="P82" s="113"/>
      <c r="Q82" s="113"/>
      <c r="R82" s="113"/>
      <c r="S82" s="113"/>
      <c r="T82" s="113">
        <v>66.7</v>
      </c>
      <c r="V82" s="11">
        <v>33.33</v>
      </c>
      <c r="X82" s="11">
        <v>33.33</v>
      </c>
      <c r="AB82" s="113"/>
      <c r="AD82" s="114"/>
    </row>
    <row r="83" spans="2:30" x14ac:dyDescent="0.3">
      <c r="AB83" s="113"/>
      <c r="AD83" s="114"/>
    </row>
    <row r="84" spans="2:30" x14ac:dyDescent="0.3">
      <c r="AB84" s="113"/>
      <c r="AD84" s="114"/>
    </row>
    <row r="85" spans="2:30" x14ac:dyDescent="0.3">
      <c r="AB85" s="113"/>
      <c r="AD85" s="114"/>
    </row>
    <row r="86" spans="2:30" x14ac:dyDescent="0.3">
      <c r="AB86" s="113"/>
      <c r="AD86" s="114"/>
    </row>
    <row r="87" spans="2:30" x14ac:dyDescent="0.3">
      <c r="AB87" s="113"/>
      <c r="AD87" s="114"/>
    </row>
    <row r="88" spans="2:30" x14ac:dyDescent="0.3">
      <c r="AB88" s="113"/>
      <c r="AD88" s="114"/>
    </row>
    <row r="89" spans="2:30" x14ac:dyDescent="0.3">
      <c r="AB89" s="113"/>
      <c r="AD89" s="114"/>
    </row>
    <row r="98" spans="21:25" x14ac:dyDescent="0.3">
      <c r="U98" s="113"/>
      <c r="V98" s="113"/>
      <c r="W98" s="113"/>
      <c r="X98" s="113"/>
      <c r="Y98" s="113"/>
    </row>
    <row r="99" spans="21:25" x14ac:dyDescent="0.3">
      <c r="U99" s="116"/>
      <c r="V99" s="116"/>
      <c r="W99" s="116"/>
      <c r="X99" s="116"/>
      <c r="Y99" s="116"/>
    </row>
  </sheetData>
  <dataValidations count="1">
    <dataValidation type="list" allowBlank="1" showInputMessage="1" showErrorMessage="1" sqref="C32:C43" xr:uid="{00000000-0002-0000-1800-000000000000}">
      <formula1>Month</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dimension ref="A2:E5"/>
  <sheetViews>
    <sheetView workbookViewId="0">
      <selection activeCell="E2" sqref="E2"/>
    </sheetView>
  </sheetViews>
  <sheetFormatPr defaultRowHeight="14.4" x14ac:dyDescent="0.3"/>
  <cols>
    <col min="1" max="1" width="17.44140625" bestFit="1" customWidth="1"/>
    <col min="2" max="2" width="25.6640625" bestFit="1" customWidth="1"/>
    <col min="4" max="4" width="16.44140625" bestFit="1" customWidth="1"/>
  </cols>
  <sheetData>
    <row r="2" spans="1:5" x14ac:dyDescent="0.3">
      <c r="A2" t="s">
        <v>1425</v>
      </c>
      <c r="B2" t="s">
        <v>1425</v>
      </c>
      <c r="C2" t="s">
        <v>1427</v>
      </c>
      <c r="D2" t="s">
        <v>1429</v>
      </c>
      <c r="E2" t="s">
        <v>1431</v>
      </c>
    </row>
    <row r="3" spans="1:5" x14ac:dyDescent="0.3">
      <c r="A3" t="s">
        <v>1428</v>
      </c>
      <c r="B3" t="s">
        <v>1428</v>
      </c>
      <c r="C3" t="s">
        <v>985</v>
      </c>
      <c r="D3" t="s">
        <v>1430</v>
      </c>
      <c r="E3" t="s">
        <v>1432</v>
      </c>
    </row>
    <row r="4" spans="1:5" x14ac:dyDescent="0.3">
      <c r="A4" t="s">
        <v>1423</v>
      </c>
      <c r="B4" t="s">
        <v>1426</v>
      </c>
      <c r="C4" t="s">
        <v>986</v>
      </c>
    </row>
    <row r="5" spans="1:5" x14ac:dyDescent="0.3">
      <c r="A5" t="s">
        <v>1424</v>
      </c>
      <c r="B5" t="s">
        <v>1424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B3:BD194"/>
  <sheetViews>
    <sheetView zoomScale="70" zoomScaleNormal="70" workbookViewId="0">
      <selection sqref="A1:AT59"/>
    </sheetView>
  </sheetViews>
  <sheetFormatPr defaultColWidth="9.109375" defaultRowHeight="14.4" x14ac:dyDescent="0.3"/>
  <cols>
    <col min="50" max="50" width="13" bestFit="1" customWidth="1"/>
    <col min="52" max="52" width="14.44140625" bestFit="1" customWidth="1"/>
  </cols>
  <sheetData>
    <row r="3" spans="48:56" x14ac:dyDescent="0.3">
      <c r="BD3" t="s">
        <v>591</v>
      </c>
    </row>
    <row r="4" spans="48:56" x14ac:dyDescent="0.3">
      <c r="BD4" t="s">
        <v>1116</v>
      </c>
    </row>
    <row r="5" spans="48:56" x14ac:dyDescent="0.3">
      <c r="AV5" t="s">
        <v>1105</v>
      </c>
    </row>
    <row r="6" spans="48:56" x14ac:dyDescent="0.3">
      <c r="AV6">
        <v>2014</v>
      </c>
      <c r="AW6">
        <v>2015</v>
      </c>
      <c r="AX6" s="373" t="s">
        <v>859</v>
      </c>
    </row>
    <row r="7" spans="48:56" x14ac:dyDescent="0.3">
      <c r="AV7">
        <v>18.756411973726301</v>
      </c>
      <c r="AW7">
        <v>18.744857198788601</v>
      </c>
      <c r="AX7" t="e">
        <f ca="1">OFFSET(#REF!,0,MATCH(MAX(AV7:AW7)+1,AV7:AW7,1)-1)</f>
        <v>#REF!</v>
      </c>
    </row>
    <row r="8" spans="48:56" x14ac:dyDescent="0.3">
      <c r="AV8">
        <v>43.342535475373701</v>
      </c>
      <c r="AW8">
        <v>44.176757939018003</v>
      </c>
      <c r="AX8" t="e">
        <f ca="1">OFFSET(#REF!,0,MATCH(MAX(AV8:AW8)+1,AV8:AW8,1)-1)</f>
        <v>#REF!</v>
      </c>
    </row>
    <row r="9" spans="48:56" x14ac:dyDescent="0.3">
      <c r="AV9">
        <v>30.9909335989535</v>
      </c>
      <c r="AW9">
        <v>28.8350188321701</v>
      </c>
      <c r="AX9" t="e">
        <f ca="1">OFFSET(#REF!,0,MATCH(MAX(AV9:AW9)+1,AV9:AW9,1)-1)</f>
        <v>#REF!</v>
      </c>
    </row>
    <row r="10" spans="48:56" x14ac:dyDescent="0.3">
      <c r="AV10">
        <v>70.292115058969301</v>
      </c>
      <c r="AW10">
        <v>66.816087570133703</v>
      </c>
      <c r="AX10" t="e">
        <f ca="1">OFFSET(#REF!,0,MATCH(MAX(AV10:AW10)+1,AV10:AW10,1)-1)</f>
        <v>#REF!</v>
      </c>
    </row>
    <row r="11" spans="48:56" x14ac:dyDescent="0.3">
      <c r="AV11">
        <v>1.6367586715307001</v>
      </c>
      <c r="AW11">
        <v>1.66094059738724</v>
      </c>
      <c r="AX11" t="e">
        <f ca="1">OFFSET(#REF!,0,MATCH(MAX(AV11:AW11)+1,AV11:AW11,1)-1)</f>
        <v>#REF!</v>
      </c>
    </row>
    <row r="12" spans="48:56" x14ac:dyDescent="0.3">
      <c r="AX12" t="e">
        <f ca="1">OFFSET(#REF!,0,MATCH(MAX(AV12:AW12)+1,AV12:AW12,1)-1)</f>
        <v>#REF!</v>
      </c>
    </row>
    <row r="13" spans="48:56" x14ac:dyDescent="0.3">
      <c r="AV13">
        <v>198.91812152253101</v>
      </c>
      <c r="AW13">
        <v>199.27540756372201</v>
      </c>
      <c r="AX13" t="e">
        <f ca="1">OFFSET(#REF!,0,MATCH(MAX(AV13:AW13)+1,AV13:AW13,1)-1)</f>
        <v>#REF!</v>
      </c>
    </row>
    <row r="14" spans="48:56" x14ac:dyDescent="0.3">
      <c r="AX14" t="e">
        <f ca="1">OFFSET(#REF!,0,MATCH(MAX(AV14:AW14)+1,AV14:AW14,1)-1)</f>
        <v>#REF!</v>
      </c>
    </row>
    <row r="15" spans="48:56" x14ac:dyDescent="0.3">
      <c r="AV15">
        <v>1.470092</v>
      </c>
      <c r="AW15">
        <v>1.487455</v>
      </c>
      <c r="AX15" t="e">
        <f ca="1">OFFSET(#REF!,0,MATCH(MAX(AV15:AW15)+1,AV15:AW15,1)-1)</f>
        <v>#REF!</v>
      </c>
    </row>
    <row r="16" spans="48:56" x14ac:dyDescent="0.3">
      <c r="AV16">
        <v>0.80810999999999999</v>
      </c>
      <c r="AW16">
        <v>0.819017</v>
      </c>
      <c r="AX16" t="e">
        <f ca="1">OFFSET(#REF!,0,MATCH(MAX(AV16:AW16)+1,AV16:AW16,1)-1)</f>
        <v>#REF!</v>
      </c>
    </row>
    <row r="17" spans="48:50" x14ac:dyDescent="0.3">
      <c r="AV17">
        <v>0.35174640796784601</v>
      </c>
      <c r="AW17">
        <v>0.31745034314913401</v>
      </c>
      <c r="AX17" t="e">
        <f ca="1">OFFSET(#REF!,0,MATCH(MAX(AV17:AW17)+1,AV17:AW17,1)-1)</f>
        <v>#REF!</v>
      </c>
    </row>
    <row r="18" spans="48:50" x14ac:dyDescent="0.3">
      <c r="AV18">
        <v>0.94233920123329795</v>
      </c>
      <c r="AW18">
        <v>0.96224004797214902</v>
      </c>
      <c r="AX18" t="e">
        <f ca="1">OFFSET(#REF!,0,MATCH(MAX(AV18:AW18)+1,AV18:AW18,1)-1)</f>
        <v>#REF!</v>
      </c>
    </row>
    <row r="19" spans="48:50" x14ac:dyDescent="0.3">
      <c r="AV19">
        <v>0.20464811705067401</v>
      </c>
      <c r="AW19">
        <v>0.187379932769698</v>
      </c>
      <c r="AX19" t="e">
        <f ca="1">OFFSET(#REF!,0,MATCH(MAX(AV19:AW19)+1,AV19:AW19,1)-1)</f>
        <v>#REF!</v>
      </c>
    </row>
    <row r="20" spans="48:50" x14ac:dyDescent="0.3">
      <c r="AV20">
        <v>26.9503793875041</v>
      </c>
      <c r="AW20">
        <v>28.250016854569299</v>
      </c>
      <c r="AX20" t="e">
        <f ca="1">OFFSET(#REF!,0,MATCH(MAX(AV20:AW20)+1,AV20:AW20,1)-1)</f>
        <v>#REF!</v>
      </c>
    </row>
    <row r="21" spans="48:50" x14ac:dyDescent="0.3">
      <c r="AV21">
        <v>1.90690341782015</v>
      </c>
      <c r="AW21">
        <v>1.91090335853959</v>
      </c>
      <c r="AX21" t="e">
        <f ca="1">OFFSET(#REF!,0,MATCH(MAX(AV21:AW21)+1,AV21:AW21,1)-1)</f>
        <v>#REF!</v>
      </c>
    </row>
    <row r="22" spans="48:50" x14ac:dyDescent="0.3">
      <c r="AV22">
        <v>4495.8357366672899</v>
      </c>
      <c r="AW22">
        <v>5176.5313104283996</v>
      </c>
      <c r="AX22" t="e">
        <f ca="1">OFFSET(#REF!,0,MATCH(MAX(AV22:AW22)+1,AV22:AW22,1)-1)</f>
        <v>#REF!</v>
      </c>
    </row>
    <row r="23" spans="48:50" x14ac:dyDescent="0.3">
      <c r="AV23">
        <v>0.82128500000000004</v>
      </c>
      <c r="AW23">
        <v>0.82462400000000002</v>
      </c>
      <c r="AX23" t="e">
        <f ca="1">OFFSET(#REF!,0,MATCH(MAX(AV23:AW23)+1,AV23:AW23,1)-1)</f>
        <v>#REF!</v>
      </c>
    </row>
    <row r="24" spans="48:50" x14ac:dyDescent="0.3">
      <c r="AV24">
        <v>1.15442990537811</v>
      </c>
      <c r="AW24">
        <v>1.1509282058633901</v>
      </c>
      <c r="AX24" t="e">
        <f ca="1">OFFSET(#REF!,0,MATCH(MAX(AV24:AW24)+1,AV24:AW24,1)-1)</f>
        <v>#REF!</v>
      </c>
    </row>
    <row r="25" spans="48:50" x14ac:dyDescent="0.3">
      <c r="AV25">
        <v>219.223417034286</v>
      </c>
      <c r="AW25">
        <v>218.39475969370901</v>
      </c>
      <c r="AX25" t="e">
        <f ca="1">OFFSET(#REF!,0,MATCH(MAX(AV25:AW25)+1,AV25:AW25,1)-1)</f>
        <v>#REF!</v>
      </c>
    </row>
    <row r="26" spans="48:50" x14ac:dyDescent="0.3">
      <c r="AV26">
        <v>19.9213406717077</v>
      </c>
      <c r="AW26">
        <v>20.114229691107301</v>
      </c>
      <c r="AX26" t="e">
        <f ca="1">OFFSET(#REF!,0,MATCH(MAX(AV26:AW26)+1,AV26:AW26,1)-1)</f>
        <v>#REF!</v>
      </c>
    </row>
    <row r="27" spans="48:50" x14ac:dyDescent="0.3">
      <c r="AV27">
        <v>3.2442548900548802</v>
      </c>
      <c r="AW27">
        <v>3.10844875459882</v>
      </c>
      <c r="AX27" t="e">
        <f ca="1">OFFSET(#REF!,0,MATCH(MAX(AV27:AW27)+1,AV27:AW27,1)-1)</f>
        <v>#REF!</v>
      </c>
    </row>
    <row r="28" spans="48:50" x14ac:dyDescent="0.3">
      <c r="AV28">
        <v>0.68594751058494396</v>
      </c>
      <c r="AW28">
        <v>0.70438427361891198</v>
      </c>
      <c r="AX28" t="e">
        <f ca="1">OFFSET(#REF!,0,MATCH(MAX(AV28:AW28)+1,AV28:AW28,1)-1)</f>
        <v>#REF!</v>
      </c>
    </row>
    <row r="29" spans="48:50" x14ac:dyDescent="0.3">
      <c r="AV29">
        <v>4.0132525018839598</v>
      </c>
      <c r="AW29">
        <v>4.07474207033827</v>
      </c>
      <c r="AX29" t="e">
        <f ca="1">OFFSET(#REF!,0,MATCH(MAX(AV29:AW29)+1,AV29:AW29,1)-1)</f>
        <v>#REF!</v>
      </c>
    </row>
    <row r="30" spans="48:50" x14ac:dyDescent="0.3">
      <c r="AV30">
        <v>1.7301411961278299</v>
      </c>
      <c r="AW30">
        <v>1.84949746095537</v>
      </c>
      <c r="AX30" t="e">
        <f ca="1">OFFSET(#REF!,0,MATCH(MAX(AV30:AW30)+1,AV30:AW30,1)-1)</f>
        <v>#REF!</v>
      </c>
    </row>
    <row r="31" spans="48:50" x14ac:dyDescent="0.3">
      <c r="AV31">
        <v>0.72673077054058699</v>
      </c>
      <c r="AW31">
        <v>0.71073650237982899</v>
      </c>
      <c r="AX31" t="e">
        <f ca="1">OFFSET(#REF!,0,MATCH(MAX(AV31:AW31)+1,AV31:AW31,1)-1)</f>
        <v>#REF!</v>
      </c>
    </row>
    <row r="32" spans="48:50" x14ac:dyDescent="0.3">
      <c r="AV32">
        <v>0.672629456279904</v>
      </c>
      <c r="AW32">
        <v>0.68713677135171003</v>
      </c>
      <c r="AX32" t="e">
        <f ca="1">OFFSET(#REF!,0,MATCH(MAX(AV32:AW32)+1,AV32:AW32,1)-1)</f>
        <v>#REF!</v>
      </c>
    </row>
    <row r="33" spans="48:50" x14ac:dyDescent="0.3">
      <c r="AV33">
        <v>216.903857356788</v>
      </c>
      <c r="AW33">
        <v>218.526340276496</v>
      </c>
      <c r="AX33" t="e">
        <f ca="1">OFFSET(#REF!,0,MATCH(MAX(AV33:AW33)+1,AV33:AW33,1)-1)</f>
        <v>#REF!</v>
      </c>
    </row>
    <row r="34" spans="48:50" x14ac:dyDescent="0.3">
      <c r="AV34">
        <v>572.484536697051</v>
      </c>
      <c r="AW34">
        <v>587.97884501726696</v>
      </c>
      <c r="AX34" t="e">
        <f ca="1">OFFSET(#REF!,0,MATCH(MAX(AV34:AW34)+1,AV34:AW34,1)-1)</f>
        <v>#REF!</v>
      </c>
    </row>
    <row r="35" spans="48:50" x14ac:dyDescent="0.3">
      <c r="AV35">
        <v>46.249477805464998</v>
      </c>
      <c r="AW35">
        <v>46.535769806239202</v>
      </c>
      <c r="AX35" t="e">
        <f ca="1">OFFSET(#REF!,0,MATCH(MAX(AV35:AW35)+1,AV35:AW35,1)-1)</f>
        <v>#REF!</v>
      </c>
    </row>
    <row r="36" spans="48:50" x14ac:dyDescent="0.3">
      <c r="AV36">
        <v>1349.6018971910401</v>
      </c>
      <c r="AW36">
        <v>1353.0918122622099</v>
      </c>
      <c r="AX36" t="e">
        <f ca="1">OFFSET(#REF!,0,MATCH(MAX(AV36:AW36)+1,AV36:AW36,1)-1)</f>
        <v>#REF!</v>
      </c>
    </row>
    <row r="37" spans="48:50" x14ac:dyDescent="0.3">
      <c r="AV37">
        <v>233.26248352720401</v>
      </c>
      <c r="AW37">
        <v>236.905554732289</v>
      </c>
      <c r="AX37" t="e">
        <f ca="1">OFFSET(#REF!,0,MATCH(MAX(AV37:AW37)+1,AV37:AW37,1)-1)</f>
        <v>#REF!</v>
      </c>
    </row>
    <row r="38" spans="48:50" x14ac:dyDescent="0.3">
      <c r="AV38">
        <v>1.2328790000000001</v>
      </c>
      <c r="AW38">
        <v>1.248453</v>
      </c>
      <c r="AX38" t="e">
        <f ca="1">OFFSET(#REF!,0,MATCH(MAX(AV38:AW38)+1,AV38:AW38,1)-1)</f>
        <v>#REF!</v>
      </c>
    </row>
    <row r="39" spans="48:50" x14ac:dyDescent="0.3">
      <c r="AV39">
        <v>304.31558864515102</v>
      </c>
      <c r="AW39">
        <v>303.73971421955702</v>
      </c>
      <c r="AX39" t="e">
        <f ca="1">OFFSET(#REF!,0,MATCH(MAX(AV39:AW39)+1,AV39:AW39,1)-1)</f>
        <v>#REF!</v>
      </c>
    </row>
    <row r="40" spans="48:50" x14ac:dyDescent="0.3">
      <c r="AV40">
        <v>232.19324617303801</v>
      </c>
      <c r="AX40" t="e">
        <f ca="1">OFFSET(#REF!,0,MATCH(MAX(AV40:AW40)+1,AV40:AW40,1)-1)</f>
        <v>#REF!</v>
      </c>
    </row>
    <row r="41" spans="48:50" x14ac:dyDescent="0.3">
      <c r="AV41">
        <v>375.43237199999999</v>
      </c>
      <c r="AW41">
        <v>392.30305099999998</v>
      </c>
      <c r="AX41" t="e">
        <f ca="1">OFFSET(#REF!,0,MATCH(MAX(AV41:AW41)+1,AV41:AW41,1)-1)</f>
        <v>#REF!</v>
      </c>
    </row>
    <row r="42" spans="48:50" x14ac:dyDescent="0.3">
      <c r="AV42">
        <v>3.5166360793357301</v>
      </c>
      <c r="AW42">
        <v>3.4659687179249201</v>
      </c>
      <c r="AX42" t="e">
        <f ca="1">OFFSET(#REF!,0,MATCH(MAX(AV42:AW42)+1,AV42:AW42,1)-1)</f>
        <v>#REF!</v>
      </c>
    </row>
    <row r="43" spans="48:50" x14ac:dyDescent="0.3">
      <c r="AV43">
        <v>1184.92169704101</v>
      </c>
      <c r="AW43">
        <v>1203.20936799321</v>
      </c>
      <c r="AX43" t="e">
        <f ca="1">OFFSET(#REF!,0,MATCH(MAX(AV43:AW43)+1,AV43:AW43,1)-1)</f>
        <v>#REF!</v>
      </c>
    </row>
    <row r="44" spans="48:50" x14ac:dyDescent="0.3">
      <c r="AV44">
        <v>209.400640948698</v>
      </c>
      <c r="AX44" t="e">
        <f ca="1">OFFSET(#REF!,0,MATCH(MAX(AV44:AW44)+1,AV44:AW44,1)-1)</f>
        <v>#REF!</v>
      </c>
    </row>
    <row r="45" spans="48:50" x14ac:dyDescent="0.3">
      <c r="AV45">
        <v>246.99005226385901</v>
      </c>
      <c r="AW45">
        <v>171.933167652017</v>
      </c>
      <c r="AX45" t="e">
        <f ca="1">OFFSET(#REF!,0,MATCH(MAX(AV45:AW45)+1,AV45:AW45,1)-1)</f>
        <v>#REF!</v>
      </c>
    </row>
    <row r="46" spans="48:50" x14ac:dyDescent="0.3">
      <c r="AV46">
        <v>374.472391832656</v>
      </c>
      <c r="AW46">
        <v>369.62002974604297</v>
      </c>
      <c r="AX46" t="e">
        <f ca="1">OFFSET(#REF!,0,MATCH(MAX(AV46:AW46)+1,AV46:AW46,1)-1)</f>
        <v>#REF!</v>
      </c>
    </row>
    <row r="47" spans="48:50" x14ac:dyDescent="0.3">
      <c r="AV47">
        <v>233.732392938565</v>
      </c>
      <c r="AW47">
        <v>236.641162561312</v>
      </c>
      <c r="AX47" t="e">
        <f ca="1">OFFSET(#REF!,0,MATCH(MAX(AV47:AW47)+1,AV47:AW47,1)-1)</f>
        <v>#REF!</v>
      </c>
    </row>
    <row r="48" spans="48:50" x14ac:dyDescent="0.3">
      <c r="AV48">
        <v>3.5816547485285302</v>
      </c>
      <c r="AW48">
        <v>3.61583307295437</v>
      </c>
      <c r="AX48" t="e">
        <f ca="1">OFFSET(#REF!,0,MATCH(MAX(AV48:AW48)+1,AV48:AW48,1)-1)</f>
        <v>#REF!</v>
      </c>
    </row>
    <row r="49" spans="2:50" x14ac:dyDescent="0.3">
      <c r="AX49" t="e">
        <f ca="1">OFFSET(#REF!,0,MATCH(MAX(AV49:AW49)+1,AV49:AW49,1)-1)</f>
        <v>#REF!</v>
      </c>
    </row>
    <row r="50" spans="2:50" x14ac:dyDescent="0.3">
      <c r="AX50" t="e">
        <f ca="1">OFFSET(#REF!,0,MATCH(MAX(AV50:AW50)+1,AV50:AW50,1)-1)</f>
        <v>#REF!</v>
      </c>
    </row>
    <row r="51" spans="2:50" x14ac:dyDescent="0.3">
      <c r="AV51">
        <v>0.67783375127428602</v>
      </c>
      <c r="AW51">
        <v>0.673539655080438</v>
      </c>
      <c r="AX51" t="e">
        <f ca="1">OFFSET(#REF!,0,MATCH(MAX(AV51:AW51)+1,AV51:AW51,1)-1)</f>
        <v>#REF!</v>
      </c>
    </row>
    <row r="52" spans="2:50" x14ac:dyDescent="0.3">
      <c r="AV52">
        <v>12.980921</v>
      </c>
      <c r="AW52">
        <v>13.177083</v>
      </c>
      <c r="AX52" t="e">
        <f ca="1">OFFSET(#REF!,0,MATCH(MAX(AV52:AW52)+1,AV52:AW52,1)-1)</f>
        <v>#REF!</v>
      </c>
    </row>
    <row r="53" spans="2:50" x14ac:dyDescent="0.3">
      <c r="AX53" t="e">
        <f ca="1">OFFSET(#REF!,0,MATCH(MAX(AV53:AW53)+1,AV53:AW53,1)-1)</f>
        <v>#REF!</v>
      </c>
    </row>
    <row r="54" spans="2:50" x14ac:dyDescent="0.3">
      <c r="AV54">
        <v>541.41337611705706</v>
      </c>
      <c r="AX54" t="e">
        <f ca="1">OFFSET(#REF!,0,MATCH(MAX(AV54:AW54)+1,AV54:AW54,1)-1)</f>
        <v>#REF!</v>
      </c>
    </row>
    <row r="55" spans="2:50" x14ac:dyDescent="0.3">
      <c r="AV55">
        <v>7.4836650000000002</v>
      </c>
      <c r="AW55">
        <v>7.5021719999999998</v>
      </c>
      <c r="AX55" t="e">
        <f ca="1">OFFSET(#REF!,0,MATCH(MAX(AV55:AW55)+1,AV55:AW55,1)-1)</f>
        <v>#REF!</v>
      </c>
    </row>
    <row r="56" spans="2:50" x14ac:dyDescent="0.3">
      <c r="AV56">
        <v>98.195752148187196</v>
      </c>
      <c r="AX56" t="e">
        <f ca="1">OFFSET(#REF!,0,MATCH(MAX(AV56:AW56)+1,AV56:AW56,1)-1)</f>
        <v>#REF!</v>
      </c>
    </row>
    <row r="57" spans="2:50" x14ac:dyDescent="0.3">
      <c r="AV57">
        <v>20.115593483326599</v>
      </c>
      <c r="AW57">
        <v>20.204403874256201</v>
      </c>
      <c r="AX57" t="e">
        <f ca="1">OFFSET(#REF!,0,MATCH(MAX(AV57:AW57)+1,AV57:AW57,1)-1)</f>
        <v>#REF!</v>
      </c>
    </row>
    <row r="58" spans="2:50" x14ac:dyDescent="0.3">
      <c r="AV58">
        <v>0.55600826341787601</v>
      </c>
      <c r="AW58">
        <v>0.54864987601114001</v>
      </c>
      <c r="AX58" t="e">
        <f ca="1">OFFSET(#REF!,0,MATCH(MAX(AV58:AW58)+1,AV58:AW58,1)-1)</f>
        <v>#REF!</v>
      </c>
    </row>
    <row r="59" spans="2:50" x14ac:dyDescent="0.3">
      <c r="AV59">
        <v>2.21958992969458</v>
      </c>
      <c r="AW59">
        <v>2.4379962287223602</v>
      </c>
      <c r="AX59" t="e">
        <f ca="1">OFFSET(#REF!,0,MATCH(MAX(AV59:AW59)+1,AV59:AW59,1)-1)</f>
        <v>#REF!</v>
      </c>
    </row>
    <row r="60" spans="2:50" x14ac:dyDescent="0.3">
      <c r="B60" s="31"/>
      <c r="C60" s="145"/>
      <c r="D60" s="146"/>
      <c r="E60" s="146"/>
      <c r="F60" s="11"/>
      <c r="AV60">
        <v>0.49195266707691099</v>
      </c>
      <c r="AW60">
        <v>0.49050426812282799</v>
      </c>
      <c r="AX60" t="e">
        <f ca="1">OFFSET(#REF!,0,MATCH(MAX(AV60:AW60)+1,AV60:AW60,1)-1)</f>
        <v>#REF!</v>
      </c>
    </row>
    <row r="61" spans="2:50" x14ac:dyDescent="0.3">
      <c r="B61" s="31"/>
      <c r="C61" s="145"/>
      <c r="D61" s="146"/>
      <c r="E61" s="146"/>
      <c r="F61" s="11"/>
      <c r="AV61">
        <v>268.23413533037598</v>
      </c>
      <c r="AW61">
        <v>218.95084373863901</v>
      </c>
      <c r="AX61" t="e">
        <f ca="1">OFFSET(#REF!,0,MATCH(MAX(AV61:AW61)+1,AV61:AW61,1)-1)</f>
        <v>#REF!</v>
      </c>
    </row>
    <row r="62" spans="2:50" x14ac:dyDescent="0.3">
      <c r="B62" s="31"/>
      <c r="C62" s="145"/>
      <c r="D62" s="146"/>
      <c r="E62" s="146"/>
      <c r="F62" s="11"/>
      <c r="AX62" t="e">
        <f ca="1">OFFSET(#REF!,0,MATCH(MAX(AV62:AW62)+1,AV62:AW62,1)-1)</f>
        <v>#REF!</v>
      </c>
    </row>
    <row r="63" spans="2:50" x14ac:dyDescent="0.3">
      <c r="B63" s="31"/>
      <c r="C63" s="145"/>
      <c r="D63" s="146"/>
      <c r="E63" s="146"/>
      <c r="F63" s="11"/>
      <c r="AV63">
        <v>0.53966000000000003</v>
      </c>
      <c r="AW63">
        <v>0.55509299999999995</v>
      </c>
      <c r="AX63" t="e">
        <f ca="1">OFFSET(#REF!,0,MATCH(MAX(AV63:AW63)+1,AV63:AW63,1)-1)</f>
        <v>#REF!</v>
      </c>
    </row>
    <row r="64" spans="2:50" x14ac:dyDescent="0.3">
      <c r="B64" s="31"/>
      <c r="C64" s="145"/>
      <c r="D64" s="146"/>
      <c r="E64" s="146"/>
      <c r="F64" s="11"/>
      <c r="AV64">
        <v>7.2685371350061603</v>
      </c>
      <c r="AW64">
        <v>7.6540873392582398</v>
      </c>
      <c r="AX64" t="e">
        <f ca="1">OFFSET(#REF!,0,MATCH(MAX(AV64:AW64)+1,AV64:AW64,1)-1)</f>
        <v>#REF!</v>
      </c>
    </row>
    <row r="65" spans="2:50" x14ac:dyDescent="0.3">
      <c r="B65" s="31"/>
      <c r="C65" s="145"/>
      <c r="D65" s="146"/>
      <c r="E65" s="146"/>
      <c r="F65" s="11"/>
      <c r="AV65">
        <v>1.0933740369492599</v>
      </c>
      <c r="AW65">
        <v>1.1171751840455999</v>
      </c>
      <c r="AX65" t="e">
        <f ca="1">OFFSET(#REF!,0,MATCH(MAX(AV65:AW65)+1,AV65:AW65,1)-1)</f>
        <v>#REF!</v>
      </c>
    </row>
    <row r="66" spans="2:50" x14ac:dyDescent="0.3">
      <c r="AV66">
        <v>0.923593</v>
      </c>
      <c r="AW66">
        <v>0.93101299999999998</v>
      </c>
      <c r="AX66" t="e">
        <f ca="1">OFFSET(#REF!,0,MATCH(MAX(AV66:AW66)+1,AV66:AW66,1)-1)</f>
        <v>#REF!</v>
      </c>
    </row>
    <row r="67" spans="2:50" x14ac:dyDescent="0.3">
      <c r="AV67">
        <v>0.81885200000000002</v>
      </c>
      <c r="AW67">
        <v>0.82375600000000004</v>
      </c>
      <c r="AX67" t="e">
        <f ca="1">OFFSET(#REF!,0,MATCH(MAX(AV67:AW67)+1,AV67:AW67,1)-1)</f>
        <v>#REF!</v>
      </c>
    </row>
    <row r="68" spans="2:50" x14ac:dyDescent="0.3">
      <c r="AV68">
        <v>273.105829653076</v>
      </c>
      <c r="AW68">
        <v>245.666381524233</v>
      </c>
      <c r="AX68" t="e">
        <f ca="1">OFFSET(#REF!,0,MATCH(MAX(AV68:AW68)+1,AV68:AW68,1)-1)</f>
        <v>#REF!</v>
      </c>
    </row>
    <row r="69" spans="2:50" x14ac:dyDescent="0.3">
      <c r="AV69">
        <v>11.253908004922801</v>
      </c>
      <c r="AX69" t="e">
        <f ca="1">OFFSET(#REF!,0,MATCH(MAX(AV69:AW69)+1,AV69:AW69,1)-1)</f>
        <v>#REF!</v>
      </c>
    </row>
    <row r="70" spans="2:50" x14ac:dyDescent="0.3">
      <c r="AV70">
        <v>0.84975688200196597</v>
      </c>
      <c r="AW70">
        <v>0.88997161492153298</v>
      </c>
      <c r="AX70" t="e">
        <f ca="1">OFFSET(#REF!,0,MATCH(MAX(AV70:AW70)+1,AV70:AW70,1)-1)</f>
        <v>#REF!</v>
      </c>
    </row>
    <row r="71" spans="2:50" x14ac:dyDescent="0.3">
      <c r="AV71">
        <v>0.77603900000000003</v>
      </c>
      <c r="AW71">
        <v>0.78630100000000003</v>
      </c>
      <c r="AX71" t="e">
        <f ca="1">OFFSET(#REF!,0,MATCH(MAX(AV71:AW71)+1,AV71:AW71,1)-1)</f>
        <v>#REF!</v>
      </c>
    </row>
    <row r="72" spans="2:50" x14ac:dyDescent="0.3">
      <c r="AV72">
        <v>1.0328963456940701</v>
      </c>
      <c r="AW72">
        <v>1.21539047911093</v>
      </c>
      <c r="AX72" t="e">
        <f ca="1">OFFSET(#REF!,0,MATCH(MAX(AV72:AW72)+1,AV72:AW72,1)-1)</f>
        <v>#REF!</v>
      </c>
    </row>
    <row r="73" spans="2:50" x14ac:dyDescent="0.3">
      <c r="AV73">
        <v>0.60837300000000005</v>
      </c>
      <c r="AW73">
        <v>0.60954299999999995</v>
      </c>
      <c r="AX73" t="e">
        <f ca="1">OFFSET(#REF!,0,MATCH(MAX(AV73:AW73)+1,AV73:AW73,1)-1)</f>
        <v>#REF!</v>
      </c>
    </row>
    <row r="74" spans="2:50" x14ac:dyDescent="0.3">
      <c r="AV74">
        <v>1.8563152015578701</v>
      </c>
      <c r="AW74">
        <v>1.90659222886825</v>
      </c>
      <c r="AX74" t="e">
        <f ca="1">OFFSET(#REF!,0,MATCH(MAX(AV74:AW74)+1,AV74:AW74,1)-1)</f>
        <v>#REF!</v>
      </c>
    </row>
    <row r="75" spans="2:50" x14ac:dyDescent="0.3">
      <c r="AV75">
        <v>3.7922007055458802</v>
      </c>
      <c r="AW75">
        <v>3.8771836942350002</v>
      </c>
      <c r="AX75" t="e">
        <f ca="1">OFFSET(#REF!,0,MATCH(MAX(AV75:AW75)+1,AV75:AW75,1)-1)</f>
        <v>#REF!</v>
      </c>
    </row>
    <row r="76" spans="2:50" x14ac:dyDescent="0.3">
      <c r="AV76">
        <v>3087.8625341659999</v>
      </c>
      <c r="AW76">
        <v>3296.4044057575302</v>
      </c>
      <c r="AX76" t="e">
        <f ca="1">OFFSET(#REF!,0,MATCH(MAX(AV76:AW76)+1,AV76:AW76,1)-1)</f>
        <v>#REF!</v>
      </c>
    </row>
    <row r="77" spans="2:50" x14ac:dyDescent="0.3">
      <c r="AV77">
        <v>216.595035646089</v>
      </c>
      <c r="AW77">
        <v>233.278418157907</v>
      </c>
      <c r="AX77" t="e">
        <f ca="1">OFFSET(#REF!,0,MATCH(MAX(AV77:AW77)+1,AV77:AW77,1)-1)</f>
        <v>#REF!</v>
      </c>
    </row>
    <row r="78" spans="2:50" x14ac:dyDescent="0.3">
      <c r="AV78">
        <v>114.780282620869</v>
      </c>
      <c r="AW78">
        <v>113.542159711572</v>
      </c>
      <c r="AX78" t="e">
        <f ca="1">OFFSET(#REF!,0,MATCH(MAX(AV78:AW78)+1,AV78:AW78,1)-1)</f>
        <v>#REF!</v>
      </c>
    </row>
    <row r="79" spans="2:50" x14ac:dyDescent="0.3">
      <c r="AV79">
        <v>21.303208444982399</v>
      </c>
      <c r="AW79">
        <v>22.8381182975081</v>
      </c>
      <c r="AX79" t="e">
        <f ca="1">OFFSET(#REF!,0,MATCH(MAX(AV79:AW79)+1,AV79:AW79,1)-1)</f>
        <v>#REF!</v>
      </c>
    </row>
    <row r="80" spans="2:50" x14ac:dyDescent="0.3">
      <c r="AV80">
        <v>10.4428464685184</v>
      </c>
      <c r="AW80">
        <v>10.846664814958199</v>
      </c>
      <c r="AX80" t="e">
        <f ca="1">OFFSET(#REF!,0,MATCH(MAX(AV80:AW80)+1,AV80:AW80,1)-1)</f>
        <v>#REF!</v>
      </c>
    </row>
    <row r="81" spans="48:50" x14ac:dyDescent="0.3">
      <c r="AV81">
        <v>130.14575199999999</v>
      </c>
      <c r="AW81">
        <v>133.861141</v>
      </c>
      <c r="AX81" t="e">
        <f ca="1">OFFSET(#REF!,0,MATCH(MAX(AV81:AW81)+1,AV81:AW81,1)-1)</f>
        <v>#REF!</v>
      </c>
    </row>
    <row r="82" spans="48:50" x14ac:dyDescent="0.3">
      <c r="AV82">
        <v>138.11631299999999</v>
      </c>
      <c r="AW82">
        <v>142.19617700000001</v>
      </c>
      <c r="AX82" t="e">
        <f ca="1">OFFSET(#REF!,0,MATCH(MAX(AV82:AW82)+1,AV82:AW82,1)-1)</f>
        <v>#REF!</v>
      </c>
    </row>
    <row r="83" spans="48:50" x14ac:dyDescent="0.3">
      <c r="AV83">
        <v>16.997371081770599</v>
      </c>
      <c r="AW83">
        <v>16.996110054476301</v>
      </c>
      <c r="AX83" t="e">
        <f ca="1">OFFSET(#REF!,0,MATCH(MAX(AV83:AW83)+1,AV83:AW83,1)-1)</f>
        <v>#REF!</v>
      </c>
    </row>
    <row r="84" spans="48:50" x14ac:dyDescent="0.3">
      <c r="AV84">
        <v>3934.67474997212</v>
      </c>
      <c r="AW84">
        <v>4060.4550404383399</v>
      </c>
      <c r="AX84" t="e">
        <f ca="1">OFFSET(#REF!,0,MATCH(MAX(AV84:AW84)+1,AV84:AW84,1)-1)</f>
        <v>#REF!</v>
      </c>
    </row>
    <row r="85" spans="48:50" x14ac:dyDescent="0.3">
      <c r="AV85">
        <v>8130.7742965686302</v>
      </c>
      <c r="AX85" t="e">
        <f ca="1">OFFSET(#REF!,0,MATCH(MAX(AV85:AW85)+1,AV85:AW85,1)-1)</f>
        <v>#REF!</v>
      </c>
    </row>
    <row r="86" spans="48:50" x14ac:dyDescent="0.3">
      <c r="AV86">
        <v>495.37330456272002</v>
      </c>
      <c r="AW86">
        <v>362.78911152768802</v>
      </c>
      <c r="AX86" t="e">
        <f ca="1">OFFSET(#REF!,0,MATCH(MAX(AV86:AW86)+1,AV86:AW86,1)-1)</f>
        <v>#REF!</v>
      </c>
    </row>
    <row r="87" spans="48:50" x14ac:dyDescent="0.3">
      <c r="AV87">
        <v>0.82920700000000003</v>
      </c>
      <c r="AW87">
        <v>0.84618899999999997</v>
      </c>
      <c r="AX87" t="e">
        <f ca="1">OFFSET(#REF!,0,MATCH(MAX(AV87:AW87)+1,AV87:AW87,1)-1)</f>
        <v>#REF!</v>
      </c>
    </row>
    <row r="88" spans="48:50" x14ac:dyDescent="0.3">
      <c r="AV88">
        <v>3.9497469999999999</v>
      </c>
      <c r="AW88">
        <v>3.8755999999999999</v>
      </c>
      <c r="AX88" t="e">
        <f ca="1">OFFSET(#REF!,0,MATCH(MAX(AV88:AW88)+1,AV88:AW88,1)-1)</f>
        <v>#REF!</v>
      </c>
    </row>
    <row r="89" spans="48:50" x14ac:dyDescent="0.3">
      <c r="AV89">
        <v>0.74862899999999999</v>
      </c>
      <c r="AW89">
        <v>0.74974200000000002</v>
      </c>
      <c r="AX89" t="e">
        <f ca="1">OFFSET(#REF!,0,MATCH(MAX(AV89:AW89)+1,AV89:AW89,1)-1)</f>
        <v>#REF!</v>
      </c>
    </row>
    <row r="90" spans="48:50" x14ac:dyDescent="0.3">
      <c r="AV90">
        <v>63.7358878826713</v>
      </c>
      <c r="AW90">
        <v>66.273181681436</v>
      </c>
      <c r="AX90" t="e">
        <f ca="1">OFFSET(#REF!,0,MATCH(MAX(AV90:AW90)+1,AV90:AW90,1)-1)</f>
        <v>#REF!</v>
      </c>
    </row>
    <row r="91" spans="48:50" x14ac:dyDescent="0.3">
      <c r="AV91">
        <v>104.71517</v>
      </c>
      <c r="AW91">
        <v>105.33237200000001</v>
      </c>
      <c r="AX91" t="e">
        <f ca="1">OFFSET(#REF!,0,MATCH(MAX(AV91:AW91)+1,AV91:AW91,1)-1)</f>
        <v>#REF!</v>
      </c>
    </row>
    <row r="92" spans="48:50" x14ac:dyDescent="0.3">
      <c r="AV92">
        <v>0.318332766379261</v>
      </c>
      <c r="AW92">
        <v>0.32236483114023001</v>
      </c>
      <c r="AX92" t="e">
        <f ca="1">OFFSET(#REF!,0,MATCH(MAX(AV92:AW92)+1,AV92:AW92,1)-1)</f>
        <v>#REF!</v>
      </c>
    </row>
    <row r="93" spans="48:50" x14ac:dyDescent="0.3">
      <c r="AV93">
        <v>91.759847322141695</v>
      </c>
      <c r="AW93">
        <v>90.043401880899395</v>
      </c>
      <c r="AX93" t="e">
        <f ca="1">OFFSET(#REF!,0,MATCH(MAX(AV93:AW93)+1,AV93:AW93,1)-1)</f>
        <v>#REF!</v>
      </c>
    </row>
    <row r="94" spans="48:50" x14ac:dyDescent="0.3">
      <c r="AV94">
        <v>40.578226524238097</v>
      </c>
      <c r="AW94">
        <v>43.848751103699897</v>
      </c>
      <c r="AX94" t="e">
        <f ca="1">OFFSET(#REF!,0,MATCH(MAX(AV94:AW94)+1,AV94:AW94,1)-1)</f>
        <v>#REF!</v>
      </c>
    </row>
    <row r="95" spans="48:50" x14ac:dyDescent="0.3">
      <c r="AV95">
        <v>0.92235312340910403</v>
      </c>
      <c r="AW95">
        <v>0.92520147113388096</v>
      </c>
      <c r="AX95" t="e">
        <f ca="1">OFFSET(#REF!,0,MATCH(MAX(AV95:AW95)+1,AV95:AW95,1)-1)</f>
        <v>#REF!</v>
      </c>
    </row>
    <row r="96" spans="48:50" x14ac:dyDescent="0.3">
      <c r="AV96">
        <v>0.16876904201506601</v>
      </c>
      <c r="AW96">
        <v>0.122300313900766</v>
      </c>
      <c r="AX96" t="e">
        <f ca="1">OFFSET(#REF!,0,MATCH(MAX(AV96:AW96)+1,AV96:AW96,1)-1)</f>
        <v>#REF!</v>
      </c>
    </row>
    <row r="97" spans="48:50" x14ac:dyDescent="0.3">
      <c r="AV97">
        <v>20.514359081061599</v>
      </c>
      <c r="AW97">
        <v>20.753700960234099</v>
      </c>
      <c r="AX97" t="e">
        <f ca="1">OFFSET(#REF!,0,MATCH(MAX(AV97:AW97)+1,AV97:AW97,1)-1)</f>
        <v>#REF!</v>
      </c>
    </row>
    <row r="98" spans="48:50" x14ac:dyDescent="0.3">
      <c r="AV98">
        <v>2639.7224204825802</v>
      </c>
      <c r="AW98">
        <v>2601.8301058152701</v>
      </c>
      <c r="AX98" t="e">
        <f ca="1">OFFSET(#REF!,0,MATCH(MAX(AV98:AW98)+1,AV98:AW98,1)-1)</f>
        <v>#REF!</v>
      </c>
    </row>
    <row r="99" spans="48:50" x14ac:dyDescent="0.3">
      <c r="AV99">
        <v>0.50225985757762903</v>
      </c>
      <c r="AW99">
        <v>0.50735411792499596</v>
      </c>
      <c r="AX99" t="e">
        <f ca="1">OFFSET(#REF!,0,MATCH(MAX(AV99:AW99)+1,AV99:AW99,1)-1)</f>
        <v>#REF!</v>
      </c>
    </row>
    <row r="100" spans="48:50" x14ac:dyDescent="0.3">
      <c r="AV100">
        <v>866.74406412767598</v>
      </c>
      <c r="AW100">
        <v>870.75289874952705</v>
      </c>
      <c r="AX100" t="e">
        <f ca="1">OFFSET(#REF!,0,MATCH(MAX(AV100:AW100)+1,AV100:AW100,1)-1)</f>
        <v>#REF!</v>
      </c>
    </row>
    <row r="101" spans="48:50" x14ac:dyDescent="0.3">
      <c r="AV101">
        <v>4.2386318468527602</v>
      </c>
      <c r="AX101" t="e">
        <f ca="1">OFFSET(#REF!,0,MATCH(MAX(AV101:AW101)+1,AV101:AW101,1)-1)</f>
        <v>#REF!</v>
      </c>
    </row>
    <row r="102" spans="48:50" x14ac:dyDescent="0.3">
      <c r="AV102">
        <v>0.54154697922588002</v>
      </c>
      <c r="AW102">
        <v>0.54520527242929095</v>
      </c>
      <c r="AX102" t="e">
        <f ca="1">OFFSET(#REF!,0,MATCH(MAX(AV102:AW102)+1,AV102:AW102,1)-1)</f>
        <v>#REF!</v>
      </c>
    </row>
    <row r="103" spans="48:50" x14ac:dyDescent="0.3">
      <c r="AV103">
        <v>0.53429950546094096</v>
      </c>
      <c r="AW103">
        <v>0.45598963175753598</v>
      </c>
      <c r="AX103" t="e">
        <f ca="1">OFFSET(#REF!,0,MATCH(MAX(AV103:AW103)+1,AV103:AW103,1)-1)</f>
        <v>#REF!</v>
      </c>
    </row>
    <row r="104" spans="48:50" x14ac:dyDescent="0.3">
      <c r="AV104">
        <v>0.44890355609462101</v>
      </c>
      <c r="AW104">
        <v>0.46084408507914298</v>
      </c>
      <c r="AX104" t="e">
        <f ca="1">OFFSET(#REF!,0,MATCH(MAX(AV104:AW104)+1,AV104:AW104,1)-1)</f>
        <v>#REF!</v>
      </c>
    </row>
    <row r="105" spans="48:50" x14ac:dyDescent="0.3">
      <c r="AV105">
        <v>0.89269900000000002</v>
      </c>
      <c r="AW105">
        <v>0.89748499999999998</v>
      </c>
      <c r="AX105" t="e">
        <f ca="1">OFFSET(#REF!,0,MATCH(MAX(AV105:AW105)+1,AV105:AW105,1)-1)</f>
        <v>#REF!</v>
      </c>
    </row>
    <row r="106" spans="48:50" x14ac:dyDescent="0.3">
      <c r="AV106">
        <v>782.28451501596703</v>
      </c>
      <c r="AW106">
        <v>827.85695263251398</v>
      </c>
      <c r="AX106" t="e">
        <f ca="1">OFFSET(#REF!,0,MATCH(MAX(AV106:AW106)+1,AV106:AW106,1)-1)</f>
        <v>#REF!</v>
      </c>
    </row>
    <row r="107" spans="48:50" x14ac:dyDescent="0.3">
      <c r="AV107">
        <v>131.24374260270801</v>
      </c>
      <c r="AW107">
        <v>157.099798094184</v>
      </c>
      <c r="AX107" t="e">
        <f ca="1">OFFSET(#REF!,0,MATCH(MAX(AV107:AW107)+1,AV107:AW107,1)-1)</f>
        <v>#REF!</v>
      </c>
    </row>
    <row r="108" spans="48:50" x14ac:dyDescent="0.3">
      <c r="AV108">
        <v>1.4381513850557099</v>
      </c>
      <c r="AW108">
        <v>1.41836048040514</v>
      </c>
      <c r="AX108" t="e">
        <f ca="1">OFFSET(#REF!,0,MATCH(MAX(AV108:AW108)+1,AV108:AW108,1)-1)</f>
        <v>#REF!</v>
      </c>
    </row>
    <row r="109" spans="48:50" x14ac:dyDescent="0.3">
      <c r="AV109">
        <v>9.3448880518910293</v>
      </c>
      <c r="AW109">
        <v>9.3403628237022094</v>
      </c>
      <c r="AX109" t="e">
        <f ca="1">OFFSET(#REF!,0,MATCH(MAX(AV109:AW109)+1,AV109:AW109,1)-1)</f>
        <v>#REF!</v>
      </c>
    </row>
    <row r="110" spans="48:50" x14ac:dyDescent="0.3">
      <c r="AV110">
        <v>180.919497911311</v>
      </c>
      <c r="AW110">
        <v>181.297595758082</v>
      </c>
      <c r="AX110" t="e">
        <f ca="1">OFFSET(#REF!,0,MATCH(MAX(AV110:AW110)+1,AV110:AW110,1)-1)</f>
        <v>#REF!</v>
      </c>
    </row>
    <row r="111" spans="48:50" x14ac:dyDescent="0.3">
      <c r="AV111">
        <v>0.59737180870458195</v>
      </c>
      <c r="AW111">
        <v>0.61114625168611303</v>
      </c>
      <c r="AX111" t="e">
        <f ca="1">OFFSET(#REF!,0,MATCH(MAX(AV111:AW111)+1,AV111:AW111,1)-1)</f>
        <v>#REF!</v>
      </c>
    </row>
    <row r="112" spans="48:50" x14ac:dyDescent="0.3">
      <c r="AX112" t="e">
        <f ca="1">OFFSET(#REF!,0,MATCH(MAX(AV112:AW112)+1,AV112:AW112,1)-1)</f>
        <v>#REF!</v>
      </c>
    </row>
    <row r="113" spans="48:50" x14ac:dyDescent="0.3">
      <c r="AV113">
        <v>106.439681456567</v>
      </c>
      <c r="AX113" t="e">
        <f ca="1">OFFSET(#REF!,0,MATCH(MAX(AV113:AW113)+1,AV113:AW113,1)-1)</f>
        <v>#REF!</v>
      </c>
    </row>
    <row r="114" spans="48:50" x14ac:dyDescent="0.3">
      <c r="AV114">
        <v>16.415298931332</v>
      </c>
      <c r="AW114">
        <v>16.406476978477901</v>
      </c>
      <c r="AX114" t="e">
        <f ca="1">OFFSET(#REF!,0,MATCH(MAX(AV114:AW114)+1,AV114:AW114,1)-1)</f>
        <v>#REF!</v>
      </c>
    </row>
    <row r="115" spans="48:50" x14ac:dyDescent="0.3">
      <c r="AV115">
        <v>7.9269930000000004</v>
      </c>
      <c r="AW115">
        <v>8.2644219999999997</v>
      </c>
      <c r="AX115" t="e">
        <f ca="1">OFFSET(#REF!,0,MATCH(MAX(AV115:AW115)+1,AV115:AW115,1)-1)</f>
        <v>#REF!</v>
      </c>
    </row>
    <row r="116" spans="48:50" x14ac:dyDescent="0.3">
      <c r="AV116">
        <v>0.91455960255625901</v>
      </c>
      <c r="AX116" t="e">
        <f ca="1">OFFSET(#REF!,0,MATCH(MAX(AV116:AW116)+1,AV116:AW116,1)-1)</f>
        <v>#REF!</v>
      </c>
    </row>
    <row r="117" spans="48:50" x14ac:dyDescent="0.3">
      <c r="AV117">
        <v>636.72281413454198</v>
      </c>
      <c r="AW117">
        <v>642.31401014176402</v>
      </c>
      <c r="AX117" t="e">
        <f ca="1">OFFSET(#REF!,0,MATCH(MAX(AV117:AW117)+1,AV117:AW117,1)-1)</f>
        <v>#REF!</v>
      </c>
    </row>
    <row r="118" spans="48:50" x14ac:dyDescent="0.3">
      <c r="AV118">
        <v>0.36938886367187801</v>
      </c>
      <c r="AW118">
        <v>0.373514506283389</v>
      </c>
      <c r="AX118" t="e">
        <f ca="1">OFFSET(#REF!,0,MATCH(MAX(AV118:AW118)+1,AV118:AW118,1)-1)</f>
        <v>#REF!</v>
      </c>
    </row>
    <row r="119" spans="48:50" x14ac:dyDescent="0.3">
      <c r="AV119">
        <v>3.5672382822909001</v>
      </c>
      <c r="AW119">
        <v>3.5848227534327699</v>
      </c>
      <c r="AX119" t="e">
        <f ca="1">OFFSET(#REF!,0,MATCH(MAX(AV119:AW119)+1,AV119:AW119,1)-1)</f>
        <v>#REF!</v>
      </c>
    </row>
    <row r="120" spans="48:50" x14ac:dyDescent="0.3">
      <c r="AV120">
        <v>17.188361883536999</v>
      </c>
      <c r="AW120">
        <v>17.701851169182799</v>
      </c>
      <c r="AX120" t="e">
        <f ca="1">OFFSET(#REF!,0,MATCH(MAX(AV120:AW120)+1,AV120:AW120,1)-1)</f>
        <v>#REF!</v>
      </c>
    </row>
    <row r="121" spans="48:50" x14ac:dyDescent="0.3">
      <c r="AX121" t="e">
        <f ca="1">OFFSET(#REF!,0,MATCH(MAX(AV121:AW121)+1,AV121:AW121,1)-1)</f>
        <v>#REF!</v>
      </c>
    </row>
    <row r="122" spans="48:50" x14ac:dyDescent="0.3">
      <c r="AV122">
        <v>5.8070833911158699</v>
      </c>
      <c r="AW122">
        <v>5.7531143970157501</v>
      </c>
      <c r="AX122" t="e">
        <f ca="1">OFFSET(#REF!,0,MATCH(MAX(AV122:AW122)+1,AV122:AW122,1)-1)</f>
        <v>#REF!</v>
      </c>
    </row>
    <row r="123" spans="48:50" x14ac:dyDescent="0.3">
      <c r="AV123">
        <v>28.9202211843876</v>
      </c>
      <c r="AW123">
        <v>30.3129678362615</v>
      </c>
      <c r="AX123" t="e">
        <f ca="1">OFFSET(#REF!,0,MATCH(MAX(AV123:AW123)+1,AV123:AW123,1)-1)</f>
        <v>#REF!</v>
      </c>
    </row>
    <row r="124" spans="48:50" x14ac:dyDescent="0.3">
      <c r="AV124">
        <v>0.81442099999999995</v>
      </c>
      <c r="AW124">
        <v>0.82679499999999995</v>
      </c>
      <c r="AX124" t="e">
        <f ca="1">OFFSET(#REF!,0,MATCH(MAX(AV124:AW124)+1,AV124:AW124,1)-1)</f>
        <v>#REF!</v>
      </c>
    </row>
    <row r="125" spans="48:50" x14ac:dyDescent="0.3">
      <c r="AX125" t="e">
        <f ca="1">OFFSET(#REF!,0,MATCH(MAX(AV125:AW125)+1,AV125:AW125,1)-1)</f>
        <v>#REF!</v>
      </c>
    </row>
    <row r="126" spans="48:50" x14ac:dyDescent="0.3">
      <c r="AV126">
        <v>1.418612</v>
      </c>
      <c r="AW126">
        <v>1.4659899999999999</v>
      </c>
      <c r="AX126" t="e">
        <f ca="1">OFFSET(#REF!,0,MATCH(MAX(AV126:AW126)+1,AV126:AW126,1)-1)</f>
        <v>#REF!</v>
      </c>
    </row>
    <row r="127" spans="48:50" x14ac:dyDescent="0.3">
      <c r="AV127">
        <v>10.27638492432</v>
      </c>
      <c r="AW127">
        <v>10.960502153155099</v>
      </c>
      <c r="AX127" t="e">
        <f ca="1">OFFSET(#REF!,0,MATCH(MAX(AV127:AW127)+1,AV127:AW127,1)-1)</f>
        <v>#REF!</v>
      </c>
    </row>
    <row r="128" spans="48:50" x14ac:dyDescent="0.3">
      <c r="AV128">
        <v>224.82135866021699</v>
      </c>
      <c r="AW128">
        <v>222.64950567620599</v>
      </c>
      <c r="AX128" t="e">
        <f ca="1">OFFSET(#REF!,0,MATCH(MAX(AV128:AW128)+1,AV128:AW128,1)-1)</f>
        <v>#REF!</v>
      </c>
    </row>
    <row r="129" spans="48:50" x14ac:dyDescent="0.3">
      <c r="AV129">
        <v>85.605452625207704</v>
      </c>
      <c r="AW129">
        <v>87.1832279182902</v>
      </c>
      <c r="AX129" t="e">
        <f ca="1">OFFSET(#REF!,0,MATCH(MAX(AV129:AW129)+1,AV129:AW129,1)-1)</f>
        <v>#REF!</v>
      </c>
    </row>
    <row r="130" spans="48:50" x14ac:dyDescent="0.3">
      <c r="AV130">
        <v>9.3447340000000008</v>
      </c>
      <c r="AW130">
        <v>9.8040760000000002</v>
      </c>
      <c r="AX130" t="e">
        <f ca="1">OFFSET(#REF!,0,MATCH(MAX(AV130:AW130)+1,AV130:AW130,1)-1)</f>
        <v>#REF!</v>
      </c>
    </row>
    <row r="131" spans="48:50" x14ac:dyDescent="0.3">
      <c r="AV131">
        <v>0.19149326806349801</v>
      </c>
      <c r="AW131">
        <v>0.15733444339175101</v>
      </c>
      <c r="AX131" t="e">
        <f ca="1">OFFSET(#REF!,0,MATCH(MAX(AV131:AW131)+1,AV131:AW131,1)-1)</f>
        <v>#REF!</v>
      </c>
    </row>
    <row r="132" spans="48:50" x14ac:dyDescent="0.3">
      <c r="AV132">
        <v>28.053884239437199</v>
      </c>
      <c r="AW132">
        <v>28.749150814944599</v>
      </c>
      <c r="AX132" t="e">
        <f ca="1">OFFSET(#REF!,0,MATCH(MAX(AV132:AW132)+1,AV132:AW132,1)-1)</f>
        <v>#REF!</v>
      </c>
    </row>
    <row r="133" spans="48:50" x14ac:dyDescent="0.3">
      <c r="AV133">
        <v>0.60240851552036101</v>
      </c>
      <c r="AW133">
        <v>0.59787678958366697</v>
      </c>
      <c r="AX133" t="e">
        <f ca="1">OFFSET(#REF!,0,MATCH(MAX(AV133:AW133)+1,AV133:AW133,1)-1)</f>
        <v>#REF!</v>
      </c>
    </row>
    <row r="134" spans="48:50" x14ac:dyDescent="0.3">
      <c r="AV134">
        <v>1.94851556883003</v>
      </c>
      <c r="AX134" t="e">
        <f ca="1">OFFSET(#REF!,0,MATCH(MAX(AV134:AW134)+1,AV134:AW134,1)-1)</f>
        <v>#REF!</v>
      </c>
    </row>
    <row r="135" spans="48:50" x14ac:dyDescent="0.3">
      <c r="AV135">
        <v>2351.28929454944</v>
      </c>
      <c r="AW135">
        <v>2357.84285161547</v>
      </c>
      <c r="AX135" t="e">
        <f ca="1">OFFSET(#REF!,0,MATCH(MAX(AV135:AW135)+1,AV135:AW135,1)-1)</f>
        <v>#REF!</v>
      </c>
    </row>
    <row r="136" spans="48:50" x14ac:dyDescent="0.3">
      <c r="AV136">
        <v>1.54363998146154</v>
      </c>
      <c r="AW136">
        <v>1.5726617283178901</v>
      </c>
      <c r="AX136" t="e">
        <f ca="1">OFFSET(#REF!,0,MATCH(MAX(AV136:AW136)+1,AV136:AW136,1)-1)</f>
        <v>#REF!</v>
      </c>
    </row>
    <row r="137" spans="48:50" x14ac:dyDescent="0.3">
      <c r="AV137">
        <v>18.232467183414698</v>
      </c>
      <c r="AW137">
        <v>17.928094325451099</v>
      </c>
      <c r="AX137" t="e">
        <f ca="1">OFFSET(#REF!,0,MATCH(MAX(AV137:AW137)+1,AV137:AW137,1)-1)</f>
        <v>#REF!</v>
      </c>
    </row>
    <row r="138" spans="48:50" x14ac:dyDescent="0.3">
      <c r="AV138">
        <v>1.790287</v>
      </c>
      <c r="AW138">
        <v>1.8020780000000001</v>
      </c>
      <c r="AX138" t="e">
        <f ca="1">OFFSET(#REF!,0,MATCH(MAX(AV138:AW138)+1,AV138:AW138,1)-1)</f>
        <v>#REF!</v>
      </c>
    </row>
    <row r="139" spans="48:50" x14ac:dyDescent="0.3">
      <c r="AV139">
        <v>0.57982699999999998</v>
      </c>
      <c r="AW139">
        <v>0.59331599999999995</v>
      </c>
      <c r="AX139" t="e">
        <f ca="1">OFFSET(#REF!,0,MATCH(MAX(AV139:AW139)+1,AV139:AW139,1)-1)</f>
        <v>#REF!</v>
      </c>
    </row>
    <row r="140" spans="48:50" x14ac:dyDescent="0.3">
      <c r="AV140">
        <v>2.4894010911956901</v>
      </c>
      <c r="AW140">
        <v>1.8902004329769599</v>
      </c>
      <c r="AX140" t="e">
        <f ca="1">OFFSET(#REF!,0,MATCH(MAX(AV140:AW140)+1,AV140:AW140,1)-1)</f>
        <v>#REF!</v>
      </c>
    </row>
    <row r="141" spans="48:50" x14ac:dyDescent="0.3">
      <c r="AV141">
        <v>881.92877399999998</v>
      </c>
      <c r="AW141">
        <v>891.24687500000005</v>
      </c>
      <c r="AX141" t="e">
        <f ca="1">OFFSET(#REF!,0,MATCH(MAX(AV141:AW141)+1,AV141:AW141,1)-1)</f>
        <v>#REF!</v>
      </c>
    </row>
    <row r="142" spans="48:50" x14ac:dyDescent="0.3">
      <c r="AV142">
        <v>6.2882271887262604</v>
      </c>
      <c r="AW142">
        <v>6.8044294624653396</v>
      </c>
      <c r="AX142" t="e">
        <f ca="1">OFFSET(#REF!,0,MATCH(MAX(AV142:AW142)+1,AV142:AW142,1)-1)</f>
        <v>#REF!</v>
      </c>
    </row>
    <row r="143" spans="48:50" x14ac:dyDescent="0.3">
      <c r="AV143">
        <v>1.6459531658097</v>
      </c>
      <c r="AW143">
        <v>1.6793299750798301</v>
      </c>
      <c r="AX143" t="e">
        <f ca="1">OFFSET(#REF!,0,MATCH(MAX(AV143:AW143)+1,AV143:AW143,1)-1)</f>
        <v>#REF!</v>
      </c>
    </row>
    <row r="144" spans="48:50" x14ac:dyDescent="0.3">
      <c r="AV144">
        <v>21.261009000000001</v>
      </c>
      <c r="AW144">
        <v>22.572130999999999</v>
      </c>
      <c r="AX144" t="e">
        <f ca="1">OFFSET(#REF!,0,MATCH(MAX(AV144:AW144)+1,AV144:AW144,1)-1)</f>
        <v>#REF!</v>
      </c>
    </row>
    <row r="145" spans="48:50" x14ac:dyDescent="0.3">
      <c r="AV145">
        <v>285.29687428014603</v>
      </c>
      <c r="AW145">
        <v>285.87093521531398</v>
      </c>
      <c r="AX145" t="e">
        <f ca="1">OFFSET(#REF!,0,MATCH(MAX(AV145:AW145)+1,AV145:AW145,1)-1)</f>
        <v>#REF!</v>
      </c>
    </row>
    <row r="146" spans="48:50" x14ac:dyDescent="0.3">
      <c r="AV146">
        <v>1.9168057555767</v>
      </c>
      <c r="AW146">
        <v>1.9073951962640401</v>
      </c>
      <c r="AX146" t="e">
        <f ca="1">OFFSET(#REF!,0,MATCH(MAX(AV146:AW146)+1,AV146:AW146,1)-1)</f>
        <v>#REF!</v>
      </c>
    </row>
    <row r="147" spans="48:50" x14ac:dyDescent="0.3">
      <c r="AV147">
        <v>1.6724119952259699</v>
      </c>
      <c r="AX147" t="e">
        <f ca="1">OFFSET(#REF!,0,MATCH(MAX(AV147:AW147)+1,AV147:AW147,1)-1)</f>
        <v>#REF!</v>
      </c>
    </row>
    <row r="148" spans="48:50" x14ac:dyDescent="0.3">
      <c r="AV148">
        <v>1.6741070995257299</v>
      </c>
      <c r="AX148" t="e">
        <f ca="1">OFFSET(#REF!,0,MATCH(MAX(AV148:AW148)+1,AV148:AW148,1)-1)</f>
        <v>#REF!</v>
      </c>
    </row>
    <row r="149" spans="48:50" x14ac:dyDescent="0.3">
      <c r="AV149">
        <v>10489.0160715609</v>
      </c>
      <c r="AX149" t="e">
        <f ca="1">OFFSET(#REF!,0,MATCH(MAX(AV149:AW149)+1,AV149:AW149,1)-1)</f>
        <v>#REF!</v>
      </c>
    </row>
    <row r="150" spans="48:50" x14ac:dyDescent="0.3">
      <c r="AV150">
        <v>1.7533305878112599</v>
      </c>
      <c r="AX150" t="e">
        <f ca="1">OFFSET(#REF!,0,MATCH(MAX(AV150:AW150)+1,AV150:AW150,1)-1)</f>
        <v>#REF!</v>
      </c>
    </row>
    <row r="151" spans="48:50" x14ac:dyDescent="0.3">
      <c r="AV151">
        <v>226.395658861882</v>
      </c>
      <c r="AW151">
        <v>221.608421715047</v>
      </c>
      <c r="AX151" t="e">
        <f ca="1">OFFSET(#REF!,0,MATCH(MAX(AV151:AW151)+1,AV151:AW151,1)-1)</f>
        <v>#REF!</v>
      </c>
    </row>
    <row r="152" spans="48:50" x14ac:dyDescent="0.3">
      <c r="AV152">
        <v>40.013542775078299</v>
      </c>
      <c r="AW152">
        <v>41.5163200451154</v>
      </c>
      <c r="AX152" t="e">
        <f ca="1">OFFSET(#REF!,0,MATCH(MAX(AV152:AW152)+1,AV152:AW152,1)-1)</f>
        <v>#REF!</v>
      </c>
    </row>
    <row r="153" spans="48:50" x14ac:dyDescent="0.3">
      <c r="AV153">
        <v>7.4812670884126398</v>
      </c>
      <c r="AW153">
        <v>7.5652040706741701</v>
      </c>
      <c r="AX153" t="e">
        <f ca="1">OFFSET(#REF!,0,MATCH(MAX(AV153:AW153)+1,AV153:AW153,1)-1)</f>
        <v>#REF!</v>
      </c>
    </row>
    <row r="154" spans="48:50" x14ac:dyDescent="0.3">
      <c r="AV154">
        <v>1776.0111313693601</v>
      </c>
      <c r="AW154">
        <v>2214.90521531591</v>
      </c>
      <c r="AX154" t="e">
        <f ca="1">OFFSET(#REF!,0,MATCH(MAX(AV154:AW154)+1,AV154:AW154,1)-1)</f>
        <v>#REF!</v>
      </c>
    </row>
    <row r="155" spans="48:50" x14ac:dyDescent="0.3">
      <c r="AV155">
        <v>0.84797852815200503</v>
      </c>
      <c r="AW155">
        <v>0.85333248454510002</v>
      </c>
      <c r="AX155" t="e">
        <f ca="1">OFFSET(#REF!,0,MATCH(MAX(AV155:AW155)+1,AV155:AW155,1)-1)</f>
        <v>#REF!</v>
      </c>
    </row>
    <row r="156" spans="48:50" x14ac:dyDescent="0.3">
      <c r="AV156">
        <v>0.49227799999999999</v>
      </c>
      <c r="AW156">
        <v>0.49843399999999999</v>
      </c>
      <c r="AX156" t="e">
        <f ca="1">OFFSET(#REF!,0,MATCH(MAX(AV156:AW156)+1,AV156:AW156,1)-1)</f>
        <v>#REF!</v>
      </c>
    </row>
    <row r="157" spans="48:50" x14ac:dyDescent="0.3">
      <c r="AV157">
        <v>0.59504500000000005</v>
      </c>
      <c r="AW157">
        <v>0.60008600000000001</v>
      </c>
      <c r="AX157" t="e">
        <f ca="1">OFFSET(#REF!,0,MATCH(MAX(AV157:AW157)+1,AV157:AW157,1)-1)</f>
        <v>#REF!</v>
      </c>
    </row>
    <row r="158" spans="48:50" x14ac:dyDescent="0.3">
      <c r="AV158">
        <v>6.9820141448629496</v>
      </c>
      <c r="AW158">
        <v>7.1761191675347398</v>
      </c>
      <c r="AX158" t="e">
        <f ca="1">OFFSET(#REF!,0,MATCH(MAX(AV158:AW158)+1,AV158:AW158,1)-1)</f>
        <v>#REF!</v>
      </c>
    </row>
    <row r="159" spans="48:50" x14ac:dyDescent="0.3">
      <c r="AX159" t="e">
        <f ca="1">OFFSET(#REF!,0,MATCH(MAX(AV159:AW159)+1,AV159:AW159,1)-1)</f>
        <v>#REF!</v>
      </c>
    </row>
    <row r="160" spans="48:50" x14ac:dyDescent="0.3">
      <c r="AV160">
        <v>5.3686912080170899</v>
      </c>
      <c r="AX160" t="e">
        <f ca="1">OFFSET(#REF!,0,MATCH(MAX(AV160:AW160)+1,AV160:AW160,1)-1)</f>
        <v>#REF!</v>
      </c>
    </row>
    <row r="161" spans="48:50" x14ac:dyDescent="0.3">
      <c r="AV161">
        <v>1.62345323831716</v>
      </c>
      <c r="AW161">
        <v>1.6148701711009601</v>
      </c>
      <c r="AX161" t="e">
        <f ca="1">OFFSET(#REF!,0,MATCH(MAX(AV161:AW161)+1,AV161:AW161,1)-1)</f>
        <v>#REF!</v>
      </c>
    </row>
    <row r="162" spans="48:50" x14ac:dyDescent="0.3">
      <c r="AV162">
        <v>0.66615500000000005</v>
      </c>
      <c r="AW162">
        <v>0.67462200000000005</v>
      </c>
      <c r="AX162" t="e">
        <f ca="1">OFFSET(#REF!,0,MATCH(MAX(AV162:AW162)+1,AV162:AW162,1)-1)</f>
        <v>#REF!</v>
      </c>
    </row>
    <row r="163" spans="48:50" x14ac:dyDescent="0.3">
      <c r="AV163">
        <v>44.930854638852601</v>
      </c>
      <c r="AW163">
        <v>45.438580868192098</v>
      </c>
      <c r="AX163" t="e">
        <f ca="1">OFFSET(#REF!,0,MATCH(MAX(AV163:AW163)+1,AV163:AW163,1)-1)</f>
        <v>#REF!</v>
      </c>
    </row>
    <row r="164" spans="48:50" x14ac:dyDescent="0.3">
      <c r="AV164">
        <v>2.33116086045557</v>
      </c>
      <c r="AW164">
        <v>2.2241234924497602</v>
      </c>
      <c r="AX164" t="e">
        <f ca="1">OFFSET(#REF!,0,MATCH(MAX(AV164:AW164)+1,AV164:AW164,1)-1)</f>
        <v>#REF!</v>
      </c>
    </row>
    <row r="165" spans="48:50" x14ac:dyDescent="0.3">
      <c r="AV165">
        <v>2.63490756535399</v>
      </c>
      <c r="AW165">
        <v>3.0040145488250101</v>
      </c>
      <c r="AX165" t="e">
        <f ca="1">OFFSET(#REF!,0,MATCH(MAX(AV165:AW165)+1,AV165:AW165,1)-1)</f>
        <v>#REF!</v>
      </c>
    </row>
    <row r="166" spans="48:50" x14ac:dyDescent="0.3">
      <c r="AV166">
        <v>1.9130245457883901</v>
      </c>
      <c r="AW166">
        <v>1.80879224149266</v>
      </c>
      <c r="AX166" t="e">
        <f ca="1">OFFSET(#REF!,0,MATCH(MAX(AV166:AW166)+1,AV166:AW166,1)-1)</f>
        <v>#REF!</v>
      </c>
    </row>
    <row r="167" spans="48:50" x14ac:dyDescent="0.3">
      <c r="AV167">
        <v>4.53433206233841</v>
      </c>
      <c r="AW167">
        <v>4.7767205973914804</v>
      </c>
      <c r="AX167" t="e">
        <f ca="1">OFFSET(#REF!,0,MATCH(MAX(AV167:AW167)+1,AV167:AW167,1)-1)</f>
        <v>#REF!</v>
      </c>
    </row>
    <row r="168" spans="48:50" x14ac:dyDescent="0.3">
      <c r="AV168">
        <v>8.9209720000000008</v>
      </c>
      <c r="AW168">
        <v>9.1348649999999996</v>
      </c>
      <c r="AX168" t="e">
        <f ca="1">OFFSET(#REF!,0,MATCH(MAX(AV168:AW168)+1,AV168:AW168,1)-1)</f>
        <v>#REF!</v>
      </c>
    </row>
    <row r="169" spans="48:50" x14ac:dyDescent="0.3">
      <c r="AV169">
        <v>1.3173999999999999</v>
      </c>
      <c r="AW169">
        <v>1.275245</v>
      </c>
      <c r="AX169" t="e">
        <f ca="1">OFFSET(#REF!,0,MATCH(MAX(AV169:AW169)+1,AV169:AW169,1)-1)</f>
        <v>#REF!</v>
      </c>
    </row>
    <row r="170" spans="48:50" x14ac:dyDescent="0.3">
      <c r="AX170" t="e">
        <f ca="1">OFFSET(#REF!,0,MATCH(MAX(AV170:AW170)+1,AV170:AW170,1)-1)</f>
        <v>#REF!</v>
      </c>
    </row>
    <row r="171" spans="48:50" x14ac:dyDescent="0.3">
      <c r="AV171">
        <v>2.03561793359165</v>
      </c>
      <c r="AW171">
        <v>2.0527848228332899</v>
      </c>
      <c r="AX171" t="e">
        <f ca="1">OFFSET(#REF!,0,MATCH(MAX(AV171:AW171)+1,AV171:AW171,1)-1)</f>
        <v>#REF!</v>
      </c>
    </row>
    <row r="172" spans="48:50" x14ac:dyDescent="0.3">
      <c r="AV172">
        <v>18.734122584437699</v>
      </c>
      <c r="AW172">
        <v>19.3776053772701</v>
      </c>
      <c r="AX172" t="e">
        <f ca="1">OFFSET(#REF!,0,MATCH(MAX(AV172:AW172)+1,AV172:AW172,1)-1)</f>
        <v>#REF!</v>
      </c>
    </row>
    <row r="173" spans="48:50" x14ac:dyDescent="0.3">
      <c r="AV173">
        <v>12.3073106881264</v>
      </c>
      <c r="AW173">
        <v>12.2167532979014</v>
      </c>
      <c r="AX173" t="e">
        <f ca="1">OFFSET(#REF!,0,MATCH(MAX(AV173:AW173)+1,AV173:AW173,1)-1)</f>
        <v>#REF!</v>
      </c>
    </row>
    <row r="174" spans="48:50" x14ac:dyDescent="0.3">
      <c r="AV174">
        <v>0.51333417902052303</v>
      </c>
      <c r="AW174">
        <v>0.50216703120843398</v>
      </c>
      <c r="AX174" t="e">
        <f ca="1">OFFSET(#REF!,0,MATCH(MAX(AV174:AW174)+1,AV174:AW174,1)-1)</f>
        <v>#REF!</v>
      </c>
    </row>
    <row r="175" spans="48:50" x14ac:dyDescent="0.3">
      <c r="AV175">
        <v>221.41600833701301</v>
      </c>
      <c r="AW175">
        <v>222.01676877856201</v>
      </c>
      <c r="AX175" t="e">
        <f ca="1">OFFSET(#REF!,0,MATCH(MAX(AV175:AW175)+1,AV175:AW175,1)-1)</f>
        <v>#REF!</v>
      </c>
    </row>
    <row r="176" spans="48:50" x14ac:dyDescent="0.3">
      <c r="AV176">
        <v>1.45267751454079</v>
      </c>
      <c r="AX176" t="e">
        <f ca="1">OFFSET(#REF!,0,MATCH(MAX(AV176:AW176)+1,AV176:AW176,1)-1)</f>
        <v>#REF!</v>
      </c>
    </row>
    <row r="177" spans="48:50" x14ac:dyDescent="0.3">
      <c r="AV177">
        <v>4.2584003688987302</v>
      </c>
      <c r="AW177">
        <v>3.9998161534118499</v>
      </c>
      <c r="AX177" t="e">
        <f ca="1">OFFSET(#REF!,0,MATCH(MAX(AV177:AW177)+1,AV177:AW177,1)-1)</f>
        <v>#REF!</v>
      </c>
    </row>
    <row r="178" spans="48:50" x14ac:dyDescent="0.3">
      <c r="AV178">
        <v>0.64992134148966196</v>
      </c>
      <c r="AW178">
        <v>0.666505481687928</v>
      </c>
      <c r="AX178" t="e">
        <f ca="1">OFFSET(#REF!,0,MATCH(MAX(AV178:AW178)+1,AV178:AW178,1)-1)</f>
        <v>#REF!</v>
      </c>
    </row>
    <row r="179" spans="48:50" x14ac:dyDescent="0.3">
      <c r="AV179">
        <v>1.162952</v>
      </c>
      <c r="AW179">
        <v>1.2658469999999999</v>
      </c>
      <c r="AX179" t="e">
        <f ca="1">OFFSET(#REF!,0,MATCH(MAX(AV179:AW179)+1,AV179:AW179,1)-1)</f>
        <v>#REF!</v>
      </c>
    </row>
    <row r="180" spans="48:50" x14ac:dyDescent="0.3">
      <c r="AV180">
        <v>1.5036900620284499</v>
      </c>
      <c r="AW180">
        <v>1.4738831354972901</v>
      </c>
      <c r="AX180" t="e">
        <f ca="1">OFFSET(#REF!,0,MATCH(MAX(AV180:AW180)+1,AV180:AW180,1)-1)</f>
        <v>#REF!</v>
      </c>
    </row>
    <row r="181" spans="48:50" x14ac:dyDescent="0.3">
      <c r="AV181">
        <v>1020.40470669583</v>
      </c>
      <c r="AW181">
        <v>1046.58412223966</v>
      </c>
      <c r="AX181" t="e">
        <f ca="1">OFFSET(#REF!,0,MATCH(MAX(AV181:AW181)+1,AV181:AW181,1)-1)</f>
        <v>#REF!</v>
      </c>
    </row>
    <row r="182" spans="48:50" x14ac:dyDescent="0.3">
      <c r="AV182">
        <v>4.2038878166851497</v>
      </c>
      <c r="AW182">
        <v>645.69994989464794</v>
      </c>
      <c r="AX182" t="e">
        <f ca="1">OFFSET(#REF!,0,MATCH(MAX(AV182:AW182)+1,AV182:AW182,1)-1)</f>
        <v>#REF!</v>
      </c>
    </row>
    <row r="183" spans="48:50" x14ac:dyDescent="0.3">
      <c r="AV183">
        <v>2.3770574121178498</v>
      </c>
      <c r="AW183">
        <v>2.1143832066666</v>
      </c>
      <c r="AX183" t="e">
        <f ca="1">OFFSET(#REF!,0,MATCH(MAX(AV183:AW183)+1,AV183:AW183,1)-1)</f>
        <v>#REF!</v>
      </c>
    </row>
    <row r="184" spans="48:50" x14ac:dyDescent="0.3">
      <c r="AV184">
        <v>0.69932399999999995</v>
      </c>
      <c r="AW184">
        <v>0.69270900000000002</v>
      </c>
      <c r="AX184" t="e">
        <f ca="1">OFFSET(#REF!,0,MATCH(MAX(AV184:AW184)+1,AV184:AW184,1)-1)</f>
        <v>#REF!</v>
      </c>
    </row>
    <row r="185" spans="48:50" x14ac:dyDescent="0.3">
      <c r="AV185">
        <v>619.88220967493396</v>
      </c>
      <c r="AW185">
        <v>645.69994989464794</v>
      </c>
      <c r="AX185" t="e">
        <f ca="1">OFFSET(#REF!,0,MATCH(MAX(AV185:AW185)+1,AV185:AW185,1)-1)</f>
        <v>#REF!</v>
      </c>
    </row>
    <row r="186" spans="48:50" x14ac:dyDescent="0.3">
      <c r="AV186">
        <v>1</v>
      </c>
      <c r="AW186">
        <v>1</v>
      </c>
      <c r="AX186" t="e">
        <f ca="1">OFFSET(#REF!,0,MATCH(MAX(AV186:AW186)+1,AV186:AW186,1)-1)</f>
        <v>#REF!</v>
      </c>
    </row>
    <row r="187" spans="48:50" x14ac:dyDescent="0.3">
      <c r="AV187">
        <v>18.6532407719526</v>
      </c>
      <c r="AW187">
        <v>20.074495527595399</v>
      </c>
      <c r="AX187" t="e">
        <f ca="1">OFFSET(#REF!,0,MATCH(MAX(AV187:AW187)+1,AV187:AW187,1)-1)</f>
        <v>#REF!</v>
      </c>
    </row>
    <row r="188" spans="48:50" x14ac:dyDescent="0.3">
      <c r="AV188">
        <v>848.61909178560597</v>
      </c>
      <c r="AW188">
        <v>913.150657978705</v>
      </c>
      <c r="AX188" t="e">
        <f ca="1">OFFSET(#REF!,0,MATCH(MAX(AV188:AW188)+1,AV188:AW188,1)-1)</f>
        <v>#REF!</v>
      </c>
    </row>
    <row r="189" spans="48:50" x14ac:dyDescent="0.3">
      <c r="AV189">
        <v>100.46523817139</v>
      </c>
      <c r="AX189" t="e">
        <f ca="1">OFFSET(#REF!,0,MATCH(MAX(AV189:AW189)+1,AV189:AW189,1)-1)</f>
        <v>#REF!</v>
      </c>
    </row>
    <row r="190" spans="48:50" x14ac:dyDescent="0.3">
      <c r="AX190" t="e">
        <f ca="1">OFFSET(#REF!,0,MATCH(MAX(AV190:AW190)+1,AV190:AW190,1)-1)</f>
        <v>#REF!</v>
      </c>
    </row>
    <row r="191" spans="48:50" x14ac:dyDescent="0.3">
      <c r="AV191">
        <v>7682.40925176152</v>
      </c>
      <c r="AW191">
        <v>7591.6746963040996</v>
      </c>
      <c r="AX191" t="e">
        <f ca="1">OFFSET(#REF!,0,MATCH(MAX(AV191:AW191)+1,AV191:AW191,1)-1)</f>
        <v>#REF!</v>
      </c>
    </row>
    <row r="192" spans="48:50" x14ac:dyDescent="0.3">
      <c r="AX192" t="e">
        <f ca="1">OFFSET(#REF!,0,MATCH(MAX(AV192:AW192)+1,AV192:AW192,1)-1)</f>
        <v>#REF!</v>
      </c>
    </row>
    <row r="193" spans="48:50" x14ac:dyDescent="0.3">
      <c r="AV193">
        <v>2.78680682989522</v>
      </c>
      <c r="AW193">
        <v>2.94259814076438</v>
      </c>
      <c r="AX193" t="e">
        <f ca="1">OFFSET(#REF!,0,MATCH(MAX(AV193:AW193)+1,AV193:AW193,1)-1)</f>
        <v>#REF!</v>
      </c>
    </row>
    <row r="194" spans="48:50" x14ac:dyDescent="0.3">
      <c r="AV194">
        <v>0.51789054995338102</v>
      </c>
      <c r="AW194">
        <v>0.49644457636704098</v>
      </c>
      <c r="AX194" t="e">
        <f ca="1">OFFSET(#REF!,0,MATCH(MAX(AV194:AW194)+1,AV194:AW194,1)-1)</f>
        <v>#REF!</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A145C186C801E4DA84671C47D377556" ma:contentTypeVersion="11" ma:contentTypeDescription="Create a new document." ma:contentTypeScope="" ma:versionID="a18a5ebaaad91d72f19d5439b34001f0">
  <xsd:schema xmlns:xsd="http://www.w3.org/2001/XMLSchema" xmlns:xs="http://www.w3.org/2001/XMLSchema" xmlns:p="http://schemas.microsoft.com/office/2006/metadata/properties" xmlns:ns3="aa61ea54-4554-4f04-bcb1-ac57a84650ac" xmlns:ns4="adc74434-3b5d-488f-a404-dff9a90f0b5d" targetNamespace="http://schemas.microsoft.com/office/2006/metadata/properties" ma:root="true" ma:fieldsID="03863b8ecdb30b2454b9980b2f3d4183" ns3:_="" ns4:_="">
    <xsd:import namespace="aa61ea54-4554-4f04-bcb1-ac57a84650ac"/>
    <xsd:import namespace="adc74434-3b5d-488f-a404-dff9a90f0b5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61ea54-4554-4f04-bcb1-ac57a84650a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dc74434-3b5d-488f-a404-dff9a90f0b5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9108751-6BB4-4393-A31A-13D78D509D69}">
  <ds:schemaRefs>
    <ds:schemaRef ds:uri="http://schemas.microsoft.com/sharepoint/v3/contenttype/forms"/>
  </ds:schemaRefs>
</ds:datastoreItem>
</file>

<file path=customXml/itemProps2.xml><?xml version="1.0" encoding="utf-8"?>
<ds:datastoreItem xmlns:ds="http://schemas.openxmlformats.org/officeDocument/2006/customXml" ds:itemID="{1A680F07-6880-4F87-B9B6-21D1EAD8F1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61ea54-4554-4f04-bcb1-ac57a84650ac"/>
    <ds:schemaRef ds:uri="adc74434-3b5d-488f-a404-dff9a90f0b5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76A1EF-A63F-4ED8-9421-3BC61864A91B}">
  <ds:schemaRefs>
    <ds:schemaRef ds:uri="aa61ea54-4554-4f04-bcb1-ac57a84650ac"/>
    <ds:schemaRef ds:uri="http://purl.org/dc/elements/1.1/"/>
    <ds:schemaRef ds:uri="http://purl.org/dc/dcmitype/"/>
    <ds:schemaRef ds:uri="http://schemas.microsoft.com/office/infopath/2007/PartnerControls"/>
    <ds:schemaRef ds:uri="http://purl.org/dc/terms/"/>
    <ds:schemaRef ds:uri="http://schemas.microsoft.com/office/2006/documentManagement/types"/>
    <ds:schemaRef ds:uri="http://schemas.microsoft.com/office/2006/metadata/properties"/>
    <ds:schemaRef ds:uri="http://schemas.openxmlformats.org/package/2006/metadata/core-properties"/>
    <ds:schemaRef ds:uri="adc74434-3b5d-488f-a404-dff9a90f0b5d"/>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vt:i4>
      </vt:variant>
    </vt:vector>
  </HeadingPairs>
  <TitlesOfParts>
    <vt:vector size="33" baseType="lpstr">
      <vt:lpstr>Manual</vt:lpstr>
      <vt:lpstr>General input</vt:lpstr>
      <vt:lpstr>Results</vt:lpstr>
      <vt:lpstr>SA Results</vt:lpstr>
      <vt:lpstr>Tornado Diagram</vt:lpstr>
      <vt:lpstr>VE SA Results</vt:lpstr>
      <vt:lpstr>BoD input</vt:lpstr>
      <vt:lpstr>Cost input</vt:lpstr>
      <vt:lpstr>VE input</vt:lpstr>
      <vt:lpstr>QoL input</vt:lpstr>
      <vt:lpstr>Input summary</vt:lpstr>
      <vt:lpstr>Input Summ SA</vt:lpstr>
      <vt:lpstr>Calculations BC</vt:lpstr>
      <vt:lpstr>Calculations Lower</vt:lpstr>
      <vt:lpstr>Calculations Upper</vt:lpstr>
      <vt:lpstr>Calculations SA</vt:lpstr>
      <vt:lpstr>PSA inputs</vt:lpstr>
      <vt:lpstr>PSA outputs</vt:lpstr>
      <vt:lpstr>Lists</vt:lpstr>
      <vt:lpstr>BoD lists</vt:lpstr>
      <vt:lpstr>Costs lists</vt:lpstr>
      <vt:lpstr>Life table (HE)</vt:lpstr>
      <vt:lpstr>Life table (costs)</vt:lpstr>
      <vt:lpstr>Maternal</vt:lpstr>
      <vt:lpstr>Maternal (2)</vt:lpstr>
      <vt:lpstr>uf</vt:lpstr>
      <vt:lpstr>Sheet1</vt:lpstr>
      <vt:lpstr>CurList</vt:lpstr>
      <vt:lpstr>Distribution</vt:lpstr>
      <vt:lpstr>'Maternal (2)'!Month</vt:lpstr>
      <vt:lpstr>Month</vt:lpstr>
      <vt:lpstr>PopList</vt:lpstr>
      <vt:lpstr>WTPinput</vt:lpstr>
    </vt:vector>
  </TitlesOfParts>
  <Company>University of Groningen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 Dolk</dc:creator>
  <cp:lastModifiedBy>Ciaran Navin Kohli-Lynch</cp:lastModifiedBy>
  <cp:lastPrinted>2019-08-08T21:22:39Z</cp:lastPrinted>
  <dcterms:created xsi:type="dcterms:W3CDTF">2016-07-26T11:50:34Z</dcterms:created>
  <dcterms:modified xsi:type="dcterms:W3CDTF">2023-01-23T19:14:51Z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0x010100EA145C186C801E4DA84671C47D377556</vt:lpwstr>
  </property>
</Properties>
</file>